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080" yWindow="12" windowWidth="10392" windowHeight="7512"/>
  </bookViews>
  <sheets>
    <sheet name="Раздел 1" sheetId="2" r:id="rId1"/>
    <sheet name="2020" sheetId="4" r:id="rId2"/>
    <sheet name="2021" sheetId="5" r:id="rId3"/>
    <sheet name="2022" sheetId="6" r:id="rId4"/>
    <sheet name="Лист1" sheetId="8" r:id="rId5"/>
    <sheet name="свод" sheetId="7" state="hidden" r:id="rId6"/>
  </sheets>
  <externalReferences>
    <externalReference r:id="rId7"/>
  </externalReferences>
  <definedNames>
    <definedName name="_FilterDatabase" localSheetId="1" hidden="1">'2020'!$A$9:$AC$9</definedName>
    <definedName name="_FilterDatabase" localSheetId="2" hidden="1">'2021'!$A$9:$AV$2366</definedName>
    <definedName name="_FilterDatabase" localSheetId="3" hidden="1">'2022'!$A$9:$AG$1099</definedName>
    <definedName name="_FilterDatabase" localSheetId="0" hidden="1">'Раздел 1'!$A$10:$L$3384</definedName>
    <definedName name="BossProviderVariable?_7106997f_1712_45aa_bbd7_e09b96781d20" hidden="1">"25_01_2006"</definedName>
    <definedName name="Print_Area" localSheetId="1">'2020'!$A$1:$T$771</definedName>
    <definedName name="Print_Area" localSheetId="2">'2021'!$A$1:$W$2365</definedName>
    <definedName name="Print_Area" localSheetId="3">'2022'!$A$1:$W$1099</definedName>
    <definedName name="Print_Area" localSheetId="0">'Раздел 1'!$A$1:$K$3405</definedName>
    <definedName name="Z_01451C91_14DA_4D26_B1B3_18A70391612A_.wvu.FilterData" localSheetId="1" hidden="1">'2020'!$A$8:$AL$66</definedName>
    <definedName name="Z_01451C91_14DA_4D26_B1B3_18A70391612A_.wvu.PrintArea" localSheetId="1" hidden="1">'2020'!$A$1:$T$768</definedName>
    <definedName name="Z_01451C91_14DA_4D26_B1B3_18A70391612A_.wvu.PrintArea" localSheetId="2" hidden="1">'2021'!$A$1:$W$2363</definedName>
    <definedName name="Z_01451C91_14DA_4D26_B1B3_18A70391612A_.wvu.PrintArea" localSheetId="3" hidden="1">'2022'!$A$1:$W$1097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6B8344E_73EB_416B_B009_420D58C33AEC_.wvu.FilterData" localSheetId="1" hidden="1">'2020'!$A$8:$AL$66</definedName>
    <definedName name="Z_16B8344E_73EB_416B_B009_420D58C33AEC_.wvu.PrintArea" localSheetId="1" hidden="1">'2020'!$A$1:$T$768</definedName>
    <definedName name="Z_16B8344E_73EB_416B_B009_420D58C33AEC_.wvu.PrintArea" localSheetId="2" hidden="1">'2021'!$A$1:$W$2363</definedName>
    <definedName name="Z_16B8344E_73EB_416B_B009_420D58C33AEC_.wvu.PrintArea" localSheetId="3" hidden="1">'2022'!$A$1:$W$1097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B9CDF8A_2F5D_4B91_80D4_6D7CCC92D8AA_.wvu.FilterData" localSheetId="1" hidden="1">'2020'!$A$8:$AL$66</definedName>
    <definedName name="Z_35164214_6B83_4B40_8294_2E9A0423440B_.wvu.FilterData" localSheetId="1" hidden="1">'2020'!$A$91:$AL$157</definedName>
    <definedName name="Z_35164214_6B83_4B40_8294_2E9A0423440B_.wvu.PrintArea" localSheetId="1" hidden="1">'2020'!$A$1:$T$768</definedName>
    <definedName name="Z_35164214_6B83_4B40_8294_2E9A0423440B_.wvu.PrintArea" localSheetId="2" hidden="1">'2021'!$A$1:$W$2363</definedName>
    <definedName name="Z_35164214_6B83_4B40_8294_2E9A0423440B_.wvu.PrintArea" localSheetId="3" hidden="1">'2022'!$A$1:$W$1097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4B6D6BCB_EE2D_42AC_9192_354A33B0E0EA_.wvu.FilterData" localSheetId="1" hidden="1">'2020'!$A$8:$AL$66</definedName>
    <definedName name="Z_4B6D6BCB_EE2D_42AC_9192_354A33B0E0EA_.wvu.FilterData" localSheetId="2" hidden="1">'2021'!$A$9:$W$354</definedName>
    <definedName name="Z_4B6D6BCB_EE2D_42AC_9192_354A33B0E0EA_.wvu.PrintArea" localSheetId="1" hidden="1">'2020'!$A$1:$T$768</definedName>
    <definedName name="Z_4B6D6BCB_EE2D_42AC_9192_354A33B0E0EA_.wvu.PrintArea" localSheetId="2" hidden="1">'2021'!$A$1:$W$2363</definedName>
    <definedName name="Z_4B6D6BCB_EE2D_42AC_9192_354A33B0E0EA_.wvu.PrintArea" localSheetId="3" hidden="1">'2022'!$A$1:$W$1097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4B6D6BCB_EE2D_42AC_9192_354A33B0E0EA_.wvu.Rows" localSheetId="3" hidden="1">'2022'!#REF!,'2022'!#REF!,'2022'!#REF!,'2022'!#REF!,'2022'!#REF!,'2022'!#REF!,'2022'!#REF!,'2022'!#REF!,'2022'!#REF!,'2022'!#REF!,'2022'!#REF!,'2022'!#REF!,'2022'!#REF!,'2022'!#REF!</definedName>
    <definedName name="Z_5446568B_FD51_4004_B51D_23EC2018CD0E_.wvu.FilterData" localSheetId="1" hidden="1">'2020'!$A$8:$AL$66</definedName>
    <definedName name="Z_83613F8C_5050_4CDE_94E5_E4721A2F1A39_.wvu.FilterData" localSheetId="1" hidden="1">'2020'!$A$8:$AL$66</definedName>
    <definedName name="Z_B742453E_6192_4495_8455_B4A974C6429E_.wvu.FilterData" localSheetId="1" hidden="1">'2020'!$A$8:$AL$66</definedName>
    <definedName name="Z_B742453E_6192_4495_8455_B4A974C6429E_.wvu.PrintArea" localSheetId="1" hidden="1">'2020'!$A$1:$T$768</definedName>
    <definedName name="Z_B742453E_6192_4495_8455_B4A974C6429E_.wvu.PrintArea" localSheetId="2" hidden="1">'2021'!$A$1:$W$2363</definedName>
    <definedName name="Z_B742453E_6192_4495_8455_B4A974C6429E_.wvu.PrintArea" localSheetId="3" hidden="1">'2022'!$A$1:$W$1097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D2C739B3_6C2A_43E1_9B43_1F38401FDF49_.wvu.FilterData" localSheetId="1" hidden="1">'2020'!$A$8:$AL$66</definedName>
    <definedName name="Z_DE2E8392_397B_4E2C_B9DD_E1C088B12D54_.wvu.FilterData" localSheetId="1" hidden="1">'2020'!$A$8:$AL$66</definedName>
    <definedName name="Z_DFCDC4A7_B1EE_4F7B_A9A5_CB3F46056C80_.wvu.FilterData" localSheetId="1" hidden="1">'2020'!$A$8:$AL$66</definedName>
    <definedName name="Z_DFCDC4A7_B1EE_4F7B_A9A5_CB3F46056C80_.wvu.PrintArea" localSheetId="1" hidden="1">'2020'!$A$1:$T$768</definedName>
    <definedName name="Z_DFCDC4A7_B1EE_4F7B_A9A5_CB3F46056C80_.wvu.PrintArea" localSheetId="2" hidden="1">'2021'!$A$1:$W$2363</definedName>
    <definedName name="Z_DFCDC4A7_B1EE_4F7B_A9A5_CB3F46056C80_.wvu.PrintArea" localSheetId="3" hidden="1">'2022'!$A$1:$W$1097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E557CDC6_6AA0_4DD0_B6F9_A94A1E4C138A_.wvu.FilterData" localSheetId="1" hidden="1">'2020'!$A$8:$AL$66</definedName>
    <definedName name="Z_E557CDC6_6AA0_4DD0_B6F9_A94A1E4C138A_.wvu.PrintArea" localSheetId="1" hidden="1">'2020'!$A$1:$T$768</definedName>
    <definedName name="Z_E557CDC6_6AA0_4DD0_B6F9_A94A1E4C138A_.wvu.PrintArea" localSheetId="2" hidden="1">'2021'!$A$1:$W$2363</definedName>
    <definedName name="Z_E557CDC6_6AA0_4DD0_B6F9_A94A1E4C138A_.wvu.PrintArea" localSheetId="3" hidden="1">'2022'!$A$1:$W$1097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$518:$520,'2020'!#REF!,'2020'!#REF!,'2020'!#REF!,'2020'!#REF!,'2020'!#REF!,'2020'!#REF!,'2020'!#REF!,'2020'!#REF!,'2020'!#REF!,'2020'!#REF!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F61158DD_B832_4B6B_82D0_8E4EB30BA059_.wvu.FilterData" localSheetId="1" hidden="1">'2020'!$A$8:$AL$66</definedName>
  </definedNames>
  <calcPr calcId="145621"/>
</workbook>
</file>

<file path=xl/calcChain.xml><?xml version="1.0" encoding="utf-8"?>
<calcChain xmlns="http://schemas.openxmlformats.org/spreadsheetml/2006/main">
  <c r="A1708" i="2" l="1"/>
  <c r="A1699" i="2"/>
  <c r="A1661" i="2"/>
  <c r="A58" i="6" l="1"/>
  <c r="A154" i="4" l="1"/>
  <c r="C765" i="4" l="1"/>
  <c r="C764" i="4"/>
  <c r="C760" i="4"/>
  <c r="C761" i="4"/>
  <c r="C755" i="4"/>
  <c r="C756" i="4"/>
  <c r="C757" i="4"/>
  <c r="C758" i="4"/>
  <c r="C759" i="4"/>
  <c r="C749" i="4"/>
  <c r="C750" i="4"/>
  <c r="C751" i="4"/>
  <c r="C752" i="4"/>
  <c r="C753" i="4"/>
  <c r="C754" i="4"/>
  <c r="C748" i="4"/>
  <c r="C745" i="4"/>
  <c r="C742" i="4"/>
  <c r="C741" i="4"/>
  <c r="C740" i="4"/>
  <c r="C739" i="4"/>
  <c r="C735" i="4"/>
  <c r="C736" i="4"/>
  <c r="C727" i="4"/>
  <c r="C728" i="4"/>
  <c r="C734" i="4"/>
  <c r="C731" i="4"/>
  <c r="C726" i="4"/>
  <c r="C721" i="4"/>
  <c r="C714" i="4"/>
  <c r="C715" i="4"/>
  <c r="C716" i="4"/>
  <c r="C717" i="4"/>
  <c r="C718" i="4"/>
  <c r="C705" i="4"/>
  <c r="C706" i="4"/>
  <c r="C707" i="4"/>
  <c r="C708" i="4"/>
  <c r="C709" i="4"/>
  <c r="C710" i="4"/>
  <c r="C711" i="4"/>
  <c r="C712" i="4"/>
  <c r="C713" i="4"/>
  <c r="C696" i="4"/>
  <c r="C697" i="4"/>
  <c r="C698" i="4"/>
  <c r="C699" i="4"/>
  <c r="C700" i="4"/>
  <c r="C701" i="4"/>
  <c r="C702" i="4"/>
  <c r="C703" i="4"/>
  <c r="C704" i="4"/>
  <c r="C690" i="4"/>
  <c r="C695" i="4"/>
  <c r="C694" i="4"/>
  <c r="C693" i="4"/>
  <c r="C687" i="4"/>
  <c r="C686" i="4"/>
  <c r="C685" i="4"/>
  <c r="C679" i="4"/>
  <c r="C680" i="4"/>
  <c r="C681" i="4"/>
  <c r="C670" i="4"/>
  <c r="C671" i="4"/>
  <c r="C672" i="4"/>
  <c r="C673" i="4"/>
  <c r="C674" i="4"/>
  <c r="C675" i="4"/>
  <c r="C676" i="4"/>
  <c r="C677" i="4"/>
  <c r="C678" i="4"/>
  <c r="D670" i="4"/>
  <c r="D671" i="4"/>
  <c r="D672" i="4"/>
  <c r="D673" i="4"/>
  <c r="D674" i="4"/>
  <c r="D675" i="4"/>
  <c r="D676" i="4"/>
  <c r="D669" i="4"/>
  <c r="C662" i="4"/>
  <c r="C663" i="4"/>
  <c r="C664" i="4"/>
  <c r="C665" i="4"/>
  <c r="C666" i="4"/>
  <c r="C667" i="4"/>
  <c r="C668" i="4"/>
  <c r="C669" i="4"/>
  <c r="C656" i="4"/>
  <c r="C657" i="4"/>
  <c r="C658" i="4"/>
  <c r="C659" i="4"/>
  <c r="C660" i="4"/>
  <c r="C661" i="4"/>
  <c r="C650" i="4"/>
  <c r="C655" i="4"/>
  <c r="C654" i="4"/>
  <c r="C649" i="4"/>
  <c r="C648" i="4"/>
  <c r="C643" i="4"/>
  <c r="C642" i="4"/>
  <c r="C636" i="4"/>
  <c r="C632" i="4"/>
  <c r="C628" i="4"/>
  <c r="C639" i="4"/>
  <c r="C635" i="4"/>
  <c r="C631" i="4"/>
  <c r="C627" i="4"/>
  <c r="C624" i="4"/>
  <c r="C619" i="4"/>
  <c r="C616" i="4"/>
  <c r="C612" i="4"/>
  <c r="C613" i="4"/>
  <c r="C611" i="4" l="1"/>
  <c r="C610" i="4"/>
  <c r="C603" i="4"/>
  <c r="C604" i="4"/>
  <c r="C605" i="4"/>
  <c r="C602" i="4"/>
  <c r="C599" i="4"/>
  <c r="C589" i="4"/>
  <c r="C590" i="4"/>
  <c r="C591" i="4"/>
  <c r="C592" i="4"/>
  <c r="C593" i="4"/>
  <c r="C594" i="4"/>
  <c r="C595" i="4"/>
  <c r="C596" i="4"/>
  <c r="C584" i="4"/>
  <c r="C588" i="4"/>
  <c r="C587" i="4"/>
  <c r="C581" i="4"/>
  <c r="C580" i="4"/>
  <c r="C569" i="4"/>
  <c r="C570" i="4"/>
  <c r="C571" i="4"/>
  <c r="C572" i="4"/>
  <c r="C573" i="4"/>
  <c r="C574" i="4"/>
  <c r="C575" i="4"/>
  <c r="C576" i="4"/>
  <c r="C577" i="4"/>
  <c r="C564" i="4"/>
  <c r="C568" i="4"/>
  <c r="C567" i="4"/>
  <c r="C563" i="4"/>
  <c r="C562" i="4"/>
  <c r="C557" i="4"/>
  <c r="C558" i="4"/>
  <c r="C559" i="4"/>
  <c r="C548" i="4"/>
  <c r="C549" i="4"/>
  <c r="C550" i="4"/>
  <c r="C551" i="4"/>
  <c r="C552" i="4"/>
  <c r="C553" i="4"/>
  <c r="C554" i="4"/>
  <c r="C555" i="4"/>
  <c r="C556" i="4"/>
  <c r="C541" i="4"/>
  <c r="C542" i="4"/>
  <c r="C543" i="4"/>
  <c r="C544" i="4"/>
  <c r="C545" i="4"/>
  <c r="C546" i="4"/>
  <c r="C547" i="4"/>
  <c r="C540" i="4"/>
  <c r="C537" i="4"/>
  <c r="C526" i="4"/>
  <c r="C532" i="4"/>
  <c r="C529" i="4"/>
  <c r="C525" i="4"/>
  <c r="C522" i="4"/>
  <c r="C519" i="4"/>
  <c r="C514" i="4"/>
  <c r="C515" i="4"/>
  <c r="C516" i="4"/>
  <c r="C513" i="4"/>
  <c r="C510" i="4"/>
  <c r="C499" i="4"/>
  <c r="C500" i="4"/>
  <c r="C501" i="4"/>
  <c r="C502" i="4"/>
  <c r="C503" i="4"/>
  <c r="C507" i="4"/>
  <c r="C506" i="4"/>
  <c r="C498" i="4"/>
  <c r="C497" i="4"/>
  <c r="C482" i="4"/>
  <c r="C483" i="4"/>
  <c r="C484" i="4"/>
  <c r="C485" i="4"/>
  <c r="C486" i="4"/>
  <c r="C487" i="4"/>
  <c r="C488" i="4"/>
  <c r="C489" i="4"/>
  <c r="C490" i="4"/>
  <c r="C491" i="4"/>
  <c r="C492" i="4"/>
  <c r="C475" i="4"/>
  <c r="C476" i="4"/>
  <c r="C477" i="4"/>
  <c r="C478" i="4"/>
  <c r="C479" i="4"/>
  <c r="C480" i="4"/>
  <c r="C481" i="4"/>
  <c r="C474" i="4"/>
  <c r="C473" i="4"/>
  <c r="C465" i="4"/>
  <c r="C466" i="4"/>
  <c r="C467" i="4"/>
  <c r="C468" i="4"/>
  <c r="C461" i="4"/>
  <c r="C462" i="4"/>
  <c r="C463" i="4"/>
  <c r="C464" i="4"/>
  <c r="C454" i="4"/>
  <c r="C455" i="4"/>
  <c r="C456" i="4"/>
  <c r="C457" i="4"/>
  <c r="C458" i="4"/>
  <c r="C459" i="4"/>
  <c r="C460" i="4"/>
  <c r="C453" i="4"/>
  <c r="C452" i="4"/>
  <c r="C451" i="4"/>
  <c r="C447" i="4"/>
  <c r="C448" i="4"/>
  <c r="C446" i="4"/>
  <c r="C443" i="4"/>
  <c r="C438" i="4"/>
  <c r="C439" i="4"/>
  <c r="C440" i="4"/>
  <c r="C437" i="4"/>
  <c r="C436" i="4"/>
  <c r="C433" i="4"/>
  <c r="C432" i="4"/>
  <c r="C429" i="4"/>
  <c r="C428" i="4"/>
  <c r="C425" i="4"/>
  <c r="C424" i="4"/>
  <c r="C423" i="4"/>
  <c r="C422" i="4"/>
  <c r="C421" i="4"/>
  <c r="C416" i="4"/>
  <c r="C417" i="4"/>
  <c r="C418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395" i="4"/>
  <c r="C396" i="4"/>
  <c r="C397" i="4"/>
  <c r="C398" i="4"/>
  <c r="C399" i="4"/>
  <c r="C400" i="4"/>
  <c r="C401" i="4"/>
  <c r="C402" i="4"/>
  <c r="C386" i="4"/>
  <c r="C387" i="4"/>
  <c r="C388" i="4"/>
  <c r="C389" i="4"/>
  <c r="C390" i="4"/>
  <c r="C391" i="4"/>
  <c r="C392" i="4"/>
  <c r="C393" i="4"/>
  <c r="C394" i="4"/>
  <c r="C385" i="4"/>
  <c r="C384" i="4"/>
  <c r="C383" i="4"/>
  <c r="C382" i="4"/>
  <c r="C377" i="4"/>
  <c r="C376" i="4"/>
  <c r="C375" i="4"/>
  <c r="C374" i="4"/>
  <c r="C362" i="4"/>
  <c r="C363" i="4"/>
  <c r="C364" i="4"/>
  <c r="C365" i="4"/>
  <c r="C366" i="4"/>
  <c r="C367" i="4"/>
  <c r="C368" i="4"/>
  <c r="C369" i="4"/>
  <c r="C370" i="4"/>
  <c r="C371" i="4"/>
  <c r="C361" i="4"/>
  <c r="C358" i="4"/>
  <c r="C352" i="4"/>
  <c r="C353" i="4"/>
  <c r="C351" i="4"/>
  <c r="C348" i="4"/>
  <c r="C345" i="4"/>
  <c r="C340" i="4"/>
  <c r="C337" i="4"/>
  <c r="C332" i="4"/>
  <c r="C333" i="4"/>
  <c r="C334" i="4"/>
  <c r="C331" i="4"/>
  <c r="C330" i="4"/>
  <c r="C323" i="4"/>
  <c r="C324" i="4"/>
  <c r="C325" i="4"/>
  <c r="C326" i="4"/>
  <c r="C327" i="4"/>
  <c r="C314" i="4"/>
  <c r="C315" i="4"/>
  <c r="C316" i="4"/>
  <c r="C317" i="4"/>
  <c r="C318" i="4"/>
  <c r="C319" i="4"/>
  <c r="C320" i="4"/>
  <c r="C321" i="4"/>
  <c r="C322" i="4"/>
  <c r="C305" i="4"/>
  <c r="C306" i="4"/>
  <c r="C307" i="4"/>
  <c r="C308" i="4"/>
  <c r="C309" i="4"/>
  <c r="C310" i="4"/>
  <c r="C311" i="4"/>
  <c r="C312" i="4"/>
  <c r="C313" i="4"/>
  <c r="C296" i="4"/>
  <c r="C297" i="4"/>
  <c r="C298" i="4"/>
  <c r="C299" i="4"/>
  <c r="C300" i="4"/>
  <c r="C301" i="4"/>
  <c r="C302" i="4"/>
  <c r="C303" i="4"/>
  <c r="C304" i="4"/>
  <c r="C291" i="4"/>
  <c r="C292" i="4"/>
  <c r="C293" i="4"/>
  <c r="C294" i="4"/>
  <c r="C295" i="4"/>
  <c r="C284" i="4"/>
  <c r="C285" i="4"/>
  <c r="C286" i="4"/>
  <c r="C287" i="4"/>
  <c r="C288" i="4"/>
  <c r="C289" i="4"/>
  <c r="C290" i="4"/>
  <c r="C276" i="4"/>
  <c r="C277" i="4"/>
  <c r="C278" i="4"/>
  <c r="C279" i="4"/>
  <c r="C280" i="4"/>
  <c r="C281" i="4"/>
  <c r="C282" i="4"/>
  <c r="C283" i="4"/>
  <c r="C271" i="4"/>
  <c r="C275" i="4"/>
  <c r="C274" i="4"/>
  <c r="C268" i="4"/>
  <c r="C267" i="4"/>
  <c r="C264" i="4"/>
  <c r="C263" i="4"/>
  <c r="C262" i="4"/>
  <c r="C261" i="4"/>
  <c r="C260" i="4"/>
  <c r="C252" i="4"/>
  <c r="C253" i="4"/>
  <c r="C254" i="4"/>
  <c r="C255" i="4"/>
  <c r="C251" i="4"/>
  <c r="C250" i="4"/>
  <c r="C249" i="4"/>
  <c r="C248" i="4"/>
  <c r="C247" i="4"/>
  <c r="C242" i="4"/>
  <c r="C243" i="4"/>
  <c r="C244" i="4"/>
  <c r="C241" i="4"/>
  <c r="C240" i="4"/>
  <c r="C235" i="4"/>
  <c r="C236" i="4"/>
  <c r="C237" i="4"/>
  <c r="C234" i="4"/>
  <c r="C233" i="4"/>
  <c r="C230" i="4"/>
  <c r="C229" i="4"/>
  <c r="C221" i="4"/>
  <c r="C222" i="4"/>
  <c r="C223" i="4"/>
  <c r="C224" i="4"/>
  <c r="C225" i="4"/>
  <c r="C226" i="4"/>
  <c r="C213" i="4"/>
  <c r="C214" i="4"/>
  <c r="C215" i="4"/>
  <c r="C216" i="4"/>
  <c r="C217" i="4"/>
  <c r="C218" i="4"/>
  <c r="C219" i="4"/>
  <c r="C220" i="4"/>
  <c r="C212" i="4"/>
  <c r="C211" i="4"/>
  <c r="C201" i="4"/>
  <c r="C202" i="4"/>
  <c r="C203" i="4"/>
  <c r="C204" i="4"/>
  <c r="C205" i="4"/>
  <c r="C206" i="4"/>
  <c r="C207" i="4"/>
  <c r="C208" i="4"/>
  <c r="C200" i="4"/>
  <c r="C199" i="4"/>
  <c r="C196" i="4"/>
  <c r="C195" i="4"/>
  <c r="C190" i="4"/>
  <c r="C189" i="4"/>
  <c r="C186" i="4"/>
  <c r="C185" i="4"/>
  <c r="C177" i="4"/>
  <c r="C178" i="4"/>
  <c r="C176" i="4"/>
  <c r="C175" i="4"/>
  <c r="C168" i="4"/>
  <c r="C169" i="4"/>
  <c r="C170" i="4"/>
  <c r="C171" i="4"/>
  <c r="C172" i="4"/>
  <c r="C167" i="4"/>
  <c r="C164" i="4"/>
  <c r="C161" i="4"/>
  <c r="C160" i="4"/>
  <c r="C159" i="4"/>
  <c r="C147" i="4"/>
  <c r="C148" i="4"/>
  <c r="C149" i="4"/>
  <c r="C150" i="4"/>
  <c r="C151" i="4"/>
  <c r="C152" i="4"/>
  <c r="C153" i="4"/>
  <c r="C154" i="4"/>
  <c r="C146" i="4"/>
  <c r="C143" i="4"/>
  <c r="C140" i="4"/>
  <c r="C131" i="4"/>
  <c r="C132" i="4"/>
  <c r="C133" i="4"/>
  <c r="C134" i="4"/>
  <c r="C135" i="4"/>
  <c r="C136" i="4"/>
  <c r="C137" i="4"/>
  <c r="C126" i="4"/>
  <c r="C127" i="4"/>
  <c r="C128" i="4"/>
  <c r="C129" i="4"/>
  <c r="C130" i="4"/>
  <c r="C119" i="4"/>
  <c r="C120" i="4"/>
  <c r="C121" i="4"/>
  <c r="C122" i="4"/>
  <c r="C123" i="4"/>
  <c r="C124" i="4"/>
  <c r="C125" i="4"/>
  <c r="C112" i="4"/>
  <c r="C113" i="4"/>
  <c r="C114" i="4"/>
  <c r="C115" i="4"/>
  <c r="C116" i="4"/>
  <c r="C117" i="4"/>
  <c r="C118" i="4"/>
  <c r="C104" i="4"/>
  <c r="C105" i="4"/>
  <c r="C106" i="4"/>
  <c r="C107" i="4"/>
  <c r="C108" i="4"/>
  <c r="C109" i="4"/>
  <c r="C110" i="4"/>
  <c r="C111" i="4"/>
  <c r="C103" i="4"/>
  <c r="C100" i="4"/>
  <c r="C97" i="4"/>
  <c r="C96" i="4"/>
  <c r="C95" i="4"/>
  <c r="C94" i="4"/>
  <c r="C93" i="4"/>
  <c r="C82" i="4"/>
  <c r="C83" i="4"/>
  <c r="C84" i="4"/>
  <c r="C85" i="4"/>
  <c r="C81" i="4"/>
  <c r="C78" i="4"/>
  <c r="C71" i="4"/>
  <c r="C75" i="4"/>
  <c r="C74" i="4"/>
  <c r="C70" i="4"/>
  <c r="C69" i="4"/>
  <c r="C64" i="4"/>
  <c r="C63" i="4"/>
  <c r="C59" i="4"/>
  <c r="C60" i="4"/>
  <c r="C58" i="4"/>
  <c r="C57" i="4"/>
  <c r="C56" i="4"/>
  <c r="C55" i="4"/>
  <c r="C50" i="4"/>
  <c r="C51" i="4"/>
  <c r="C52" i="4"/>
  <c r="C49" i="4"/>
  <c r="C41" i="4"/>
  <c r="C42" i="4"/>
  <c r="C43" i="4"/>
  <c r="C44" i="4"/>
  <c r="C45" i="4"/>
  <c r="C46" i="4"/>
  <c r="C31" i="4"/>
  <c r="C32" i="4"/>
  <c r="C33" i="4"/>
  <c r="C34" i="4"/>
  <c r="C35" i="4"/>
  <c r="C36" i="4"/>
  <c r="C37" i="4"/>
  <c r="C38" i="4"/>
  <c r="C39" i="4"/>
  <c r="C40" i="4"/>
  <c r="C21" i="4"/>
  <c r="C22" i="4"/>
  <c r="C23" i="4"/>
  <c r="C24" i="4"/>
  <c r="C25" i="4"/>
  <c r="C26" i="4"/>
  <c r="C27" i="4"/>
  <c r="C28" i="4"/>
  <c r="C29" i="4"/>
  <c r="C30" i="4"/>
  <c r="C13" i="4"/>
  <c r="C14" i="4"/>
  <c r="C15" i="4"/>
  <c r="C16" i="4"/>
  <c r="C17" i="4"/>
  <c r="C18" i="4"/>
  <c r="C19" i="4"/>
  <c r="C20" i="4"/>
  <c r="C12" i="4"/>
  <c r="W262" i="5" l="1"/>
  <c r="W21" i="5" l="1"/>
  <c r="W757" i="6" l="1"/>
  <c r="W132" i="5" l="1"/>
  <c r="W131" i="5"/>
  <c r="W130" i="5"/>
  <c r="W129" i="5"/>
  <c r="W128" i="5"/>
  <c r="W127" i="5"/>
  <c r="W125" i="5"/>
  <c r="W126" i="5"/>
  <c r="C128" i="5"/>
  <c r="AA83" i="5"/>
  <c r="Z83" i="5"/>
  <c r="AA79" i="5"/>
  <c r="Z79" i="5"/>
  <c r="AA38" i="5"/>
  <c r="Z38" i="5"/>
  <c r="AA37" i="5"/>
  <c r="Z37" i="5"/>
  <c r="AA36" i="5"/>
  <c r="Z36" i="5"/>
  <c r="AA23" i="5"/>
  <c r="W23" i="5" s="1"/>
  <c r="Z23" i="5"/>
  <c r="AA754" i="5" l="1"/>
  <c r="W754" i="5" s="1"/>
  <c r="Z754" i="5"/>
  <c r="AA403" i="5" l="1"/>
  <c r="AB403" i="5"/>
  <c r="AA382" i="5"/>
  <c r="AB382" i="5"/>
  <c r="AA383" i="5"/>
  <c r="AB383" i="5"/>
  <c r="AB380" i="5"/>
  <c r="Z198" i="5"/>
  <c r="W187" i="5"/>
  <c r="W186" i="5"/>
  <c r="Z62" i="5" l="1"/>
  <c r="W1039" i="6" l="1"/>
  <c r="W1038" i="6"/>
  <c r="W714" i="6"/>
  <c r="W715" i="6"/>
  <c r="W716" i="6"/>
  <c r="C716" i="6" s="1"/>
  <c r="W713" i="6"/>
  <c r="W711" i="6"/>
  <c r="W758" i="6"/>
  <c r="W759" i="6"/>
  <c r="W760" i="6"/>
  <c r="W761" i="6"/>
  <c r="A989" i="2"/>
  <c r="A990" i="2" s="1"/>
  <c r="W2211" i="5" l="1"/>
  <c r="W2202" i="5"/>
  <c r="W2199" i="5"/>
  <c r="W2194" i="5"/>
  <c r="W2067" i="5"/>
  <c r="W2196" i="5"/>
  <c r="AB768" i="4" l="1"/>
  <c r="AA768" i="4"/>
  <c r="T82" i="4"/>
  <c r="Z768" i="4"/>
  <c r="AC768" i="4"/>
  <c r="AA774" i="4" l="1"/>
  <c r="T345" i="4" l="1"/>
  <c r="W410" i="6" l="1"/>
  <c r="W411" i="6"/>
  <c r="W409" i="6"/>
  <c r="W405" i="6" l="1"/>
  <c r="W12" i="5"/>
  <c r="T616" i="4" l="1"/>
  <c r="T432" i="4"/>
  <c r="T208" i="4"/>
  <c r="D757" i="4" l="1"/>
  <c r="W1799" i="5" l="1"/>
  <c r="W1800" i="5"/>
  <c r="W1798" i="5"/>
  <c r="W1562" i="5" l="1"/>
  <c r="W1298" i="5"/>
  <c r="W1299" i="5"/>
  <c r="W1300" i="5"/>
  <c r="W1301" i="5"/>
  <c r="W1640" i="5" l="1"/>
  <c r="W1639" i="5"/>
  <c r="W1643" i="5"/>
  <c r="W356" i="5" l="1"/>
  <c r="W379" i="5"/>
  <c r="W380" i="5"/>
  <c r="W381" i="5"/>
  <c r="W382" i="5"/>
  <c r="W383" i="5"/>
  <c r="W384" i="5"/>
  <c r="W385" i="5"/>
  <c r="W386" i="5"/>
  <c r="W375" i="5"/>
  <c r="W376" i="5"/>
  <c r="W377" i="5"/>
  <c r="W378" i="5"/>
  <c r="W357" i="5"/>
  <c r="D1500" i="5" l="1"/>
  <c r="C1500" i="5" s="1"/>
  <c r="D1501" i="5"/>
  <c r="W1501" i="5"/>
  <c r="C1501" i="5" l="1"/>
  <c r="D732" i="6" l="1"/>
  <c r="D733" i="6"/>
  <c r="D734" i="6"/>
  <c r="D735" i="6"/>
  <c r="D736" i="6"/>
  <c r="D737" i="6"/>
  <c r="D738" i="6"/>
  <c r="D731" i="6"/>
  <c r="D726" i="6"/>
  <c r="D719" i="6"/>
  <c r="D711" i="6"/>
  <c r="D703" i="6"/>
  <c r="D683" i="6"/>
  <c r="D670" i="6"/>
  <c r="D667" i="6"/>
  <c r="D664" i="6"/>
  <c r="D652" i="6"/>
  <c r="D645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04" i="6"/>
  <c r="D603" i="6"/>
  <c r="D602" i="6"/>
  <c r="D1473" i="5"/>
  <c r="C1473" i="5" s="1"/>
  <c r="D1474" i="5"/>
  <c r="G201" i="2" l="1"/>
  <c r="H201" i="2"/>
  <c r="H228" i="2"/>
  <c r="G228" i="2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069" i="6"/>
  <c r="W1075" i="6"/>
  <c r="W2357" i="5"/>
  <c r="W646" i="6" l="1"/>
  <c r="W647" i="6"/>
  <c r="W645" i="6"/>
  <c r="T544" i="4" l="1"/>
  <c r="H220" i="2" l="1"/>
  <c r="G220" i="2"/>
  <c r="E743" i="4" l="1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2" i="4"/>
  <c r="T743" i="4" s="1"/>
  <c r="D742" i="4"/>
  <c r="T296" i="4"/>
  <c r="D296" i="4"/>
  <c r="T483" i="4"/>
  <c r="D483" i="4"/>
  <c r="T482" i="4"/>
  <c r="D482" i="4"/>
  <c r="T481" i="4"/>
  <c r="D481" i="4"/>
  <c r="T480" i="4"/>
  <c r="D480" i="4"/>
  <c r="T479" i="4"/>
  <c r="D479" i="4"/>
  <c r="D2325" i="5" l="1"/>
  <c r="C2325" i="5" s="1"/>
  <c r="D2326" i="5"/>
  <c r="C2326" i="5" s="1"/>
  <c r="D2327" i="5"/>
  <c r="C2327" i="5" s="1"/>
  <c r="D1059" i="6"/>
  <c r="C1059" i="6" s="1"/>
  <c r="D1060" i="6"/>
  <c r="C1060" i="6" s="1"/>
  <c r="D1061" i="6"/>
  <c r="C1061" i="6" s="1"/>
  <c r="D1062" i="6"/>
  <c r="C1062" i="6" s="1"/>
  <c r="D1063" i="6"/>
  <c r="C1063" i="6" s="1"/>
  <c r="D1064" i="6"/>
  <c r="C1064" i="6" s="1"/>
  <c r="D1718" i="5" l="1"/>
  <c r="W1718" i="5"/>
  <c r="C1718" i="5" l="1"/>
  <c r="C95" i="5" l="1"/>
  <c r="I124" i="2"/>
  <c r="W1076" i="6" l="1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2257" i="5"/>
  <c r="W2294" i="5"/>
  <c r="W2295" i="5"/>
  <c r="W2296" i="5"/>
  <c r="W2287" i="5"/>
  <c r="W2288" i="5"/>
  <c r="W2289" i="5"/>
  <c r="W2290" i="5"/>
  <c r="W2291" i="5"/>
  <c r="W2292" i="5"/>
  <c r="W2293" i="5"/>
  <c r="W2274" i="5"/>
  <c r="W2275" i="5"/>
  <c r="W2276" i="5"/>
  <c r="W2277" i="5"/>
  <c r="W2278" i="5"/>
  <c r="W2279" i="5"/>
  <c r="W2280" i="5"/>
  <c r="W2281" i="5"/>
  <c r="W2282" i="5"/>
  <c r="W2283" i="5"/>
  <c r="W2284" i="5"/>
  <c r="W2285" i="5"/>
  <c r="W2286" i="5"/>
  <c r="W2266" i="5"/>
  <c r="W2267" i="5"/>
  <c r="W2268" i="5"/>
  <c r="W2269" i="5"/>
  <c r="W2270" i="5"/>
  <c r="W2271" i="5"/>
  <c r="W2272" i="5"/>
  <c r="W2273" i="5"/>
  <c r="W2250" i="5"/>
  <c r="W2251" i="5"/>
  <c r="W2252" i="5"/>
  <c r="W2253" i="5"/>
  <c r="W2254" i="5"/>
  <c r="W2255" i="5"/>
  <c r="W2256" i="5"/>
  <c r="W2258" i="5"/>
  <c r="W2259" i="5"/>
  <c r="W2260" i="5"/>
  <c r="W2261" i="5"/>
  <c r="W2262" i="5"/>
  <c r="W2263" i="5"/>
  <c r="W2264" i="5"/>
  <c r="W2265" i="5"/>
  <c r="W2249" i="5"/>
  <c r="D715" i="4" l="1"/>
  <c r="W2093" i="5"/>
  <c r="W855" i="6"/>
  <c r="W1844" i="5" l="1"/>
  <c r="W1507" i="5" l="1"/>
  <c r="W1509" i="5"/>
  <c r="W1510" i="5"/>
  <c r="W1511" i="5"/>
  <c r="W1512" i="5"/>
  <c r="W1513" i="5"/>
  <c r="W1506" i="5"/>
  <c r="W1490" i="5"/>
  <c r="D1487" i="5"/>
  <c r="W1487" i="5"/>
  <c r="C1487" i="5" l="1"/>
  <c r="R611" i="6" l="1"/>
  <c r="C611" i="6" s="1"/>
  <c r="C609" i="6"/>
  <c r="C608" i="6"/>
  <c r="C607" i="6"/>
  <c r="C605" i="6"/>
  <c r="C604" i="6"/>
  <c r="C603" i="6"/>
  <c r="C602" i="6"/>
  <c r="W671" i="6" l="1"/>
  <c r="W672" i="6"/>
  <c r="W673" i="6"/>
  <c r="W674" i="6"/>
  <c r="W675" i="6"/>
  <c r="W680" i="6"/>
  <c r="W670" i="6"/>
  <c r="W1572" i="5"/>
  <c r="W1573" i="5"/>
  <c r="W1574" i="5"/>
  <c r="W1575" i="5"/>
  <c r="W1576" i="5"/>
  <c r="W1549" i="5"/>
  <c r="W1550" i="5"/>
  <c r="W1551" i="5"/>
  <c r="W1555" i="5"/>
  <c r="W1556" i="5"/>
  <c r="W1557" i="5"/>
  <c r="W1558" i="5"/>
  <c r="W1559" i="5"/>
  <c r="W1560" i="5"/>
  <c r="W1563" i="5"/>
  <c r="W1564" i="5"/>
  <c r="W1565" i="5"/>
  <c r="W1567" i="5"/>
  <c r="W1568" i="5"/>
  <c r="W1570" i="5"/>
  <c r="W1571" i="5"/>
  <c r="W1527" i="5"/>
  <c r="W1531" i="5"/>
  <c r="W1539" i="5"/>
  <c r="W1540" i="5"/>
  <c r="W1541" i="5"/>
  <c r="W1542" i="5"/>
  <c r="W1543" i="5"/>
  <c r="W1544" i="5"/>
  <c r="W1545" i="5"/>
  <c r="W1546" i="5"/>
  <c r="W1547" i="5"/>
  <c r="W1548" i="5"/>
  <c r="W1516" i="5"/>
  <c r="W1518" i="5"/>
  <c r="W1519" i="5"/>
  <c r="W1520" i="5"/>
  <c r="W1521" i="5"/>
  <c r="W1522" i="5"/>
  <c r="W1523" i="5"/>
  <c r="W1524" i="5"/>
  <c r="W1525" i="5"/>
  <c r="W1526" i="5"/>
  <c r="W1502" i="5"/>
  <c r="W1514" i="5"/>
  <c r="W1475" i="5"/>
  <c r="W1476" i="5"/>
  <c r="W1479" i="5"/>
  <c r="W1482" i="5"/>
  <c r="W1486" i="5"/>
  <c r="W1488" i="5"/>
  <c r="W1489" i="5"/>
  <c r="W1451" i="5"/>
  <c r="W1452" i="5"/>
  <c r="W1453" i="5"/>
  <c r="W1454" i="5"/>
  <c r="W1455" i="5"/>
  <c r="W1456" i="5"/>
  <c r="W1461" i="5"/>
  <c r="W1462" i="5"/>
  <c r="W1463" i="5"/>
  <c r="W1464" i="5"/>
  <c r="W1465" i="5"/>
  <c r="W1466" i="5"/>
  <c r="W1468" i="5"/>
  <c r="W1469" i="5"/>
  <c r="W1470" i="5"/>
  <c r="W1471" i="5"/>
  <c r="W1450" i="5"/>
  <c r="W1616" i="5" l="1"/>
  <c r="W515" i="6" l="1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2" i="6"/>
  <c r="W543" i="6"/>
  <c r="W544" i="6"/>
  <c r="W545" i="6"/>
  <c r="W546" i="6"/>
  <c r="W547" i="6"/>
  <c r="W548" i="6"/>
  <c r="W549" i="6"/>
  <c r="W514" i="6"/>
  <c r="W445" i="6"/>
  <c r="W446" i="6"/>
  <c r="W447" i="6"/>
  <c r="W448" i="6"/>
  <c r="W449" i="6"/>
  <c r="W450" i="6"/>
  <c r="W451" i="6"/>
  <c r="W452" i="6"/>
  <c r="W453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7" i="6"/>
  <c r="W478" i="6"/>
  <c r="W479" i="6"/>
  <c r="W480" i="6"/>
  <c r="W481" i="6"/>
  <c r="W483" i="6"/>
  <c r="W484" i="6"/>
  <c r="W485" i="6"/>
  <c r="W486" i="6"/>
  <c r="W488" i="6"/>
  <c r="W489" i="6"/>
  <c r="W490" i="6"/>
  <c r="W491" i="6"/>
  <c r="W492" i="6"/>
  <c r="W493" i="6"/>
  <c r="W494" i="6"/>
  <c r="W495" i="6"/>
  <c r="W496" i="6"/>
  <c r="W497" i="6"/>
  <c r="W499" i="6"/>
  <c r="W500" i="6"/>
  <c r="W501" i="6"/>
  <c r="W502" i="6"/>
  <c r="W503" i="6"/>
  <c r="W504" i="6"/>
  <c r="W505" i="6"/>
  <c r="W506" i="6"/>
  <c r="W507" i="6"/>
  <c r="W508" i="6"/>
  <c r="W454" i="6"/>
  <c r="W682" i="5" l="1"/>
  <c r="W679" i="5"/>
  <c r="W680" i="5"/>
  <c r="W681" i="5"/>
  <c r="W683" i="5"/>
  <c r="W684" i="5"/>
  <c r="W686" i="5"/>
  <c r="W687" i="5"/>
  <c r="W688" i="5"/>
  <c r="W689" i="5"/>
  <c r="W690" i="5"/>
  <c r="W691" i="5"/>
  <c r="W692" i="5"/>
  <c r="W693" i="5"/>
  <c r="W695" i="5"/>
  <c r="W696" i="5"/>
  <c r="W697" i="5"/>
  <c r="W698" i="5"/>
  <c r="W699" i="5"/>
  <c r="W700" i="5"/>
  <c r="W701" i="5"/>
  <c r="W702" i="5"/>
  <c r="W678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10" i="5"/>
  <c r="W614" i="5"/>
  <c r="W615" i="5"/>
  <c r="W616" i="5"/>
  <c r="W617" i="5"/>
  <c r="W618" i="5"/>
  <c r="W619" i="5"/>
  <c r="W620" i="5"/>
  <c r="W622" i="5"/>
  <c r="W623" i="5"/>
  <c r="W624" i="5"/>
  <c r="W625" i="5"/>
  <c r="W626" i="5"/>
  <c r="W627" i="5"/>
  <c r="W628" i="5"/>
  <c r="W629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5" i="5"/>
  <c r="W646" i="5"/>
  <c r="W647" i="5"/>
  <c r="W648" i="5"/>
  <c r="W649" i="5"/>
  <c r="W650" i="5"/>
  <c r="W651" i="5"/>
  <c r="W652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8" i="5"/>
  <c r="W672" i="5"/>
  <c r="W673" i="5"/>
  <c r="W674" i="5"/>
  <c r="W675" i="5"/>
  <c r="W676" i="5"/>
  <c r="W677" i="5"/>
  <c r="D508" i="4" l="1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C508" i="4" l="1"/>
  <c r="W435" i="6"/>
  <c r="W436" i="6"/>
  <c r="W437" i="6"/>
  <c r="W438" i="6"/>
  <c r="W439" i="6"/>
  <c r="W440" i="6"/>
  <c r="W434" i="6"/>
  <c r="D434" i="6"/>
  <c r="C434" i="6" l="1"/>
  <c r="C410" i="6"/>
  <c r="C411" i="6"/>
  <c r="W412" i="6" l="1"/>
  <c r="C409" i="6"/>
  <c r="T549" i="4"/>
  <c r="W1362" i="5" l="1"/>
  <c r="W1363" i="5"/>
  <c r="W1364" i="5"/>
  <c r="W1365" i="5"/>
  <c r="W1366" i="5"/>
  <c r="W1367" i="5"/>
  <c r="W1368" i="5"/>
  <c r="W1369" i="5"/>
  <c r="W1370" i="5"/>
  <c r="W1361" i="5"/>
  <c r="W1306" i="5"/>
  <c r="W1355" i="5"/>
  <c r="W1280" i="5"/>
  <c r="W1281" i="5"/>
  <c r="W1282" i="5"/>
  <c r="W1283" i="5"/>
  <c r="W1284" i="5"/>
  <c r="W1285" i="5"/>
  <c r="W1286" i="5"/>
  <c r="W1287" i="5"/>
  <c r="W1288" i="5"/>
  <c r="W1289" i="5"/>
  <c r="W1290" i="5"/>
  <c r="W1291" i="5"/>
  <c r="W1266" i="5"/>
  <c r="W1259" i="5"/>
  <c r="W1260" i="5" l="1"/>
  <c r="W1261" i="5"/>
  <c r="W1262" i="5"/>
  <c r="W1258" i="5"/>
  <c r="W363" i="6"/>
  <c r="W364" i="6"/>
  <c r="W365" i="6"/>
  <c r="W362" i="6"/>
  <c r="W1252" i="5"/>
  <c r="W346" i="6"/>
  <c r="C346" i="6" s="1"/>
  <c r="W913" i="5"/>
  <c r="W914" i="5"/>
  <c r="W915" i="5"/>
  <c r="W916" i="5"/>
  <c r="W917" i="5"/>
  <c r="W918" i="5"/>
  <c r="W919" i="5"/>
  <c r="W920" i="5"/>
  <c r="W921" i="5"/>
  <c r="W922" i="5"/>
  <c r="W923" i="5"/>
  <c r="W924" i="5"/>
  <c r="W925" i="5"/>
  <c r="W926" i="5"/>
  <c r="W927" i="5"/>
  <c r="W928" i="5"/>
  <c r="W929" i="5"/>
  <c r="W930" i="5"/>
  <c r="W931" i="5"/>
  <c r="W932" i="5"/>
  <c r="W933" i="5"/>
  <c r="W934" i="5"/>
  <c r="W935" i="5"/>
  <c r="W936" i="5"/>
  <c r="W937" i="5"/>
  <c r="W938" i="5"/>
  <c r="W939" i="5"/>
  <c r="W940" i="5"/>
  <c r="W941" i="5"/>
  <c r="W942" i="5"/>
  <c r="W943" i="5"/>
  <c r="W944" i="5"/>
  <c r="W945" i="5"/>
  <c r="W946" i="5"/>
  <c r="W947" i="5"/>
  <c r="W948" i="5"/>
  <c r="W949" i="5"/>
  <c r="W950" i="5"/>
  <c r="W951" i="5"/>
  <c r="W952" i="5"/>
  <c r="W953" i="5"/>
  <c r="W954" i="5"/>
  <c r="W955" i="5"/>
  <c r="W956" i="5"/>
  <c r="W957" i="5"/>
  <c r="W958" i="5"/>
  <c r="W959" i="5"/>
  <c r="W960" i="5"/>
  <c r="W961" i="5"/>
  <c r="W962" i="5"/>
  <c r="W963" i="5"/>
  <c r="W964" i="5"/>
  <c r="W965" i="5"/>
  <c r="W966" i="5"/>
  <c r="W967" i="5"/>
  <c r="W968" i="5"/>
  <c r="W969" i="5"/>
  <c r="W970" i="5"/>
  <c r="W971" i="5"/>
  <c r="W972" i="5"/>
  <c r="W973" i="5"/>
  <c r="W974" i="5"/>
  <c r="W975" i="5"/>
  <c r="W976" i="5"/>
  <c r="W977" i="5"/>
  <c r="W978" i="5"/>
  <c r="W979" i="5"/>
  <c r="W980" i="5"/>
  <c r="W981" i="5"/>
  <c r="W982" i="5"/>
  <c r="W983" i="5"/>
  <c r="W984" i="5"/>
  <c r="W985" i="5"/>
  <c r="W989" i="5"/>
  <c r="W993" i="5"/>
  <c r="W994" i="5"/>
  <c r="W995" i="5"/>
  <c r="W997" i="5"/>
  <c r="W998" i="5"/>
  <c r="W999" i="5"/>
  <c r="W1001" i="5"/>
  <c r="W1002" i="5"/>
  <c r="W1003" i="5"/>
  <c r="W1004" i="5"/>
  <c r="W1005" i="5"/>
  <c r="W1006" i="5"/>
  <c r="W1007" i="5"/>
  <c r="W1008" i="5"/>
  <c r="W1009" i="5"/>
  <c r="W1010" i="5"/>
  <c r="W1011" i="5"/>
  <c r="W1012" i="5"/>
  <c r="W1013" i="5"/>
  <c r="W1014" i="5"/>
  <c r="W1015" i="5"/>
  <c r="W1016" i="5"/>
  <c r="W1017" i="5"/>
  <c r="W1018" i="5"/>
  <c r="W1019" i="5"/>
  <c r="W1020" i="5"/>
  <c r="W1021" i="5"/>
  <c r="W1022" i="5"/>
  <c r="W1023" i="5"/>
  <c r="W1024" i="5"/>
  <c r="W1025" i="5"/>
  <c r="W1026" i="5"/>
  <c r="W1027" i="5"/>
  <c r="W1028" i="5"/>
  <c r="W1029" i="5"/>
  <c r="W1030" i="5"/>
  <c r="W1031" i="5"/>
  <c r="W1032" i="5"/>
  <c r="W1033" i="5"/>
  <c r="W1034" i="5"/>
  <c r="W1035" i="5"/>
  <c r="W1036" i="5"/>
  <c r="W1037" i="5"/>
  <c r="W1038" i="5"/>
  <c r="W1039" i="5"/>
  <c r="W1042" i="5"/>
  <c r="W1043" i="5"/>
  <c r="W1044" i="5"/>
  <c r="W1045" i="5"/>
  <c r="W1047" i="5"/>
  <c r="W1048" i="5"/>
  <c r="W1049" i="5"/>
  <c r="W1050" i="5"/>
  <c r="W1051" i="5"/>
  <c r="W1052" i="5"/>
  <c r="W1053" i="5"/>
  <c r="W1054" i="5"/>
  <c r="W1055" i="5"/>
  <c r="W1056" i="5"/>
  <c r="W1059" i="5"/>
  <c r="W1060" i="5"/>
  <c r="W1061" i="5"/>
  <c r="W1062" i="5"/>
  <c r="W1063" i="5"/>
  <c r="W1064" i="5"/>
  <c r="W1065" i="5"/>
  <c r="W1066" i="5"/>
  <c r="W1067" i="5"/>
  <c r="W1068" i="5"/>
  <c r="W1069" i="5"/>
  <c r="W1070" i="5"/>
  <c r="W1071" i="5"/>
  <c r="W1072" i="5"/>
  <c r="W1073" i="5"/>
  <c r="W1074" i="5"/>
  <c r="W1075" i="5"/>
  <c r="W1076" i="5"/>
  <c r="W1077" i="5"/>
  <c r="W1078" i="5"/>
  <c r="W1079" i="5"/>
  <c r="W1080" i="5"/>
  <c r="W1081" i="5"/>
  <c r="W1082" i="5"/>
  <c r="W1083" i="5"/>
  <c r="W1084" i="5"/>
  <c r="W1085" i="5"/>
  <c r="W1086" i="5"/>
  <c r="W1087" i="5"/>
  <c r="W1088" i="5"/>
  <c r="W1089" i="5"/>
  <c r="W1090" i="5"/>
  <c r="W1091" i="5"/>
  <c r="W1092" i="5"/>
  <c r="W1093" i="5"/>
  <c r="W1094" i="5"/>
  <c r="W1095" i="5"/>
  <c r="W1096" i="5"/>
  <c r="W1098" i="5"/>
  <c r="W1099" i="5"/>
  <c r="W1100" i="5"/>
  <c r="W1101" i="5"/>
  <c r="W1102" i="5"/>
  <c r="W1103" i="5"/>
  <c r="W1104" i="5"/>
  <c r="W1105" i="5"/>
  <c r="W1106" i="5"/>
  <c r="W1107" i="5"/>
  <c r="W1108" i="5"/>
  <c r="W1109" i="5"/>
  <c r="W1110" i="5"/>
  <c r="W1111" i="5"/>
  <c r="W1112" i="5"/>
  <c r="W1113" i="5"/>
  <c r="W1114" i="5"/>
  <c r="W1115" i="5"/>
  <c r="W1116" i="5"/>
  <c r="W1117" i="5"/>
  <c r="W1118" i="5"/>
  <c r="W1119" i="5"/>
  <c r="W1120" i="5"/>
  <c r="W1121" i="5"/>
  <c r="W1122" i="5"/>
  <c r="W1123" i="5"/>
  <c r="W1124" i="5"/>
  <c r="W1125" i="5"/>
  <c r="W1126" i="5"/>
  <c r="W1127" i="5"/>
  <c r="W1128" i="5"/>
  <c r="W1129" i="5"/>
  <c r="W1130" i="5"/>
  <c r="W1131" i="5"/>
  <c r="W1132" i="5"/>
  <c r="W1133" i="5"/>
  <c r="W1134" i="5"/>
  <c r="W1135" i="5"/>
  <c r="W1136" i="5"/>
  <c r="W1137" i="5"/>
  <c r="W1138" i="5"/>
  <c r="W1139" i="5"/>
  <c r="W1140" i="5"/>
  <c r="W1141" i="5"/>
  <c r="W1142" i="5"/>
  <c r="W1143" i="5"/>
  <c r="W1144" i="5"/>
  <c r="W1145" i="5"/>
  <c r="W1146" i="5"/>
  <c r="W1147" i="5"/>
  <c r="W1148" i="5"/>
  <c r="W1149" i="5"/>
  <c r="W1150" i="5"/>
  <c r="W1151" i="5"/>
  <c r="W1152" i="5"/>
  <c r="W1153" i="5"/>
  <c r="W1154" i="5"/>
  <c r="W1155" i="5"/>
  <c r="W1156" i="5"/>
  <c r="W1157" i="5"/>
  <c r="W1158" i="5"/>
  <c r="W1159" i="5"/>
  <c r="W1160" i="5"/>
  <c r="W1162" i="5"/>
  <c r="W1163" i="5"/>
  <c r="W1164" i="5"/>
  <c r="W1165" i="5"/>
  <c r="W1166" i="5"/>
  <c r="W1167" i="5"/>
  <c r="W1168" i="5"/>
  <c r="W1170" i="5"/>
  <c r="W1171" i="5"/>
  <c r="W1172" i="5"/>
  <c r="W1173" i="5"/>
  <c r="W1174" i="5"/>
  <c r="W1175" i="5"/>
  <c r="W1176" i="5"/>
  <c r="W1177" i="5"/>
  <c r="W1178" i="5"/>
  <c r="W1179" i="5"/>
  <c r="W1181" i="5"/>
  <c r="W1182" i="5"/>
  <c r="W1184" i="5"/>
  <c r="W1185" i="5"/>
  <c r="W1186" i="5"/>
  <c r="W1187" i="5"/>
  <c r="W1188" i="5"/>
  <c r="W1189" i="5"/>
  <c r="W1190" i="5"/>
  <c r="W1192" i="5"/>
  <c r="W1193" i="5"/>
  <c r="W1194" i="5"/>
  <c r="W1195" i="5"/>
  <c r="W1197" i="5"/>
  <c r="W1199" i="5"/>
  <c r="W1201" i="5"/>
  <c r="W1202" i="5"/>
  <c r="W1203" i="5"/>
  <c r="W1204" i="5"/>
  <c r="W1205" i="5"/>
  <c r="W1206" i="5"/>
  <c r="W1207" i="5"/>
  <c r="W1208" i="5"/>
  <c r="W1209" i="5"/>
  <c r="W1210" i="5"/>
  <c r="W1211" i="5"/>
  <c r="W1212" i="5"/>
  <c r="W1213" i="5"/>
  <c r="W1214" i="5"/>
  <c r="W1215" i="5"/>
  <c r="W1216" i="5"/>
  <c r="W1217" i="5"/>
  <c r="W1218" i="5"/>
  <c r="W1219" i="5"/>
  <c r="W1220" i="5"/>
  <c r="W1221" i="5"/>
  <c r="W1222" i="5"/>
  <c r="W1223" i="5"/>
  <c r="W1224" i="5"/>
  <c r="W1226" i="5"/>
  <c r="W1227" i="5"/>
  <c r="W1228" i="5"/>
  <c r="W1229" i="5"/>
  <c r="W1230" i="5"/>
  <c r="W1231" i="5"/>
  <c r="W1232" i="5"/>
  <c r="W1233" i="5"/>
  <c r="W1234" i="5"/>
  <c r="W1235" i="5"/>
  <c r="W1236" i="5"/>
  <c r="W1237" i="5"/>
  <c r="W1238" i="5"/>
  <c r="W1239" i="5"/>
  <c r="W1240" i="5"/>
  <c r="W1241" i="5"/>
  <c r="W1242" i="5"/>
  <c r="W1243" i="5"/>
  <c r="W1244" i="5"/>
  <c r="W1245" i="5"/>
  <c r="W912" i="5"/>
  <c r="W894" i="5"/>
  <c r="W895" i="5"/>
  <c r="W896" i="5"/>
  <c r="W897" i="5"/>
  <c r="W898" i="5"/>
  <c r="W899" i="5"/>
  <c r="W900" i="5"/>
  <c r="W901" i="5"/>
  <c r="W902" i="5"/>
  <c r="W903" i="5"/>
  <c r="W904" i="5"/>
  <c r="W905" i="5"/>
  <c r="W906" i="5"/>
  <c r="W907" i="5"/>
  <c r="W908" i="5"/>
  <c r="W909" i="5"/>
  <c r="W883" i="5"/>
  <c r="W884" i="5"/>
  <c r="W885" i="5"/>
  <c r="W886" i="5"/>
  <c r="W887" i="5"/>
  <c r="W888" i="5"/>
  <c r="W889" i="5"/>
  <c r="W890" i="5"/>
  <c r="W891" i="5"/>
  <c r="W882" i="5"/>
  <c r="W868" i="5"/>
  <c r="W869" i="5"/>
  <c r="W870" i="5"/>
  <c r="W871" i="5"/>
  <c r="W873" i="5"/>
  <c r="W874" i="5"/>
  <c r="W875" i="5"/>
  <c r="W876" i="5"/>
  <c r="W867" i="5"/>
  <c r="W741" i="5" l="1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2" i="5"/>
  <c r="W743" i="5"/>
  <c r="W744" i="5"/>
  <c r="W707" i="5"/>
  <c r="W550" i="5"/>
  <c r="W551" i="5"/>
  <c r="W552" i="5"/>
  <c r="W553" i="5"/>
  <c r="W554" i="5"/>
  <c r="W555" i="5"/>
  <c r="W556" i="5"/>
  <c r="W557" i="5"/>
  <c r="W558" i="5"/>
  <c r="W560" i="5"/>
  <c r="W561" i="5"/>
  <c r="W562" i="5"/>
  <c r="W563" i="5"/>
  <c r="W564" i="5"/>
  <c r="W565" i="5"/>
  <c r="W566" i="5"/>
  <c r="W567" i="5"/>
  <c r="W568" i="5"/>
  <c r="W569" i="5"/>
  <c r="W570" i="5"/>
  <c r="W549" i="5"/>
  <c r="W422" i="5" l="1"/>
  <c r="W445" i="5" l="1"/>
  <c r="W446" i="5"/>
  <c r="W447" i="5"/>
  <c r="W448" i="5"/>
  <c r="W449" i="5"/>
  <c r="W450" i="5"/>
  <c r="W444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25" i="5"/>
  <c r="W397" i="5"/>
  <c r="W398" i="5"/>
  <c r="W399" i="5"/>
  <c r="W400" i="5"/>
  <c r="W401" i="5"/>
  <c r="W402" i="5"/>
  <c r="W403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396" i="5"/>
  <c r="C134" i="6"/>
  <c r="C135" i="6"/>
  <c r="W367" i="5" l="1"/>
  <c r="W368" i="5"/>
  <c r="W369" i="5"/>
  <c r="W370" i="5"/>
  <c r="W371" i="5"/>
  <c r="W372" i="5"/>
  <c r="W373" i="5"/>
  <c r="W374" i="5"/>
  <c r="W358" i="5"/>
  <c r="W359" i="5"/>
  <c r="W360" i="5"/>
  <c r="W361" i="5"/>
  <c r="W362" i="5"/>
  <c r="W363" i="5"/>
  <c r="W364" i="5"/>
  <c r="W365" i="5"/>
  <c r="W366" i="5"/>
  <c r="W133" i="6"/>
  <c r="W132" i="6"/>
  <c r="W185" i="5"/>
  <c r="W198" i="5" l="1"/>
  <c r="W199" i="5"/>
  <c r="W200" i="5"/>
  <c r="W204" i="5"/>
  <c r="W205" i="5"/>
  <c r="W207" i="5"/>
  <c r="W208" i="5"/>
  <c r="W184" i="5" l="1"/>
  <c r="W183" i="5"/>
  <c r="W154" i="5"/>
  <c r="W155" i="5"/>
  <c r="W156" i="5"/>
  <c r="W164" i="5"/>
  <c r="W171" i="5"/>
  <c r="W111" i="5" l="1"/>
  <c r="T204" i="4" l="1"/>
  <c r="D568" i="6" l="1"/>
  <c r="E568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C567" i="6"/>
  <c r="I1923" i="2" s="1"/>
  <c r="G1890" i="2" l="1"/>
  <c r="H1890" i="2"/>
  <c r="H2259" i="2" l="1"/>
  <c r="D1931" i="5" l="1"/>
  <c r="C1931" i="5" s="1"/>
  <c r="D1932" i="5"/>
  <c r="C1932" i="5" s="1"/>
  <c r="E843" i="6" l="1"/>
  <c r="F843" i="6"/>
  <c r="G843" i="6"/>
  <c r="H843" i="6"/>
  <c r="I843" i="6"/>
  <c r="J843" i="6"/>
  <c r="K843" i="6"/>
  <c r="L843" i="6"/>
  <c r="M843" i="6"/>
  <c r="O843" i="6"/>
  <c r="P843" i="6"/>
  <c r="Q843" i="6"/>
  <c r="S843" i="6"/>
  <c r="T843" i="6"/>
  <c r="U843" i="6"/>
  <c r="V843" i="6"/>
  <c r="W843" i="6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F2238" i="5" l="1"/>
  <c r="G2238" i="5"/>
  <c r="H2238" i="5"/>
  <c r="I2238" i="5"/>
  <c r="J2238" i="5"/>
  <c r="K2238" i="5"/>
  <c r="M2238" i="5"/>
  <c r="O2238" i="5"/>
  <c r="P2238" i="5"/>
  <c r="Q2238" i="5"/>
  <c r="R2238" i="5"/>
  <c r="S2238" i="5"/>
  <c r="T2238" i="5"/>
  <c r="U2238" i="5"/>
  <c r="V2238" i="5"/>
  <c r="D2148" i="5" l="1"/>
  <c r="N2148" i="5"/>
  <c r="W2148" i="5"/>
  <c r="W2039" i="5"/>
  <c r="C2039" i="5" s="1"/>
  <c r="D1831" i="5"/>
  <c r="W1831" i="5"/>
  <c r="D1832" i="5"/>
  <c r="W1832" i="5"/>
  <c r="C488" i="6"/>
  <c r="C2148" i="5" l="1"/>
  <c r="I3063" i="2" s="1"/>
  <c r="C1831" i="5"/>
  <c r="I2592" i="2" s="1"/>
  <c r="I2842" i="2"/>
  <c r="C1832" i="5"/>
  <c r="I2593" i="2" s="1"/>
  <c r="I1790" i="2"/>
  <c r="E768" i="5" l="1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C242" i="6" l="1"/>
  <c r="G659" i="2"/>
  <c r="H659" i="2"/>
  <c r="D133" i="6" l="1"/>
  <c r="D132" i="6"/>
  <c r="C132" i="6" l="1"/>
  <c r="C133" i="6"/>
  <c r="T734" i="4"/>
  <c r="W1934" i="5" l="1"/>
  <c r="G2579" i="2"/>
  <c r="H2537" i="2"/>
  <c r="G2537" i="2"/>
  <c r="H2579" i="2"/>
  <c r="H2540" i="2"/>
  <c r="G2540" i="2"/>
  <c r="H1117" i="2"/>
  <c r="G1117" i="2"/>
  <c r="G175" i="2"/>
  <c r="G163" i="2"/>
  <c r="G150" i="2"/>
  <c r="G3317" i="2"/>
  <c r="E2328" i="5"/>
  <c r="F2328" i="5"/>
  <c r="G2328" i="5"/>
  <c r="H2328" i="5"/>
  <c r="I2328" i="5"/>
  <c r="J2328" i="5"/>
  <c r="K2328" i="5"/>
  <c r="L2328" i="5"/>
  <c r="M2328" i="5"/>
  <c r="N2328" i="5"/>
  <c r="O2328" i="5"/>
  <c r="P2328" i="5"/>
  <c r="Q2328" i="5"/>
  <c r="R2328" i="5"/>
  <c r="S2328" i="5"/>
  <c r="T2328" i="5"/>
  <c r="U2328" i="5"/>
  <c r="V2328" i="5"/>
  <c r="W2328" i="5"/>
  <c r="I2063" i="5"/>
  <c r="J2063" i="5"/>
  <c r="K2063" i="5"/>
  <c r="L2063" i="5"/>
  <c r="O2063" i="5"/>
  <c r="R2063" i="5"/>
  <c r="S2063" i="5"/>
  <c r="T2063" i="5"/>
  <c r="U2063" i="5"/>
  <c r="V2063" i="5"/>
  <c r="W2063" i="5"/>
  <c r="E1876" i="5"/>
  <c r="H1876" i="5"/>
  <c r="J1876" i="5"/>
  <c r="K1876" i="5"/>
  <c r="L1876" i="5"/>
  <c r="M1876" i="5"/>
  <c r="N1876" i="5"/>
  <c r="O1876" i="5"/>
  <c r="P1876" i="5"/>
  <c r="Q1876" i="5"/>
  <c r="R1876" i="5"/>
  <c r="S1876" i="5"/>
  <c r="T1876" i="5"/>
  <c r="U1876" i="5"/>
  <c r="V1876" i="5"/>
  <c r="E1784" i="5"/>
  <c r="F1784" i="5"/>
  <c r="G1784" i="5"/>
  <c r="H1784" i="5"/>
  <c r="I1784" i="5"/>
  <c r="J1784" i="5"/>
  <c r="K1784" i="5"/>
  <c r="L1784" i="5"/>
  <c r="M1784" i="5"/>
  <c r="N1784" i="5"/>
  <c r="O1784" i="5"/>
  <c r="P1784" i="5"/>
  <c r="Q1784" i="5"/>
  <c r="R1784" i="5"/>
  <c r="S1784" i="5"/>
  <c r="T1784" i="5"/>
  <c r="U1784" i="5"/>
  <c r="V1784" i="5"/>
  <c r="E1780" i="5"/>
  <c r="F1780" i="5"/>
  <c r="G1780" i="5"/>
  <c r="H1780" i="5"/>
  <c r="I1780" i="5"/>
  <c r="J1780" i="5"/>
  <c r="K1780" i="5"/>
  <c r="L1780" i="5"/>
  <c r="M1780" i="5"/>
  <c r="N1780" i="5"/>
  <c r="O1780" i="5"/>
  <c r="P1780" i="5"/>
  <c r="Q1780" i="5"/>
  <c r="R1780" i="5"/>
  <c r="S1780" i="5"/>
  <c r="T1780" i="5"/>
  <c r="U1780" i="5"/>
  <c r="V1780" i="5"/>
  <c r="E1776" i="5"/>
  <c r="F1776" i="5"/>
  <c r="G1776" i="5"/>
  <c r="H1776" i="5"/>
  <c r="I1776" i="5"/>
  <c r="J1776" i="5"/>
  <c r="K1776" i="5"/>
  <c r="L1776" i="5"/>
  <c r="M1776" i="5"/>
  <c r="N1776" i="5"/>
  <c r="O1776" i="5"/>
  <c r="P1776" i="5"/>
  <c r="Q1776" i="5"/>
  <c r="R1776" i="5"/>
  <c r="S1776" i="5"/>
  <c r="T1776" i="5"/>
  <c r="U1776" i="5"/>
  <c r="V1776" i="5"/>
  <c r="E1770" i="5"/>
  <c r="F1770" i="5"/>
  <c r="G1770" i="5"/>
  <c r="H1770" i="5"/>
  <c r="I1770" i="5"/>
  <c r="J1770" i="5"/>
  <c r="K1770" i="5"/>
  <c r="L1770" i="5"/>
  <c r="M1770" i="5"/>
  <c r="N1770" i="5"/>
  <c r="O1770" i="5"/>
  <c r="P1770" i="5"/>
  <c r="Q1770" i="5"/>
  <c r="R1770" i="5"/>
  <c r="S1770" i="5"/>
  <c r="T1770" i="5"/>
  <c r="U1770" i="5"/>
  <c r="V1770" i="5"/>
  <c r="E1764" i="5"/>
  <c r="F1764" i="5"/>
  <c r="G1764" i="5"/>
  <c r="H1764" i="5"/>
  <c r="I1764" i="5"/>
  <c r="J1764" i="5"/>
  <c r="K1764" i="5"/>
  <c r="L1764" i="5"/>
  <c r="M1764" i="5"/>
  <c r="N1764" i="5"/>
  <c r="O1764" i="5"/>
  <c r="P1764" i="5"/>
  <c r="Q1764" i="5"/>
  <c r="R1764" i="5"/>
  <c r="S1764" i="5"/>
  <c r="T1764" i="5"/>
  <c r="U1764" i="5"/>
  <c r="V1764" i="5"/>
  <c r="E1761" i="5"/>
  <c r="F1761" i="5"/>
  <c r="G1761" i="5"/>
  <c r="H1761" i="5"/>
  <c r="I1761" i="5"/>
  <c r="J1761" i="5"/>
  <c r="K1761" i="5"/>
  <c r="L1761" i="5"/>
  <c r="M1761" i="5"/>
  <c r="N1761" i="5"/>
  <c r="O1761" i="5"/>
  <c r="P1761" i="5"/>
  <c r="Q1761" i="5"/>
  <c r="R1761" i="5"/>
  <c r="S1761" i="5"/>
  <c r="T1761" i="5"/>
  <c r="U1761" i="5"/>
  <c r="V1761" i="5"/>
  <c r="W1761" i="5"/>
  <c r="E1756" i="5"/>
  <c r="F1756" i="5"/>
  <c r="G1756" i="5"/>
  <c r="H1756" i="5"/>
  <c r="I1756" i="5"/>
  <c r="J1756" i="5"/>
  <c r="K1756" i="5"/>
  <c r="L1756" i="5"/>
  <c r="M1756" i="5"/>
  <c r="N1756" i="5"/>
  <c r="O1756" i="5"/>
  <c r="P1756" i="5"/>
  <c r="Q1756" i="5"/>
  <c r="R1756" i="5"/>
  <c r="S1756" i="5"/>
  <c r="T1756" i="5"/>
  <c r="U1756" i="5"/>
  <c r="V1756" i="5"/>
  <c r="E1748" i="5"/>
  <c r="F1748" i="5"/>
  <c r="J1748" i="5"/>
  <c r="K1748" i="5"/>
  <c r="L1748" i="5"/>
  <c r="M1748" i="5"/>
  <c r="N1748" i="5"/>
  <c r="O1748" i="5"/>
  <c r="P1748" i="5"/>
  <c r="Q1748" i="5"/>
  <c r="R1748" i="5"/>
  <c r="S1748" i="5"/>
  <c r="T1748" i="5"/>
  <c r="U1748" i="5"/>
  <c r="V1748" i="5"/>
  <c r="E1703" i="5"/>
  <c r="F1703" i="5"/>
  <c r="G1703" i="5"/>
  <c r="H1703" i="5"/>
  <c r="I1703" i="5"/>
  <c r="J1703" i="5"/>
  <c r="K1703" i="5"/>
  <c r="L1703" i="5"/>
  <c r="M1703" i="5"/>
  <c r="N1703" i="5"/>
  <c r="O1703" i="5"/>
  <c r="P1703" i="5"/>
  <c r="Q1703" i="5"/>
  <c r="R1703" i="5"/>
  <c r="S1703" i="5"/>
  <c r="T1703" i="5"/>
  <c r="U1703" i="5"/>
  <c r="V1703" i="5"/>
  <c r="E1686" i="5"/>
  <c r="F1686" i="5"/>
  <c r="G1686" i="5"/>
  <c r="H1686" i="5"/>
  <c r="I1686" i="5"/>
  <c r="J1686" i="5"/>
  <c r="K1686" i="5"/>
  <c r="L1686" i="5"/>
  <c r="M1686" i="5"/>
  <c r="N1686" i="5"/>
  <c r="O1686" i="5"/>
  <c r="P1686" i="5"/>
  <c r="Q1686" i="5"/>
  <c r="R1686" i="5"/>
  <c r="S1686" i="5"/>
  <c r="T1686" i="5"/>
  <c r="U1686" i="5"/>
  <c r="V1686" i="5"/>
  <c r="E1656" i="5"/>
  <c r="F1656" i="5"/>
  <c r="G1656" i="5"/>
  <c r="H1656" i="5"/>
  <c r="I1656" i="5"/>
  <c r="J1656" i="5"/>
  <c r="K1656" i="5"/>
  <c r="L1656" i="5"/>
  <c r="M1656" i="5"/>
  <c r="N1656" i="5"/>
  <c r="O1656" i="5"/>
  <c r="P1656" i="5"/>
  <c r="Q1656" i="5"/>
  <c r="R1656" i="5"/>
  <c r="S1656" i="5"/>
  <c r="T1656" i="5"/>
  <c r="U1656" i="5"/>
  <c r="V1656" i="5"/>
  <c r="E1646" i="5"/>
  <c r="F1646" i="5"/>
  <c r="G1646" i="5"/>
  <c r="H1646" i="5"/>
  <c r="I1646" i="5"/>
  <c r="J1646" i="5"/>
  <c r="K1646" i="5"/>
  <c r="L1646" i="5"/>
  <c r="M1646" i="5"/>
  <c r="N1646" i="5"/>
  <c r="O1646" i="5"/>
  <c r="P1646" i="5"/>
  <c r="Q1646" i="5"/>
  <c r="R1646" i="5"/>
  <c r="S1646" i="5"/>
  <c r="T1646" i="5"/>
  <c r="U1646" i="5"/>
  <c r="V1646" i="5"/>
  <c r="E1637" i="5"/>
  <c r="F1637" i="5"/>
  <c r="G1637" i="5"/>
  <c r="H1637" i="5"/>
  <c r="I1637" i="5"/>
  <c r="J1637" i="5"/>
  <c r="K1637" i="5"/>
  <c r="L1637" i="5"/>
  <c r="M1637" i="5"/>
  <c r="N1637" i="5"/>
  <c r="O1637" i="5"/>
  <c r="P1637" i="5"/>
  <c r="Q1637" i="5"/>
  <c r="R1637" i="5"/>
  <c r="S1637" i="5"/>
  <c r="T1637" i="5"/>
  <c r="U1637" i="5"/>
  <c r="V1637" i="5"/>
  <c r="W1637" i="5"/>
  <c r="E1634" i="5"/>
  <c r="F1634" i="5"/>
  <c r="G1634" i="5"/>
  <c r="H1634" i="5"/>
  <c r="I1634" i="5"/>
  <c r="J1634" i="5"/>
  <c r="K1634" i="5"/>
  <c r="L1634" i="5"/>
  <c r="M1634" i="5"/>
  <c r="O1634" i="5"/>
  <c r="P1634" i="5"/>
  <c r="Q1634" i="5"/>
  <c r="R1634" i="5"/>
  <c r="S1634" i="5"/>
  <c r="T1634" i="5"/>
  <c r="U1634" i="5"/>
  <c r="V1634" i="5"/>
  <c r="W1634" i="5"/>
  <c r="E1630" i="5"/>
  <c r="F1630" i="5"/>
  <c r="G1630" i="5"/>
  <c r="H1630" i="5"/>
  <c r="I1630" i="5"/>
  <c r="J1630" i="5"/>
  <c r="K1630" i="5"/>
  <c r="L1630" i="5"/>
  <c r="M1630" i="5"/>
  <c r="N1630" i="5"/>
  <c r="O1630" i="5"/>
  <c r="P1630" i="5"/>
  <c r="Q1630" i="5"/>
  <c r="R1630" i="5"/>
  <c r="S1630" i="5"/>
  <c r="T1630" i="5"/>
  <c r="E1620" i="5"/>
  <c r="F1620" i="5"/>
  <c r="G1620" i="5"/>
  <c r="H1620" i="5"/>
  <c r="I1620" i="5"/>
  <c r="J1620" i="5"/>
  <c r="K1620" i="5"/>
  <c r="L1620" i="5"/>
  <c r="M1620" i="5"/>
  <c r="N1620" i="5"/>
  <c r="O1620" i="5"/>
  <c r="P1620" i="5"/>
  <c r="Q1620" i="5"/>
  <c r="R1620" i="5"/>
  <c r="S1620" i="5"/>
  <c r="T1620" i="5"/>
  <c r="U1620" i="5"/>
  <c r="V1620" i="5"/>
  <c r="W1620" i="5"/>
  <c r="E1617" i="5"/>
  <c r="F1617" i="5"/>
  <c r="G1617" i="5"/>
  <c r="H1617" i="5"/>
  <c r="I1617" i="5"/>
  <c r="J1617" i="5"/>
  <c r="K1617" i="5"/>
  <c r="L1617" i="5"/>
  <c r="M1617" i="5"/>
  <c r="N1617" i="5"/>
  <c r="O1617" i="5"/>
  <c r="P1617" i="5"/>
  <c r="Q1617" i="5"/>
  <c r="R1617" i="5"/>
  <c r="S1617" i="5"/>
  <c r="T1617" i="5"/>
  <c r="U1617" i="5"/>
  <c r="V1617" i="5"/>
  <c r="E1614" i="5"/>
  <c r="F1614" i="5"/>
  <c r="G1614" i="5"/>
  <c r="H1614" i="5"/>
  <c r="I1614" i="5"/>
  <c r="J1614" i="5"/>
  <c r="K1614" i="5"/>
  <c r="L1614" i="5"/>
  <c r="M1614" i="5"/>
  <c r="N1614" i="5"/>
  <c r="O1614" i="5"/>
  <c r="P1614" i="5"/>
  <c r="Q1614" i="5"/>
  <c r="R1614" i="5"/>
  <c r="S1614" i="5"/>
  <c r="T1614" i="5"/>
  <c r="U1614" i="5"/>
  <c r="V1614" i="5"/>
  <c r="W1614" i="5"/>
  <c r="E1600" i="5"/>
  <c r="F1600" i="5"/>
  <c r="G1600" i="5"/>
  <c r="H1600" i="5"/>
  <c r="I1600" i="5"/>
  <c r="J1600" i="5"/>
  <c r="K1600" i="5"/>
  <c r="L1600" i="5"/>
  <c r="M1600" i="5"/>
  <c r="N1600" i="5"/>
  <c r="O1600" i="5"/>
  <c r="P1600" i="5"/>
  <c r="Q1600" i="5"/>
  <c r="R1600" i="5"/>
  <c r="S1600" i="5"/>
  <c r="T1600" i="5"/>
  <c r="U1600" i="5"/>
  <c r="V1600" i="5"/>
  <c r="J1592" i="5"/>
  <c r="K1592" i="5"/>
  <c r="L1592" i="5"/>
  <c r="M1592" i="5"/>
  <c r="N1592" i="5"/>
  <c r="O1592" i="5"/>
  <c r="P1592" i="5"/>
  <c r="Q1592" i="5"/>
  <c r="R1592" i="5"/>
  <c r="S1592" i="5"/>
  <c r="T1592" i="5"/>
  <c r="U1592" i="5"/>
  <c r="W1592" i="5"/>
  <c r="E1583" i="5"/>
  <c r="F1583" i="5"/>
  <c r="G1583" i="5"/>
  <c r="H1583" i="5"/>
  <c r="I1583" i="5"/>
  <c r="J1583" i="5"/>
  <c r="K1583" i="5"/>
  <c r="L1583" i="5"/>
  <c r="M1583" i="5"/>
  <c r="O1583" i="5"/>
  <c r="P1583" i="5"/>
  <c r="Q1583" i="5"/>
  <c r="S1583" i="5"/>
  <c r="T1583" i="5"/>
  <c r="U1583" i="5"/>
  <c r="V1583" i="5"/>
  <c r="W1583" i="5"/>
  <c r="E1438" i="5"/>
  <c r="F1438" i="5"/>
  <c r="G1438" i="5"/>
  <c r="H1438" i="5"/>
  <c r="I1438" i="5"/>
  <c r="J1438" i="5"/>
  <c r="K1438" i="5"/>
  <c r="L1438" i="5"/>
  <c r="M1438" i="5"/>
  <c r="N1438" i="5"/>
  <c r="O1438" i="5"/>
  <c r="P1438" i="5"/>
  <c r="Q1438" i="5"/>
  <c r="R1438" i="5"/>
  <c r="S1438" i="5"/>
  <c r="T1438" i="5"/>
  <c r="U1438" i="5"/>
  <c r="V1438" i="5"/>
  <c r="W1438" i="5"/>
  <c r="E1433" i="5"/>
  <c r="F1433" i="5"/>
  <c r="G1433" i="5"/>
  <c r="H1433" i="5"/>
  <c r="I1433" i="5"/>
  <c r="J1433" i="5"/>
  <c r="K1433" i="5"/>
  <c r="L1433" i="5"/>
  <c r="M1433" i="5"/>
  <c r="N1433" i="5"/>
  <c r="O1433" i="5"/>
  <c r="P1433" i="5"/>
  <c r="Q1433" i="5"/>
  <c r="R1433" i="5"/>
  <c r="S1433" i="5"/>
  <c r="T1433" i="5"/>
  <c r="U1433" i="5"/>
  <c r="V1433" i="5"/>
  <c r="W1433" i="5"/>
  <c r="E1421" i="5"/>
  <c r="F1421" i="5"/>
  <c r="G1421" i="5"/>
  <c r="H1421" i="5"/>
  <c r="I1421" i="5"/>
  <c r="J1421" i="5"/>
  <c r="K1421" i="5"/>
  <c r="L1421" i="5"/>
  <c r="M1421" i="5"/>
  <c r="N1421" i="5"/>
  <c r="O1421" i="5"/>
  <c r="P1421" i="5"/>
  <c r="Q1421" i="5"/>
  <c r="R1421" i="5"/>
  <c r="S1421" i="5"/>
  <c r="T1421" i="5"/>
  <c r="U1421" i="5"/>
  <c r="V1421" i="5"/>
  <c r="W1421" i="5"/>
  <c r="F1416" i="5"/>
  <c r="G1416" i="5"/>
  <c r="H1416" i="5"/>
  <c r="I1416" i="5"/>
  <c r="J1416" i="5"/>
  <c r="K1416" i="5"/>
  <c r="L1416" i="5"/>
  <c r="M1416" i="5"/>
  <c r="N1416" i="5"/>
  <c r="O1416" i="5"/>
  <c r="P1416" i="5"/>
  <c r="Q1416" i="5"/>
  <c r="R1416" i="5"/>
  <c r="S1416" i="5"/>
  <c r="T1416" i="5"/>
  <c r="U1416" i="5"/>
  <c r="V1416" i="5"/>
  <c r="W1416" i="5"/>
  <c r="J1412" i="5"/>
  <c r="K1412" i="5"/>
  <c r="L1412" i="5"/>
  <c r="M1412" i="5"/>
  <c r="O1412" i="5"/>
  <c r="Q1412" i="5"/>
  <c r="S1412" i="5"/>
  <c r="T1412" i="5"/>
  <c r="V1412" i="5"/>
  <c r="W1412" i="5"/>
  <c r="E1394" i="5"/>
  <c r="F1394" i="5"/>
  <c r="G1394" i="5"/>
  <c r="H1394" i="5"/>
  <c r="I1394" i="5"/>
  <c r="J1394" i="5"/>
  <c r="K1394" i="5"/>
  <c r="L1394" i="5"/>
  <c r="M1394" i="5"/>
  <c r="N1394" i="5"/>
  <c r="O1394" i="5"/>
  <c r="P1394" i="5"/>
  <c r="Q1394" i="5"/>
  <c r="R1394" i="5"/>
  <c r="S1394" i="5"/>
  <c r="T1394" i="5"/>
  <c r="U1394" i="5"/>
  <c r="V1394" i="5"/>
  <c r="W1394" i="5"/>
  <c r="F1388" i="5"/>
  <c r="G1388" i="5"/>
  <c r="J1388" i="5"/>
  <c r="K1388" i="5"/>
  <c r="L1388" i="5"/>
  <c r="M1388" i="5"/>
  <c r="N1388" i="5"/>
  <c r="O1388" i="5"/>
  <c r="Q1388" i="5"/>
  <c r="S1388" i="5"/>
  <c r="T1388" i="5"/>
  <c r="U1388" i="5"/>
  <c r="W1388" i="5"/>
  <c r="E1359" i="5"/>
  <c r="G1359" i="5"/>
  <c r="H1359" i="5"/>
  <c r="I1359" i="5"/>
  <c r="J1359" i="5"/>
  <c r="K1359" i="5"/>
  <c r="L1359" i="5"/>
  <c r="M1359" i="5"/>
  <c r="N1359" i="5"/>
  <c r="O1359" i="5"/>
  <c r="P1359" i="5"/>
  <c r="Q1359" i="5"/>
  <c r="R1359" i="5"/>
  <c r="S1359" i="5"/>
  <c r="T1359" i="5"/>
  <c r="U1359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V877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W547" i="5"/>
  <c r="V54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E394" i="5"/>
  <c r="F394" i="5"/>
  <c r="G394" i="5"/>
  <c r="H394" i="5"/>
  <c r="I394" i="5"/>
  <c r="J394" i="5"/>
  <c r="K394" i="5"/>
  <c r="L394" i="5"/>
  <c r="M394" i="5"/>
  <c r="N394" i="5"/>
  <c r="P394" i="5"/>
  <c r="Q394" i="5"/>
  <c r="R394" i="5"/>
  <c r="S394" i="5"/>
  <c r="T394" i="5"/>
  <c r="U394" i="5"/>
  <c r="V394" i="5"/>
  <c r="W34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R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S388" i="6"/>
  <c r="T388" i="6"/>
  <c r="U388" i="6"/>
  <c r="V388" i="6"/>
  <c r="W388" i="6"/>
  <c r="R224" i="6"/>
  <c r="K1785" i="5" l="1"/>
  <c r="T1785" i="5"/>
  <c r="L1657" i="5"/>
  <c r="Q1657" i="5"/>
  <c r="O1785" i="5"/>
  <c r="J1657" i="5"/>
  <c r="U1785" i="5"/>
  <c r="Q1785" i="5"/>
  <c r="M1785" i="5"/>
  <c r="E1785" i="5"/>
  <c r="T1657" i="5"/>
  <c r="P1657" i="5"/>
  <c r="R1785" i="5"/>
  <c r="N1785" i="5"/>
  <c r="F1785" i="5"/>
  <c r="L1785" i="5"/>
  <c r="S1785" i="5"/>
  <c r="M1657" i="5"/>
  <c r="V1785" i="5"/>
  <c r="J1785" i="5"/>
  <c r="P1785" i="5"/>
  <c r="S1657" i="5"/>
  <c r="O1657" i="5"/>
  <c r="K1657" i="5"/>
  <c r="C807" i="6"/>
  <c r="C804" i="6"/>
  <c r="I2550" i="2" s="1"/>
  <c r="C810" i="6"/>
  <c r="I2555" i="2" s="1"/>
  <c r="C811" i="6"/>
  <c r="I2556" i="2" s="1"/>
  <c r="C793" i="6"/>
  <c r="I2530" i="2" s="1"/>
  <c r="C794" i="6"/>
  <c r="I2532" i="2" s="1"/>
  <c r="C795" i="6"/>
  <c r="I2531" i="2" s="1"/>
  <c r="C476" i="6"/>
  <c r="I1778" i="2" s="1"/>
  <c r="C386" i="6"/>
  <c r="C1297" i="5"/>
  <c r="C482" i="6"/>
  <c r="I1784" i="2" s="1"/>
  <c r="C93" i="6"/>
  <c r="C94" i="6"/>
  <c r="C95" i="6"/>
  <c r="I1589" i="2" l="1"/>
  <c r="I2552" i="2"/>
  <c r="C2319" i="5"/>
  <c r="C2321" i="5"/>
  <c r="D2324" i="5"/>
  <c r="C2324" i="5" s="1"/>
  <c r="I3299" i="2" l="1"/>
  <c r="I3300" i="2"/>
  <c r="T168" i="4"/>
  <c r="F2361" i="5" l="1"/>
  <c r="G2361" i="5"/>
  <c r="H2361" i="5"/>
  <c r="I2361" i="5"/>
  <c r="J2361" i="5"/>
  <c r="K2361" i="5"/>
  <c r="L2361" i="5"/>
  <c r="M2361" i="5"/>
  <c r="O2361" i="5"/>
  <c r="P2361" i="5"/>
  <c r="Q2361" i="5"/>
  <c r="R2361" i="5"/>
  <c r="S2361" i="5"/>
  <c r="T2361" i="5"/>
  <c r="V2361" i="5"/>
  <c r="E2344" i="5"/>
  <c r="F2344" i="5"/>
  <c r="G2344" i="5"/>
  <c r="H2344" i="5"/>
  <c r="I2344" i="5"/>
  <c r="J2344" i="5"/>
  <c r="K2344" i="5"/>
  <c r="L2344" i="5"/>
  <c r="M2344" i="5"/>
  <c r="N2344" i="5"/>
  <c r="O2344" i="5"/>
  <c r="P2344" i="5"/>
  <c r="Q2344" i="5"/>
  <c r="R2344" i="5"/>
  <c r="S2344" i="5"/>
  <c r="T2344" i="5"/>
  <c r="U2344" i="5"/>
  <c r="V2344" i="5"/>
  <c r="E2317" i="5"/>
  <c r="F2317" i="5"/>
  <c r="G2317" i="5"/>
  <c r="H2317" i="5"/>
  <c r="I2317" i="5"/>
  <c r="J2317" i="5"/>
  <c r="K2317" i="5"/>
  <c r="L2317" i="5"/>
  <c r="M2317" i="5"/>
  <c r="N2317" i="5"/>
  <c r="O2317" i="5"/>
  <c r="P2317" i="5"/>
  <c r="Q2317" i="5"/>
  <c r="R2317" i="5"/>
  <c r="S2317" i="5"/>
  <c r="T2317" i="5"/>
  <c r="U2317" i="5"/>
  <c r="V2317" i="5"/>
  <c r="E2307" i="5"/>
  <c r="F2307" i="5"/>
  <c r="G2307" i="5"/>
  <c r="H2307" i="5"/>
  <c r="I2307" i="5"/>
  <c r="J2307" i="5"/>
  <c r="K2307" i="5"/>
  <c r="L2307" i="5"/>
  <c r="M2307" i="5"/>
  <c r="N2307" i="5"/>
  <c r="O2307" i="5"/>
  <c r="P2307" i="5"/>
  <c r="Q2307" i="5"/>
  <c r="R2307" i="5"/>
  <c r="S2307" i="5"/>
  <c r="T2307" i="5"/>
  <c r="U2307" i="5"/>
  <c r="V2307" i="5"/>
  <c r="E2297" i="5"/>
  <c r="F2297" i="5"/>
  <c r="G2297" i="5"/>
  <c r="H2297" i="5"/>
  <c r="I2297" i="5"/>
  <c r="J2297" i="5"/>
  <c r="K2297" i="5"/>
  <c r="L2297" i="5"/>
  <c r="M2297" i="5"/>
  <c r="N2297" i="5"/>
  <c r="O2297" i="5"/>
  <c r="P2297" i="5"/>
  <c r="Q2297" i="5"/>
  <c r="R2297" i="5"/>
  <c r="S2297" i="5"/>
  <c r="T2297" i="5"/>
  <c r="U2297" i="5"/>
  <c r="V2297" i="5"/>
  <c r="E2245" i="5"/>
  <c r="G2245" i="5"/>
  <c r="H2245" i="5"/>
  <c r="J2245" i="5"/>
  <c r="K2245" i="5"/>
  <c r="L2245" i="5"/>
  <c r="M2245" i="5"/>
  <c r="N2245" i="5"/>
  <c r="O2245" i="5"/>
  <c r="P2245" i="5"/>
  <c r="Q2245" i="5"/>
  <c r="R2245" i="5"/>
  <c r="S2245" i="5"/>
  <c r="T2245" i="5"/>
  <c r="U2245" i="5"/>
  <c r="V2245" i="5"/>
  <c r="E2078" i="5"/>
  <c r="F2078" i="5"/>
  <c r="G2078" i="5"/>
  <c r="H2078" i="5"/>
  <c r="I2078" i="5"/>
  <c r="J2078" i="5"/>
  <c r="K2078" i="5"/>
  <c r="L2078" i="5"/>
  <c r="M2078" i="5"/>
  <c r="N2078" i="5"/>
  <c r="O2078" i="5"/>
  <c r="P2078" i="5"/>
  <c r="Q2078" i="5"/>
  <c r="R2078" i="5"/>
  <c r="S2078" i="5"/>
  <c r="T2078" i="5"/>
  <c r="U2078" i="5"/>
  <c r="V2078" i="5"/>
  <c r="E2068" i="5"/>
  <c r="F2068" i="5"/>
  <c r="G2068" i="5"/>
  <c r="H2068" i="5"/>
  <c r="I2068" i="5"/>
  <c r="J2068" i="5"/>
  <c r="K2068" i="5"/>
  <c r="L2068" i="5"/>
  <c r="M2068" i="5"/>
  <c r="N2068" i="5"/>
  <c r="O2068" i="5"/>
  <c r="P2068" i="5"/>
  <c r="Q2068" i="5"/>
  <c r="R2068" i="5"/>
  <c r="S2068" i="5"/>
  <c r="T2068" i="5"/>
  <c r="U2068" i="5"/>
  <c r="V2068" i="5"/>
  <c r="F2027" i="5"/>
  <c r="G2027" i="5"/>
  <c r="H2027" i="5"/>
  <c r="J2027" i="5"/>
  <c r="K2027" i="5"/>
  <c r="L2027" i="5"/>
  <c r="M2027" i="5"/>
  <c r="O2027" i="5"/>
  <c r="Q2027" i="5"/>
  <c r="R2027" i="5"/>
  <c r="S2027" i="5"/>
  <c r="T2027" i="5"/>
  <c r="U2027" i="5"/>
  <c r="V2027" i="5"/>
  <c r="E1922" i="5"/>
  <c r="F1922" i="5"/>
  <c r="G1922" i="5"/>
  <c r="H1922" i="5"/>
  <c r="I1922" i="5"/>
  <c r="J1922" i="5"/>
  <c r="K1922" i="5"/>
  <c r="L1922" i="5"/>
  <c r="M1922" i="5"/>
  <c r="N1922" i="5"/>
  <c r="O1922" i="5"/>
  <c r="P1922" i="5"/>
  <c r="Q1922" i="5"/>
  <c r="R1922" i="5"/>
  <c r="S1922" i="5"/>
  <c r="T1922" i="5"/>
  <c r="U1922" i="5"/>
  <c r="V1922" i="5"/>
  <c r="E1910" i="5"/>
  <c r="F1910" i="5"/>
  <c r="G1910" i="5"/>
  <c r="H1910" i="5"/>
  <c r="I1910" i="5"/>
  <c r="J1910" i="5"/>
  <c r="K1910" i="5"/>
  <c r="L1910" i="5"/>
  <c r="M1910" i="5"/>
  <c r="N1910" i="5"/>
  <c r="O1910" i="5"/>
  <c r="P1910" i="5"/>
  <c r="Q1910" i="5"/>
  <c r="R1910" i="5"/>
  <c r="S1910" i="5"/>
  <c r="T1910" i="5"/>
  <c r="U1910" i="5"/>
  <c r="V1910" i="5"/>
  <c r="E1905" i="5"/>
  <c r="F1905" i="5"/>
  <c r="G1905" i="5"/>
  <c r="H1905" i="5"/>
  <c r="I1905" i="5"/>
  <c r="J1905" i="5"/>
  <c r="K1905" i="5"/>
  <c r="L1905" i="5"/>
  <c r="M1905" i="5"/>
  <c r="N1905" i="5"/>
  <c r="O1905" i="5"/>
  <c r="P1905" i="5"/>
  <c r="Q1905" i="5"/>
  <c r="R1905" i="5"/>
  <c r="S1905" i="5"/>
  <c r="T1905" i="5"/>
  <c r="U1905" i="5"/>
  <c r="V1905" i="5"/>
  <c r="E1853" i="5"/>
  <c r="F1853" i="5"/>
  <c r="G1853" i="5"/>
  <c r="H1853" i="5"/>
  <c r="I1853" i="5"/>
  <c r="J1853" i="5"/>
  <c r="K1853" i="5"/>
  <c r="L1853" i="5"/>
  <c r="M1853" i="5"/>
  <c r="N1853" i="5"/>
  <c r="O1853" i="5"/>
  <c r="P1853" i="5"/>
  <c r="Q1853" i="5"/>
  <c r="R1853" i="5"/>
  <c r="S1853" i="5"/>
  <c r="T1853" i="5"/>
  <c r="U1853" i="5"/>
  <c r="V1853" i="5"/>
  <c r="E1842" i="5"/>
  <c r="F1842" i="5"/>
  <c r="G1842" i="5"/>
  <c r="H1842" i="5"/>
  <c r="I1842" i="5"/>
  <c r="J1842" i="5"/>
  <c r="K1842" i="5"/>
  <c r="L1842" i="5"/>
  <c r="M1842" i="5"/>
  <c r="N1842" i="5"/>
  <c r="O1842" i="5"/>
  <c r="P1842" i="5"/>
  <c r="Q1842" i="5"/>
  <c r="R1842" i="5"/>
  <c r="S1842" i="5"/>
  <c r="T1842" i="5"/>
  <c r="U1842" i="5"/>
  <c r="V1842" i="5"/>
  <c r="E1818" i="5"/>
  <c r="F1818" i="5"/>
  <c r="G1818" i="5"/>
  <c r="H1818" i="5"/>
  <c r="I1818" i="5"/>
  <c r="J1818" i="5"/>
  <c r="K1818" i="5"/>
  <c r="L1818" i="5"/>
  <c r="M1818" i="5"/>
  <c r="N1818" i="5"/>
  <c r="O1818" i="5"/>
  <c r="P1818" i="5"/>
  <c r="Q1818" i="5"/>
  <c r="R1818" i="5"/>
  <c r="S1818" i="5"/>
  <c r="T1818" i="5"/>
  <c r="U1818" i="5"/>
  <c r="V1818" i="5"/>
  <c r="F1812" i="5"/>
  <c r="G1812" i="5"/>
  <c r="H1812" i="5"/>
  <c r="I1812" i="5"/>
  <c r="J1812" i="5"/>
  <c r="K1812" i="5"/>
  <c r="L1812" i="5"/>
  <c r="M1812" i="5"/>
  <c r="N1812" i="5"/>
  <c r="O1812" i="5"/>
  <c r="P1812" i="5"/>
  <c r="Q1812" i="5"/>
  <c r="R1812" i="5"/>
  <c r="S1812" i="5"/>
  <c r="T1812" i="5"/>
  <c r="U1812" i="5"/>
  <c r="V1812" i="5"/>
  <c r="E1809" i="5"/>
  <c r="F1809" i="5"/>
  <c r="G1809" i="5"/>
  <c r="H1809" i="5"/>
  <c r="I1809" i="5"/>
  <c r="J1809" i="5"/>
  <c r="K1809" i="5"/>
  <c r="L1809" i="5"/>
  <c r="M1809" i="5"/>
  <c r="O1809" i="5"/>
  <c r="P1809" i="5"/>
  <c r="Q1809" i="5"/>
  <c r="R1809" i="5"/>
  <c r="S1809" i="5"/>
  <c r="T1809" i="5"/>
  <c r="U1809" i="5"/>
  <c r="V1809" i="5"/>
  <c r="E1804" i="5"/>
  <c r="G1804" i="5"/>
  <c r="H1804" i="5"/>
  <c r="I1804" i="5"/>
  <c r="J1804" i="5"/>
  <c r="K1804" i="5"/>
  <c r="L1804" i="5"/>
  <c r="M1804" i="5"/>
  <c r="N1804" i="5"/>
  <c r="O1804" i="5"/>
  <c r="P1804" i="5"/>
  <c r="Q1804" i="5"/>
  <c r="R1804" i="5"/>
  <c r="S1804" i="5"/>
  <c r="T1804" i="5"/>
  <c r="U1804" i="5"/>
  <c r="V1804" i="5"/>
  <c r="E1795" i="5"/>
  <c r="H1795" i="5"/>
  <c r="I1795" i="5"/>
  <c r="J1795" i="5"/>
  <c r="K1795" i="5"/>
  <c r="L1795" i="5"/>
  <c r="M1795" i="5"/>
  <c r="N1795" i="5"/>
  <c r="O1795" i="5"/>
  <c r="P1795" i="5"/>
  <c r="Q1795" i="5"/>
  <c r="R1795" i="5"/>
  <c r="S1795" i="5"/>
  <c r="T1795" i="5"/>
  <c r="U1795" i="5"/>
  <c r="W1795" i="5"/>
  <c r="E1792" i="5"/>
  <c r="F1792" i="5"/>
  <c r="G1792" i="5"/>
  <c r="H1792" i="5"/>
  <c r="I1792" i="5"/>
  <c r="J1792" i="5"/>
  <c r="K1792" i="5"/>
  <c r="L1792" i="5"/>
  <c r="M1792" i="5"/>
  <c r="N1792" i="5"/>
  <c r="O1792" i="5"/>
  <c r="P1792" i="5"/>
  <c r="Q1792" i="5"/>
  <c r="R1792" i="5"/>
  <c r="S1792" i="5"/>
  <c r="T1792" i="5"/>
  <c r="U1792" i="5"/>
  <c r="V1792" i="5"/>
  <c r="H1576" i="5"/>
  <c r="H1577" i="5" s="1"/>
  <c r="J1576" i="5"/>
  <c r="J1577" i="5" s="1"/>
  <c r="K1576" i="5"/>
  <c r="K1577" i="5" s="1"/>
  <c r="L1576" i="5"/>
  <c r="L1577" i="5" s="1"/>
  <c r="M1576" i="5"/>
  <c r="M1577" i="5" s="1"/>
  <c r="O1576" i="5"/>
  <c r="O1577" i="5" s="1"/>
  <c r="Q1576" i="5"/>
  <c r="Q1577" i="5" s="1"/>
  <c r="R1576" i="5"/>
  <c r="R1577" i="5" s="1"/>
  <c r="S1576" i="5"/>
  <c r="S1577" i="5" s="1"/>
  <c r="T1576" i="5"/>
  <c r="T1577" i="5" s="1"/>
  <c r="U1576" i="5"/>
  <c r="U1577" i="5" s="1"/>
  <c r="H1446" i="5"/>
  <c r="J1446" i="5"/>
  <c r="J1447" i="5" s="1"/>
  <c r="K1446" i="5"/>
  <c r="K1447" i="5" s="1"/>
  <c r="L1446" i="5"/>
  <c r="L1447" i="5" s="1"/>
  <c r="M1446" i="5"/>
  <c r="M1447" i="5" s="1"/>
  <c r="N1446" i="5"/>
  <c r="O1446" i="5"/>
  <c r="O1447" i="5" s="1"/>
  <c r="P1446" i="5"/>
  <c r="Q1446" i="5"/>
  <c r="Q1447" i="5" s="1"/>
  <c r="R1446" i="5"/>
  <c r="S1446" i="5"/>
  <c r="S1447" i="5" s="1"/>
  <c r="T1446" i="5"/>
  <c r="T1447" i="5" s="1"/>
  <c r="U1446" i="5"/>
  <c r="V1446" i="5"/>
  <c r="W1446" i="5"/>
  <c r="W1447" i="5" s="1"/>
  <c r="E1371" i="5"/>
  <c r="F1371" i="5"/>
  <c r="G1371" i="5"/>
  <c r="H1371" i="5"/>
  <c r="I1371" i="5"/>
  <c r="J1371" i="5"/>
  <c r="K1371" i="5"/>
  <c r="L1371" i="5"/>
  <c r="M1371" i="5"/>
  <c r="N1371" i="5"/>
  <c r="O1371" i="5"/>
  <c r="P1371" i="5"/>
  <c r="Q1371" i="5"/>
  <c r="R1371" i="5"/>
  <c r="S1371" i="5"/>
  <c r="T1371" i="5"/>
  <c r="U1371" i="5"/>
  <c r="V1371" i="5"/>
  <c r="E1347" i="5"/>
  <c r="F1347" i="5"/>
  <c r="G1347" i="5"/>
  <c r="H1347" i="5"/>
  <c r="I1347" i="5"/>
  <c r="J1347" i="5"/>
  <c r="K1347" i="5"/>
  <c r="L1347" i="5"/>
  <c r="M1347" i="5"/>
  <c r="N1347" i="5"/>
  <c r="O1347" i="5"/>
  <c r="P1347" i="5"/>
  <c r="Q1347" i="5"/>
  <c r="R1347" i="5"/>
  <c r="S1347" i="5"/>
  <c r="T1347" i="5"/>
  <c r="U1347" i="5"/>
  <c r="V1347" i="5"/>
  <c r="E1331" i="5"/>
  <c r="F1331" i="5"/>
  <c r="G1331" i="5"/>
  <c r="H1331" i="5"/>
  <c r="I1331" i="5"/>
  <c r="J1331" i="5"/>
  <c r="K1331" i="5"/>
  <c r="L1331" i="5"/>
  <c r="M1331" i="5"/>
  <c r="N1331" i="5"/>
  <c r="O1331" i="5"/>
  <c r="P1331" i="5"/>
  <c r="Q1331" i="5"/>
  <c r="R1331" i="5"/>
  <c r="S1331" i="5"/>
  <c r="T1331" i="5"/>
  <c r="U1331" i="5"/>
  <c r="V1331" i="5"/>
  <c r="E1325" i="5"/>
  <c r="F1325" i="5"/>
  <c r="G1325" i="5"/>
  <c r="H1325" i="5"/>
  <c r="I1325" i="5"/>
  <c r="J1325" i="5"/>
  <c r="K1325" i="5"/>
  <c r="L1325" i="5"/>
  <c r="M1325" i="5"/>
  <c r="N1325" i="5"/>
  <c r="O1325" i="5"/>
  <c r="P1325" i="5"/>
  <c r="Q1325" i="5"/>
  <c r="R1325" i="5"/>
  <c r="S1325" i="5"/>
  <c r="T1325" i="5"/>
  <c r="U1325" i="5"/>
  <c r="V1325" i="5"/>
  <c r="E1302" i="5"/>
  <c r="F1302" i="5"/>
  <c r="G1302" i="5"/>
  <c r="H1302" i="5"/>
  <c r="I1302" i="5"/>
  <c r="J1302" i="5"/>
  <c r="K1302" i="5"/>
  <c r="L1302" i="5"/>
  <c r="M1302" i="5"/>
  <c r="N1302" i="5"/>
  <c r="O1302" i="5"/>
  <c r="P1302" i="5"/>
  <c r="Q1302" i="5"/>
  <c r="R1302" i="5"/>
  <c r="S1302" i="5"/>
  <c r="T1302" i="5"/>
  <c r="U1302" i="5"/>
  <c r="V1302" i="5"/>
  <c r="E1253" i="5"/>
  <c r="F1253" i="5"/>
  <c r="G1253" i="5"/>
  <c r="H1253" i="5"/>
  <c r="I1253" i="5"/>
  <c r="J1253" i="5"/>
  <c r="K1253" i="5"/>
  <c r="L1253" i="5"/>
  <c r="M1253" i="5"/>
  <c r="N1253" i="5"/>
  <c r="O1253" i="5"/>
  <c r="P1253" i="5"/>
  <c r="Q1253" i="5"/>
  <c r="R1253" i="5"/>
  <c r="S1253" i="5"/>
  <c r="T1253" i="5"/>
  <c r="U1253" i="5"/>
  <c r="V1253" i="5"/>
  <c r="E1292" i="5"/>
  <c r="F1292" i="5"/>
  <c r="G1292" i="5"/>
  <c r="H1292" i="5"/>
  <c r="I1292" i="5"/>
  <c r="J1292" i="5"/>
  <c r="K1292" i="5"/>
  <c r="L1292" i="5"/>
  <c r="M1292" i="5"/>
  <c r="N1292" i="5"/>
  <c r="O1292" i="5"/>
  <c r="P1292" i="5"/>
  <c r="Q1292" i="5"/>
  <c r="R1292" i="5"/>
  <c r="S1292" i="5"/>
  <c r="T1292" i="5"/>
  <c r="U1292" i="5"/>
  <c r="V1292" i="5"/>
  <c r="E1278" i="5"/>
  <c r="F1278" i="5"/>
  <c r="G1278" i="5"/>
  <c r="H1278" i="5"/>
  <c r="I1278" i="5"/>
  <c r="J1278" i="5"/>
  <c r="K1278" i="5"/>
  <c r="L1278" i="5"/>
  <c r="M1278" i="5"/>
  <c r="N1278" i="5"/>
  <c r="O1278" i="5"/>
  <c r="P1278" i="5"/>
  <c r="Q1278" i="5"/>
  <c r="R1278" i="5"/>
  <c r="S1278" i="5"/>
  <c r="T1278" i="5"/>
  <c r="U1278" i="5"/>
  <c r="V1278" i="5"/>
  <c r="W1278" i="5"/>
  <c r="E1275" i="5"/>
  <c r="F1275" i="5"/>
  <c r="G1275" i="5"/>
  <c r="H1275" i="5"/>
  <c r="I1275" i="5"/>
  <c r="J1275" i="5"/>
  <c r="K1275" i="5"/>
  <c r="L1275" i="5"/>
  <c r="M1275" i="5"/>
  <c r="N1275" i="5"/>
  <c r="O1275" i="5"/>
  <c r="P1275" i="5"/>
  <c r="Q1275" i="5"/>
  <c r="R1275" i="5"/>
  <c r="S1275" i="5"/>
  <c r="T1275" i="5"/>
  <c r="U1275" i="5"/>
  <c r="V1275" i="5"/>
  <c r="W1275" i="5"/>
  <c r="E1270" i="5"/>
  <c r="F1270" i="5"/>
  <c r="G1270" i="5"/>
  <c r="H1270" i="5"/>
  <c r="I1270" i="5"/>
  <c r="J1270" i="5"/>
  <c r="K1270" i="5"/>
  <c r="L1270" i="5"/>
  <c r="M1270" i="5"/>
  <c r="N1270" i="5"/>
  <c r="O1270" i="5"/>
  <c r="P1270" i="5"/>
  <c r="Q1270" i="5"/>
  <c r="R1270" i="5"/>
  <c r="S1270" i="5"/>
  <c r="T1270" i="5"/>
  <c r="U1270" i="5"/>
  <c r="V1270" i="5"/>
  <c r="E1267" i="5"/>
  <c r="F1267" i="5"/>
  <c r="G1267" i="5"/>
  <c r="H1267" i="5"/>
  <c r="I1267" i="5"/>
  <c r="J1267" i="5"/>
  <c r="K1267" i="5"/>
  <c r="L1267" i="5"/>
  <c r="M1267" i="5"/>
  <c r="N1267" i="5"/>
  <c r="O1267" i="5"/>
  <c r="P1267" i="5"/>
  <c r="Q1267" i="5"/>
  <c r="R1267" i="5"/>
  <c r="S1267" i="5"/>
  <c r="T1267" i="5"/>
  <c r="U1267" i="5"/>
  <c r="V1267" i="5"/>
  <c r="E1264" i="5"/>
  <c r="F1264" i="5"/>
  <c r="G1264" i="5"/>
  <c r="H1264" i="5"/>
  <c r="I1264" i="5"/>
  <c r="J1264" i="5"/>
  <c r="K1264" i="5"/>
  <c r="L1264" i="5"/>
  <c r="M1264" i="5"/>
  <c r="N1264" i="5"/>
  <c r="O1264" i="5"/>
  <c r="P1264" i="5"/>
  <c r="Q1264" i="5"/>
  <c r="S1264" i="5"/>
  <c r="T1264" i="5"/>
  <c r="U1264" i="5"/>
  <c r="V1264" i="5"/>
  <c r="E1256" i="5"/>
  <c r="F1256" i="5"/>
  <c r="G1256" i="5"/>
  <c r="H1256" i="5"/>
  <c r="I1256" i="5"/>
  <c r="J1256" i="5"/>
  <c r="K1256" i="5"/>
  <c r="L1256" i="5"/>
  <c r="M1256" i="5"/>
  <c r="N1256" i="5"/>
  <c r="O1256" i="5"/>
  <c r="P1256" i="5"/>
  <c r="Q1256" i="5"/>
  <c r="R1256" i="5"/>
  <c r="S1256" i="5"/>
  <c r="T1256" i="5"/>
  <c r="U1256" i="5"/>
  <c r="V1256" i="5"/>
  <c r="W1256" i="5"/>
  <c r="H1249" i="5"/>
  <c r="J1249" i="5"/>
  <c r="K1249" i="5"/>
  <c r="L1249" i="5"/>
  <c r="M1249" i="5"/>
  <c r="O1249" i="5"/>
  <c r="Q1249" i="5"/>
  <c r="R1249" i="5"/>
  <c r="S1249" i="5"/>
  <c r="T1249" i="5"/>
  <c r="V1249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E705" i="5"/>
  <c r="F705" i="5"/>
  <c r="G705" i="5"/>
  <c r="H705" i="5"/>
  <c r="I705" i="5"/>
  <c r="I864" i="5" s="1"/>
  <c r="J705" i="5"/>
  <c r="K705" i="5"/>
  <c r="L705" i="5"/>
  <c r="M705" i="5"/>
  <c r="M864" i="5" s="1"/>
  <c r="N705" i="5"/>
  <c r="O705" i="5"/>
  <c r="P705" i="5"/>
  <c r="Q705" i="5"/>
  <c r="Q864" i="5" s="1"/>
  <c r="R705" i="5"/>
  <c r="S705" i="5"/>
  <c r="T705" i="5"/>
  <c r="U705" i="5"/>
  <c r="U864" i="5" s="1"/>
  <c r="V705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E540" i="5"/>
  <c r="F540" i="5"/>
  <c r="G540" i="5"/>
  <c r="H540" i="5"/>
  <c r="I540" i="5"/>
  <c r="J540" i="5"/>
  <c r="K540" i="5"/>
  <c r="L540" i="5"/>
  <c r="N540" i="5"/>
  <c r="O540" i="5"/>
  <c r="P540" i="5"/>
  <c r="Q540" i="5"/>
  <c r="R540" i="5"/>
  <c r="S540" i="5"/>
  <c r="T540" i="5"/>
  <c r="U540" i="5"/>
  <c r="V540" i="5"/>
  <c r="W540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E333" i="5"/>
  <c r="F333" i="5"/>
  <c r="G333" i="5"/>
  <c r="H333" i="5"/>
  <c r="I333" i="5"/>
  <c r="J333" i="5"/>
  <c r="K333" i="5"/>
  <c r="L333" i="5"/>
  <c r="M333" i="5"/>
  <c r="O333" i="5"/>
  <c r="P333" i="5"/>
  <c r="Q333" i="5"/>
  <c r="R333" i="5"/>
  <c r="S333" i="5"/>
  <c r="T333" i="5"/>
  <c r="U333" i="5"/>
  <c r="V333" i="5"/>
  <c r="W333" i="5"/>
  <c r="E227" i="5"/>
  <c r="F227" i="5"/>
  <c r="G227" i="5"/>
  <c r="H227" i="5"/>
  <c r="I227" i="5"/>
  <c r="J227" i="5"/>
  <c r="K227" i="5"/>
  <c r="L227" i="5"/>
  <c r="M227" i="5"/>
  <c r="O227" i="5"/>
  <c r="Q227" i="5"/>
  <c r="R227" i="5"/>
  <c r="S227" i="5"/>
  <c r="T227" i="5"/>
  <c r="U227" i="5"/>
  <c r="V227" i="5"/>
  <c r="H329" i="5"/>
  <c r="J329" i="5"/>
  <c r="K329" i="5"/>
  <c r="L329" i="5"/>
  <c r="M329" i="5"/>
  <c r="O329" i="5"/>
  <c r="Q329" i="5"/>
  <c r="R329" i="5"/>
  <c r="S329" i="5"/>
  <c r="T329" i="5"/>
  <c r="U329" i="5"/>
  <c r="E209" i="5"/>
  <c r="H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E188" i="5"/>
  <c r="F188" i="5"/>
  <c r="G188" i="5"/>
  <c r="H188" i="5"/>
  <c r="I188" i="5"/>
  <c r="J188" i="5"/>
  <c r="K188" i="5"/>
  <c r="L188" i="5"/>
  <c r="M188" i="5"/>
  <c r="O188" i="5"/>
  <c r="P188" i="5"/>
  <c r="Q188" i="5"/>
  <c r="R188" i="5"/>
  <c r="S188" i="5"/>
  <c r="T188" i="5"/>
  <c r="U188" i="5"/>
  <c r="V188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E134" i="5"/>
  <c r="F134" i="5"/>
  <c r="G134" i="5"/>
  <c r="H134" i="5"/>
  <c r="I134" i="5"/>
  <c r="J134" i="5"/>
  <c r="K134" i="5"/>
  <c r="L134" i="5"/>
  <c r="M134" i="5"/>
  <c r="O134" i="5"/>
  <c r="P134" i="5"/>
  <c r="Q134" i="5"/>
  <c r="R134" i="5"/>
  <c r="S134" i="5"/>
  <c r="T134" i="5"/>
  <c r="U134" i="5"/>
  <c r="V134" i="5"/>
  <c r="E123" i="5"/>
  <c r="F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E92" i="5"/>
  <c r="F92" i="5"/>
  <c r="G92" i="5"/>
  <c r="H92" i="5"/>
  <c r="I92" i="5"/>
  <c r="J92" i="5"/>
  <c r="K92" i="5"/>
  <c r="L92" i="5"/>
  <c r="M92" i="5"/>
  <c r="N92" i="5"/>
  <c r="O92" i="5"/>
  <c r="Q92" i="5"/>
  <c r="R92" i="5"/>
  <c r="S92" i="5"/>
  <c r="T92" i="5"/>
  <c r="U92" i="5"/>
  <c r="V92" i="5"/>
  <c r="D728" i="4"/>
  <c r="D726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D519" i="4"/>
  <c r="E766" i="4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E762" i="4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E737" i="4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E732" i="4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E746" i="4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E719" i="4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E682" i="4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E651" i="4"/>
  <c r="E652" i="4" s="1"/>
  <c r="F651" i="4"/>
  <c r="F652" i="4" s="1"/>
  <c r="G651" i="4"/>
  <c r="G652" i="4" s="1"/>
  <c r="H651" i="4"/>
  <c r="H652" i="4" s="1"/>
  <c r="I651" i="4"/>
  <c r="I652" i="4" s="1"/>
  <c r="J651" i="4"/>
  <c r="J652" i="4" s="1"/>
  <c r="K651" i="4"/>
  <c r="K652" i="4" s="1"/>
  <c r="L651" i="4"/>
  <c r="L652" i="4" s="1"/>
  <c r="M651" i="4"/>
  <c r="M652" i="4" s="1"/>
  <c r="N651" i="4"/>
  <c r="N652" i="4" s="1"/>
  <c r="O651" i="4"/>
  <c r="O652" i="4" s="1"/>
  <c r="P651" i="4"/>
  <c r="P652" i="4" s="1"/>
  <c r="Q651" i="4"/>
  <c r="Q652" i="4" s="1"/>
  <c r="R651" i="4"/>
  <c r="R652" i="4" s="1"/>
  <c r="S651" i="4"/>
  <c r="S652" i="4" s="1"/>
  <c r="T651" i="4"/>
  <c r="T652" i="4" s="1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T533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T523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T504" i="4"/>
  <c r="E493" i="4"/>
  <c r="E494" i="4" s="1"/>
  <c r="F493" i="4"/>
  <c r="F494" i="4" s="1"/>
  <c r="G493" i="4"/>
  <c r="G494" i="4" s="1"/>
  <c r="H493" i="4"/>
  <c r="H494" i="4" s="1"/>
  <c r="I493" i="4"/>
  <c r="I494" i="4" s="1"/>
  <c r="J493" i="4"/>
  <c r="J494" i="4" s="1"/>
  <c r="K493" i="4"/>
  <c r="K494" i="4" s="1"/>
  <c r="L493" i="4"/>
  <c r="L494" i="4" s="1"/>
  <c r="M493" i="4"/>
  <c r="M494" i="4" s="1"/>
  <c r="N493" i="4"/>
  <c r="N494" i="4" s="1"/>
  <c r="O493" i="4"/>
  <c r="O494" i="4" s="1"/>
  <c r="P493" i="4"/>
  <c r="P494" i="4" s="1"/>
  <c r="Q493" i="4"/>
  <c r="Q494" i="4" s="1"/>
  <c r="R493" i="4"/>
  <c r="R494" i="4" s="1"/>
  <c r="S493" i="4"/>
  <c r="S494" i="4" s="1"/>
  <c r="T493" i="4"/>
  <c r="T494" i="4" s="1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F419" i="4"/>
  <c r="G419" i="4"/>
  <c r="H419" i="4"/>
  <c r="I419" i="4"/>
  <c r="J419" i="4"/>
  <c r="L419" i="4"/>
  <c r="M419" i="4"/>
  <c r="N419" i="4"/>
  <c r="O419" i="4"/>
  <c r="P419" i="4"/>
  <c r="Q419" i="4"/>
  <c r="R419" i="4"/>
  <c r="S419" i="4"/>
  <c r="T419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E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D349" i="4"/>
  <c r="E349" i="4"/>
  <c r="F349" i="4"/>
  <c r="G349" i="4"/>
  <c r="H349" i="4"/>
  <c r="I349" i="4"/>
  <c r="J349" i="4"/>
  <c r="L349" i="4"/>
  <c r="M349" i="4"/>
  <c r="N349" i="4"/>
  <c r="O349" i="4"/>
  <c r="P349" i="4"/>
  <c r="Q349" i="4"/>
  <c r="R349" i="4"/>
  <c r="S349" i="4"/>
  <c r="T349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E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E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L197" i="4"/>
  <c r="M197" i="4"/>
  <c r="N197" i="4"/>
  <c r="O197" i="4"/>
  <c r="P197" i="4"/>
  <c r="Q197" i="4"/>
  <c r="R197" i="4"/>
  <c r="S197" i="4"/>
  <c r="T197" i="4"/>
  <c r="D197" i="4"/>
  <c r="E197" i="4"/>
  <c r="F197" i="4"/>
  <c r="G197" i="4"/>
  <c r="H197" i="4"/>
  <c r="I197" i="4"/>
  <c r="J197" i="4"/>
  <c r="K197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D183" i="4"/>
  <c r="E183" i="4"/>
  <c r="F183" i="4"/>
  <c r="G183" i="4"/>
  <c r="H183" i="4"/>
  <c r="I183" i="4"/>
  <c r="K183" i="4"/>
  <c r="L183" i="4"/>
  <c r="M183" i="4"/>
  <c r="N183" i="4"/>
  <c r="O183" i="4"/>
  <c r="P183" i="4"/>
  <c r="Q183" i="4"/>
  <c r="R183" i="4"/>
  <c r="S183" i="4"/>
  <c r="T183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T179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E162" i="4"/>
  <c r="F162" i="4"/>
  <c r="G162" i="4"/>
  <c r="H162" i="4"/>
  <c r="I162" i="4"/>
  <c r="K162" i="4"/>
  <c r="L162" i="4"/>
  <c r="M162" i="4"/>
  <c r="N162" i="4"/>
  <c r="O162" i="4"/>
  <c r="P162" i="4"/>
  <c r="Q162" i="4"/>
  <c r="R162" i="4"/>
  <c r="S162" i="4"/>
  <c r="T162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T141" i="4"/>
  <c r="E138" i="4"/>
  <c r="F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D65" i="4"/>
  <c r="E65" i="4"/>
  <c r="F65" i="4"/>
  <c r="G65" i="4"/>
  <c r="H65" i="4"/>
  <c r="I65" i="4"/>
  <c r="J65" i="4"/>
  <c r="L65" i="4"/>
  <c r="N65" i="4"/>
  <c r="O65" i="4"/>
  <c r="P65" i="4"/>
  <c r="Q65" i="4"/>
  <c r="R65" i="4"/>
  <c r="S65" i="4"/>
  <c r="T65" i="4"/>
  <c r="E61" i="4"/>
  <c r="I61" i="4"/>
  <c r="J61" i="4"/>
  <c r="L61" i="4"/>
  <c r="M61" i="4"/>
  <c r="N61" i="4"/>
  <c r="O61" i="4"/>
  <c r="P61" i="4"/>
  <c r="Q61" i="4"/>
  <c r="R61" i="4"/>
  <c r="S61" i="4"/>
  <c r="T61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U1095" i="6"/>
  <c r="V1095" i="6"/>
  <c r="D1073" i="6"/>
  <c r="E1073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D1066" i="6"/>
  <c r="E1066" i="6"/>
  <c r="F1066" i="6"/>
  <c r="G1066" i="6"/>
  <c r="H1066" i="6"/>
  <c r="I1066" i="6"/>
  <c r="J1066" i="6"/>
  <c r="K1066" i="6"/>
  <c r="L1066" i="6"/>
  <c r="M1066" i="6"/>
  <c r="N1066" i="6"/>
  <c r="O1066" i="6"/>
  <c r="P1066" i="6"/>
  <c r="Q1066" i="6"/>
  <c r="S1066" i="6"/>
  <c r="T1066" i="6"/>
  <c r="U1066" i="6"/>
  <c r="V1066" i="6"/>
  <c r="W1066" i="6"/>
  <c r="D1055" i="6"/>
  <c r="E1055" i="6"/>
  <c r="F1055" i="6"/>
  <c r="G1055" i="6"/>
  <c r="H1055" i="6"/>
  <c r="I1055" i="6"/>
  <c r="J1055" i="6"/>
  <c r="K1055" i="6"/>
  <c r="L1055" i="6"/>
  <c r="M1055" i="6"/>
  <c r="N1055" i="6"/>
  <c r="O1055" i="6"/>
  <c r="P1055" i="6"/>
  <c r="Q1055" i="6"/>
  <c r="R1055" i="6"/>
  <c r="S1055" i="6"/>
  <c r="T1055" i="6"/>
  <c r="U1055" i="6"/>
  <c r="V1055" i="6"/>
  <c r="W1055" i="6"/>
  <c r="D1052" i="6"/>
  <c r="E1052" i="6"/>
  <c r="F1052" i="6"/>
  <c r="G1052" i="6"/>
  <c r="H1052" i="6"/>
  <c r="I1052" i="6"/>
  <c r="J1052" i="6"/>
  <c r="K1052" i="6"/>
  <c r="L1052" i="6"/>
  <c r="M1052" i="6"/>
  <c r="N1052" i="6"/>
  <c r="O1052" i="6"/>
  <c r="P1052" i="6"/>
  <c r="Q1052" i="6"/>
  <c r="R1052" i="6"/>
  <c r="S1052" i="6"/>
  <c r="T1052" i="6"/>
  <c r="U1052" i="6"/>
  <c r="V1052" i="6"/>
  <c r="W1052" i="6"/>
  <c r="D1048" i="6"/>
  <c r="E1048" i="6"/>
  <c r="F1048" i="6"/>
  <c r="G1048" i="6"/>
  <c r="H1048" i="6"/>
  <c r="I1048" i="6"/>
  <c r="J1048" i="6"/>
  <c r="K1048" i="6"/>
  <c r="L1048" i="6"/>
  <c r="M1048" i="6"/>
  <c r="N1048" i="6"/>
  <c r="O1048" i="6"/>
  <c r="P1048" i="6"/>
  <c r="Q1048" i="6"/>
  <c r="R1048" i="6"/>
  <c r="S1048" i="6"/>
  <c r="T1048" i="6"/>
  <c r="U1048" i="6"/>
  <c r="V1048" i="6"/>
  <c r="W1048" i="6"/>
  <c r="D1040" i="6"/>
  <c r="E1040" i="6"/>
  <c r="F1040" i="6"/>
  <c r="G1040" i="6"/>
  <c r="H1040" i="6"/>
  <c r="I1040" i="6"/>
  <c r="J1040" i="6"/>
  <c r="K1040" i="6"/>
  <c r="L1040" i="6"/>
  <c r="M1040" i="6"/>
  <c r="N1040" i="6"/>
  <c r="O1040" i="6"/>
  <c r="P1040" i="6"/>
  <c r="Q1040" i="6"/>
  <c r="R1040" i="6"/>
  <c r="S1040" i="6"/>
  <c r="T1040" i="6"/>
  <c r="U1040" i="6"/>
  <c r="V1040" i="6"/>
  <c r="D1033" i="6"/>
  <c r="E1033" i="6"/>
  <c r="F1033" i="6"/>
  <c r="G1033" i="6"/>
  <c r="H1033" i="6"/>
  <c r="I1033" i="6"/>
  <c r="J1033" i="6"/>
  <c r="K1033" i="6"/>
  <c r="L1033" i="6"/>
  <c r="M1033" i="6"/>
  <c r="N1033" i="6"/>
  <c r="O1033" i="6"/>
  <c r="P1033" i="6"/>
  <c r="Q1033" i="6"/>
  <c r="R1033" i="6"/>
  <c r="S1033" i="6"/>
  <c r="T1033" i="6"/>
  <c r="U1033" i="6"/>
  <c r="V1033" i="6"/>
  <c r="W1033" i="6"/>
  <c r="D1012" i="6"/>
  <c r="E1012" i="6"/>
  <c r="F1012" i="6"/>
  <c r="G1012" i="6"/>
  <c r="H1012" i="6"/>
  <c r="H1034" i="6" s="1"/>
  <c r="I1012" i="6"/>
  <c r="J1012" i="6"/>
  <c r="K1012" i="6"/>
  <c r="L1012" i="6"/>
  <c r="M1012" i="6"/>
  <c r="M1034" i="6" s="1"/>
  <c r="O1012" i="6"/>
  <c r="Q1012" i="6"/>
  <c r="R1012" i="6"/>
  <c r="S1012" i="6"/>
  <c r="T1012" i="6"/>
  <c r="U1012" i="6"/>
  <c r="V1012" i="6"/>
  <c r="D961" i="6"/>
  <c r="E961" i="6"/>
  <c r="F961" i="6"/>
  <c r="G961" i="6"/>
  <c r="H961" i="6"/>
  <c r="I961" i="6"/>
  <c r="J961" i="6"/>
  <c r="K961" i="6"/>
  <c r="L961" i="6"/>
  <c r="M961" i="6"/>
  <c r="N961" i="6"/>
  <c r="O961" i="6"/>
  <c r="P961" i="6"/>
  <c r="Q961" i="6"/>
  <c r="R961" i="6"/>
  <c r="S961" i="6"/>
  <c r="T961" i="6"/>
  <c r="U961" i="6"/>
  <c r="V961" i="6"/>
  <c r="D852" i="6"/>
  <c r="D853" i="6" s="1"/>
  <c r="E852" i="6"/>
  <c r="E853" i="6" s="1"/>
  <c r="F852" i="6"/>
  <c r="F853" i="6" s="1"/>
  <c r="G852" i="6"/>
  <c r="G853" i="6" s="1"/>
  <c r="H852" i="6"/>
  <c r="H853" i="6" s="1"/>
  <c r="I852" i="6"/>
  <c r="I853" i="6" s="1"/>
  <c r="J852" i="6"/>
  <c r="J853" i="6" s="1"/>
  <c r="K852" i="6"/>
  <c r="K853" i="6" s="1"/>
  <c r="L852" i="6"/>
  <c r="L853" i="6" s="1"/>
  <c r="M852" i="6"/>
  <c r="M853" i="6" s="1"/>
  <c r="N852" i="6"/>
  <c r="N853" i="6" s="1"/>
  <c r="O852" i="6"/>
  <c r="O853" i="6" s="1"/>
  <c r="P852" i="6"/>
  <c r="P853" i="6" s="1"/>
  <c r="Q852" i="6"/>
  <c r="Q853" i="6" s="1"/>
  <c r="S852" i="6"/>
  <c r="S853" i="6" s="1"/>
  <c r="T852" i="6"/>
  <c r="T853" i="6" s="1"/>
  <c r="U852" i="6"/>
  <c r="U853" i="6" s="1"/>
  <c r="V852" i="6"/>
  <c r="V853" i="6" s="1"/>
  <c r="W852" i="6"/>
  <c r="W853" i="6" s="1"/>
  <c r="D837" i="6"/>
  <c r="E837" i="6"/>
  <c r="F837" i="6"/>
  <c r="G837" i="6"/>
  <c r="H837" i="6"/>
  <c r="I837" i="6"/>
  <c r="J837" i="6"/>
  <c r="K837" i="6"/>
  <c r="L837" i="6"/>
  <c r="M837" i="6"/>
  <c r="N837" i="6"/>
  <c r="O837" i="6"/>
  <c r="P837" i="6"/>
  <c r="Q837" i="6"/>
  <c r="R837" i="6"/>
  <c r="S837" i="6"/>
  <c r="T837" i="6"/>
  <c r="U837" i="6"/>
  <c r="V837" i="6"/>
  <c r="W837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D797" i="6"/>
  <c r="E797" i="6"/>
  <c r="F797" i="6"/>
  <c r="G797" i="6"/>
  <c r="H797" i="6"/>
  <c r="I797" i="6"/>
  <c r="J797" i="6"/>
  <c r="K797" i="6"/>
  <c r="L797" i="6"/>
  <c r="M797" i="6"/>
  <c r="N797" i="6"/>
  <c r="O797" i="6"/>
  <c r="P797" i="6"/>
  <c r="Q797" i="6"/>
  <c r="S797" i="6"/>
  <c r="T797" i="6"/>
  <c r="U797" i="6"/>
  <c r="V797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D763" i="6"/>
  <c r="E763" i="6"/>
  <c r="F763" i="6"/>
  <c r="G763" i="6"/>
  <c r="H763" i="6"/>
  <c r="I763" i="6"/>
  <c r="J763" i="6"/>
  <c r="K763" i="6"/>
  <c r="L763" i="6"/>
  <c r="M763" i="6"/>
  <c r="N763" i="6"/>
  <c r="O763" i="6"/>
  <c r="P763" i="6"/>
  <c r="Q763" i="6"/>
  <c r="R763" i="6"/>
  <c r="S763" i="6"/>
  <c r="T763" i="6"/>
  <c r="U763" i="6"/>
  <c r="V763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D729" i="6"/>
  <c r="E729" i="6"/>
  <c r="F729" i="6"/>
  <c r="G729" i="6"/>
  <c r="H729" i="6"/>
  <c r="I729" i="6"/>
  <c r="J729" i="6"/>
  <c r="K729" i="6"/>
  <c r="L729" i="6"/>
  <c r="M729" i="6"/>
  <c r="N729" i="6"/>
  <c r="O729" i="6"/>
  <c r="P729" i="6"/>
  <c r="Q729" i="6"/>
  <c r="R729" i="6"/>
  <c r="S729" i="6"/>
  <c r="T729" i="6"/>
  <c r="U729" i="6"/>
  <c r="V729" i="6"/>
  <c r="W72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D654" i="6"/>
  <c r="E654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U654" i="6"/>
  <c r="V654" i="6"/>
  <c r="W654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S643" i="6"/>
  <c r="T643" i="6"/>
  <c r="V643" i="6"/>
  <c r="W643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T600" i="6"/>
  <c r="U600" i="6"/>
  <c r="V600" i="6"/>
  <c r="W600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D554" i="6"/>
  <c r="E554" i="6"/>
  <c r="F554" i="6"/>
  <c r="G554" i="6"/>
  <c r="H554" i="6"/>
  <c r="I554" i="6"/>
  <c r="J554" i="6"/>
  <c r="K554" i="6"/>
  <c r="L554" i="6"/>
  <c r="M554" i="6"/>
  <c r="O554" i="6"/>
  <c r="P554" i="6"/>
  <c r="Q554" i="6"/>
  <c r="S554" i="6"/>
  <c r="T554" i="6"/>
  <c r="V554" i="6"/>
  <c r="W554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S512" i="6"/>
  <c r="T512" i="6"/>
  <c r="U512" i="6"/>
  <c r="V512" i="6"/>
  <c r="W512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S398" i="6"/>
  <c r="T398" i="6"/>
  <c r="U398" i="6"/>
  <c r="V398" i="6"/>
  <c r="W398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S360" i="6"/>
  <c r="T360" i="6"/>
  <c r="U360" i="6"/>
  <c r="V360" i="6"/>
  <c r="W360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S229" i="6"/>
  <c r="T229" i="6"/>
  <c r="U229" i="6"/>
  <c r="V229" i="6"/>
  <c r="W229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S224" i="6"/>
  <c r="T224" i="6"/>
  <c r="U224" i="6"/>
  <c r="V224" i="6"/>
  <c r="W224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R139" i="6"/>
  <c r="S139" i="6"/>
  <c r="T139" i="6"/>
  <c r="U139" i="6"/>
  <c r="V139" i="6"/>
  <c r="W139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E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V96" i="6"/>
  <c r="W96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S77" i="6"/>
  <c r="T77" i="6"/>
  <c r="U77" i="6"/>
  <c r="V77" i="6"/>
  <c r="W77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S73" i="6"/>
  <c r="T73" i="6"/>
  <c r="U73" i="6"/>
  <c r="V73" i="6"/>
  <c r="W73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S68" i="6"/>
  <c r="T68" i="6"/>
  <c r="U68" i="6"/>
  <c r="V68" i="6"/>
  <c r="W68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S54" i="6"/>
  <c r="T54" i="6"/>
  <c r="U54" i="6"/>
  <c r="V54" i="6"/>
  <c r="W54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S30" i="6"/>
  <c r="T30" i="6"/>
  <c r="U30" i="6"/>
  <c r="V30" i="6"/>
  <c r="W30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S27" i="6"/>
  <c r="T27" i="6"/>
  <c r="U27" i="6"/>
  <c r="V27" i="6"/>
  <c r="W27" i="6"/>
  <c r="D27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D14" i="6"/>
  <c r="H3206" i="2"/>
  <c r="G3206" i="2"/>
  <c r="H3179" i="2"/>
  <c r="G3179" i="2"/>
  <c r="H2968" i="2"/>
  <c r="G2968" i="2"/>
  <c r="H2958" i="2"/>
  <c r="G2958" i="2"/>
  <c r="H2493" i="2"/>
  <c r="G2493" i="2"/>
  <c r="H2480" i="2"/>
  <c r="G2480" i="2"/>
  <c r="H2474" i="2"/>
  <c r="G2474" i="2"/>
  <c r="H2462" i="2"/>
  <c r="G2462" i="2"/>
  <c r="H2465" i="2"/>
  <c r="G2465" i="2"/>
  <c r="H2448" i="2"/>
  <c r="G2448" i="2"/>
  <c r="H2445" i="2"/>
  <c r="G2445" i="2"/>
  <c r="H2439" i="2"/>
  <c r="G2439" i="2"/>
  <c r="H2434" i="2"/>
  <c r="G2434" i="2"/>
  <c r="H2411" i="2"/>
  <c r="G2411" i="2"/>
  <c r="H2399" i="2"/>
  <c r="G2399" i="2"/>
  <c r="H2335" i="2"/>
  <c r="G2335" i="2"/>
  <c r="H2332" i="2"/>
  <c r="G2332" i="2"/>
  <c r="H2314" i="2"/>
  <c r="G2314" i="2"/>
  <c r="H2285" i="2"/>
  <c r="G2285" i="2"/>
  <c r="H2198" i="2"/>
  <c r="G2198" i="2"/>
  <c r="H2275" i="2"/>
  <c r="G2275" i="2"/>
  <c r="H2265" i="2"/>
  <c r="G2265" i="2"/>
  <c r="G2259" i="2"/>
  <c r="H2250" i="2"/>
  <c r="G2250" i="2"/>
  <c r="H2246" i="2"/>
  <c r="G2246" i="2"/>
  <c r="G2231" i="2"/>
  <c r="H2231" i="2"/>
  <c r="H2221" i="2"/>
  <c r="G2221" i="2"/>
  <c r="H2208" i="2"/>
  <c r="G2208" i="2"/>
  <c r="H2205" i="2"/>
  <c r="G2205" i="2"/>
  <c r="H2184" i="2"/>
  <c r="G2184" i="2"/>
  <c r="H2178" i="2"/>
  <c r="G2178" i="2"/>
  <c r="H2170" i="2"/>
  <c r="G2170" i="2"/>
  <c r="H2155" i="2"/>
  <c r="G2155" i="2"/>
  <c r="H1977" i="2"/>
  <c r="G1977" i="2"/>
  <c r="H1926" i="2"/>
  <c r="G1926" i="2"/>
  <c r="H1917" i="2"/>
  <c r="G1917" i="2"/>
  <c r="H1905" i="2"/>
  <c r="G1905" i="2"/>
  <c r="G1898" i="2"/>
  <c r="G1894" i="2"/>
  <c r="H1894" i="2"/>
  <c r="H1884" i="2"/>
  <c r="G1884" i="2"/>
  <c r="H1839" i="2"/>
  <c r="G1839" i="2"/>
  <c r="H1832" i="2"/>
  <c r="G1832" i="2"/>
  <c r="H1113" i="2"/>
  <c r="G1113" i="2"/>
  <c r="H1086" i="2"/>
  <c r="G1086" i="2"/>
  <c r="H1063" i="2"/>
  <c r="G1063" i="2"/>
  <c r="G1060" i="2"/>
  <c r="H1060" i="2"/>
  <c r="H987" i="2"/>
  <c r="G987" i="2"/>
  <c r="H983" i="2"/>
  <c r="G983" i="2"/>
  <c r="H960" i="2"/>
  <c r="G960" i="2"/>
  <c r="H903" i="2"/>
  <c r="G903" i="2"/>
  <c r="H766" i="2"/>
  <c r="G766" i="2"/>
  <c r="H760" i="2"/>
  <c r="G760" i="2"/>
  <c r="H735" i="2"/>
  <c r="G735" i="2"/>
  <c r="H728" i="2"/>
  <c r="G728" i="2"/>
  <c r="H723" i="2"/>
  <c r="G723" i="2"/>
  <c r="H656" i="2"/>
  <c r="G656" i="2"/>
  <c r="H648" i="2"/>
  <c r="G648" i="2"/>
  <c r="H644" i="2"/>
  <c r="G644" i="2"/>
  <c r="H634" i="2"/>
  <c r="G634" i="2"/>
  <c r="H591" i="2"/>
  <c r="G591" i="2"/>
  <c r="H556" i="2"/>
  <c r="G556" i="2"/>
  <c r="G549" i="2"/>
  <c r="H545" i="2"/>
  <c r="G545" i="2"/>
  <c r="H516" i="2"/>
  <c r="G516" i="2"/>
  <c r="H463" i="2"/>
  <c r="G463" i="2"/>
  <c r="H454" i="2"/>
  <c r="G454" i="2"/>
  <c r="H442" i="2"/>
  <c r="G442" i="2"/>
  <c r="H436" i="2"/>
  <c r="G436" i="2"/>
  <c r="H429" i="2"/>
  <c r="G429" i="2"/>
  <c r="H424" i="2"/>
  <c r="G424" i="2"/>
  <c r="H411" i="2"/>
  <c r="G411" i="2"/>
  <c r="H307" i="2"/>
  <c r="G307" i="2"/>
  <c r="H289" i="2"/>
  <c r="G289" i="2"/>
  <c r="H284" i="2"/>
  <c r="G284" i="2"/>
  <c r="H268" i="2"/>
  <c r="G268" i="2"/>
  <c r="H257" i="2"/>
  <c r="G257" i="2"/>
  <c r="H1584" i="2"/>
  <c r="G1584" i="2"/>
  <c r="H1570" i="2"/>
  <c r="G1570" i="2"/>
  <c r="H1566" i="2"/>
  <c r="G1566" i="2"/>
  <c r="H1560" i="2"/>
  <c r="G1560" i="2"/>
  <c r="H1557" i="2"/>
  <c r="G1557" i="2"/>
  <c r="H1554" i="2"/>
  <c r="G1554" i="2"/>
  <c r="H1551" i="2"/>
  <c r="G1551" i="2"/>
  <c r="H1548" i="2"/>
  <c r="G1548" i="2"/>
  <c r="H1540" i="2"/>
  <c r="G1540" i="2"/>
  <c r="H1534" i="2"/>
  <c r="G1534" i="2"/>
  <c r="H1526" i="2"/>
  <c r="G1526" i="2"/>
  <c r="H1166" i="2"/>
  <c r="G1166" i="2"/>
  <c r="H1148" i="2"/>
  <c r="G1148" i="2"/>
  <c r="H1136" i="2"/>
  <c r="G1136" i="2"/>
  <c r="H1131" i="2"/>
  <c r="G1131" i="2"/>
  <c r="H1638" i="2"/>
  <c r="G1638" i="2"/>
  <c r="H1629" i="2"/>
  <c r="G1629" i="2"/>
  <c r="H1626" i="2"/>
  <c r="G1626" i="2"/>
  <c r="H1594" i="2"/>
  <c r="G1594" i="2"/>
  <c r="H1645" i="2"/>
  <c r="H1718" i="2"/>
  <c r="G1718" i="2"/>
  <c r="G1706" i="2"/>
  <c r="H1697" i="2"/>
  <c r="G1697" i="2"/>
  <c r="G1659" i="2"/>
  <c r="G1645" i="2"/>
  <c r="H2148" i="2"/>
  <c r="G2148" i="2"/>
  <c r="H2143" i="2"/>
  <c r="G2143" i="2"/>
  <c r="H1982" i="2"/>
  <c r="G1982" i="2"/>
  <c r="H2526" i="2"/>
  <c r="G2526" i="2"/>
  <c r="H2515" i="2"/>
  <c r="G2515" i="2"/>
  <c r="H2509" i="2"/>
  <c r="G2509" i="2"/>
  <c r="H2502" i="2"/>
  <c r="G2502" i="2"/>
  <c r="G2671" i="2"/>
  <c r="H2640" i="2"/>
  <c r="G2640" i="2"/>
  <c r="G2614" i="2"/>
  <c r="H2603" i="2"/>
  <c r="G2603" i="2"/>
  <c r="H2573" i="2"/>
  <c r="G2573" i="2"/>
  <c r="H2560" i="2"/>
  <c r="G2560" i="2"/>
  <c r="H2553" i="2"/>
  <c r="H2545" i="2"/>
  <c r="G2545" i="2"/>
  <c r="G2688" i="2"/>
  <c r="H2794" i="2"/>
  <c r="G2794" i="2"/>
  <c r="H2688" i="2"/>
  <c r="G2676" i="2"/>
  <c r="H2950" i="2"/>
  <c r="G2950" i="2"/>
  <c r="H3378" i="2"/>
  <c r="G3378" i="2"/>
  <c r="H3340" i="2"/>
  <c r="G3340" i="2"/>
  <c r="H3324" i="2"/>
  <c r="G3324" i="2"/>
  <c r="H3317" i="2"/>
  <c r="G3295" i="2"/>
  <c r="G3285" i="2"/>
  <c r="G3271" i="2"/>
  <c r="H3271" i="2"/>
  <c r="G3263" i="2"/>
  <c r="H3258" i="2"/>
  <c r="G3258" i="2"/>
  <c r="H209" i="2"/>
  <c r="G209" i="2"/>
  <c r="H190" i="2"/>
  <c r="G190" i="2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3" i="2" s="1"/>
  <c r="A124" i="2" s="1"/>
  <c r="A127" i="2" s="1"/>
  <c r="H175" i="2"/>
  <c r="H163" i="2"/>
  <c r="H150" i="2"/>
  <c r="H145" i="2"/>
  <c r="G145" i="2"/>
  <c r="G125" i="2"/>
  <c r="H121" i="2"/>
  <c r="G121" i="2"/>
  <c r="T864" i="5" l="1"/>
  <c r="P864" i="5"/>
  <c r="L864" i="5"/>
  <c r="H864" i="5"/>
  <c r="S864" i="5"/>
  <c r="O864" i="5"/>
  <c r="K864" i="5"/>
  <c r="V864" i="5"/>
  <c r="R864" i="5"/>
  <c r="N864" i="5"/>
  <c r="J864" i="5"/>
  <c r="F864" i="5"/>
  <c r="E864" i="5"/>
  <c r="G864" i="5"/>
  <c r="G1118" i="2"/>
  <c r="H1118" i="2"/>
  <c r="F1034" i="6"/>
  <c r="S55" i="6"/>
  <c r="O55" i="6"/>
  <c r="K55" i="6"/>
  <c r="G55" i="6"/>
  <c r="V55" i="6"/>
  <c r="N55" i="6"/>
  <c r="J55" i="6"/>
  <c r="F55" i="6"/>
  <c r="U55" i="6"/>
  <c r="Q55" i="6"/>
  <c r="M55" i="6"/>
  <c r="I55" i="6"/>
  <c r="E55" i="6"/>
  <c r="T55" i="6"/>
  <c r="P55" i="6"/>
  <c r="L55" i="6"/>
  <c r="H55" i="6"/>
  <c r="D55" i="6"/>
  <c r="S189" i="5"/>
  <c r="O189" i="5"/>
  <c r="V189" i="5"/>
  <c r="R189" i="5"/>
  <c r="J189" i="5"/>
  <c r="F189" i="5"/>
  <c r="U189" i="5"/>
  <c r="Q189" i="5"/>
  <c r="M189" i="5"/>
  <c r="I189" i="5"/>
  <c r="E189" i="5"/>
  <c r="T189" i="5"/>
  <c r="P189" i="5"/>
  <c r="L189" i="5"/>
  <c r="H189" i="5"/>
  <c r="K189" i="5"/>
  <c r="G189" i="5"/>
  <c r="P90" i="4"/>
  <c r="L90" i="4"/>
  <c r="G90" i="4"/>
  <c r="R90" i="4"/>
  <c r="N90" i="4"/>
  <c r="J90" i="4"/>
  <c r="I90" i="4"/>
  <c r="E90" i="4"/>
  <c r="Q90" i="4"/>
  <c r="M90" i="4"/>
  <c r="H90" i="4"/>
  <c r="S90" i="4"/>
  <c r="O90" i="4"/>
  <c r="K90" i="4"/>
  <c r="F90" i="4"/>
  <c r="G241" i="2"/>
  <c r="V844" i="6"/>
  <c r="J844" i="6"/>
  <c r="F844" i="6"/>
  <c r="Q844" i="6"/>
  <c r="M844" i="6"/>
  <c r="I844" i="6"/>
  <c r="E844" i="6"/>
  <c r="U844" i="6"/>
  <c r="T844" i="6"/>
  <c r="P844" i="6"/>
  <c r="L844" i="6"/>
  <c r="H844" i="6"/>
  <c r="S844" i="6"/>
  <c r="O844" i="6"/>
  <c r="K844" i="6"/>
  <c r="G844" i="6"/>
  <c r="L1034" i="6"/>
  <c r="J1034" i="6"/>
  <c r="I1034" i="6"/>
  <c r="G1034" i="6"/>
  <c r="K1034" i="6"/>
  <c r="G761" i="2"/>
  <c r="R645" i="4"/>
  <c r="N645" i="4"/>
  <c r="J645" i="4"/>
  <c r="I645" i="4"/>
  <c r="E645" i="4"/>
  <c r="M1906" i="5"/>
  <c r="V1906" i="5"/>
  <c r="R1906" i="5"/>
  <c r="J1906" i="5"/>
  <c r="U1906" i="5"/>
  <c r="T1906" i="5"/>
  <c r="P1906" i="5"/>
  <c r="L1906" i="5"/>
  <c r="H1906" i="5"/>
  <c r="Q1906" i="5"/>
  <c r="S1906" i="5"/>
  <c r="O1906" i="5"/>
  <c r="K1906" i="5"/>
  <c r="Q645" i="4"/>
  <c r="M645" i="4"/>
  <c r="H645" i="4"/>
  <c r="P645" i="4"/>
  <c r="T645" i="4"/>
  <c r="L645" i="4"/>
  <c r="G645" i="4"/>
  <c r="S645" i="4"/>
  <c r="O645" i="4"/>
  <c r="K645" i="4"/>
  <c r="F645" i="4"/>
  <c r="Q379" i="4"/>
  <c r="M379" i="4"/>
  <c r="H379" i="4"/>
  <c r="R379" i="4"/>
  <c r="N379" i="4"/>
  <c r="J379" i="4"/>
  <c r="I379" i="4"/>
  <c r="E379" i="4"/>
  <c r="E1034" i="6"/>
  <c r="E1805" i="5"/>
  <c r="T1372" i="5"/>
  <c r="P1372" i="5"/>
  <c r="L1372" i="5"/>
  <c r="H1372" i="5"/>
  <c r="R1805" i="5"/>
  <c r="N1805" i="5"/>
  <c r="J1805" i="5"/>
  <c r="S2246" i="5"/>
  <c r="O2246" i="5"/>
  <c r="K2246" i="5"/>
  <c r="S1372" i="5"/>
  <c r="O1372" i="5"/>
  <c r="K1372" i="5"/>
  <c r="G1372" i="5"/>
  <c r="U1805" i="5"/>
  <c r="Q1805" i="5"/>
  <c r="M1805" i="5"/>
  <c r="I1805" i="5"/>
  <c r="V2246" i="5"/>
  <c r="R2246" i="5"/>
  <c r="J2246" i="5"/>
  <c r="G2246" i="5"/>
  <c r="T379" i="4"/>
  <c r="P379" i="4"/>
  <c r="L379" i="4"/>
  <c r="G379" i="4"/>
  <c r="K342" i="4"/>
  <c r="P342" i="4"/>
  <c r="L342" i="4"/>
  <c r="G342" i="4"/>
  <c r="C231" i="4"/>
  <c r="R342" i="4"/>
  <c r="N342" i="4"/>
  <c r="J342" i="4"/>
  <c r="I342" i="4"/>
  <c r="E342" i="4"/>
  <c r="S342" i="4"/>
  <c r="O342" i="4"/>
  <c r="F342" i="4"/>
  <c r="Q342" i="4"/>
  <c r="M342" i="4"/>
  <c r="H342" i="4"/>
  <c r="S379" i="4"/>
  <c r="O379" i="4"/>
  <c r="K379" i="4"/>
  <c r="U572" i="5"/>
  <c r="Q572" i="5"/>
  <c r="I572" i="5"/>
  <c r="E572" i="5"/>
  <c r="U1372" i="5"/>
  <c r="Q1372" i="5"/>
  <c r="M1372" i="5"/>
  <c r="I1372" i="5"/>
  <c r="E1372" i="5"/>
  <c r="S1805" i="5"/>
  <c r="O1805" i="5"/>
  <c r="K1805" i="5"/>
  <c r="U2028" i="5"/>
  <c r="Q2028" i="5"/>
  <c r="K2028" i="5"/>
  <c r="G2028" i="5"/>
  <c r="T2246" i="5"/>
  <c r="P2246" i="5"/>
  <c r="H2246" i="5"/>
  <c r="T572" i="5"/>
  <c r="P572" i="5"/>
  <c r="L572" i="5"/>
  <c r="H572" i="5"/>
  <c r="T2028" i="5"/>
  <c r="O2028" i="5"/>
  <c r="J2028" i="5"/>
  <c r="F2028" i="5"/>
  <c r="S572" i="5"/>
  <c r="K572" i="5"/>
  <c r="G572" i="5"/>
  <c r="S2028" i="5"/>
  <c r="M2028" i="5"/>
  <c r="V572" i="5"/>
  <c r="R572" i="5"/>
  <c r="N572" i="5"/>
  <c r="J572" i="5"/>
  <c r="F572" i="5"/>
  <c r="R1372" i="5"/>
  <c r="N1372" i="5"/>
  <c r="J1372" i="5"/>
  <c r="T1805" i="5"/>
  <c r="P1805" i="5"/>
  <c r="L1805" i="5"/>
  <c r="H1805" i="5"/>
  <c r="V2028" i="5"/>
  <c r="R2028" i="5"/>
  <c r="L2028" i="5"/>
  <c r="H2028" i="5"/>
  <c r="U2246" i="5"/>
  <c r="Q2246" i="5"/>
  <c r="M2246" i="5"/>
  <c r="G176" i="2"/>
  <c r="D1034" i="6"/>
  <c r="R621" i="4"/>
  <c r="N621" i="4"/>
  <c r="J621" i="4"/>
  <c r="I621" i="4"/>
  <c r="E621" i="4"/>
  <c r="N257" i="4"/>
  <c r="T406" i="6"/>
  <c r="L406" i="6"/>
  <c r="W442" i="6"/>
  <c r="J723" i="4"/>
  <c r="O355" i="4"/>
  <c r="F470" i="4"/>
  <c r="N470" i="4"/>
  <c r="D520" i="4"/>
  <c r="Q723" i="4"/>
  <c r="H723" i="4"/>
  <c r="P406" i="6"/>
  <c r="H406" i="6"/>
  <c r="U1034" i="6"/>
  <c r="Q1034" i="6"/>
  <c r="C520" i="4"/>
  <c r="V31" i="6"/>
  <c r="Q31" i="6"/>
  <c r="M31" i="6"/>
  <c r="I31" i="6"/>
  <c r="E31" i="6"/>
  <c r="S596" i="6"/>
  <c r="U764" i="6"/>
  <c r="Q764" i="6"/>
  <c r="M764" i="6"/>
  <c r="I764" i="6"/>
  <c r="E764" i="6"/>
  <c r="T1034" i="6"/>
  <c r="J470" i="4"/>
  <c r="S607" i="4"/>
  <c r="F767" i="4"/>
  <c r="M156" i="4"/>
  <c r="R66" i="4"/>
  <c r="N66" i="4"/>
  <c r="H257" i="4"/>
  <c r="Q257" i="4"/>
  <c r="M257" i="4"/>
  <c r="J257" i="4"/>
  <c r="I257" i="4"/>
  <c r="Q355" i="4"/>
  <c r="M355" i="4"/>
  <c r="K442" i="6"/>
  <c r="E156" i="4"/>
  <c r="W406" i="6"/>
  <c r="S406" i="6"/>
  <c r="O406" i="6"/>
  <c r="K406" i="6"/>
  <c r="G406" i="6"/>
  <c r="T596" i="6"/>
  <c r="P596" i="6"/>
  <c r="L596" i="6"/>
  <c r="H596" i="6"/>
  <c r="T649" i="6"/>
  <c r="P649" i="6"/>
  <c r="L649" i="6"/>
  <c r="H649" i="6"/>
  <c r="V764" i="6"/>
  <c r="R764" i="6"/>
  <c r="N764" i="6"/>
  <c r="J764" i="6"/>
  <c r="F764" i="6"/>
  <c r="V787" i="6"/>
  <c r="R787" i="6"/>
  <c r="N787" i="6"/>
  <c r="J787" i="6"/>
  <c r="F787" i="6"/>
  <c r="O1034" i="6"/>
  <c r="S1332" i="5"/>
  <c r="O1332" i="5"/>
  <c r="K1332" i="5"/>
  <c r="G1332" i="5"/>
  <c r="V1332" i="5"/>
  <c r="R1332" i="5"/>
  <c r="N1332" i="5"/>
  <c r="J1332" i="5"/>
  <c r="F1332" i="5"/>
  <c r="Q607" i="4"/>
  <c r="Q621" i="4"/>
  <c r="H621" i="4"/>
  <c r="Q66" i="4"/>
  <c r="I66" i="4"/>
  <c r="E66" i="4"/>
  <c r="R156" i="4"/>
  <c r="Q156" i="4"/>
  <c r="H156" i="4"/>
  <c r="L192" i="4"/>
  <c r="P355" i="4"/>
  <c r="L355" i="4"/>
  <c r="G355" i="4"/>
  <c r="S470" i="4"/>
  <c r="O470" i="4"/>
  <c r="I470" i="4"/>
  <c r="H355" i="4"/>
  <c r="I192" i="4"/>
  <c r="K257" i="4"/>
  <c r="S257" i="4"/>
  <c r="T66" i="4"/>
  <c r="P66" i="4"/>
  <c r="L66" i="4"/>
  <c r="S66" i="4"/>
  <c r="O66" i="4"/>
  <c r="M470" i="4"/>
  <c r="R470" i="4"/>
  <c r="P767" i="4"/>
  <c r="J767" i="4"/>
  <c r="M534" i="4"/>
  <c r="L534" i="4"/>
  <c r="O534" i="4"/>
  <c r="K534" i="4"/>
  <c r="F534" i="4"/>
  <c r="P621" i="4"/>
  <c r="L621" i="4"/>
  <c r="G621" i="4"/>
  <c r="T767" i="4"/>
  <c r="S767" i="4"/>
  <c r="O767" i="4"/>
  <c r="K767" i="4"/>
  <c r="O156" i="4"/>
  <c r="K156" i="4"/>
  <c r="F156" i="4"/>
  <c r="Q192" i="4"/>
  <c r="G192" i="4"/>
  <c r="O257" i="4"/>
  <c r="H470" i="4"/>
  <c r="P534" i="4"/>
  <c r="O607" i="4"/>
  <c r="K607" i="4"/>
  <c r="F607" i="4"/>
  <c r="L607" i="4"/>
  <c r="G607" i="4"/>
  <c r="S621" i="4"/>
  <c r="O621" i="4"/>
  <c r="K621" i="4"/>
  <c r="F621" i="4"/>
  <c r="S723" i="4"/>
  <c r="O723" i="4"/>
  <c r="K723" i="4"/>
  <c r="F723" i="4"/>
  <c r="R723" i="4"/>
  <c r="N723" i="4"/>
  <c r="I723" i="4"/>
  <c r="E723" i="4"/>
  <c r="N767" i="4"/>
  <c r="I767" i="4"/>
  <c r="G767" i="4"/>
  <c r="W31" i="6"/>
  <c r="V125" i="6"/>
  <c r="N125" i="6"/>
  <c r="U236" i="6"/>
  <c r="M236" i="6"/>
  <c r="E236" i="6"/>
  <c r="O383" i="6"/>
  <c r="G383" i="6"/>
  <c r="V442" i="6"/>
  <c r="R442" i="6"/>
  <c r="J442" i="6"/>
  <c r="S708" i="6"/>
  <c r="K708" i="6"/>
  <c r="S31" i="6"/>
  <c r="J125" i="6"/>
  <c r="I236" i="6"/>
  <c r="S383" i="6"/>
  <c r="K383" i="6"/>
  <c r="N442" i="6"/>
  <c r="F442" i="6"/>
  <c r="O708" i="6"/>
  <c r="G708" i="6"/>
  <c r="N192" i="4"/>
  <c r="E192" i="4"/>
  <c r="N534" i="4"/>
  <c r="I534" i="4"/>
  <c r="N156" i="4"/>
  <c r="J156" i="4"/>
  <c r="I156" i="4"/>
  <c r="M192" i="4"/>
  <c r="H192" i="4"/>
  <c r="P607" i="4"/>
  <c r="R192" i="4"/>
  <c r="R534" i="4"/>
  <c r="J534" i="4"/>
  <c r="E534" i="4"/>
  <c r="J66" i="4"/>
  <c r="P192" i="4"/>
  <c r="T192" i="4"/>
  <c r="R355" i="4"/>
  <c r="N355" i="4"/>
  <c r="J355" i="4"/>
  <c r="I355" i="4"/>
  <c r="E355" i="4"/>
  <c r="Q534" i="4"/>
  <c r="H534" i="4"/>
  <c r="M607" i="4"/>
  <c r="N31" i="6"/>
  <c r="F31" i="6"/>
  <c r="M125" i="6"/>
  <c r="T236" i="6"/>
  <c r="L236" i="6"/>
  <c r="V383" i="6"/>
  <c r="N383" i="6"/>
  <c r="F383" i="6"/>
  <c r="N406" i="6"/>
  <c r="F406" i="6"/>
  <c r="U442" i="6"/>
  <c r="Q442" i="6"/>
  <c r="I442" i="6"/>
  <c r="O596" i="6"/>
  <c r="G596" i="6"/>
  <c r="S649" i="6"/>
  <c r="K649" i="6"/>
  <c r="V708" i="6"/>
  <c r="R708" i="6"/>
  <c r="J708" i="6"/>
  <c r="U787" i="6"/>
  <c r="M787" i="6"/>
  <c r="I787" i="6"/>
  <c r="V1034" i="6"/>
  <c r="R1034" i="6"/>
  <c r="Q470" i="4"/>
  <c r="G534" i="4"/>
  <c r="R607" i="4"/>
  <c r="N607" i="4"/>
  <c r="J607" i="4"/>
  <c r="I607" i="4"/>
  <c r="E607" i="4"/>
  <c r="M723" i="4"/>
  <c r="R767" i="4"/>
  <c r="E767" i="4"/>
  <c r="Q767" i="4"/>
  <c r="M767" i="4"/>
  <c r="H767" i="4"/>
  <c r="G1639" i="2"/>
  <c r="D31" i="6"/>
  <c r="T31" i="6"/>
  <c r="O31" i="6"/>
  <c r="K31" i="6"/>
  <c r="G31" i="6"/>
  <c r="S125" i="6"/>
  <c r="O125" i="6"/>
  <c r="K125" i="6"/>
  <c r="V236" i="6"/>
  <c r="N236" i="6"/>
  <c r="J236" i="6"/>
  <c r="F236" i="6"/>
  <c r="T383" i="6"/>
  <c r="P383" i="6"/>
  <c r="L383" i="6"/>
  <c r="H383" i="6"/>
  <c r="D383" i="6"/>
  <c r="S442" i="6"/>
  <c r="O442" i="6"/>
  <c r="G442" i="6"/>
  <c r="Q596" i="6"/>
  <c r="M596" i="6"/>
  <c r="I596" i="6"/>
  <c r="E596" i="6"/>
  <c r="Q649" i="6"/>
  <c r="M649" i="6"/>
  <c r="I649" i="6"/>
  <c r="E649" i="6"/>
  <c r="T708" i="6"/>
  <c r="P708" i="6"/>
  <c r="L708" i="6"/>
  <c r="H708" i="6"/>
  <c r="S764" i="6"/>
  <c r="O764" i="6"/>
  <c r="K764" i="6"/>
  <c r="G764" i="6"/>
  <c r="S787" i="6"/>
  <c r="O787" i="6"/>
  <c r="K787" i="6"/>
  <c r="G787" i="6"/>
  <c r="T156" i="4"/>
  <c r="P156" i="4"/>
  <c r="L156" i="4"/>
  <c r="O192" i="4"/>
  <c r="K192" i="4"/>
  <c r="F192" i="4"/>
  <c r="E257" i="4"/>
  <c r="R257" i="4"/>
  <c r="S355" i="4"/>
  <c r="F355" i="4"/>
  <c r="P470" i="4"/>
  <c r="L470" i="4"/>
  <c r="G470" i="4"/>
  <c r="H607" i="4"/>
  <c r="M621" i="4"/>
  <c r="P723" i="4"/>
  <c r="L723" i="4"/>
  <c r="G723" i="4"/>
  <c r="L767" i="4"/>
  <c r="S135" i="5"/>
  <c r="J135" i="5"/>
  <c r="F135" i="5"/>
  <c r="J31" i="6"/>
  <c r="Q125" i="6"/>
  <c r="P236" i="6"/>
  <c r="H236" i="6"/>
  <c r="J383" i="6"/>
  <c r="V406" i="6"/>
  <c r="J406" i="6"/>
  <c r="M442" i="6"/>
  <c r="E442" i="6"/>
  <c r="K596" i="6"/>
  <c r="O649" i="6"/>
  <c r="G649" i="6"/>
  <c r="N708" i="6"/>
  <c r="F708" i="6"/>
  <c r="Q787" i="6"/>
  <c r="E787" i="6"/>
  <c r="H2527" i="2"/>
  <c r="U31" i="6"/>
  <c r="P31" i="6"/>
  <c r="L31" i="6"/>
  <c r="H31" i="6"/>
  <c r="T125" i="6"/>
  <c r="P125" i="6"/>
  <c r="L125" i="6"/>
  <c r="S236" i="6"/>
  <c r="O236" i="6"/>
  <c r="K236" i="6"/>
  <c r="G236" i="6"/>
  <c r="U383" i="6"/>
  <c r="Q383" i="6"/>
  <c r="M383" i="6"/>
  <c r="I383" i="6"/>
  <c r="E383" i="6"/>
  <c r="U406" i="6"/>
  <c r="Q406" i="6"/>
  <c r="M406" i="6"/>
  <c r="I406" i="6"/>
  <c r="E406" i="6"/>
  <c r="T442" i="6"/>
  <c r="P442" i="6"/>
  <c r="L442" i="6"/>
  <c r="H442" i="6"/>
  <c r="V596" i="6"/>
  <c r="J596" i="6"/>
  <c r="F596" i="6"/>
  <c r="V649" i="6"/>
  <c r="N649" i="6"/>
  <c r="J649" i="6"/>
  <c r="F649" i="6"/>
  <c r="U708" i="6"/>
  <c r="Q708" i="6"/>
  <c r="M708" i="6"/>
  <c r="I708" i="6"/>
  <c r="E708" i="6"/>
  <c r="T764" i="6"/>
  <c r="P764" i="6"/>
  <c r="L764" i="6"/>
  <c r="H764" i="6"/>
  <c r="T787" i="6"/>
  <c r="P787" i="6"/>
  <c r="L787" i="6"/>
  <c r="H787" i="6"/>
  <c r="S1034" i="6"/>
  <c r="G257" i="4"/>
  <c r="P257" i="4"/>
  <c r="L257" i="4"/>
  <c r="V135" i="5"/>
  <c r="U1332" i="5"/>
  <c r="Q1332" i="5"/>
  <c r="M1332" i="5"/>
  <c r="I1332" i="5"/>
  <c r="E1332" i="5"/>
  <c r="V2362" i="5"/>
  <c r="R2362" i="5"/>
  <c r="J2362" i="5"/>
  <c r="F2362" i="5"/>
  <c r="P2362" i="5"/>
  <c r="L2362" i="5"/>
  <c r="H2362" i="5"/>
  <c r="T1332" i="5"/>
  <c r="P1332" i="5"/>
  <c r="L1332" i="5"/>
  <c r="H1332" i="5"/>
  <c r="Q2362" i="5"/>
  <c r="M2362" i="5"/>
  <c r="I2362" i="5"/>
  <c r="T135" i="5"/>
  <c r="O135" i="5"/>
  <c r="K135" i="5"/>
  <c r="T353" i="5"/>
  <c r="L353" i="5"/>
  <c r="H353" i="5"/>
  <c r="S1293" i="5"/>
  <c r="O1293" i="5"/>
  <c r="K1293" i="5"/>
  <c r="S2362" i="5"/>
  <c r="O2362" i="5"/>
  <c r="K2362" i="5"/>
  <c r="G2362" i="5"/>
  <c r="U353" i="5"/>
  <c r="Q353" i="5"/>
  <c r="M353" i="5"/>
  <c r="S353" i="5"/>
  <c r="O353" i="5"/>
  <c r="K353" i="5"/>
  <c r="L1293" i="5"/>
  <c r="R135" i="5"/>
  <c r="M135" i="5"/>
  <c r="I135" i="5"/>
  <c r="E135" i="5"/>
  <c r="R353" i="5"/>
  <c r="J353" i="5"/>
  <c r="Q1293" i="5"/>
  <c r="M1293" i="5"/>
  <c r="U135" i="5"/>
  <c r="Q135" i="5"/>
  <c r="L135" i="5"/>
  <c r="T1293" i="5"/>
  <c r="H1293" i="5"/>
  <c r="T2362" i="5"/>
  <c r="V1293" i="5"/>
  <c r="J1293" i="5"/>
  <c r="D355" i="4"/>
  <c r="D406" i="6"/>
  <c r="D649" i="6"/>
  <c r="G1585" i="2"/>
  <c r="H1585" i="2"/>
  <c r="G464" i="2"/>
  <c r="H464" i="2"/>
  <c r="G1978" i="2"/>
  <c r="G2276" i="2"/>
  <c r="H2276" i="2"/>
  <c r="G2494" i="2"/>
  <c r="G3207" i="2"/>
  <c r="H3207" i="2"/>
  <c r="G2149" i="2"/>
  <c r="H2149" i="2"/>
  <c r="H2494" i="2"/>
  <c r="G2527" i="2"/>
  <c r="H1639" i="2"/>
  <c r="G2795" i="2"/>
  <c r="G3379" i="2"/>
  <c r="K2363" i="5" l="1"/>
  <c r="T2363" i="5"/>
  <c r="S2363" i="5"/>
  <c r="J2363" i="5"/>
  <c r="D261" i="5" l="1"/>
  <c r="C261" i="5" s="1"/>
  <c r="D2303" i="5" l="1"/>
  <c r="D2304" i="5"/>
  <c r="C2304" i="5" s="1"/>
  <c r="W1817" i="5" l="1"/>
  <c r="AE1817" i="5" s="1"/>
  <c r="W1816" i="5" l="1"/>
  <c r="AE1816" i="5" s="1"/>
  <c r="W1815" i="5"/>
  <c r="AE1815" i="5" s="1"/>
  <c r="W1814" i="5"/>
  <c r="T619" i="4"/>
  <c r="T620" i="4" s="1"/>
  <c r="D619" i="4"/>
  <c r="D620" i="4" s="1"/>
  <c r="C617" i="6"/>
  <c r="W862" i="5"/>
  <c r="W863" i="5" s="1"/>
  <c r="W1818" i="5" l="1"/>
  <c r="W1804" i="5"/>
  <c r="C305" i="6"/>
  <c r="D2285" i="5"/>
  <c r="D2286" i="5"/>
  <c r="D2287" i="5"/>
  <c r="C620" i="4" l="1"/>
  <c r="C306" i="6"/>
  <c r="W1789" i="5"/>
  <c r="W1792" i="5" s="1"/>
  <c r="W1805" i="5" s="1"/>
  <c r="D720" i="5" l="1"/>
  <c r="C720" i="5" s="1"/>
  <c r="W100" i="4" l="1"/>
  <c r="C30" i="7" l="1"/>
  <c r="C26" i="7"/>
  <c r="AB1097" i="6"/>
  <c r="W1072" i="6"/>
  <c r="W1071" i="6"/>
  <c r="W1070" i="6"/>
  <c r="W1068" i="6"/>
  <c r="C1065" i="6"/>
  <c r="R1066" i="6"/>
  <c r="C1058" i="6"/>
  <c r="C1057" i="6"/>
  <c r="C1051" i="6"/>
  <c r="C1050" i="6"/>
  <c r="C1047" i="6"/>
  <c r="C1046" i="6"/>
  <c r="C1045" i="6"/>
  <c r="C1044" i="6"/>
  <c r="C1043" i="6"/>
  <c r="C1042" i="6"/>
  <c r="C1037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P997" i="6"/>
  <c r="C996" i="6"/>
  <c r="C995" i="6"/>
  <c r="N994" i="6"/>
  <c r="N1012" i="6" s="1"/>
  <c r="N1034" i="6" s="1"/>
  <c r="C993" i="6"/>
  <c r="C992" i="6"/>
  <c r="P991" i="6"/>
  <c r="C990" i="6"/>
  <c r="C989" i="6"/>
  <c r="W1012" i="6"/>
  <c r="W1034" i="6" s="1"/>
  <c r="C988" i="6"/>
  <c r="C987" i="6"/>
  <c r="C986" i="6"/>
  <c r="C985" i="6"/>
  <c r="C984" i="6"/>
  <c r="C983" i="6"/>
  <c r="C982" i="6"/>
  <c r="C981" i="6"/>
  <c r="C980" i="6"/>
  <c r="C979" i="6"/>
  <c r="C978" i="6"/>
  <c r="P977" i="6"/>
  <c r="C976" i="6"/>
  <c r="C975" i="6"/>
  <c r="C974" i="6"/>
  <c r="C973" i="6"/>
  <c r="C972" i="6"/>
  <c r="C971" i="6"/>
  <c r="C970" i="6"/>
  <c r="C969" i="6"/>
  <c r="C968" i="6"/>
  <c r="C967" i="6"/>
  <c r="C966" i="6"/>
  <c r="P965" i="6"/>
  <c r="P964" i="6"/>
  <c r="AE961" i="6"/>
  <c r="AD961" i="6"/>
  <c r="AC961" i="6"/>
  <c r="AB961" i="6"/>
  <c r="Z961" i="6"/>
  <c r="Y961" i="6"/>
  <c r="X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C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R851" i="6"/>
  <c r="R850" i="6"/>
  <c r="R849" i="6"/>
  <c r="R848" i="6"/>
  <c r="R847" i="6"/>
  <c r="C842" i="6"/>
  <c r="R841" i="6"/>
  <c r="N841" i="6"/>
  <c r="R840" i="6"/>
  <c r="N840" i="6"/>
  <c r="D839" i="6"/>
  <c r="C836" i="6"/>
  <c r="C835" i="6"/>
  <c r="C831" i="6"/>
  <c r="C830" i="6"/>
  <c r="C829" i="6"/>
  <c r="C828" i="6"/>
  <c r="W825" i="6"/>
  <c r="W824" i="6"/>
  <c r="W823" i="6"/>
  <c r="W822" i="6"/>
  <c r="W821" i="6"/>
  <c r="W820" i="6"/>
  <c r="W819" i="6"/>
  <c r="W818" i="6"/>
  <c r="W817" i="6"/>
  <c r="W814" i="6"/>
  <c r="W813" i="6"/>
  <c r="W812" i="6"/>
  <c r="C806" i="6"/>
  <c r="C805" i="6"/>
  <c r="W801" i="6"/>
  <c r="W800" i="6"/>
  <c r="W799" i="6"/>
  <c r="W796" i="6"/>
  <c r="W792" i="6"/>
  <c r="W791" i="6"/>
  <c r="W790" i="6"/>
  <c r="W785" i="6"/>
  <c r="D784" i="6"/>
  <c r="C784" i="6" s="1"/>
  <c r="D783" i="6"/>
  <c r="Y782" i="6"/>
  <c r="W782" i="6" s="1"/>
  <c r="W778" i="6"/>
  <c r="W779" i="6" s="1"/>
  <c r="C777" i="6"/>
  <c r="Y773" i="6"/>
  <c r="W773" i="6" s="1"/>
  <c r="W772" i="6"/>
  <c r="W771" i="6"/>
  <c r="C770" i="6"/>
  <c r="W767" i="6"/>
  <c r="W768" i="6" s="1"/>
  <c r="W762" i="6"/>
  <c r="W756" i="6"/>
  <c r="W755" i="6"/>
  <c r="W754" i="6"/>
  <c r="W753" i="6"/>
  <c r="C752" i="6"/>
  <c r="C748" i="6"/>
  <c r="C744" i="6"/>
  <c r="C738" i="6"/>
  <c r="C737" i="6"/>
  <c r="C736" i="6"/>
  <c r="C735" i="6"/>
  <c r="C734" i="6"/>
  <c r="C733" i="6"/>
  <c r="C732" i="6"/>
  <c r="W731" i="6"/>
  <c r="C728" i="6"/>
  <c r="C727" i="6"/>
  <c r="C723" i="6"/>
  <c r="C722" i="6"/>
  <c r="D721" i="6"/>
  <c r="C720" i="6"/>
  <c r="W712" i="6"/>
  <c r="AB706" i="6"/>
  <c r="W706" i="6" s="1"/>
  <c r="AB705" i="6"/>
  <c r="W705" i="6" s="1"/>
  <c r="W704" i="6"/>
  <c r="W703" i="6"/>
  <c r="W697" i="6"/>
  <c r="W698" i="6" s="1"/>
  <c r="C694" i="6"/>
  <c r="W693" i="6"/>
  <c r="W692" i="6"/>
  <c r="W691" i="6"/>
  <c r="W690" i="6"/>
  <c r="W689" i="6"/>
  <c r="W688" i="6"/>
  <c r="C687" i="6"/>
  <c r="D686" i="6"/>
  <c r="W685" i="6"/>
  <c r="C684" i="6"/>
  <c r="W683" i="6"/>
  <c r="AB679" i="6"/>
  <c r="W679" i="6" s="1"/>
  <c r="AB678" i="6"/>
  <c r="W678" i="6" s="1"/>
  <c r="AB677" i="6"/>
  <c r="W677" i="6" s="1"/>
  <c r="AB676" i="6"/>
  <c r="W676" i="6" s="1"/>
  <c r="C664" i="6"/>
  <c r="C661" i="6"/>
  <c r="C660" i="6"/>
  <c r="C657" i="6"/>
  <c r="C656" i="6"/>
  <c r="C653" i="6"/>
  <c r="C640" i="6"/>
  <c r="R639" i="6"/>
  <c r="R638" i="6"/>
  <c r="C637" i="6"/>
  <c r="C635" i="6"/>
  <c r="C634" i="6"/>
  <c r="U628" i="6"/>
  <c r="U643" i="6" s="1"/>
  <c r="U649" i="6" s="1"/>
  <c r="C618" i="6"/>
  <c r="C616" i="6"/>
  <c r="C615" i="6"/>
  <c r="C612" i="6"/>
  <c r="C610" i="6"/>
  <c r="X595" i="6"/>
  <c r="W594" i="6"/>
  <c r="D594" i="6"/>
  <c r="W593" i="6"/>
  <c r="D593" i="6"/>
  <c r="W592" i="6"/>
  <c r="D592" i="6"/>
  <c r="W591" i="6"/>
  <c r="D591" i="6"/>
  <c r="W590" i="6"/>
  <c r="D590" i="6"/>
  <c r="W589" i="6"/>
  <c r="D589" i="6"/>
  <c r="W588" i="6"/>
  <c r="D588" i="6"/>
  <c r="W587" i="6"/>
  <c r="D587" i="6"/>
  <c r="W586" i="6"/>
  <c r="D586" i="6"/>
  <c r="W585" i="6"/>
  <c r="D585" i="6"/>
  <c r="W584" i="6"/>
  <c r="D584" i="6"/>
  <c r="W583" i="6"/>
  <c r="D583" i="6"/>
  <c r="W582" i="6"/>
  <c r="D582" i="6"/>
  <c r="W581" i="6"/>
  <c r="D581" i="6"/>
  <c r="W580" i="6"/>
  <c r="D580" i="6"/>
  <c r="W579" i="6"/>
  <c r="D579" i="6"/>
  <c r="W578" i="6"/>
  <c r="D578" i="6"/>
  <c r="W577" i="6"/>
  <c r="D577" i="6"/>
  <c r="W576" i="6"/>
  <c r="D576" i="6"/>
  <c r="W575" i="6"/>
  <c r="D575" i="6"/>
  <c r="W574" i="6"/>
  <c r="D574" i="6"/>
  <c r="W573" i="6"/>
  <c r="D573" i="6"/>
  <c r="W572" i="6"/>
  <c r="D572" i="6"/>
  <c r="W571" i="6"/>
  <c r="D571" i="6"/>
  <c r="W570" i="6"/>
  <c r="D570" i="6"/>
  <c r="X568" i="6"/>
  <c r="C565" i="6"/>
  <c r="X563" i="6"/>
  <c r="W562" i="6"/>
  <c r="W561" i="6"/>
  <c r="W560" i="6"/>
  <c r="X558" i="6"/>
  <c r="W557" i="6"/>
  <c r="W556" i="6"/>
  <c r="X554" i="6"/>
  <c r="N553" i="6"/>
  <c r="N554" i="6" s="1"/>
  <c r="N596" i="6" s="1"/>
  <c r="U552" i="6"/>
  <c r="U554" i="6" s="1"/>
  <c r="U596" i="6" s="1"/>
  <c r="R552" i="6"/>
  <c r="R554" i="6" s="1"/>
  <c r="X550" i="6"/>
  <c r="C541" i="6"/>
  <c r="X512" i="6"/>
  <c r="R511" i="6"/>
  <c r="R512" i="6" s="1"/>
  <c r="X509" i="6"/>
  <c r="C487" i="6"/>
  <c r="C483" i="6"/>
  <c r="C446" i="6"/>
  <c r="D440" i="6"/>
  <c r="C440" i="6" s="1"/>
  <c r="D439" i="6"/>
  <c r="C439" i="6" s="1"/>
  <c r="D438" i="6"/>
  <c r="C438" i="6" s="1"/>
  <c r="D437" i="6"/>
  <c r="C437" i="6" s="1"/>
  <c r="D436" i="6"/>
  <c r="C436" i="6" s="1"/>
  <c r="D435" i="6"/>
  <c r="C435" i="6" s="1"/>
  <c r="X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X415" i="6"/>
  <c r="C404" i="6"/>
  <c r="C403" i="6"/>
  <c r="C402" i="6"/>
  <c r="C401" i="6"/>
  <c r="C397" i="6"/>
  <c r="C396" i="6"/>
  <c r="C395" i="6"/>
  <c r="C394" i="6"/>
  <c r="C393" i="6"/>
  <c r="C392" i="6"/>
  <c r="C391" i="6"/>
  <c r="R390" i="6"/>
  <c r="R398" i="6" s="1"/>
  <c r="R406" i="6" s="1"/>
  <c r="C387" i="6"/>
  <c r="W381" i="6"/>
  <c r="W382" i="6" s="1"/>
  <c r="W378" i="6"/>
  <c r="W377" i="6"/>
  <c r="C374" i="6"/>
  <c r="C371" i="6"/>
  <c r="C359" i="6"/>
  <c r="C358" i="6"/>
  <c r="C357" i="6"/>
  <c r="C356" i="6"/>
  <c r="C355" i="6"/>
  <c r="C354" i="6"/>
  <c r="C353" i="6"/>
  <c r="C352" i="6"/>
  <c r="C351" i="6"/>
  <c r="C350" i="6"/>
  <c r="C349" i="6"/>
  <c r="R348" i="6"/>
  <c r="C347" i="6"/>
  <c r="C345" i="6"/>
  <c r="C344" i="6"/>
  <c r="C343" i="6"/>
  <c r="C342" i="6"/>
  <c r="C341" i="6"/>
  <c r="R340" i="6"/>
  <c r="R339" i="6"/>
  <c r="R338" i="6"/>
  <c r="C337" i="6"/>
  <c r="C336" i="6"/>
  <c r="C335" i="6"/>
  <c r="R334" i="6"/>
  <c r="R333" i="6"/>
  <c r="R332" i="6"/>
  <c r="C331" i="6"/>
  <c r="C330" i="6"/>
  <c r="R329" i="6"/>
  <c r="C328" i="6"/>
  <c r="C327" i="6"/>
  <c r="C326" i="6"/>
  <c r="C325" i="6"/>
  <c r="C324" i="6"/>
  <c r="C323" i="6"/>
  <c r="C322" i="6"/>
  <c r="C321" i="6"/>
  <c r="C320" i="6"/>
  <c r="C314" i="6"/>
  <c r="C313" i="6"/>
  <c r="C312" i="6"/>
  <c r="C311" i="6"/>
  <c r="V303" i="6"/>
  <c r="V307" i="6" s="1"/>
  <c r="U303" i="6"/>
  <c r="U307" i="6" s="1"/>
  <c r="T303" i="6"/>
  <c r="T307" i="6" s="1"/>
  <c r="S303" i="6"/>
  <c r="S307" i="6" s="1"/>
  <c r="R303" i="6"/>
  <c r="R307" i="6" s="1"/>
  <c r="Q303" i="6"/>
  <c r="Q307" i="6" s="1"/>
  <c r="P303" i="6"/>
  <c r="P307" i="6" s="1"/>
  <c r="O303" i="6"/>
  <c r="O307" i="6" s="1"/>
  <c r="N303" i="6"/>
  <c r="N307" i="6" s="1"/>
  <c r="M303" i="6"/>
  <c r="M307" i="6" s="1"/>
  <c r="L303" i="6"/>
  <c r="L307" i="6" s="1"/>
  <c r="K303" i="6"/>
  <c r="K307" i="6" s="1"/>
  <c r="J303" i="6"/>
  <c r="J307" i="6" s="1"/>
  <c r="I303" i="6"/>
  <c r="I307" i="6" s="1"/>
  <c r="H303" i="6"/>
  <c r="H307" i="6" s="1"/>
  <c r="G303" i="6"/>
  <c r="G307" i="6" s="1"/>
  <c r="F303" i="6"/>
  <c r="F307" i="6" s="1"/>
  <c r="E303" i="6"/>
  <c r="E307" i="6" s="1"/>
  <c r="W302" i="6"/>
  <c r="W301" i="6"/>
  <c r="W300" i="6"/>
  <c r="W299" i="6"/>
  <c r="W298" i="6"/>
  <c r="W297" i="6"/>
  <c r="W296" i="6"/>
  <c r="W295" i="6"/>
  <c r="W294" i="6"/>
  <c r="W293" i="6"/>
  <c r="W292" i="6"/>
  <c r="C291" i="6"/>
  <c r="W290" i="6"/>
  <c r="W289" i="6"/>
  <c r="W288" i="6"/>
  <c r="W287" i="6"/>
  <c r="C286" i="6"/>
  <c r="W285" i="6"/>
  <c r="W284" i="6"/>
  <c r="W283" i="6"/>
  <c r="W282" i="6"/>
  <c r="W281" i="6"/>
  <c r="C280" i="6"/>
  <c r="C279" i="6"/>
  <c r="W276" i="6"/>
  <c r="W275" i="6"/>
  <c r="W274" i="6"/>
  <c r="W273" i="6"/>
  <c r="C272" i="6"/>
  <c r="W271" i="6"/>
  <c r="W270" i="6"/>
  <c r="W269" i="6"/>
  <c r="W268" i="6"/>
  <c r="W267" i="6"/>
  <c r="W266" i="6"/>
  <c r="W265" i="6"/>
  <c r="W264" i="6"/>
  <c r="W263" i="6"/>
  <c r="C260" i="6"/>
  <c r="C259" i="6"/>
  <c r="C256" i="6"/>
  <c r="C255" i="6"/>
  <c r="C249" i="6"/>
  <c r="C248" i="6"/>
  <c r="C247" i="6"/>
  <c r="D243" i="6"/>
  <c r="C243" i="6" s="1"/>
  <c r="C241" i="6"/>
  <c r="C240" i="6"/>
  <c r="C239" i="6"/>
  <c r="C234" i="6"/>
  <c r="C233" i="6"/>
  <c r="C232" i="6"/>
  <c r="C231" i="6"/>
  <c r="R229" i="6"/>
  <c r="R236" i="6" s="1"/>
  <c r="Q227" i="6"/>
  <c r="Q229" i="6" s="1"/>
  <c r="C227" i="6"/>
  <c r="C226" i="6"/>
  <c r="Q223" i="6"/>
  <c r="C223" i="6"/>
  <c r="C222" i="6"/>
  <c r="C221" i="6"/>
  <c r="Q220" i="6"/>
  <c r="C220" i="6"/>
  <c r="Q219" i="6"/>
  <c r="C219" i="6"/>
  <c r="C218" i="6"/>
  <c r="C217" i="6"/>
  <c r="Q216" i="6"/>
  <c r="C216" i="6"/>
  <c r="Q215" i="6"/>
  <c r="C215" i="6"/>
  <c r="C213" i="6"/>
  <c r="C210" i="6"/>
  <c r="C209" i="6"/>
  <c r="W205" i="6"/>
  <c r="W206" i="6" s="1"/>
  <c r="C204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C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C148" i="6"/>
  <c r="W147" i="6"/>
  <c r="W146" i="6"/>
  <c r="W145" i="6"/>
  <c r="C142" i="6"/>
  <c r="C138" i="6"/>
  <c r="C137" i="6"/>
  <c r="C136" i="6"/>
  <c r="C131" i="6"/>
  <c r="Q130" i="6"/>
  <c r="C130" i="6"/>
  <c r="C129" i="6"/>
  <c r="Q128" i="6"/>
  <c r="D128" i="6"/>
  <c r="AA125" i="6"/>
  <c r="Z125" i="6"/>
  <c r="Y125" i="6"/>
  <c r="X125" i="6"/>
  <c r="C123" i="6"/>
  <c r="C122" i="6"/>
  <c r="F118" i="6"/>
  <c r="F119" i="6" s="1"/>
  <c r="W115" i="6"/>
  <c r="W114" i="6"/>
  <c r="W113" i="6"/>
  <c r="W112" i="6"/>
  <c r="C111" i="6"/>
  <c r="W108" i="6"/>
  <c r="W107" i="6"/>
  <c r="W106" i="6"/>
  <c r="W105" i="6"/>
  <c r="W104" i="6"/>
  <c r="W103" i="6"/>
  <c r="W102" i="6"/>
  <c r="W101" i="6"/>
  <c r="W100" i="6"/>
  <c r="W99" i="6"/>
  <c r="W98" i="6"/>
  <c r="C92" i="6"/>
  <c r="C91" i="6"/>
  <c r="C90" i="6"/>
  <c r="C89" i="6"/>
  <c r="C88" i="6"/>
  <c r="C87" i="6"/>
  <c r="C86" i="6"/>
  <c r="C85" i="6"/>
  <c r="C84" i="6"/>
  <c r="C83" i="6"/>
  <c r="C82" i="6"/>
  <c r="U81" i="6"/>
  <c r="C80" i="6"/>
  <c r="U79" i="6"/>
  <c r="R76" i="6"/>
  <c r="R75" i="6"/>
  <c r="R72" i="6"/>
  <c r="R73" i="6" s="1"/>
  <c r="C71" i="6"/>
  <c r="C70" i="6"/>
  <c r="R67" i="6"/>
  <c r="R68" i="6" s="1"/>
  <c r="C66" i="6"/>
  <c r="I62" i="6"/>
  <c r="H62" i="6"/>
  <c r="H63" i="6" s="1"/>
  <c r="H125" i="6" s="1"/>
  <c r="G62" i="6"/>
  <c r="F62" i="6"/>
  <c r="I61" i="6"/>
  <c r="G61" i="6"/>
  <c r="F61" i="6"/>
  <c r="I60" i="6"/>
  <c r="E59" i="6"/>
  <c r="D59" i="6" s="1"/>
  <c r="C59" i="6" s="1"/>
  <c r="E58" i="6"/>
  <c r="AB50" i="6"/>
  <c r="W50" i="6" s="1"/>
  <c r="AB49" i="6"/>
  <c r="W49" i="6" s="1"/>
  <c r="AB48" i="6"/>
  <c r="W48" i="6" s="1"/>
  <c r="R53" i="6"/>
  <c r="R54" i="6" s="1"/>
  <c r="R55" i="6" s="1"/>
  <c r="C45" i="6"/>
  <c r="C44" i="6"/>
  <c r="C35" i="6"/>
  <c r="W41" i="6"/>
  <c r="W40" i="6"/>
  <c r="W39" i="6"/>
  <c r="W38" i="6"/>
  <c r="W34" i="6"/>
  <c r="W36" i="6" s="1"/>
  <c r="R29" i="6"/>
  <c r="R30" i="6" s="1"/>
  <c r="C26" i="6"/>
  <c r="C25" i="6"/>
  <c r="C24" i="6"/>
  <c r="C23" i="6"/>
  <c r="C22" i="6"/>
  <c r="C21" i="6"/>
  <c r="C20" i="6"/>
  <c r="R19" i="6"/>
  <c r="R27" i="6" s="1"/>
  <c r="C18" i="6"/>
  <c r="C17" i="6"/>
  <c r="C13" i="6"/>
  <c r="A13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9" i="6" s="1"/>
  <c r="A34" i="6" s="1"/>
  <c r="C12" i="6"/>
  <c r="W2360" i="5"/>
  <c r="D2360" i="5"/>
  <c r="W2359" i="5"/>
  <c r="D2359" i="5"/>
  <c r="W2358" i="5"/>
  <c r="D2358" i="5"/>
  <c r="D2357" i="5"/>
  <c r="E2356" i="5"/>
  <c r="D2356" i="5" s="1"/>
  <c r="C2356" i="5" s="1"/>
  <c r="E2355" i="5"/>
  <c r="D2355" i="5" s="1"/>
  <c r="C2355" i="5" s="1"/>
  <c r="E2354" i="5"/>
  <c r="D2354" i="5" s="1"/>
  <c r="C2354" i="5" s="1"/>
  <c r="E2353" i="5"/>
  <c r="D2353" i="5" s="1"/>
  <c r="C2353" i="5" s="1"/>
  <c r="W2352" i="5"/>
  <c r="D2352" i="5"/>
  <c r="D2351" i="5"/>
  <c r="C2351" i="5" s="1"/>
  <c r="I3373" i="2" s="1"/>
  <c r="E2350" i="5"/>
  <c r="E2349" i="5"/>
  <c r="U2348" i="5"/>
  <c r="N2348" i="5"/>
  <c r="N2361" i="5" s="1"/>
  <c r="N2362" i="5" s="1"/>
  <c r="D2348" i="5"/>
  <c r="U2347" i="5"/>
  <c r="D2347" i="5"/>
  <c r="U2346" i="5"/>
  <c r="D2346" i="5"/>
  <c r="W2343" i="5"/>
  <c r="D2343" i="5"/>
  <c r="D2342" i="5"/>
  <c r="C2342" i="5" s="1"/>
  <c r="I3338" i="2" s="1"/>
  <c r="W2341" i="5"/>
  <c r="D2341" i="5"/>
  <c r="W2340" i="5"/>
  <c r="D2340" i="5"/>
  <c r="W2339" i="5"/>
  <c r="D2339" i="5"/>
  <c r="W2338" i="5"/>
  <c r="D2338" i="5"/>
  <c r="D2337" i="5"/>
  <c r="C2337" i="5" s="1"/>
  <c r="I3333" i="2" s="1"/>
  <c r="D2336" i="5"/>
  <c r="C2336" i="5" s="1"/>
  <c r="I3332" i="2" s="1"/>
  <c r="D2335" i="5"/>
  <c r="C2335" i="5" s="1"/>
  <c r="I3331" i="2" s="1"/>
  <c r="D2334" i="5"/>
  <c r="C2334" i="5" s="1"/>
  <c r="I3330" i="2" s="1"/>
  <c r="W2333" i="5"/>
  <c r="D2333" i="5"/>
  <c r="W2332" i="5"/>
  <c r="D2332" i="5"/>
  <c r="D2331" i="5"/>
  <c r="C2331" i="5" s="1"/>
  <c r="I3327" i="2" s="1"/>
  <c r="D2330" i="5"/>
  <c r="D2323" i="5"/>
  <c r="C2323" i="5" s="1"/>
  <c r="D2322" i="5"/>
  <c r="C2322" i="5" s="1"/>
  <c r="D2320" i="5"/>
  <c r="W2316" i="5"/>
  <c r="D2316" i="5"/>
  <c r="W2315" i="5"/>
  <c r="D2315" i="5"/>
  <c r="W2314" i="5"/>
  <c r="D2314" i="5"/>
  <c r="W2313" i="5"/>
  <c r="D2313" i="5"/>
  <c r="D2312" i="5"/>
  <c r="C2312" i="5" s="1"/>
  <c r="W2311" i="5"/>
  <c r="D2311" i="5"/>
  <c r="W2310" i="5"/>
  <c r="D2310" i="5"/>
  <c r="W2309" i="5"/>
  <c r="D2309" i="5"/>
  <c r="W2306" i="5"/>
  <c r="D2306" i="5"/>
  <c r="W2305" i="5"/>
  <c r="D2305" i="5"/>
  <c r="W2303" i="5"/>
  <c r="C2303" i="5" s="1"/>
  <c r="W2302" i="5"/>
  <c r="D2302" i="5"/>
  <c r="W2301" i="5"/>
  <c r="D2301" i="5"/>
  <c r="W2300" i="5"/>
  <c r="D2300" i="5"/>
  <c r="W2299" i="5"/>
  <c r="D2299" i="5"/>
  <c r="D2296" i="5"/>
  <c r="D2295" i="5"/>
  <c r="D2294" i="5"/>
  <c r="D2293" i="5"/>
  <c r="D2292" i="5"/>
  <c r="D2291" i="5"/>
  <c r="D2290" i="5"/>
  <c r="D2289" i="5"/>
  <c r="D2288" i="5"/>
  <c r="C2287" i="5"/>
  <c r="I3248" i="2" s="1"/>
  <c r="C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W2244" i="5"/>
  <c r="I2244" i="5"/>
  <c r="D2244" i="5" s="1"/>
  <c r="W2243" i="5"/>
  <c r="I2243" i="5"/>
  <c r="D2243" i="5" s="1"/>
  <c r="W2242" i="5"/>
  <c r="I2242" i="5"/>
  <c r="D2242" i="5" s="1"/>
  <c r="W2241" i="5"/>
  <c r="I2241" i="5"/>
  <c r="F2241" i="5"/>
  <c r="F2245" i="5" s="1"/>
  <c r="F2246" i="5" s="1"/>
  <c r="W2240" i="5"/>
  <c r="I2240" i="5"/>
  <c r="W2237" i="5"/>
  <c r="E2237" i="5"/>
  <c r="D2237" i="5" s="1"/>
  <c r="W2236" i="5"/>
  <c r="E2236" i="5"/>
  <c r="D2236" i="5" s="1"/>
  <c r="W2235" i="5"/>
  <c r="D2235" i="5"/>
  <c r="W2234" i="5"/>
  <c r="D2234" i="5"/>
  <c r="W2233" i="5"/>
  <c r="D2233" i="5"/>
  <c r="W2232" i="5"/>
  <c r="D2232" i="5"/>
  <c r="W2231" i="5"/>
  <c r="D2231" i="5"/>
  <c r="W2230" i="5"/>
  <c r="D2230" i="5"/>
  <c r="W2229" i="5"/>
  <c r="D2229" i="5"/>
  <c r="W2228" i="5"/>
  <c r="N2228" i="5"/>
  <c r="D2228" i="5"/>
  <c r="W2227" i="5"/>
  <c r="D2227" i="5"/>
  <c r="W2226" i="5"/>
  <c r="D2226" i="5"/>
  <c r="W2225" i="5"/>
  <c r="D2225" i="5"/>
  <c r="W2224" i="5"/>
  <c r="D2224" i="5"/>
  <c r="W2223" i="5"/>
  <c r="D2223" i="5"/>
  <c r="W2222" i="5"/>
  <c r="D2222" i="5"/>
  <c r="W2221" i="5"/>
  <c r="D2221" i="5"/>
  <c r="W2220" i="5"/>
  <c r="D2220" i="5"/>
  <c r="W2219" i="5"/>
  <c r="D2219" i="5"/>
  <c r="D2218" i="5"/>
  <c r="C2218" i="5" s="1"/>
  <c r="D2217" i="5"/>
  <c r="C2217" i="5" s="1"/>
  <c r="E2216" i="5"/>
  <c r="D2216" i="5" s="1"/>
  <c r="C2216" i="5" s="1"/>
  <c r="E2215" i="5"/>
  <c r="D2215" i="5" s="1"/>
  <c r="C2215" i="5" s="1"/>
  <c r="W2214" i="5"/>
  <c r="D2214" i="5"/>
  <c r="W2213" i="5"/>
  <c r="D2213" i="5"/>
  <c r="W2212" i="5"/>
  <c r="D2212" i="5"/>
  <c r="D2211" i="5"/>
  <c r="W2210" i="5"/>
  <c r="D2210" i="5"/>
  <c r="W2209" i="5"/>
  <c r="D2209" i="5"/>
  <c r="W2208" i="5"/>
  <c r="D2208" i="5"/>
  <c r="W2207" i="5"/>
  <c r="D2207" i="5"/>
  <c r="W2206" i="5"/>
  <c r="E2206" i="5"/>
  <c r="D2206" i="5" s="1"/>
  <c r="W2205" i="5"/>
  <c r="D2205" i="5"/>
  <c r="W2204" i="5"/>
  <c r="D2204" i="5"/>
  <c r="D2203" i="5"/>
  <c r="D2202" i="5"/>
  <c r="W2201" i="5"/>
  <c r="D2201" i="5"/>
  <c r="D2200" i="5"/>
  <c r="C2200" i="5" s="1"/>
  <c r="I3130" i="2" s="1"/>
  <c r="D2199" i="5"/>
  <c r="W2198" i="5"/>
  <c r="E2198" i="5"/>
  <c r="D2198" i="5" s="1"/>
  <c r="W2197" i="5"/>
  <c r="D2197" i="5"/>
  <c r="E2196" i="5"/>
  <c r="D2196" i="5" s="1"/>
  <c r="W2195" i="5"/>
  <c r="D2195" i="5"/>
  <c r="E2194" i="5"/>
  <c r="D2194" i="5" s="1"/>
  <c r="W2193" i="5"/>
  <c r="D2193" i="5"/>
  <c r="W2192" i="5"/>
  <c r="N2192" i="5"/>
  <c r="D2192" i="5"/>
  <c r="W2191" i="5"/>
  <c r="D2191" i="5"/>
  <c r="W2190" i="5"/>
  <c r="D2190" i="5"/>
  <c r="W2189" i="5"/>
  <c r="D2189" i="5"/>
  <c r="D2188" i="5"/>
  <c r="C2188" i="5" s="1"/>
  <c r="I3110" i="2" s="1"/>
  <c r="W2187" i="5"/>
  <c r="D2187" i="5"/>
  <c r="W2186" i="5"/>
  <c r="D2186" i="5"/>
  <c r="W2185" i="5"/>
  <c r="D2185" i="5"/>
  <c r="W2184" i="5"/>
  <c r="D2184" i="5"/>
  <c r="W2183" i="5"/>
  <c r="D2183" i="5"/>
  <c r="D2182" i="5"/>
  <c r="W2181" i="5"/>
  <c r="D2181" i="5"/>
  <c r="W2180" i="5"/>
  <c r="D2180" i="5"/>
  <c r="W2179" i="5"/>
  <c r="D2179" i="5"/>
  <c r="W2178" i="5"/>
  <c r="D2178" i="5"/>
  <c r="W2177" i="5"/>
  <c r="D2177" i="5"/>
  <c r="W2176" i="5"/>
  <c r="D2176" i="5"/>
  <c r="W2175" i="5"/>
  <c r="D2175" i="5"/>
  <c r="W2174" i="5"/>
  <c r="D2174" i="5"/>
  <c r="W2173" i="5"/>
  <c r="D2173" i="5"/>
  <c r="W2172" i="5"/>
  <c r="D2172" i="5"/>
  <c r="W2171" i="5"/>
  <c r="D2171" i="5"/>
  <c r="C2170" i="5"/>
  <c r="I3089" i="2" s="1"/>
  <c r="W2169" i="5"/>
  <c r="D2169" i="5"/>
  <c r="N2168" i="5"/>
  <c r="D2168" i="5"/>
  <c r="N2167" i="5"/>
  <c r="D2167" i="5"/>
  <c r="W2166" i="5"/>
  <c r="D2166" i="5"/>
  <c r="W2165" i="5"/>
  <c r="D2165" i="5"/>
  <c r="W2164" i="5"/>
  <c r="D2164" i="5"/>
  <c r="W2163" i="5"/>
  <c r="D2163" i="5"/>
  <c r="W2162" i="5"/>
  <c r="D2162" i="5"/>
  <c r="W2161" i="5"/>
  <c r="D2161" i="5"/>
  <c r="W2160" i="5"/>
  <c r="D2160" i="5"/>
  <c r="W2159" i="5"/>
  <c r="D2159" i="5"/>
  <c r="W2158" i="5"/>
  <c r="D2158" i="5"/>
  <c r="W2157" i="5"/>
  <c r="D2157" i="5"/>
  <c r="W2156" i="5"/>
  <c r="D2156" i="5"/>
  <c r="W2155" i="5"/>
  <c r="D2155" i="5"/>
  <c r="W2154" i="5"/>
  <c r="D2154" i="5"/>
  <c r="W2153" i="5"/>
  <c r="D2153" i="5"/>
  <c r="W2152" i="5"/>
  <c r="D2152" i="5"/>
  <c r="W2151" i="5"/>
  <c r="D2151" i="5"/>
  <c r="W2150" i="5"/>
  <c r="D2150" i="5"/>
  <c r="W2149" i="5"/>
  <c r="D2149" i="5"/>
  <c r="W2147" i="5"/>
  <c r="D2147" i="5"/>
  <c r="W2146" i="5"/>
  <c r="D2146" i="5"/>
  <c r="W2145" i="5"/>
  <c r="N2145" i="5"/>
  <c r="D2145" i="5"/>
  <c r="W2144" i="5"/>
  <c r="D2144" i="5"/>
  <c r="W2143" i="5"/>
  <c r="D2143" i="5"/>
  <c r="W2142" i="5"/>
  <c r="D2142" i="5"/>
  <c r="W2141" i="5"/>
  <c r="D2141" i="5"/>
  <c r="W2140" i="5"/>
  <c r="D2140" i="5"/>
  <c r="W2139" i="5"/>
  <c r="D2139" i="5"/>
  <c r="W2138" i="5"/>
  <c r="D2138" i="5"/>
  <c r="W2137" i="5"/>
  <c r="D2137" i="5"/>
  <c r="W2136" i="5"/>
  <c r="D2136" i="5"/>
  <c r="W2135" i="5"/>
  <c r="D2135" i="5"/>
  <c r="E2134" i="5"/>
  <c r="D2134" i="5" s="1"/>
  <c r="C2134" i="5" s="1"/>
  <c r="I3046" i="2" s="1"/>
  <c r="W2133" i="5"/>
  <c r="N2133" i="5"/>
  <c r="D2133" i="5"/>
  <c r="W2132" i="5"/>
  <c r="D2132" i="5"/>
  <c r="W2131" i="5"/>
  <c r="D2131" i="5"/>
  <c r="W2130" i="5"/>
  <c r="D2130" i="5"/>
  <c r="E2129" i="5"/>
  <c r="D2129" i="5" s="1"/>
  <c r="C2129" i="5" s="1"/>
  <c r="D2128" i="5"/>
  <c r="C2128" i="5" s="1"/>
  <c r="I3037" i="2" s="1"/>
  <c r="W2127" i="5"/>
  <c r="D2127" i="5"/>
  <c r="W2126" i="5"/>
  <c r="D2126" i="5"/>
  <c r="W2125" i="5"/>
  <c r="D2125" i="5"/>
  <c r="W2124" i="5"/>
  <c r="D2124" i="5"/>
  <c r="W2123" i="5"/>
  <c r="D2123" i="5"/>
  <c r="W2122" i="5"/>
  <c r="D2122" i="5"/>
  <c r="W2121" i="5"/>
  <c r="D2121" i="5"/>
  <c r="W2120" i="5"/>
  <c r="D2120" i="5"/>
  <c r="W2119" i="5"/>
  <c r="D2119" i="5"/>
  <c r="W2118" i="5"/>
  <c r="D2118" i="5"/>
  <c r="W2117" i="5"/>
  <c r="D2117" i="5"/>
  <c r="W2116" i="5"/>
  <c r="N2116" i="5"/>
  <c r="D2116" i="5"/>
  <c r="W2115" i="5"/>
  <c r="N2115" i="5"/>
  <c r="D2115" i="5"/>
  <c r="W2114" i="5"/>
  <c r="D2114" i="5"/>
  <c r="W2113" i="5"/>
  <c r="D2113" i="5"/>
  <c r="W2112" i="5"/>
  <c r="D2112" i="5"/>
  <c r="W2111" i="5"/>
  <c r="D2111" i="5"/>
  <c r="W2110" i="5"/>
  <c r="D2110" i="5"/>
  <c r="W2109" i="5"/>
  <c r="D2109" i="5"/>
  <c r="W2108" i="5"/>
  <c r="D2108" i="5"/>
  <c r="W2107" i="5"/>
  <c r="D2107" i="5"/>
  <c r="W2106" i="5"/>
  <c r="D2106" i="5"/>
  <c r="W2105" i="5"/>
  <c r="D2105" i="5"/>
  <c r="W2104" i="5"/>
  <c r="D2104" i="5"/>
  <c r="W2103" i="5"/>
  <c r="D2103" i="5"/>
  <c r="W2102" i="5"/>
  <c r="D2102" i="5"/>
  <c r="W2101" i="5"/>
  <c r="D2101" i="5"/>
  <c r="W2100" i="5"/>
  <c r="D2100" i="5"/>
  <c r="W2099" i="5"/>
  <c r="D2099" i="5"/>
  <c r="W2098" i="5"/>
  <c r="D2098" i="5"/>
  <c r="W2097" i="5"/>
  <c r="D2097" i="5"/>
  <c r="W2096" i="5"/>
  <c r="D2096" i="5"/>
  <c r="W2095" i="5"/>
  <c r="D2095" i="5"/>
  <c r="W2094" i="5"/>
  <c r="D2094" i="5"/>
  <c r="D2093" i="5"/>
  <c r="D2092" i="5"/>
  <c r="C2092" i="5" s="1"/>
  <c r="I2984" i="2" s="1"/>
  <c r="D2091" i="5"/>
  <c r="C2091" i="5" s="1"/>
  <c r="I2983" i="2" s="1"/>
  <c r="D2090" i="5"/>
  <c r="C2090" i="5" s="1"/>
  <c r="I2982" i="2" s="1"/>
  <c r="D2089" i="5"/>
  <c r="C2089" i="5" s="1"/>
  <c r="I2981" i="2" s="1"/>
  <c r="D2088" i="5"/>
  <c r="C2088" i="5" s="1"/>
  <c r="I2980" i="2" s="1"/>
  <c r="D2087" i="5"/>
  <c r="C2087" i="5" s="1"/>
  <c r="I2979" i="2" s="1"/>
  <c r="D2086" i="5"/>
  <c r="C2086" i="5" s="1"/>
  <c r="I2978" i="2" s="1"/>
  <c r="D2085" i="5"/>
  <c r="C2085" i="5" s="1"/>
  <c r="I2977" i="2" s="1"/>
  <c r="D2084" i="5"/>
  <c r="C2084" i="5" s="1"/>
  <c r="D2083" i="5"/>
  <c r="C2083" i="5" s="1"/>
  <c r="I2975" i="2" s="1"/>
  <c r="E2082" i="5"/>
  <c r="D2082" i="5" s="1"/>
  <c r="C2082" i="5" s="1"/>
  <c r="I2970" i="2" s="1"/>
  <c r="E2081" i="5"/>
  <c r="D2081" i="5" s="1"/>
  <c r="C2081" i="5" s="1"/>
  <c r="E2080" i="5"/>
  <c r="W2077" i="5"/>
  <c r="D2077" i="5"/>
  <c r="W2076" i="5"/>
  <c r="D2076" i="5"/>
  <c r="W2075" i="5"/>
  <c r="D2075" i="5"/>
  <c r="W2074" i="5"/>
  <c r="D2074" i="5"/>
  <c r="W2073" i="5"/>
  <c r="D2073" i="5"/>
  <c r="W2072" i="5"/>
  <c r="D2072" i="5"/>
  <c r="D2071" i="5"/>
  <c r="C2071" i="5" s="1"/>
  <c r="I2961" i="2" s="1"/>
  <c r="D2070" i="5"/>
  <c r="D2067" i="5"/>
  <c r="W2066" i="5"/>
  <c r="D2066" i="5"/>
  <c r="D2062" i="5"/>
  <c r="D2061" i="5"/>
  <c r="C2061" i="5" s="1"/>
  <c r="D2060" i="5"/>
  <c r="C2060" i="5" s="1"/>
  <c r="I2932" i="2" s="1"/>
  <c r="D2059" i="5"/>
  <c r="C2059" i="5" s="1"/>
  <c r="Q2058" i="5"/>
  <c r="D2058" i="5"/>
  <c r="C2058" i="5" s="1"/>
  <c r="Q2057" i="5"/>
  <c r="D2057" i="5"/>
  <c r="C2057" i="5" s="1"/>
  <c r="P2056" i="5"/>
  <c r="P2063" i="5" s="1"/>
  <c r="D2056" i="5"/>
  <c r="E2055" i="5"/>
  <c r="D2055" i="5" s="1"/>
  <c r="C2055" i="5" s="1"/>
  <c r="D2054" i="5"/>
  <c r="C2054" i="5" s="1"/>
  <c r="D2053" i="5"/>
  <c r="C2053" i="5" s="1"/>
  <c r="D2052" i="5"/>
  <c r="C2052" i="5" s="1"/>
  <c r="M2051" i="5"/>
  <c r="M2063" i="5" s="1"/>
  <c r="D2051" i="5"/>
  <c r="C2051" i="5" s="1"/>
  <c r="Q2050" i="5"/>
  <c r="D2050" i="5"/>
  <c r="C2050" i="5" s="1"/>
  <c r="D2049" i="5"/>
  <c r="C2049" i="5" s="1"/>
  <c r="D2048" i="5"/>
  <c r="C2048" i="5" s="1"/>
  <c r="D2047" i="5"/>
  <c r="C2047" i="5" s="1"/>
  <c r="D2046" i="5"/>
  <c r="C2046" i="5" s="1"/>
  <c r="D2045" i="5"/>
  <c r="C2045" i="5" s="1"/>
  <c r="D2044" i="5"/>
  <c r="C2044" i="5" s="1"/>
  <c r="D2043" i="5"/>
  <c r="C2043" i="5" s="1"/>
  <c r="H2042" i="5"/>
  <c r="H2063" i="5" s="1"/>
  <c r="G2042" i="5"/>
  <c r="G2063" i="5" s="1"/>
  <c r="F2042" i="5"/>
  <c r="F2063" i="5" s="1"/>
  <c r="D2041" i="5"/>
  <c r="C2041" i="5" s="1"/>
  <c r="D2040" i="5"/>
  <c r="C2040" i="5" s="1"/>
  <c r="D2037" i="5"/>
  <c r="C2037" i="5" s="1"/>
  <c r="D2036" i="5"/>
  <c r="C2036" i="5" s="1"/>
  <c r="D2035" i="5"/>
  <c r="C2035" i="5" s="1"/>
  <c r="D2034" i="5"/>
  <c r="C2034" i="5" s="1"/>
  <c r="D2033" i="5"/>
  <c r="C2033" i="5" s="1"/>
  <c r="D2032" i="5"/>
  <c r="C2032" i="5" s="1"/>
  <c r="Q2031" i="5"/>
  <c r="D2031" i="5"/>
  <c r="C2031" i="5" s="1"/>
  <c r="I2801" i="2" s="1"/>
  <c r="D2030" i="5"/>
  <c r="W2026" i="5"/>
  <c r="E2026" i="5"/>
  <c r="D2026" i="5" s="1"/>
  <c r="W2025" i="5"/>
  <c r="D2025" i="5"/>
  <c r="W2024" i="5"/>
  <c r="D2024" i="5"/>
  <c r="W2023" i="5"/>
  <c r="D2023" i="5"/>
  <c r="W2022" i="5"/>
  <c r="D2022" i="5"/>
  <c r="W2021" i="5"/>
  <c r="D2021" i="5"/>
  <c r="W2020" i="5"/>
  <c r="D2020" i="5"/>
  <c r="W2019" i="5"/>
  <c r="D2019" i="5"/>
  <c r="W2018" i="5"/>
  <c r="D2018" i="5"/>
  <c r="W2017" i="5"/>
  <c r="D2017" i="5"/>
  <c r="W2016" i="5"/>
  <c r="D2016" i="5"/>
  <c r="W2015" i="5"/>
  <c r="D2015" i="5"/>
  <c r="W2014" i="5"/>
  <c r="D2014" i="5"/>
  <c r="W2013" i="5"/>
  <c r="D2013" i="5"/>
  <c r="W2012" i="5"/>
  <c r="D2012" i="5"/>
  <c r="W2011" i="5"/>
  <c r="D2011" i="5"/>
  <c r="W2010" i="5"/>
  <c r="D2010" i="5"/>
  <c r="W2009" i="5"/>
  <c r="D2009" i="5"/>
  <c r="W2008" i="5"/>
  <c r="D2008" i="5"/>
  <c r="W2007" i="5"/>
  <c r="D2007" i="5"/>
  <c r="W2006" i="5"/>
  <c r="D2006" i="5"/>
  <c r="W2005" i="5"/>
  <c r="D2005" i="5"/>
  <c r="W2004" i="5"/>
  <c r="D2004" i="5"/>
  <c r="W2003" i="5"/>
  <c r="D2003" i="5"/>
  <c r="W2002" i="5"/>
  <c r="D2002" i="5"/>
  <c r="W2001" i="5"/>
  <c r="D2001" i="5"/>
  <c r="W2000" i="5"/>
  <c r="D2000" i="5"/>
  <c r="W1999" i="5"/>
  <c r="D1999" i="5"/>
  <c r="W1998" i="5"/>
  <c r="D1998" i="5"/>
  <c r="W1997" i="5"/>
  <c r="D1997" i="5"/>
  <c r="W1996" i="5"/>
  <c r="D1996" i="5"/>
  <c r="D1995" i="5"/>
  <c r="C1995" i="5" s="1"/>
  <c r="I2762" i="2" s="1"/>
  <c r="W1994" i="5"/>
  <c r="D1994" i="5"/>
  <c r="W1993" i="5"/>
  <c r="D1993" i="5"/>
  <c r="W1992" i="5"/>
  <c r="D1992" i="5"/>
  <c r="W1991" i="5"/>
  <c r="D1991" i="5"/>
  <c r="W1990" i="5"/>
  <c r="D1990" i="5"/>
  <c r="W1989" i="5"/>
  <c r="D1989" i="5"/>
  <c r="W1988" i="5"/>
  <c r="D1988" i="5"/>
  <c r="W1987" i="5"/>
  <c r="D1987" i="5"/>
  <c r="W1986" i="5"/>
  <c r="D1986" i="5"/>
  <c r="W1985" i="5"/>
  <c r="D1985" i="5"/>
  <c r="W1984" i="5"/>
  <c r="D1984" i="5"/>
  <c r="W1983" i="5"/>
  <c r="D1983" i="5"/>
  <c r="W1982" i="5"/>
  <c r="D1982" i="5"/>
  <c r="W1981" i="5"/>
  <c r="D1981" i="5"/>
  <c r="W1980" i="5"/>
  <c r="D1980" i="5"/>
  <c r="W1979" i="5"/>
  <c r="D1979" i="5"/>
  <c r="W1978" i="5"/>
  <c r="D1978" i="5"/>
  <c r="W1977" i="5"/>
  <c r="D1977" i="5"/>
  <c r="W1976" i="5"/>
  <c r="D1976" i="5"/>
  <c r="D1975" i="5"/>
  <c r="C1975" i="5" s="1"/>
  <c r="I2742" i="2" s="1"/>
  <c r="W1974" i="5"/>
  <c r="D1974" i="5"/>
  <c r="W1973" i="5"/>
  <c r="D1973" i="5"/>
  <c r="D1972" i="5"/>
  <c r="C1972" i="5" s="1"/>
  <c r="I2739" i="2" s="1"/>
  <c r="W1971" i="5"/>
  <c r="D1971" i="5"/>
  <c r="W1970" i="5"/>
  <c r="D1970" i="5"/>
  <c r="W1969" i="5"/>
  <c r="D1969" i="5"/>
  <c r="W1968" i="5"/>
  <c r="D1968" i="5"/>
  <c r="W1967" i="5"/>
  <c r="D1967" i="5"/>
  <c r="D1966" i="5"/>
  <c r="C1966" i="5" s="1"/>
  <c r="W1965" i="5"/>
  <c r="D1965" i="5"/>
  <c r="W1964" i="5"/>
  <c r="D1964" i="5"/>
  <c r="W1963" i="5"/>
  <c r="D1963" i="5"/>
  <c r="W1962" i="5"/>
  <c r="D1962" i="5"/>
  <c r="D1961" i="5"/>
  <c r="C1961" i="5" s="1"/>
  <c r="W1960" i="5"/>
  <c r="D1960" i="5"/>
  <c r="W1959" i="5"/>
  <c r="D1959" i="5"/>
  <c r="D1958" i="5"/>
  <c r="C1958" i="5" s="1"/>
  <c r="I2725" i="2" s="1"/>
  <c r="D1957" i="5"/>
  <c r="W1956" i="5"/>
  <c r="D1956" i="5"/>
  <c r="W1955" i="5"/>
  <c r="D1955" i="5"/>
  <c r="W1954" i="5"/>
  <c r="D1954" i="5"/>
  <c r="W1953" i="5"/>
  <c r="D1953" i="5"/>
  <c r="W1952" i="5"/>
  <c r="D1952" i="5"/>
  <c r="W1951" i="5"/>
  <c r="D1951" i="5"/>
  <c r="D1950" i="5"/>
  <c r="C1950" i="5" s="1"/>
  <c r="I2716" i="2" s="1"/>
  <c r="W1949" i="5"/>
  <c r="D1949" i="5"/>
  <c r="W1948" i="5"/>
  <c r="D1948" i="5"/>
  <c r="W1947" i="5"/>
  <c r="D1947" i="5"/>
  <c r="W1946" i="5"/>
  <c r="D1946" i="5"/>
  <c r="W1945" i="5"/>
  <c r="D1945" i="5"/>
  <c r="D1944" i="5"/>
  <c r="C1944" i="5" s="1"/>
  <c r="I2709" i="2" s="1"/>
  <c r="P1943" i="5"/>
  <c r="P2027" i="5" s="1"/>
  <c r="P2028" i="5" s="1"/>
  <c r="D1943" i="5"/>
  <c r="N1942" i="5"/>
  <c r="D1942" i="5"/>
  <c r="N1941" i="5"/>
  <c r="D1941" i="5"/>
  <c r="W1940" i="5"/>
  <c r="E1940" i="5"/>
  <c r="W1939" i="5"/>
  <c r="D1939" i="5"/>
  <c r="D1938" i="5"/>
  <c r="C1938" i="5" s="1"/>
  <c r="I2704" i="2" s="1"/>
  <c r="W1937" i="5"/>
  <c r="D1937" i="5"/>
  <c r="W1936" i="5"/>
  <c r="D1936" i="5"/>
  <c r="W1935" i="5"/>
  <c r="D1935" i="5"/>
  <c r="D1934" i="5"/>
  <c r="W1933" i="5"/>
  <c r="D1933" i="5"/>
  <c r="I2698" i="2"/>
  <c r="I2027" i="5"/>
  <c r="I2028" i="5" s="1"/>
  <c r="W1930" i="5"/>
  <c r="D1930" i="5"/>
  <c r="W1929" i="5"/>
  <c r="D1929" i="5"/>
  <c r="W1928" i="5"/>
  <c r="D1928" i="5"/>
  <c r="W1927" i="5"/>
  <c r="D1927" i="5"/>
  <c r="W1926" i="5"/>
  <c r="D1926" i="5"/>
  <c r="W1925" i="5"/>
  <c r="D1925" i="5"/>
  <c r="W1924" i="5"/>
  <c r="D1924" i="5"/>
  <c r="W1921" i="5"/>
  <c r="D1921" i="5"/>
  <c r="W1920" i="5"/>
  <c r="D1920" i="5"/>
  <c r="W1919" i="5"/>
  <c r="D1919" i="5"/>
  <c r="W1918" i="5"/>
  <c r="D1918" i="5"/>
  <c r="W1917" i="5"/>
  <c r="D1917" i="5"/>
  <c r="W1916" i="5"/>
  <c r="D1916" i="5"/>
  <c r="W1915" i="5"/>
  <c r="D1915" i="5"/>
  <c r="W1914" i="5"/>
  <c r="D1914" i="5"/>
  <c r="W1913" i="5"/>
  <c r="D1913" i="5"/>
  <c r="W1912" i="5"/>
  <c r="D1912" i="5"/>
  <c r="W1909" i="5"/>
  <c r="W1910" i="5" s="1"/>
  <c r="D1909" i="5"/>
  <c r="D1910" i="5" s="1"/>
  <c r="W1904" i="5"/>
  <c r="D1904" i="5"/>
  <c r="W1903" i="5"/>
  <c r="D1903" i="5"/>
  <c r="W1902" i="5"/>
  <c r="D1902" i="5"/>
  <c r="D1901" i="5"/>
  <c r="C1901" i="5" s="1"/>
  <c r="W1900" i="5"/>
  <c r="D1900" i="5"/>
  <c r="W1899" i="5"/>
  <c r="D1899" i="5"/>
  <c r="W1898" i="5"/>
  <c r="D1898" i="5"/>
  <c r="W1897" i="5"/>
  <c r="D1897" i="5"/>
  <c r="W1896" i="5"/>
  <c r="D1896" i="5"/>
  <c r="W1895" i="5"/>
  <c r="D1895" i="5"/>
  <c r="W1894" i="5"/>
  <c r="D1894" i="5"/>
  <c r="W1893" i="5"/>
  <c r="D1893" i="5"/>
  <c r="W1892" i="5"/>
  <c r="D1892" i="5"/>
  <c r="W1891" i="5"/>
  <c r="D1891" i="5"/>
  <c r="W1890" i="5"/>
  <c r="D1890" i="5"/>
  <c r="W1889" i="5"/>
  <c r="D1889" i="5"/>
  <c r="W1888" i="5"/>
  <c r="D1888" i="5"/>
  <c r="W1887" i="5"/>
  <c r="D1887" i="5"/>
  <c r="W1886" i="5"/>
  <c r="D1886" i="5"/>
  <c r="W1885" i="5"/>
  <c r="D1885" i="5"/>
  <c r="W1884" i="5"/>
  <c r="D1884" i="5"/>
  <c r="W1883" i="5"/>
  <c r="D1883" i="5"/>
  <c r="W1882" i="5"/>
  <c r="D1882" i="5"/>
  <c r="W1881" i="5"/>
  <c r="D1881" i="5"/>
  <c r="W1880" i="5"/>
  <c r="D1880" i="5"/>
  <c r="W1879" i="5"/>
  <c r="D1879" i="5"/>
  <c r="W1878" i="5"/>
  <c r="D1878" i="5"/>
  <c r="W1875" i="5"/>
  <c r="I1875" i="5"/>
  <c r="I1876" i="5" s="1"/>
  <c r="I1906" i="5" s="1"/>
  <c r="G1875" i="5"/>
  <c r="F1875" i="5"/>
  <c r="W1874" i="5"/>
  <c r="G1874" i="5"/>
  <c r="F1874" i="5"/>
  <c r="W1873" i="5"/>
  <c r="D1873" i="5"/>
  <c r="W1872" i="5"/>
  <c r="G1872" i="5"/>
  <c r="F1872" i="5"/>
  <c r="W1871" i="5"/>
  <c r="D1871" i="5"/>
  <c r="W1870" i="5"/>
  <c r="D1870" i="5"/>
  <c r="W1869" i="5"/>
  <c r="D1869" i="5"/>
  <c r="W1868" i="5"/>
  <c r="D1868" i="5"/>
  <c r="W1867" i="5"/>
  <c r="D1867" i="5"/>
  <c r="W1866" i="5"/>
  <c r="D1866" i="5"/>
  <c r="W1865" i="5"/>
  <c r="D1865" i="5"/>
  <c r="W1864" i="5"/>
  <c r="D1864" i="5"/>
  <c r="W1863" i="5"/>
  <c r="D1863" i="5"/>
  <c r="W1862" i="5"/>
  <c r="D1862" i="5"/>
  <c r="W1861" i="5"/>
  <c r="D1861" i="5"/>
  <c r="W1860" i="5"/>
  <c r="D1860" i="5"/>
  <c r="W1859" i="5"/>
  <c r="D1859" i="5"/>
  <c r="W1858" i="5"/>
  <c r="D1858" i="5"/>
  <c r="W1857" i="5"/>
  <c r="D1857" i="5"/>
  <c r="W1856" i="5"/>
  <c r="D1856" i="5"/>
  <c r="W1855" i="5"/>
  <c r="D1855" i="5"/>
  <c r="W1852" i="5"/>
  <c r="D1852" i="5"/>
  <c r="W1851" i="5"/>
  <c r="D1851" i="5"/>
  <c r="W1850" i="5"/>
  <c r="D1850" i="5"/>
  <c r="W1849" i="5"/>
  <c r="D1849" i="5"/>
  <c r="W1848" i="5"/>
  <c r="D1848" i="5"/>
  <c r="W1847" i="5"/>
  <c r="D1847" i="5"/>
  <c r="W1846" i="5"/>
  <c r="D1846" i="5"/>
  <c r="W1845" i="5"/>
  <c r="D1845" i="5"/>
  <c r="D1844" i="5"/>
  <c r="W1841" i="5"/>
  <c r="D1841" i="5"/>
  <c r="W1840" i="5"/>
  <c r="D1840" i="5"/>
  <c r="W1839" i="5"/>
  <c r="D1839" i="5"/>
  <c r="W1838" i="5"/>
  <c r="D1838" i="5"/>
  <c r="W1837" i="5"/>
  <c r="D1837" i="5"/>
  <c r="W1836" i="5"/>
  <c r="D1836" i="5"/>
  <c r="W1835" i="5"/>
  <c r="D1835" i="5"/>
  <c r="W1834" i="5"/>
  <c r="D1834" i="5"/>
  <c r="W1833" i="5"/>
  <c r="D1833" i="5"/>
  <c r="W1830" i="5"/>
  <c r="D1830" i="5"/>
  <c r="W1829" i="5"/>
  <c r="D1829" i="5"/>
  <c r="W1828" i="5"/>
  <c r="D1828" i="5"/>
  <c r="W1827" i="5"/>
  <c r="D1827" i="5"/>
  <c r="W1826" i="5"/>
  <c r="D1826" i="5"/>
  <c r="W1825" i="5"/>
  <c r="D1825" i="5"/>
  <c r="W1824" i="5"/>
  <c r="D1824" i="5"/>
  <c r="W1823" i="5"/>
  <c r="D1823" i="5"/>
  <c r="W1822" i="5"/>
  <c r="D1822" i="5"/>
  <c r="W1821" i="5"/>
  <c r="D1821" i="5"/>
  <c r="W1820" i="5"/>
  <c r="D1820" i="5"/>
  <c r="D1817" i="5"/>
  <c r="C1817" i="5" s="1"/>
  <c r="D1816" i="5"/>
  <c r="D1815" i="5"/>
  <c r="C1815" i="5" s="1"/>
  <c r="D1814" i="5"/>
  <c r="W1811" i="5"/>
  <c r="W1812" i="5" s="1"/>
  <c r="E1811" i="5"/>
  <c r="E1812" i="5" s="1"/>
  <c r="E1906" i="5" s="1"/>
  <c r="D1808" i="5"/>
  <c r="C1808" i="5" s="1"/>
  <c r="F1803" i="5"/>
  <c r="F1804" i="5" s="1"/>
  <c r="D1802" i="5"/>
  <c r="C1802" i="5" s="1"/>
  <c r="I2524" i="2" s="1"/>
  <c r="D1801" i="5"/>
  <c r="C1801" i="5" s="1"/>
  <c r="I2522" i="2" s="1"/>
  <c r="D1800" i="5"/>
  <c r="C1800" i="5" s="1"/>
  <c r="D1799" i="5"/>
  <c r="C1799" i="5" s="1"/>
  <c r="D1798" i="5"/>
  <c r="C1798" i="5" s="1"/>
  <c r="D1797" i="5"/>
  <c r="V1794" i="5"/>
  <c r="V1795" i="5" s="1"/>
  <c r="V1805" i="5" s="1"/>
  <c r="G1794" i="5"/>
  <c r="G1795" i="5" s="1"/>
  <c r="G1805" i="5" s="1"/>
  <c r="F1794" i="5"/>
  <c r="F1795" i="5" s="1"/>
  <c r="D1791" i="5"/>
  <c r="C1791" i="5" s="1"/>
  <c r="D1790" i="5"/>
  <c r="C1790" i="5" s="1"/>
  <c r="D1789" i="5"/>
  <c r="C1789" i="5" s="1"/>
  <c r="D1788" i="5"/>
  <c r="W1783" i="5"/>
  <c r="D1783" i="5"/>
  <c r="W1782" i="5"/>
  <c r="D1782" i="5"/>
  <c r="W1779" i="5"/>
  <c r="D1779" i="5"/>
  <c r="W1778" i="5"/>
  <c r="D1778" i="5"/>
  <c r="D1775" i="5"/>
  <c r="C1775" i="5" s="1"/>
  <c r="D1774" i="5"/>
  <c r="C1774" i="5" s="1"/>
  <c r="D1773" i="5"/>
  <c r="C1773" i="5" s="1"/>
  <c r="I2457" i="2" s="1"/>
  <c r="W1772" i="5"/>
  <c r="W1776" i="5" s="1"/>
  <c r="D1772" i="5"/>
  <c r="W1769" i="5"/>
  <c r="D1769" i="5"/>
  <c r="W1768" i="5"/>
  <c r="D1768" i="5"/>
  <c r="W1767" i="5"/>
  <c r="D1767" i="5"/>
  <c r="W1766" i="5"/>
  <c r="D1766" i="5"/>
  <c r="W1763" i="5"/>
  <c r="W1764" i="5" s="1"/>
  <c r="D1763" i="5"/>
  <c r="D1764" i="5" s="1"/>
  <c r="D1760" i="5"/>
  <c r="C1760" i="5" s="1"/>
  <c r="D1759" i="5"/>
  <c r="C1759" i="5" s="1"/>
  <c r="D1758" i="5"/>
  <c r="W1755" i="5"/>
  <c r="D1755" i="5"/>
  <c r="W1754" i="5"/>
  <c r="D1754" i="5"/>
  <c r="D1753" i="5"/>
  <c r="C1753" i="5" s="1"/>
  <c r="I2404" i="2" s="1"/>
  <c r="W1752" i="5"/>
  <c r="D1752" i="5"/>
  <c r="D1751" i="5"/>
  <c r="C1751" i="5" s="1"/>
  <c r="I2402" i="2" s="1"/>
  <c r="D1750" i="5"/>
  <c r="W1747" i="5"/>
  <c r="D1747" i="5"/>
  <c r="W1746" i="5"/>
  <c r="D1746" i="5"/>
  <c r="W1745" i="5"/>
  <c r="D1745" i="5"/>
  <c r="W1744" i="5"/>
  <c r="D1744" i="5"/>
  <c r="W1743" i="5"/>
  <c r="D1743" i="5"/>
  <c r="C1742" i="5"/>
  <c r="I2385" i="2" s="1"/>
  <c r="W1741" i="5"/>
  <c r="D1741" i="5"/>
  <c r="D1740" i="5"/>
  <c r="C1740" i="5" s="1"/>
  <c r="W1739" i="5"/>
  <c r="D1739" i="5"/>
  <c r="D1738" i="5"/>
  <c r="C1738" i="5" s="1"/>
  <c r="D1737" i="5"/>
  <c r="C1737" i="5" s="1"/>
  <c r="W1736" i="5"/>
  <c r="D1736" i="5"/>
  <c r="W1735" i="5"/>
  <c r="D1735" i="5"/>
  <c r="W1734" i="5"/>
  <c r="D1734" i="5"/>
  <c r="W1733" i="5"/>
  <c r="D1733" i="5"/>
  <c r="W1732" i="5"/>
  <c r="D1732" i="5"/>
  <c r="W1731" i="5"/>
  <c r="D1731" i="5"/>
  <c r="D1730" i="5"/>
  <c r="C1730" i="5" s="1"/>
  <c r="I2369" i="2" s="1"/>
  <c r="W1729" i="5"/>
  <c r="D1729" i="5"/>
  <c r="W1728" i="5"/>
  <c r="D1728" i="5"/>
  <c r="D1727" i="5"/>
  <c r="C1727" i="5" s="1"/>
  <c r="W1726" i="5"/>
  <c r="D1726" i="5"/>
  <c r="W1725" i="5"/>
  <c r="D1725" i="5"/>
  <c r="W1724" i="5"/>
  <c r="D1724" i="5"/>
  <c r="W1723" i="5"/>
  <c r="D1723" i="5"/>
  <c r="W1722" i="5"/>
  <c r="I1722" i="5"/>
  <c r="I1748" i="5" s="1"/>
  <c r="I1785" i="5" s="1"/>
  <c r="H1722" i="5"/>
  <c r="H1748" i="5" s="1"/>
  <c r="H1785" i="5" s="1"/>
  <c r="G1722" i="5"/>
  <c r="G1748" i="5" s="1"/>
  <c r="G1785" i="5" s="1"/>
  <c r="W1721" i="5"/>
  <c r="D1721" i="5"/>
  <c r="W1720" i="5"/>
  <c r="D1720" i="5"/>
  <c r="D1719" i="5"/>
  <c r="C1719" i="5" s="1"/>
  <c r="W1717" i="5"/>
  <c r="D1717" i="5"/>
  <c r="W1716" i="5"/>
  <c r="D1716" i="5"/>
  <c r="W1715" i="5"/>
  <c r="D1715" i="5"/>
  <c r="W1714" i="5"/>
  <c r="D1714" i="5"/>
  <c r="W1713" i="5"/>
  <c r="D1713" i="5"/>
  <c r="D1712" i="5"/>
  <c r="C1712" i="5" s="1"/>
  <c r="W1711" i="5"/>
  <c r="D1711" i="5"/>
  <c r="W1710" i="5"/>
  <c r="D1710" i="5"/>
  <c r="W1709" i="5"/>
  <c r="D1709" i="5"/>
  <c r="W1708" i="5"/>
  <c r="D1708" i="5"/>
  <c r="W1707" i="5"/>
  <c r="D1707" i="5"/>
  <c r="W1706" i="5"/>
  <c r="D1706" i="5"/>
  <c r="W1705" i="5"/>
  <c r="D1705" i="5"/>
  <c r="W1702" i="5"/>
  <c r="D1702" i="5"/>
  <c r="D1701" i="5"/>
  <c r="C1701" i="5" s="1"/>
  <c r="I2330" i="2" s="1"/>
  <c r="I2329" i="2"/>
  <c r="W1700" i="5"/>
  <c r="D1700" i="5"/>
  <c r="W1699" i="5"/>
  <c r="D1699" i="5"/>
  <c r="W1698" i="5"/>
  <c r="D1698" i="5"/>
  <c r="W1697" i="5"/>
  <c r="D1697" i="5"/>
  <c r="W1696" i="5"/>
  <c r="D1696" i="5"/>
  <c r="D1695" i="5"/>
  <c r="C1695" i="5" s="1"/>
  <c r="I2323" i="2" s="1"/>
  <c r="D1694" i="5"/>
  <c r="C1694" i="5" s="1"/>
  <c r="I2322" i="2" s="1"/>
  <c r="D1693" i="5"/>
  <c r="C1693" i="5" s="1"/>
  <c r="I2321" i="2" s="1"/>
  <c r="D1692" i="5"/>
  <c r="C1692" i="5" s="1"/>
  <c r="I2320" i="2" s="1"/>
  <c r="D1691" i="5"/>
  <c r="C1691" i="5" s="1"/>
  <c r="I2319" i="2" s="1"/>
  <c r="D1690" i="5"/>
  <c r="C1690" i="5" s="1"/>
  <c r="I2318" i="2" s="1"/>
  <c r="D1689" i="5"/>
  <c r="C1689" i="5" s="1"/>
  <c r="I2317" i="2" s="1"/>
  <c r="D1688" i="5"/>
  <c r="W1685" i="5"/>
  <c r="D1685" i="5"/>
  <c r="W1684" i="5"/>
  <c r="D1684" i="5"/>
  <c r="W1683" i="5"/>
  <c r="D1683" i="5"/>
  <c r="W1682" i="5"/>
  <c r="D1682" i="5"/>
  <c r="W1681" i="5"/>
  <c r="D1681" i="5"/>
  <c r="W1680" i="5"/>
  <c r="D1680" i="5"/>
  <c r="W1679" i="5"/>
  <c r="D1679" i="5"/>
  <c r="W1678" i="5"/>
  <c r="D1678" i="5"/>
  <c r="W1677" i="5"/>
  <c r="D1677" i="5"/>
  <c r="W1676" i="5"/>
  <c r="D1676" i="5"/>
  <c r="W1675" i="5"/>
  <c r="D1675" i="5"/>
  <c r="W1674" i="5"/>
  <c r="D1674" i="5"/>
  <c r="W1673" i="5"/>
  <c r="D1673" i="5"/>
  <c r="W1672" i="5"/>
  <c r="D1672" i="5"/>
  <c r="W1671" i="5"/>
  <c r="D1671" i="5"/>
  <c r="W1670" i="5"/>
  <c r="D1670" i="5"/>
  <c r="W1669" i="5"/>
  <c r="D1669" i="5"/>
  <c r="W1668" i="5"/>
  <c r="D1668" i="5"/>
  <c r="C1667" i="5"/>
  <c r="I2294" i="2" s="1"/>
  <c r="W1666" i="5"/>
  <c r="D1666" i="5"/>
  <c r="W1665" i="5"/>
  <c r="D1665" i="5"/>
  <c r="W1664" i="5"/>
  <c r="D1664" i="5"/>
  <c r="W1663" i="5"/>
  <c r="D1663" i="5"/>
  <c r="W1662" i="5"/>
  <c r="D1662" i="5"/>
  <c r="W1661" i="5"/>
  <c r="D1661" i="5"/>
  <c r="W1660" i="5"/>
  <c r="D1660" i="5"/>
  <c r="W1655" i="5"/>
  <c r="D1655" i="5"/>
  <c r="W1654" i="5"/>
  <c r="D1654" i="5"/>
  <c r="W1653" i="5"/>
  <c r="D1653" i="5"/>
  <c r="W1652" i="5"/>
  <c r="D1652" i="5"/>
  <c r="W1651" i="5"/>
  <c r="D1651" i="5"/>
  <c r="W1650" i="5"/>
  <c r="D1650" i="5"/>
  <c r="W1649" i="5"/>
  <c r="D1649" i="5"/>
  <c r="W1648" i="5"/>
  <c r="D1648" i="5"/>
  <c r="D1645" i="5"/>
  <c r="C1645" i="5" s="1"/>
  <c r="I2258" i="2" s="1"/>
  <c r="D1644" i="5"/>
  <c r="C1644" i="5" s="1"/>
  <c r="I2257" i="2" s="1"/>
  <c r="D1643" i="5"/>
  <c r="D1642" i="5"/>
  <c r="D1641" i="5"/>
  <c r="C1641" i="5" s="1"/>
  <c r="D1640" i="5"/>
  <c r="D1639" i="5"/>
  <c r="D1636" i="5"/>
  <c r="D1637" i="5" s="1"/>
  <c r="D1633" i="5"/>
  <c r="C1633" i="5" s="1"/>
  <c r="N1632" i="5"/>
  <c r="N1634" i="5" s="1"/>
  <c r="D1632" i="5"/>
  <c r="D1629" i="5"/>
  <c r="C1629" i="5" s="1"/>
  <c r="I2230" i="2" s="1"/>
  <c r="V1628" i="5"/>
  <c r="D1628" i="5"/>
  <c r="V1627" i="5"/>
  <c r="D1627" i="5"/>
  <c r="V1626" i="5"/>
  <c r="D1626" i="5"/>
  <c r="W1625" i="5"/>
  <c r="W1630" i="5" s="1"/>
  <c r="U1625" i="5"/>
  <c r="U1630" i="5" s="1"/>
  <c r="U1657" i="5" s="1"/>
  <c r="D1625" i="5"/>
  <c r="D1624" i="5"/>
  <c r="D1623" i="5"/>
  <c r="C1623" i="5" s="1"/>
  <c r="I2224" i="2" s="1"/>
  <c r="D1622" i="5"/>
  <c r="D1619" i="5"/>
  <c r="D1620" i="5" s="1"/>
  <c r="W1617" i="5"/>
  <c r="D1616" i="5"/>
  <c r="D1617" i="5" s="1"/>
  <c r="D1613" i="5"/>
  <c r="C1613" i="5" s="1"/>
  <c r="I2197" i="2" s="1"/>
  <c r="D1612" i="5"/>
  <c r="C1612" i="5" s="1"/>
  <c r="D1611" i="5"/>
  <c r="C1611" i="5" s="1"/>
  <c r="I2195" i="2" s="1"/>
  <c r="D1610" i="5"/>
  <c r="C1610" i="5" s="1"/>
  <c r="I2194" i="2" s="1"/>
  <c r="D1609" i="5"/>
  <c r="C1609" i="5" s="1"/>
  <c r="I2193" i="2" s="1"/>
  <c r="D1608" i="5"/>
  <c r="C1608" i="5" s="1"/>
  <c r="I2192" i="2" s="1"/>
  <c r="D1607" i="5"/>
  <c r="C1607" i="5" s="1"/>
  <c r="I2191" i="2" s="1"/>
  <c r="D1606" i="5"/>
  <c r="C1606" i="5" s="1"/>
  <c r="I2190" i="2" s="1"/>
  <c r="D1605" i="5"/>
  <c r="C1605" i="5" s="1"/>
  <c r="I2189" i="2" s="1"/>
  <c r="D1604" i="5"/>
  <c r="C1604" i="5" s="1"/>
  <c r="I2188" i="2" s="1"/>
  <c r="D1603" i="5"/>
  <c r="D1602" i="5"/>
  <c r="AC1599" i="5"/>
  <c r="W1599" i="5" s="1"/>
  <c r="D1599" i="5"/>
  <c r="AC1598" i="5"/>
  <c r="W1598" i="5" s="1"/>
  <c r="D1598" i="5"/>
  <c r="AC1597" i="5"/>
  <c r="W1597" i="5" s="1"/>
  <c r="D1597" i="5"/>
  <c r="AC1596" i="5"/>
  <c r="W1596" i="5" s="1"/>
  <c r="D1596" i="5"/>
  <c r="AC1595" i="5"/>
  <c r="W1595" i="5" s="1"/>
  <c r="D1595" i="5"/>
  <c r="W1594" i="5"/>
  <c r="D1594" i="5"/>
  <c r="D1591" i="5"/>
  <c r="C1591" i="5" s="1"/>
  <c r="V1590" i="5"/>
  <c r="D1590" i="5"/>
  <c r="V1589" i="5"/>
  <c r="I1589" i="5"/>
  <c r="I1592" i="5" s="1"/>
  <c r="I1657" i="5" s="1"/>
  <c r="H1589" i="5"/>
  <c r="H1592" i="5" s="1"/>
  <c r="H1657" i="5" s="1"/>
  <c r="G1589" i="5"/>
  <c r="G1592" i="5" s="1"/>
  <c r="G1657" i="5" s="1"/>
  <c r="F1589" i="5"/>
  <c r="F1592" i="5" s="1"/>
  <c r="F1657" i="5" s="1"/>
  <c r="E1589" i="5"/>
  <c r="E1592" i="5" s="1"/>
  <c r="E1657" i="5" s="1"/>
  <c r="D1588" i="5"/>
  <c r="C1588" i="5" s="1"/>
  <c r="D1587" i="5"/>
  <c r="C1587" i="5" s="1"/>
  <c r="V1586" i="5"/>
  <c r="D1586" i="5"/>
  <c r="V1585" i="5"/>
  <c r="D1585" i="5"/>
  <c r="R1582" i="5"/>
  <c r="D1582" i="5"/>
  <c r="R1581" i="5"/>
  <c r="D1581" i="5"/>
  <c r="N1580" i="5"/>
  <c r="N1583" i="5" s="1"/>
  <c r="D1580" i="5"/>
  <c r="D1575" i="5"/>
  <c r="D1574" i="5"/>
  <c r="D1573" i="5"/>
  <c r="D1572" i="5"/>
  <c r="D1571" i="5"/>
  <c r="D1570" i="5"/>
  <c r="W1569" i="5"/>
  <c r="D1569" i="5"/>
  <c r="D1568" i="5"/>
  <c r="D1567" i="5"/>
  <c r="D1566" i="5"/>
  <c r="C1566" i="5" s="1"/>
  <c r="I2132" i="2" s="1"/>
  <c r="D1565" i="5"/>
  <c r="D1564" i="5"/>
  <c r="D1563" i="5"/>
  <c r="D1562" i="5"/>
  <c r="C1562" i="5" s="1"/>
  <c r="AC1561" i="5"/>
  <c r="W1561" i="5" s="1"/>
  <c r="D1561" i="5"/>
  <c r="D1560" i="5"/>
  <c r="D1559" i="5"/>
  <c r="D1558" i="5"/>
  <c r="D1557" i="5"/>
  <c r="D1556" i="5"/>
  <c r="D1555" i="5"/>
  <c r="AC1554" i="5"/>
  <c r="W1554" i="5" s="1"/>
  <c r="D1554" i="5"/>
  <c r="AC1553" i="5"/>
  <c r="W1553" i="5" s="1"/>
  <c r="D1553" i="5"/>
  <c r="AC1552" i="5"/>
  <c r="W1552" i="5" s="1"/>
  <c r="D1552" i="5"/>
  <c r="D1551" i="5"/>
  <c r="D1550" i="5"/>
  <c r="V1547" i="5"/>
  <c r="D1547" i="5"/>
  <c r="D1544" i="5"/>
  <c r="D1543" i="5"/>
  <c r="D1542" i="5"/>
  <c r="D1541" i="5"/>
  <c r="D1540" i="5"/>
  <c r="D1539" i="5"/>
  <c r="AC1538" i="5"/>
  <c r="D1538" i="5"/>
  <c r="AC1537" i="5"/>
  <c r="W1537" i="5" s="1"/>
  <c r="D1537" i="5"/>
  <c r="AC1536" i="5"/>
  <c r="W1536" i="5" s="1"/>
  <c r="D1536" i="5"/>
  <c r="AC1535" i="5"/>
  <c r="D1535" i="5"/>
  <c r="D1534" i="5"/>
  <c r="C1534" i="5" s="1"/>
  <c r="I2094" i="2" s="1"/>
  <c r="AC1533" i="5"/>
  <c r="W1533" i="5" s="1"/>
  <c r="D1533" i="5"/>
  <c r="AC1532" i="5"/>
  <c r="W1532" i="5" s="1"/>
  <c r="D1532" i="5"/>
  <c r="D1531" i="5"/>
  <c r="AC1530" i="5"/>
  <c r="W1530" i="5" s="1"/>
  <c r="D1530" i="5"/>
  <c r="AC1529" i="5"/>
  <c r="W1529" i="5" s="1"/>
  <c r="D1529" i="5"/>
  <c r="AC1528" i="5"/>
  <c r="W1528" i="5" s="1"/>
  <c r="D1528" i="5"/>
  <c r="D1527" i="5"/>
  <c r="D1526" i="5"/>
  <c r="C1526" i="5" s="1"/>
  <c r="D1525" i="5"/>
  <c r="D1524" i="5"/>
  <c r="D1523" i="5"/>
  <c r="E1522" i="5"/>
  <c r="D1522" i="5" s="1"/>
  <c r="D1521" i="5"/>
  <c r="D1520" i="5"/>
  <c r="C1520" i="5" s="1"/>
  <c r="I2072" i="2" s="1"/>
  <c r="D1519" i="5"/>
  <c r="D1518" i="5"/>
  <c r="AC1517" i="5"/>
  <c r="W1517" i="5" s="1"/>
  <c r="D1517" i="5"/>
  <c r="D1516" i="5"/>
  <c r="W1515" i="5"/>
  <c r="D1515" i="5"/>
  <c r="P1514" i="5"/>
  <c r="P1576" i="5" s="1"/>
  <c r="P1577" i="5" s="1"/>
  <c r="D1514" i="5"/>
  <c r="D1513" i="5"/>
  <c r="D1512" i="5"/>
  <c r="V1511" i="5"/>
  <c r="D1510" i="5"/>
  <c r="V1509" i="5"/>
  <c r="D1509" i="5"/>
  <c r="AC1508" i="5"/>
  <c r="W1508" i="5" s="1"/>
  <c r="D1508" i="5"/>
  <c r="V1507" i="5"/>
  <c r="D1506" i="5"/>
  <c r="W1505" i="5"/>
  <c r="D1505" i="5"/>
  <c r="W1504" i="5"/>
  <c r="D1504" i="5"/>
  <c r="W1503" i="5"/>
  <c r="D1503" i="5"/>
  <c r="E1502" i="5"/>
  <c r="W1499" i="5"/>
  <c r="D1499" i="5"/>
  <c r="W1498" i="5"/>
  <c r="D1498" i="5"/>
  <c r="W1497" i="5"/>
  <c r="D1497" i="5"/>
  <c r="W1496" i="5"/>
  <c r="W1495" i="5"/>
  <c r="W1494" i="5"/>
  <c r="D1493" i="5"/>
  <c r="C1493" i="5" s="1"/>
  <c r="I2040" i="2" s="1"/>
  <c r="W1492" i="5"/>
  <c r="D1492" i="5"/>
  <c r="D1491" i="5"/>
  <c r="C1491" i="5" s="1"/>
  <c r="I2038" i="2" s="1"/>
  <c r="E1490" i="5"/>
  <c r="D1489" i="5"/>
  <c r="D1488" i="5"/>
  <c r="D1486" i="5"/>
  <c r="W1485" i="5"/>
  <c r="W1484" i="5"/>
  <c r="D1484" i="5"/>
  <c r="W1483" i="5"/>
  <c r="D1483" i="5"/>
  <c r="D1482" i="5"/>
  <c r="C1482" i="5" s="1"/>
  <c r="W1481" i="5"/>
  <c r="N1481" i="5"/>
  <c r="D1481" i="5"/>
  <c r="W1480" i="5"/>
  <c r="D1480" i="5"/>
  <c r="D1479" i="5"/>
  <c r="W1478" i="5"/>
  <c r="D1478" i="5"/>
  <c r="W1477" i="5"/>
  <c r="D1477" i="5"/>
  <c r="D1476" i="5"/>
  <c r="C1476" i="5" s="1"/>
  <c r="D1475" i="5"/>
  <c r="W1474" i="5"/>
  <c r="C1474" i="5" s="1"/>
  <c r="AE1472" i="5"/>
  <c r="W1472" i="5" s="1"/>
  <c r="D1472" i="5"/>
  <c r="D1470" i="5"/>
  <c r="D1469" i="5"/>
  <c r="D1468" i="5"/>
  <c r="W1467" i="5"/>
  <c r="D1467" i="5"/>
  <c r="D1466" i="5"/>
  <c r="D1465" i="5"/>
  <c r="D1464" i="5"/>
  <c r="D1463" i="5"/>
  <c r="D1462" i="5"/>
  <c r="D1461" i="5"/>
  <c r="W1460" i="5"/>
  <c r="D1460" i="5"/>
  <c r="W1459" i="5"/>
  <c r="V1459" i="5"/>
  <c r="W1458" i="5"/>
  <c r="D1458" i="5"/>
  <c r="W1457" i="5"/>
  <c r="D1457" i="5"/>
  <c r="D1456" i="5"/>
  <c r="D1455" i="5"/>
  <c r="D1454" i="5"/>
  <c r="D1453" i="5"/>
  <c r="D1452" i="5"/>
  <c r="D1451" i="5"/>
  <c r="D1450" i="5"/>
  <c r="E1445" i="5"/>
  <c r="E1446" i="5" s="1"/>
  <c r="I1444" i="5"/>
  <c r="D1444" i="5" s="1"/>
  <c r="C1444" i="5" s="1"/>
  <c r="I1443" i="5"/>
  <c r="G1443" i="5"/>
  <c r="F1443" i="5"/>
  <c r="I1442" i="5"/>
  <c r="G1442" i="5"/>
  <c r="F1442" i="5"/>
  <c r="I1441" i="5"/>
  <c r="G1441" i="5"/>
  <c r="F1441" i="5"/>
  <c r="I1440" i="5"/>
  <c r="G1440" i="5"/>
  <c r="F1440" i="5"/>
  <c r="D1437" i="5"/>
  <c r="C1437" i="5" s="1"/>
  <c r="I1925" i="2" s="1"/>
  <c r="D1436" i="5"/>
  <c r="C1436" i="5" s="1"/>
  <c r="D1435" i="5"/>
  <c r="D1432" i="5"/>
  <c r="C1432" i="5" s="1"/>
  <c r="D1431" i="5"/>
  <c r="C1431" i="5" s="1"/>
  <c r="D1430" i="5"/>
  <c r="C1430" i="5" s="1"/>
  <c r="D1429" i="5"/>
  <c r="C1429" i="5" s="1"/>
  <c r="D1428" i="5"/>
  <c r="C1428" i="5" s="1"/>
  <c r="D1427" i="5"/>
  <c r="C1427" i="5" s="1"/>
  <c r="D1426" i="5"/>
  <c r="C1426" i="5" s="1"/>
  <c r="D1425" i="5"/>
  <c r="C1425" i="5" s="1"/>
  <c r="D1424" i="5"/>
  <c r="C1424" i="5" s="1"/>
  <c r="D1423" i="5"/>
  <c r="D1420" i="5"/>
  <c r="C1420" i="5" s="1"/>
  <c r="D1419" i="5"/>
  <c r="C1419" i="5" s="1"/>
  <c r="D1418" i="5"/>
  <c r="D1415" i="5"/>
  <c r="C1415" i="5" s="1"/>
  <c r="E1414" i="5"/>
  <c r="E1416" i="5" s="1"/>
  <c r="U1411" i="5"/>
  <c r="R1411" i="5"/>
  <c r="D1411" i="5"/>
  <c r="P1410" i="5"/>
  <c r="P1412" i="5" s="1"/>
  <c r="D1410" i="5"/>
  <c r="E1409" i="5"/>
  <c r="D1409" i="5" s="1"/>
  <c r="C1409" i="5" s="1"/>
  <c r="H1408" i="5"/>
  <c r="G1408" i="5"/>
  <c r="F1408" i="5"/>
  <c r="E1408" i="5"/>
  <c r="U1407" i="5"/>
  <c r="N1407" i="5"/>
  <c r="N1412" i="5" s="1"/>
  <c r="N1447" i="5" s="1"/>
  <c r="I1407" i="5"/>
  <c r="H1407" i="5"/>
  <c r="G1407" i="5"/>
  <c r="F1407" i="5"/>
  <c r="E1407" i="5"/>
  <c r="H1406" i="5"/>
  <c r="G1406" i="5"/>
  <c r="F1406" i="5"/>
  <c r="E1406" i="5"/>
  <c r="D1405" i="5"/>
  <c r="D1404" i="5"/>
  <c r="C1404" i="5" s="1"/>
  <c r="I1403" i="5"/>
  <c r="D1402" i="5"/>
  <c r="C1402" i="5" s="1"/>
  <c r="I1857" i="2" s="1"/>
  <c r="D1401" i="5"/>
  <c r="C1401" i="5" s="1"/>
  <c r="I1855" i="2" s="1"/>
  <c r="D1400" i="5"/>
  <c r="C1400" i="5" s="1"/>
  <c r="D1399" i="5"/>
  <c r="C1399" i="5" s="1"/>
  <c r="D1398" i="5"/>
  <c r="C1398" i="5" s="1"/>
  <c r="D1397" i="5"/>
  <c r="C1397" i="5" s="1"/>
  <c r="R1396" i="5"/>
  <c r="D1396" i="5"/>
  <c r="D1393" i="5"/>
  <c r="C1393" i="5" s="1"/>
  <c r="I1838" i="2" s="1"/>
  <c r="D1392" i="5"/>
  <c r="C1392" i="5" s="1"/>
  <c r="I1837" i="2" s="1"/>
  <c r="D1391" i="5"/>
  <c r="C1391" i="5" s="1"/>
  <c r="I1836" i="2" s="1"/>
  <c r="D1390" i="5"/>
  <c r="D1387" i="5"/>
  <c r="C1387" i="5" s="1"/>
  <c r="V1386" i="5"/>
  <c r="D1386" i="5"/>
  <c r="V1385" i="5"/>
  <c r="H1385" i="5"/>
  <c r="H1388" i="5" s="1"/>
  <c r="E1385" i="5"/>
  <c r="R1384" i="5"/>
  <c r="D1384" i="5"/>
  <c r="D1383" i="5"/>
  <c r="C1383" i="5" s="1"/>
  <c r="D1382" i="5"/>
  <c r="C1382" i="5" s="1"/>
  <c r="D1381" i="5"/>
  <c r="C1381" i="5" s="1"/>
  <c r="D1380" i="5"/>
  <c r="C1380" i="5" s="1"/>
  <c r="P1379" i="5"/>
  <c r="P1388" i="5" s="1"/>
  <c r="D1379" i="5"/>
  <c r="R1378" i="5"/>
  <c r="D1378" i="5"/>
  <c r="I1377" i="5"/>
  <c r="I1388" i="5" s="1"/>
  <c r="R1376" i="5"/>
  <c r="D1376" i="5"/>
  <c r="E1375" i="5"/>
  <c r="D1370" i="5"/>
  <c r="D1369" i="5"/>
  <c r="D1368" i="5"/>
  <c r="D1367" i="5"/>
  <c r="D1366" i="5"/>
  <c r="D1365" i="5"/>
  <c r="D1364" i="5"/>
  <c r="D1363" i="5"/>
  <c r="D1362" i="5"/>
  <c r="D1361" i="5"/>
  <c r="D1358" i="5"/>
  <c r="C1358" i="5" s="1"/>
  <c r="I1686" i="2" s="1"/>
  <c r="D1357" i="5"/>
  <c r="C1357" i="5" s="1"/>
  <c r="I1681" i="2" s="1"/>
  <c r="V1356" i="5"/>
  <c r="F1356" i="5"/>
  <c r="D1356" i="5" s="1"/>
  <c r="W1359" i="5"/>
  <c r="D1355" i="5"/>
  <c r="V1354" i="5"/>
  <c r="F1354" i="5"/>
  <c r="D1354" i="5" s="1"/>
  <c r="D1353" i="5"/>
  <c r="C1353" i="5" s="1"/>
  <c r="I1679" i="2" s="1"/>
  <c r="V1352" i="5"/>
  <c r="D1352" i="5"/>
  <c r="V1351" i="5"/>
  <c r="F1351" i="5"/>
  <c r="D1351" i="5" s="1"/>
  <c r="V1350" i="5"/>
  <c r="F1350" i="5"/>
  <c r="V1349" i="5"/>
  <c r="D1349" i="5"/>
  <c r="W1346" i="5"/>
  <c r="D1346" i="5"/>
  <c r="W1345" i="5"/>
  <c r="D1345" i="5"/>
  <c r="W1344" i="5"/>
  <c r="D1344" i="5"/>
  <c r="W1343" i="5"/>
  <c r="D1343" i="5"/>
  <c r="W1342" i="5"/>
  <c r="D1342" i="5"/>
  <c r="W1341" i="5"/>
  <c r="D1341" i="5"/>
  <c r="W1340" i="5"/>
  <c r="D1340" i="5"/>
  <c r="C1339" i="5"/>
  <c r="I1651" i="2" s="1"/>
  <c r="W1338" i="5"/>
  <c r="D1338" i="5"/>
  <c r="W1337" i="5"/>
  <c r="D1337" i="5"/>
  <c r="W1336" i="5"/>
  <c r="D1336" i="5"/>
  <c r="W1335" i="5"/>
  <c r="D1335" i="5"/>
  <c r="W1330" i="5"/>
  <c r="D1330" i="5"/>
  <c r="W1329" i="5"/>
  <c r="D1329" i="5"/>
  <c r="W1328" i="5"/>
  <c r="D1328" i="5"/>
  <c r="W1327" i="5"/>
  <c r="D1327" i="5"/>
  <c r="W1324" i="5"/>
  <c r="D1324" i="5"/>
  <c r="W1323" i="5"/>
  <c r="D1323" i="5"/>
  <c r="W1322" i="5"/>
  <c r="D1322" i="5"/>
  <c r="W1321" i="5"/>
  <c r="D1321" i="5"/>
  <c r="W1320" i="5"/>
  <c r="D1320" i="5"/>
  <c r="W1319" i="5"/>
  <c r="D1319" i="5"/>
  <c r="W1318" i="5"/>
  <c r="D1318" i="5"/>
  <c r="W1317" i="5"/>
  <c r="D1317" i="5"/>
  <c r="W1316" i="5"/>
  <c r="D1316" i="5"/>
  <c r="W1315" i="5"/>
  <c r="D1315" i="5"/>
  <c r="W1314" i="5"/>
  <c r="D1314" i="5"/>
  <c r="W1313" i="5"/>
  <c r="D1313" i="5"/>
  <c r="W1312" i="5"/>
  <c r="D1312" i="5"/>
  <c r="W1311" i="5"/>
  <c r="D1311" i="5"/>
  <c r="W1310" i="5"/>
  <c r="D1310" i="5"/>
  <c r="W1309" i="5"/>
  <c r="D1309" i="5"/>
  <c r="W1308" i="5"/>
  <c r="D1308" i="5"/>
  <c r="W1307" i="5"/>
  <c r="D1307" i="5"/>
  <c r="D1306" i="5"/>
  <c r="W1305" i="5"/>
  <c r="D1305" i="5"/>
  <c r="W1304" i="5"/>
  <c r="D1304" i="5"/>
  <c r="D1301" i="5"/>
  <c r="D1300" i="5"/>
  <c r="D1299" i="5"/>
  <c r="D1298" i="5"/>
  <c r="W1296" i="5"/>
  <c r="D1296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C1280" i="5" s="1"/>
  <c r="D1277" i="5"/>
  <c r="D1278" i="5" s="1"/>
  <c r="D1274" i="5"/>
  <c r="C1274" i="5" s="1"/>
  <c r="D1273" i="5"/>
  <c r="C1273" i="5" s="1"/>
  <c r="I1564" i="2" s="1"/>
  <c r="D1272" i="5"/>
  <c r="W1269" i="5"/>
  <c r="W1270" i="5" s="1"/>
  <c r="D1269" i="5"/>
  <c r="D1270" i="5" s="1"/>
  <c r="W1267" i="5"/>
  <c r="D1266" i="5"/>
  <c r="D1267" i="5" s="1"/>
  <c r="D1263" i="5"/>
  <c r="C1263" i="5" s="1"/>
  <c r="R1262" i="5"/>
  <c r="R1264" i="5" s="1"/>
  <c r="R1293" i="5" s="1"/>
  <c r="D1262" i="5"/>
  <c r="D1261" i="5"/>
  <c r="D1260" i="5"/>
  <c r="D1259" i="5"/>
  <c r="D1258" i="5"/>
  <c r="C1258" i="5" s="1"/>
  <c r="D1255" i="5"/>
  <c r="D1256" i="5" s="1"/>
  <c r="W1253" i="5"/>
  <c r="D1252" i="5"/>
  <c r="D1251" i="5"/>
  <c r="C1248" i="5"/>
  <c r="I1522" i="2" s="1"/>
  <c r="D1247" i="5"/>
  <c r="C1247" i="5" s="1"/>
  <c r="D1246" i="5"/>
  <c r="C1246" i="5" s="1"/>
  <c r="D1245" i="5"/>
  <c r="D1244" i="5"/>
  <c r="N1243" i="5"/>
  <c r="D1243" i="5"/>
  <c r="N1242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C1225" i="5"/>
  <c r="I1502" i="2" s="1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C1200" i="5" s="1"/>
  <c r="I1477" i="2" s="1"/>
  <c r="D1199" i="5"/>
  <c r="D1198" i="5"/>
  <c r="C1198" i="5" s="1"/>
  <c r="D1197" i="5"/>
  <c r="AC1196" i="5"/>
  <c r="W1196" i="5" s="1"/>
  <c r="D1196" i="5"/>
  <c r="D1195" i="5"/>
  <c r="D1194" i="5"/>
  <c r="C1193" i="5"/>
  <c r="I1471" i="2" s="1"/>
  <c r="D1192" i="5"/>
  <c r="AC1191" i="5"/>
  <c r="W1191" i="5" s="1"/>
  <c r="D1191" i="5"/>
  <c r="C1190" i="5"/>
  <c r="I1467" i="2" s="1"/>
  <c r="D1189" i="5"/>
  <c r="N1188" i="5"/>
  <c r="I1188" i="5"/>
  <c r="I1249" i="5" s="1"/>
  <c r="I1293" i="5" s="1"/>
  <c r="G1188" i="5"/>
  <c r="F1188" i="5"/>
  <c r="D1187" i="5"/>
  <c r="D1186" i="5"/>
  <c r="D1185" i="5"/>
  <c r="D1184" i="5"/>
  <c r="D1183" i="5"/>
  <c r="C1183" i="5" s="1"/>
  <c r="D1182" i="5"/>
  <c r="D1181" i="5"/>
  <c r="AC1180" i="5"/>
  <c r="W1180" i="5" s="1"/>
  <c r="D1180" i="5"/>
  <c r="D1179" i="5"/>
  <c r="C1179" i="5" s="1"/>
  <c r="D1178" i="5"/>
  <c r="D1177" i="5"/>
  <c r="D1176" i="5"/>
  <c r="D1175" i="5"/>
  <c r="D1174" i="5"/>
  <c r="D1173" i="5"/>
  <c r="D1172" i="5"/>
  <c r="D1171" i="5"/>
  <c r="D1170" i="5"/>
  <c r="AC1169" i="5"/>
  <c r="W1169" i="5" s="1"/>
  <c r="F1169" i="5"/>
  <c r="D1169" i="5" s="1"/>
  <c r="E1168" i="5"/>
  <c r="D1168" i="5" s="1"/>
  <c r="C1168" i="5" s="1"/>
  <c r="I1444" i="2" s="1"/>
  <c r="D1167" i="5"/>
  <c r="C1167" i="5" s="1"/>
  <c r="I1443" i="2" s="1"/>
  <c r="D1166" i="5"/>
  <c r="D1165" i="5"/>
  <c r="D1164" i="5"/>
  <c r="D1163" i="5"/>
  <c r="D1162" i="5"/>
  <c r="D1161" i="5"/>
  <c r="C1161" i="5" s="1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C1113" i="5" s="1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AC1097" i="5"/>
  <c r="W1097" i="5" s="1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I1339" i="2"/>
  <c r="D1067" i="5"/>
  <c r="D1066" i="5"/>
  <c r="D1065" i="5"/>
  <c r="D1064" i="5"/>
  <c r="D1063" i="5"/>
  <c r="D1062" i="5"/>
  <c r="D1061" i="5"/>
  <c r="D1060" i="5"/>
  <c r="D1059" i="5"/>
  <c r="I1329" i="2"/>
  <c r="I1328" i="2"/>
  <c r="AC1058" i="5"/>
  <c r="W1058" i="5" s="1"/>
  <c r="D1058" i="5"/>
  <c r="AC1057" i="5"/>
  <c r="W1057" i="5" s="1"/>
  <c r="D1057" i="5"/>
  <c r="D1056" i="5"/>
  <c r="D1055" i="5"/>
  <c r="D1054" i="5"/>
  <c r="D1053" i="5"/>
  <c r="D1052" i="5"/>
  <c r="D1051" i="5"/>
  <c r="D1050" i="5"/>
  <c r="N1049" i="5"/>
  <c r="D1049" i="5"/>
  <c r="F1048" i="5"/>
  <c r="D1048" i="5" s="1"/>
  <c r="D1047" i="5"/>
  <c r="AC1046" i="5"/>
  <c r="W1046" i="5" s="1"/>
  <c r="N1046" i="5"/>
  <c r="D1046" i="5"/>
  <c r="D1045" i="5"/>
  <c r="D1044" i="5"/>
  <c r="D1043" i="5"/>
  <c r="N1042" i="5"/>
  <c r="D1042" i="5"/>
  <c r="AC1041" i="5"/>
  <c r="W1041" i="5" s="1"/>
  <c r="D1041" i="5"/>
  <c r="AC1040" i="5"/>
  <c r="W1040" i="5" s="1"/>
  <c r="D1040" i="5"/>
  <c r="I1307" i="2"/>
  <c r="D1039" i="5"/>
  <c r="D1038" i="5"/>
  <c r="D1037" i="5"/>
  <c r="D1036" i="5"/>
  <c r="D1035" i="5"/>
  <c r="I1299" i="2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U1020" i="5"/>
  <c r="N1020" i="5"/>
  <c r="D1020" i="5"/>
  <c r="D1019" i="5"/>
  <c r="D1018" i="5"/>
  <c r="D1017" i="5"/>
  <c r="U1016" i="5"/>
  <c r="D1016" i="5"/>
  <c r="D1015" i="5"/>
  <c r="D1014" i="5"/>
  <c r="D1013" i="5"/>
  <c r="D1012" i="5"/>
  <c r="D1011" i="5"/>
  <c r="N1010" i="5"/>
  <c r="D1010" i="5"/>
  <c r="D1009" i="5"/>
  <c r="D1008" i="5"/>
  <c r="D1007" i="5"/>
  <c r="D1006" i="5"/>
  <c r="D1005" i="5"/>
  <c r="D1004" i="5"/>
  <c r="D1003" i="5"/>
  <c r="D1002" i="5"/>
  <c r="D1001" i="5"/>
  <c r="AC1000" i="5"/>
  <c r="W1000" i="5" s="1"/>
  <c r="D1000" i="5"/>
  <c r="D999" i="5"/>
  <c r="D998" i="5"/>
  <c r="D997" i="5"/>
  <c r="W996" i="5"/>
  <c r="D996" i="5"/>
  <c r="D995" i="5"/>
  <c r="D994" i="5"/>
  <c r="D993" i="5"/>
  <c r="AC992" i="5"/>
  <c r="W992" i="5" s="1"/>
  <c r="D992" i="5"/>
  <c r="AC991" i="5"/>
  <c r="W991" i="5" s="1"/>
  <c r="N991" i="5"/>
  <c r="D991" i="5"/>
  <c r="AC990" i="5"/>
  <c r="W990" i="5" s="1"/>
  <c r="D990" i="5"/>
  <c r="D989" i="5"/>
  <c r="AC988" i="5"/>
  <c r="W988" i="5" s="1"/>
  <c r="D988" i="5"/>
  <c r="AC987" i="5"/>
  <c r="W987" i="5" s="1"/>
  <c r="D987" i="5"/>
  <c r="AC986" i="5"/>
  <c r="W986" i="5" s="1"/>
  <c r="D986" i="5"/>
  <c r="D985" i="5"/>
  <c r="D984" i="5"/>
  <c r="P983" i="5"/>
  <c r="P1249" i="5" s="1"/>
  <c r="P1293" i="5" s="1"/>
  <c r="D983" i="5"/>
  <c r="D982" i="5"/>
  <c r="D981" i="5"/>
  <c r="D980" i="5"/>
  <c r="D979" i="5"/>
  <c r="N978" i="5"/>
  <c r="D978" i="5"/>
  <c r="D977" i="5"/>
  <c r="N976" i="5"/>
  <c r="D976" i="5"/>
  <c r="D975" i="5"/>
  <c r="D974" i="5"/>
  <c r="D973" i="5"/>
  <c r="G972" i="5"/>
  <c r="D972" i="5" s="1"/>
  <c r="F971" i="5"/>
  <c r="D970" i="5"/>
  <c r="D969" i="5"/>
  <c r="D968" i="5"/>
  <c r="G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N944" i="5"/>
  <c r="E944" i="5"/>
  <c r="D943" i="5"/>
  <c r="D942" i="5"/>
  <c r="D941" i="5"/>
  <c r="D940" i="5"/>
  <c r="D939" i="5"/>
  <c r="D938" i="5"/>
  <c r="D937" i="5"/>
  <c r="D936" i="5"/>
  <c r="C936" i="5" s="1"/>
  <c r="D935" i="5"/>
  <c r="D934" i="5"/>
  <c r="D933" i="5"/>
  <c r="D932" i="5"/>
  <c r="D931" i="5"/>
  <c r="C931" i="5" s="1"/>
  <c r="D930" i="5"/>
  <c r="D929" i="5"/>
  <c r="D928" i="5"/>
  <c r="D927" i="5"/>
  <c r="D926" i="5"/>
  <c r="D925" i="5"/>
  <c r="D924" i="5"/>
  <c r="D923" i="5"/>
  <c r="I1179" i="2"/>
  <c r="D922" i="5"/>
  <c r="D921" i="5"/>
  <c r="U920" i="5"/>
  <c r="D920" i="5"/>
  <c r="D919" i="5"/>
  <c r="C919" i="5" s="1"/>
  <c r="D918" i="5"/>
  <c r="C918" i="5" s="1"/>
  <c r="D917" i="5"/>
  <c r="D916" i="5"/>
  <c r="D915" i="5"/>
  <c r="D914" i="5"/>
  <c r="D913" i="5"/>
  <c r="D912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1" i="5"/>
  <c r="D890" i="5"/>
  <c r="D889" i="5"/>
  <c r="D888" i="5"/>
  <c r="D887" i="5"/>
  <c r="D886" i="5"/>
  <c r="D885" i="5"/>
  <c r="D884" i="5"/>
  <c r="D883" i="5"/>
  <c r="D882" i="5"/>
  <c r="D879" i="5"/>
  <c r="D880" i="5" s="1"/>
  <c r="D876" i="5"/>
  <c r="D875" i="5"/>
  <c r="D874" i="5"/>
  <c r="D873" i="5"/>
  <c r="AC872" i="5"/>
  <c r="W872" i="5" s="1"/>
  <c r="D872" i="5"/>
  <c r="D871" i="5"/>
  <c r="C871" i="5" s="1"/>
  <c r="D870" i="5"/>
  <c r="D869" i="5"/>
  <c r="D868" i="5"/>
  <c r="D867" i="5"/>
  <c r="D862" i="5"/>
  <c r="C862" i="5" s="1"/>
  <c r="D861" i="5"/>
  <c r="D858" i="5"/>
  <c r="C858" i="5" s="1"/>
  <c r="I1105" i="2" s="1"/>
  <c r="D857" i="5"/>
  <c r="C857" i="5" s="1"/>
  <c r="D856" i="5"/>
  <c r="C856" i="5" s="1"/>
  <c r="D855" i="5"/>
  <c r="D852" i="5"/>
  <c r="C852" i="5" s="1"/>
  <c r="D851" i="5"/>
  <c r="C851" i="5" s="1"/>
  <c r="I1085" i="2" s="1"/>
  <c r="D850" i="5"/>
  <c r="C850" i="5" s="1"/>
  <c r="D849" i="5"/>
  <c r="C849" i="5" s="1"/>
  <c r="D848" i="5"/>
  <c r="C848" i="5" s="1"/>
  <c r="D847" i="5"/>
  <c r="D846" i="5"/>
  <c r="C846" i="5" s="1"/>
  <c r="D845" i="5"/>
  <c r="W842" i="5"/>
  <c r="W843" i="5" s="1"/>
  <c r="D842" i="5"/>
  <c r="W839" i="5"/>
  <c r="D839" i="5"/>
  <c r="W838" i="5"/>
  <c r="D838" i="5"/>
  <c r="W837" i="5"/>
  <c r="D837" i="5"/>
  <c r="W836" i="5"/>
  <c r="D836" i="5"/>
  <c r="W835" i="5"/>
  <c r="D835" i="5"/>
  <c r="W834" i="5"/>
  <c r="D834" i="5"/>
  <c r="W833" i="5"/>
  <c r="D833" i="5"/>
  <c r="W832" i="5"/>
  <c r="D832" i="5"/>
  <c r="W831" i="5"/>
  <c r="D831" i="5"/>
  <c r="W830" i="5"/>
  <c r="D830" i="5"/>
  <c r="W829" i="5"/>
  <c r="D829" i="5"/>
  <c r="W828" i="5"/>
  <c r="D828" i="5"/>
  <c r="W827" i="5"/>
  <c r="D827" i="5"/>
  <c r="W826" i="5"/>
  <c r="D826" i="5"/>
  <c r="W825" i="5"/>
  <c r="D825" i="5"/>
  <c r="W824" i="5"/>
  <c r="D824" i="5"/>
  <c r="W823" i="5"/>
  <c r="D823" i="5"/>
  <c r="W822" i="5"/>
  <c r="D822" i="5"/>
  <c r="W821" i="5"/>
  <c r="D821" i="5"/>
  <c r="W820" i="5"/>
  <c r="D820" i="5"/>
  <c r="W819" i="5"/>
  <c r="D819" i="5"/>
  <c r="W818" i="5"/>
  <c r="D818" i="5"/>
  <c r="W817" i="5"/>
  <c r="D817" i="5"/>
  <c r="W816" i="5"/>
  <c r="D816" i="5"/>
  <c r="W815" i="5"/>
  <c r="D815" i="5"/>
  <c r="W814" i="5"/>
  <c r="D814" i="5"/>
  <c r="W813" i="5"/>
  <c r="D813" i="5"/>
  <c r="W812" i="5"/>
  <c r="D812" i="5"/>
  <c r="W811" i="5"/>
  <c r="D811" i="5"/>
  <c r="W810" i="5"/>
  <c r="D810" i="5"/>
  <c r="W809" i="5"/>
  <c r="D809" i="5"/>
  <c r="W808" i="5"/>
  <c r="D808" i="5"/>
  <c r="W807" i="5"/>
  <c r="D807" i="5"/>
  <c r="W806" i="5"/>
  <c r="D806" i="5"/>
  <c r="W805" i="5"/>
  <c r="D805" i="5"/>
  <c r="W804" i="5"/>
  <c r="D804" i="5"/>
  <c r="W803" i="5"/>
  <c r="D803" i="5"/>
  <c r="W802" i="5"/>
  <c r="D802" i="5"/>
  <c r="W801" i="5"/>
  <c r="D801" i="5"/>
  <c r="W800" i="5"/>
  <c r="D800" i="5"/>
  <c r="W799" i="5"/>
  <c r="D799" i="5"/>
  <c r="W798" i="5"/>
  <c r="D798" i="5"/>
  <c r="W797" i="5"/>
  <c r="D797" i="5"/>
  <c r="W796" i="5"/>
  <c r="D796" i="5"/>
  <c r="W795" i="5"/>
  <c r="D795" i="5"/>
  <c r="W794" i="5"/>
  <c r="D794" i="5"/>
  <c r="W793" i="5"/>
  <c r="D793" i="5"/>
  <c r="W792" i="5"/>
  <c r="D792" i="5"/>
  <c r="W791" i="5"/>
  <c r="D791" i="5"/>
  <c r="W790" i="5"/>
  <c r="D790" i="5"/>
  <c r="W789" i="5"/>
  <c r="D789" i="5"/>
  <c r="W788" i="5"/>
  <c r="D788" i="5"/>
  <c r="W787" i="5"/>
  <c r="D787" i="5"/>
  <c r="W786" i="5"/>
  <c r="D786" i="5"/>
  <c r="W785" i="5"/>
  <c r="D785" i="5"/>
  <c r="W784" i="5"/>
  <c r="D784" i="5"/>
  <c r="W783" i="5"/>
  <c r="D783" i="5"/>
  <c r="W782" i="5"/>
  <c r="D782" i="5"/>
  <c r="W781" i="5"/>
  <c r="D781" i="5"/>
  <c r="W780" i="5"/>
  <c r="D780" i="5"/>
  <c r="W779" i="5"/>
  <c r="D779" i="5"/>
  <c r="W778" i="5"/>
  <c r="D778" i="5"/>
  <c r="W777" i="5"/>
  <c r="D777" i="5"/>
  <c r="W776" i="5"/>
  <c r="D776" i="5"/>
  <c r="W775" i="5"/>
  <c r="D775" i="5"/>
  <c r="W774" i="5"/>
  <c r="D774" i="5"/>
  <c r="W773" i="5"/>
  <c r="D773" i="5"/>
  <c r="W772" i="5"/>
  <c r="D772" i="5"/>
  <c r="W771" i="5"/>
  <c r="D771" i="5"/>
  <c r="W770" i="5"/>
  <c r="D770" i="5"/>
  <c r="W767" i="5"/>
  <c r="D767" i="5"/>
  <c r="W766" i="5"/>
  <c r="D766" i="5"/>
  <c r="W765" i="5"/>
  <c r="D765" i="5"/>
  <c r="W764" i="5"/>
  <c r="D764" i="5"/>
  <c r="W763" i="5"/>
  <c r="D763" i="5"/>
  <c r="W762" i="5"/>
  <c r="D762" i="5"/>
  <c r="W761" i="5"/>
  <c r="D761" i="5"/>
  <c r="W760" i="5"/>
  <c r="D760" i="5"/>
  <c r="D759" i="5"/>
  <c r="C759" i="5" s="1"/>
  <c r="I974" i="2" s="1"/>
  <c r="D758" i="5"/>
  <c r="C758" i="5" s="1"/>
  <c r="I973" i="2" s="1"/>
  <c r="D757" i="5"/>
  <c r="C757" i="5" s="1"/>
  <c r="I972" i="2" s="1"/>
  <c r="W756" i="5"/>
  <c r="D756" i="5"/>
  <c r="W755" i="5"/>
  <c r="D755" i="5"/>
  <c r="D754" i="5"/>
  <c r="W753" i="5"/>
  <c r="D753" i="5"/>
  <c r="W752" i="5"/>
  <c r="D752" i="5"/>
  <c r="W751" i="5"/>
  <c r="D751" i="5"/>
  <c r="W750" i="5"/>
  <c r="D750" i="5"/>
  <c r="W749" i="5"/>
  <c r="D749" i="5"/>
  <c r="W748" i="5"/>
  <c r="D748" i="5"/>
  <c r="W747" i="5"/>
  <c r="D747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4" i="5"/>
  <c r="C704" i="5" s="1"/>
  <c r="I902" i="2" s="1"/>
  <c r="D703" i="5"/>
  <c r="C703" i="5" s="1"/>
  <c r="I901" i="2" s="1"/>
  <c r="D702" i="5"/>
  <c r="D701" i="5"/>
  <c r="D700" i="5"/>
  <c r="D699" i="5"/>
  <c r="D698" i="5"/>
  <c r="D697" i="5"/>
  <c r="D696" i="5"/>
  <c r="D695" i="5"/>
  <c r="D694" i="5"/>
  <c r="C694" i="5" s="1"/>
  <c r="I892" i="2" s="1"/>
  <c r="D693" i="5"/>
  <c r="D692" i="5"/>
  <c r="D691" i="5"/>
  <c r="D690" i="5"/>
  <c r="D689" i="5"/>
  <c r="D688" i="5"/>
  <c r="D687" i="5"/>
  <c r="D686" i="5"/>
  <c r="D685" i="5"/>
  <c r="C685" i="5" s="1"/>
  <c r="I883" i="2" s="1"/>
  <c r="D684" i="5"/>
  <c r="D683" i="5"/>
  <c r="D682" i="5"/>
  <c r="C682" i="5" s="1"/>
  <c r="D681" i="5"/>
  <c r="D680" i="5"/>
  <c r="D679" i="5"/>
  <c r="D678" i="5"/>
  <c r="D677" i="5"/>
  <c r="D676" i="5"/>
  <c r="D675" i="5"/>
  <c r="D674" i="5"/>
  <c r="D673" i="5"/>
  <c r="D672" i="5"/>
  <c r="C672" i="5" s="1"/>
  <c r="D671" i="5"/>
  <c r="C671" i="5" s="1"/>
  <c r="I869" i="2" s="1"/>
  <c r="D670" i="5"/>
  <c r="C670" i="5" s="1"/>
  <c r="I867" i="2" s="1"/>
  <c r="D669" i="5"/>
  <c r="C669" i="5" s="1"/>
  <c r="I866" i="2" s="1"/>
  <c r="D668" i="5"/>
  <c r="D667" i="5"/>
  <c r="C667" i="5" s="1"/>
  <c r="I864" i="2" s="1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C654" i="5" s="1"/>
  <c r="I851" i="2" s="1"/>
  <c r="D653" i="5"/>
  <c r="C653" i="5" s="1"/>
  <c r="I850" i="2" s="1"/>
  <c r="D652" i="5"/>
  <c r="D651" i="5"/>
  <c r="C651" i="5" s="1"/>
  <c r="D650" i="5"/>
  <c r="D649" i="5"/>
  <c r="D648" i="5"/>
  <c r="C648" i="5" s="1"/>
  <c r="D647" i="5"/>
  <c r="D646" i="5"/>
  <c r="D645" i="5"/>
  <c r="C645" i="5" s="1"/>
  <c r="D644" i="5"/>
  <c r="C644" i="5" s="1"/>
  <c r="I839" i="2" s="1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C631" i="5" s="1"/>
  <c r="I826" i="2" s="1"/>
  <c r="D630" i="5"/>
  <c r="C630" i="5" s="1"/>
  <c r="I825" i="2" s="1"/>
  <c r="D629" i="5"/>
  <c r="D628" i="5"/>
  <c r="D627" i="5"/>
  <c r="D626" i="5"/>
  <c r="D625" i="5"/>
  <c r="D624" i="5"/>
  <c r="D623" i="5"/>
  <c r="D622" i="5"/>
  <c r="D621" i="5"/>
  <c r="C621" i="5" s="1"/>
  <c r="I816" i="2" s="1"/>
  <c r="D620" i="5"/>
  <c r="D619" i="5"/>
  <c r="D618" i="5"/>
  <c r="D617" i="5"/>
  <c r="D616" i="5"/>
  <c r="D615" i="5"/>
  <c r="D614" i="5"/>
  <c r="D613" i="5"/>
  <c r="C613" i="5" s="1"/>
  <c r="I807" i="2" s="1"/>
  <c r="D612" i="5"/>
  <c r="C612" i="5" s="1"/>
  <c r="I806" i="2" s="1"/>
  <c r="D611" i="5"/>
  <c r="C611" i="5" s="1"/>
  <c r="I805" i="2" s="1"/>
  <c r="D610" i="5"/>
  <c r="D609" i="5"/>
  <c r="C609" i="5" s="1"/>
  <c r="I803" i="2" s="1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C593" i="5" s="1"/>
  <c r="I787" i="2" s="1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C559" i="5" s="1"/>
  <c r="I748" i="2" s="1"/>
  <c r="D558" i="5"/>
  <c r="D557" i="5"/>
  <c r="D556" i="5"/>
  <c r="D555" i="5"/>
  <c r="D554" i="5"/>
  <c r="D553" i="5"/>
  <c r="D552" i="5"/>
  <c r="D551" i="5"/>
  <c r="D550" i="5"/>
  <c r="D549" i="5"/>
  <c r="D546" i="5"/>
  <c r="C546" i="5" s="1"/>
  <c r="I734" i="2" s="1"/>
  <c r="D545" i="5"/>
  <c r="C545" i="5" s="1"/>
  <c r="I733" i="2" s="1"/>
  <c r="D544" i="5"/>
  <c r="C544" i="5" s="1"/>
  <c r="I732" i="2" s="1"/>
  <c r="D543" i="5"/>
  <c r="C543" i="5" s="1"/>
  <c r="I731" i="2" s="1"/>
  <c r="D542" i="5"/>
  <c r="M539" i="5"/>
  <c r="M540" i="5" s="1"/>
  <c r="M572" i="5" s="1"/>
  <c r="D539" i="5"/>
  <c r="D540" i="5" s="1"/>
  <c r="D536" i="5"/>
  <c r="D537" i="5" s="1"/>
  <c r="W533" i="5"/>
  <c r="D533" i="5"/>
  <c r="W532" i="5"/>
  <c r="D532" i="5"/>
  <c r="W531" i="5"/>
  <c r="D531" i="5"/>
  <c r="W530" i="5"/>
  <c r="D530" i="5"/>
  <c r="W529" i="5"/>
  <c r="D529" i="5"/>
  <c r="W528" i="5"/>
  <c r="D528" i="5"/>
  <c r="W527" i="5"/>
  <c r="D527" i="5"/>
  <c r="W526" i="5"/>
  <c r="D526" i="5"/>
  <c r="W525" i="5"/>
  <c r="D525" i="5"/>
  <c r="W524" i="5"/>
  <c r="D524" i="5"/>
  <c r="W523" i="5"/>
  <c r="D523" i="5"/>
  <c r="W522" i="5"/>
  <c r="D522" i="5"/>
  <c r="W521" i="5"/>
  <c r="D521" i="5"/>
  <c r="W520" i="5"/>
  <c r="D520" i="5"/>
  <c r="W519" i="5"/>
  <c r="D519" i="5"/>
  <c r="W518" i="5"/>
  <c r="D518" i="5"/>
  <c r="W517" i="5"/>
  <c r="D517" i="5"/>
  <c r="W516" i="5"/>
  <c r="D516" i="5"/>
  <c r="W515" i="5"/>
  <c r="D515" i="5"/>
  <c r="W514" i="5"/>
  <c r="D514" i="5"/>
  <c r="W513" i="5"/>
  <c r="D513" i="5"/>
  <c r="W512" i="5"/>
  <c r="D512" i="5"/>
  <c r="W511" i="5"/>
  <c r="D511" i="5"/>
  <c r="W510" i="5"/>
  <c r="D510" i="5"/>
  <c r="W509" i="5"/>
  <c r="D509" i="5"/>
  <c r="W508" i="5"/>
  <c r="D508" i="5"/>
  <c r="W507" i="5"/>
  <c r="D507" i="5"/>
  <c r="W506" i="5"/>
  <c r="D506" i="5"/>
  <c r="W505" i="5"/>
  <c r="D505" i="5"/>
  <c r="W504" i="5"/>
  <c r="D504" i="5"/>
  <c r="W503" i="5"/>
  <c r="D503" i="5"/>
  <c r="W502" i="5"/>
  <c r="D502" i="5"/>
  <c r="W501" i="5"/>
  <c r="D501" i="5"/>
  <c r="W500" i="5"/>
  <c r="D500" i="5"/>
  <c r="W499" i="5"/>
  <c r="D499" i="5"/>
  <c r="W498" i="5"/>
  <c r="D498" i="5"/>
  <c r="W497" i="5"/>
  <c r="D497" i="5"/>
  <c r="W496" i="5"/>
  <c r="D496" i="5"/>
  <c r="W495" i="5"/>
  <c r="D495" i="5"/>
  <c r="W494" i="5"/>
  <c r="D494" i="5"/>
  <c r="W493" i="5"/>
  <c r="D493" i="5"/>
  <c r="W492" i="5"/>
  <c r="D492" i="5"/>
  <c r="W491" i="5"/>
  <c r="D491" i="5"/>
  <c r="W490" i="5"/>
  <c r="D490" i="5"/>
  <c r="W489" i="5"/>
  <c r="D489" i="5"/>
  <c r="W488" i="5"/>
  <c r="D488" i="5"/>
  <c r="W487" i="5"/>
  <c r="D487" i="5"/>
  <c r="W486" i="5"/>
  <c r="D486" i="5"/>
  <c r="W485" i="5"/>
  <c r="D485" i="5"/>
  <c r="W484" i="5"/>
  <c r="D484" i="5"/>
  <c r="W483" i="5"/>
  <c r="D483" i="5"/>
  <c r="W482" i="5"/>
  <c r="D482" i="5"/>
  <c r="W481" i="5"/>
  <c r="D481" i="5"/>
  <c r="W480" i="5"/>
  <c r="D480" i="5"/>
  <c r="W479" i="5"/>
  <c r="D479" i="5"/>
  <c r="W478" i="5"/>
  <c r="D478" i="5"/>
  <c r="W477" i="5"/>
  <c r="D477" i="5"/>
  <c r="W476" i="5"/>
  <c r="D476" i="5"/>
  <c r="W475" i="5"/>
  <c r="D475" i="5"/>
  <c r="W474" i="5"/>
  <c r="D474" i="5"/>
  <c r="W471" i="5"/>
  <c r="D471" i="5"/>
  <c r="W470" i="5"/>
  <c r="D470" i="5"/>
  <c r="D469" i="5"/>
  <c r="C469" i="5" s="1"/>
  <c r="D468" i="5"/>
  <c r="D467" i="5"/>
  <c r="W464" i="5"/>
  <c r="D464" i="5"/>
  <c r="W463" i="5"/>
  <c r="D463" i="5"/>
  <c r="D460" i="5"/>
  <c r="C460" i="5" s="1"/>
  <c r="D459" i="5"/>
  <c r="C459" i="5" s="1"/>
  <c r="D458" i="5"/>
  <c r="C458" i="5" s="1"/>
  <c r="D457" i="5"/>
  <c r="C457" i="5" s="1"/>
  <c r="I639" i="2" s="1"/>
  <c r="D456" i="5"/>
  <c r="C456" i="5" s="1"/>
  <c r="D455" i="5"/>
  <c r="C455" i="5" s="1"/>
  <c r="D454" i="5"/>
  <c r="D451" i="5"/>
  <c r="C451" i="5" s="1"/>
  <c r="I633" i="2" s="1"/>
  <c r="D450" i="5"/>
  <c r="D449" i="5"/>
  <c r="D448" i="5"/>
  <c r="D447" i="5"/>
  <c r="D446" i="5"/>
  <c r="D445" i="5"/>
  <c r="D444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C404" i="5" s="1"/>
  <c r="I526" i="2" s="1"/>
  <c r="D403" i="5"/>
  <c r="D402" i="5"/>
  <c r="D401" i="5"/>
  <c r="D400" i="5"/>
  <c r="D399" i="5"/>
  <c r="D398" i="5"/>
  <c r="D397" i="5"/>
  <c r="D396" i="5"/>
  <c r="C396" i="5" s="1"/>
  <c r="W393" i="5"/>
  <c r="D393" i="5"/>
  <c r="W392" i="5"/>
  <c r="D392" i="5"/>
  <c r="W391" i="5"/>
  <c r="D391" i="5"/>
  <c r="W390" i="5"/>
  <c r="D390" i="5"/>
  <c r="D389" i="5"/>
  <c r="C389" i="5" s="1"/>
  <c r="I509" i="2" s="1"/>
  <c r="W388" i="5"/>
  <c r="D388" i="5"/>
  <c r="W387" i="5"/>
  <c r="D387" i="5"/>
  <c r="D386" i="5"/>
  <c r="D385" i="5"/>
  <c r="O384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C367" i="5" s="1"/>
  <c r="I483" i="2" s="1"/>
  <c r="D366" i="5"/>
  <c r="D365" i="5"/>
  <c r="D364" i="5"/>
  <c r="D363" i="5"/>
  <c r="D362" i="5"/>
  <c r="D361" i="5"/>
  <c r="D360" i="5"/>
  <c r="D359" i="5"/>
  <c r="D358" i="5"/>
  <c r="D357" i="5"/>
  <c r="D356" i="5"/>
  <c r="W351" i="5"/>
  <c r="D351" i="5"/>
  <c r="W350" i="5"/>
  <c r="D350" i="5"/>
  <c r="E349" i="5"/>
  <c r="D348" i="5"/>
  <c r="C348" i="5" s="1"/>
  <c r="I460" i="2" s="1"/>
  <c r="W347" i="5"/>
  <c r="D347" i="5"/>
  <c r="W346" i="5"/>
  <c r="D346" i="5"/>
  <c r="W345" i="5"/>
  <c r="D345" i="5"/>
  <c r="D342" i="5"/>
  <c r="C342" i="5" s="1"/>
  <c r="I441" i="2" s="1"/>
  <c r="D341" i="5"/>
  <c r="C341" i="5" s="1"/>
  <c r="I439" i="2" s="1"/>
  <c r="D340" i="5"/>
  <c r="D337" i="5"/>
  <c r="C337" i="5" s="1"/>
  <c r="D336" i="5"/>
  <c r="C336" i="5" s="1"/>
  <c r="I427" i="2" s="1"/>
  <c r="D335" i="5"/>
  <c r="N332" i="5"/>
  <c r="D332" i="5"/>
  <c r="N331" i="5"/>
  <c r="D331" i="5"/>
  <c r="W328" i="5"/>
  <c r="D328" i="5"/>
  <c r="W327" i="5"/>
  <c r="D327" i="5"/>
  <c r="W326" i="5"/>
  <c r="D326" i="5"/>
  <c r="W325" i="5"/>
  <c r="D325" i="5"/>
  <c r="W324" i="5"/>
  <c r="I324" i="5"/>
  <c r="D324" i="5" s="1"/>
  <c r="W323" i="5"/>
  <c r="D323" i="5"/>
  <c r="W322" i="5"/>
  <c r="I322" i="5"/>
  <c r="D322" i="5" s="1"/>
  <c r="W321" i="5"/>
  <c r="I321" i="5"/>
  <c r="D321" i="5" s="1"/>
  <c r="W320" i="5"/>
  <c r="D320" i="5"/>
  <c r="W319" i="5"/>
  <c r="D319" i="5"/>
  <c r="W318" i="5"/>
  <c r="D318" i="5"/>
  <c r="W317" i="5"/>
  <c r="D317" i="5"/>
  <c r="W316" i="5"/>
  <c r="D316" i="5"/>
  <c r="W315" i="5"/>
  <c r="D315" i="5"/>
  <c r="W314" i="5"/>
  <c r="D314" i="5"/>
  <c r="W313" i="5"/>
  <c r="D313" i="5"/>
  <c r="W312" i="5"/>
  <c r="D312" i="5"/>
  <c r="W311" i="5"/>
  <c r="D311" i="5"/>
  <c r="D310" i="5"/>
  <c r="C310" i="5" s="1"/>
  <c r="D309" i="5"/>
  <c r="C309" i="5" s="1"/>
  <c r="D308" i="5"/>
  <c r="C308" i="5" s="1"/>
  <c r="W307" i="5"/>
  <c r="D307" i="5"/>
  <c r="W306" i="5"/>
  <c r="D306" i="5"/>
  <c r="W305" i="5"/>
  <c r="D305" i="5"/>
  <c r="W304" i="5"/>
  <c r="D304" i="5"/>
  <c r="W303" i="5"/>
  <c r="D303" i="5"/>
  <c r="W302" i="5"/>
  <c r="D302" i="5"/>
  <c r="W301" i="5"/>
  <c r="D301" i="5"/>
  <c r="W300" i="5"/>
  <c r="D300" i="5"/>
  <c r="W299" i="5"/>
  <c r="D299" i="5"/>
  <c r="W298" i="5"/>
  <c r="D298" i="5"/>
  <c r="V297" i="5"/>
  <c r="V329" i="5" s="1"/>
  <c r="V353" i="5" s="1"/>
  <c r="I297" i="5"/>
  <c r="G297" i="5"/>
  <c r="F297" i="5"/>
  <c r="E297" i="5"/>
  <c r="W296" i="5"/>
  <c r="D296" i="5"/>
  <c r="W295" i="5"/>
  <c r="D295" i="5"/>
  <c r="W294" i="5"/>
  <c r="D294" i="5"/>
  <c r="D293" i="5"/>
  <c r="C293" i="5" s="1"/>
  <c r="W292" i="5"/>
  <c r="D292" i="5"/>
  <c r="W291" i="5"/>
  <c r="D291" i="5"/>
  <c r="W290" i="5"/>
  <c r="D290" i="5"/>
  <c r="W289" i="5"/>
  <c r="D289" i="5"/>
  <c r="W288" i="5"/>
  <c r="D288" i="5"/>
  <c r="W287" i="5"/>
  <c r="D287" i="5"/>
  <c r="W286" i="5"/>
  <c r="D286" i="5"/>
  <c r="W285" i="5"/>
  <c r="D285" i="5"/>
  <c r="W284" i="5"/>
  <c r="D284" i="5"/>
  <c r="W283" i="5"/>
  <c r="D283" i="5"/>
  <c r="W282" i="5"/>
  <c r="D282" i="5"/>
  <c r="W281" i="5"/>
  <c r="D281" i="5"/>
  <c r="W280" i="5"/>
  <c r="D280" i="5"/>
  <c r="W279" i="5"/>
  <c r="D279" i="5"/>
  <c r="W278" i="5"/>
  <c r="D278" i="5"/>
  <c r="W277" i="5"/>
  <c r="D277" i="5"/>
  <c r="W276" i="5"/>
  <c r="D276" i="5"/>
  <c r="W275" i="5"/>
  <c r="D275" i="5"/>
  <c r="W274" i="5"/>
  <c r="D274" i="5"/>
  <c r="W273" i="5"/>
  <c r="D273" i="5"/>
  <c r="W272" i="5"/>
  <c r="I272" i="5"/>
  <c r="D272" i="5" s="1"/>
  <c r="W271" i="5"/>
  <c r="E271" i="5"/>
  <c r="D271" i="5" s="1"/>
  <c r="W270" i="5"/>
  <c r="D270" i="5"/>
  <c r="W269" i="5"/>
  <c r="D269" i="5"/>
  <c r="I268" i="5"/>
  <c r="G268" i="5"/>
  <c r="F268" i="5"/>
  <c r="D267" i="5"/>
  <c r="C267" i="5" s="1"/>
  <c r="I347" i="2" s="1"/>
  <c r="W266" i="5"/>
  <c r="N266" i="5"/>
  <c r="G266" i="5"/>
  <c r="F266" i="5"/>
  <c r="E266" i="5"/>
  <c r="G265" i="5"/>
  <c r="F265" i="5"/>
  <c r="E265" i="5"/>
  <c r="W264" i="5"/>
  <c r="D264" i="5"/>
  <c r="D263" i="5"/>
  <c r="C263" i="5" s="1"/>
  <c r="D262" i="5"/>
  <c r="I340" i="2"/>
  <c r="D260" i="5"/>
  <c r="C260" i="5" s="1"/>
  <c r="I339" i="2" s="1"/>
  <c r="W259" i="5"/>
  <c r="D259" i="5"/>
  <c r="W258" i="5"/>
  <c r="D258" i="5"/>
  <c r="W257" i="5"/>
  <c r="D257" i="5"/>
  <c r="W256" i="5"/>
  <c r="D256" i="5"/>
  <c r="W255" i="5"/>
  <c r="D255" i="5"/>
  <c r="W254" i="5"/>
  <c r="N254" i="5"/>
  <c r="D254" i="5"/>
  <c r="W253" i="5"/>
  <c r="D253" i="5"/>
  <c r="D252" i="5"/>
  <c r="C252" i="5" s="1"/>
  <c r="I331" i="2" s="1"/>
  <c r="P251" i="5"/>
  <c r="P329" i="5" s="1"/>
  <c r="D251" i="5"/>
  <c r="W250" i="5"/>
  <c r="D250" i="5"/>
  <c r="W249" i="5"/>
  <c r="D249" i="5"/>
  <c r="W248" i="5"/>
  <c r="D248" i="5"/>
  <c r="W247" i="5"/>
  <c r="D247" i="5"/>
  <c r="D246" i="5"/>
  <c r="C246" i="5" s="1"/>
  <c r="I320" i="2" s="1"/>
  <c r="D245" i="5"/>
  <c r="C245" i="5" s="1"/>
  <c r="I319" i="2" s="1"/>
  <c r="D244" i="5"/>
  <c r="C244" i="5" s="1"/>
  <c r="I318" i="2" s="1"/>
  <c r="D243" i="5"/>
  <c r="C243" i="5" s="1"/>
  <c r="I317" i="2" s="1"/>
  <c r="W242" i="5"/>
  <c r="D242" i="5"/>
  <c r="D241" i="5"/>
  <c r="C241" i="5" s="1"/>
  <c r="I315" i="2" s="1"/>
  <c r="D240" i="5"/>
  <c r="C240" i="5" s="1"/>
  <c r="I314" i="2" s="1"/>
  <c r="D239" i="5"/>
  <c r="C239" i="5" s="1"/>
  <c r="I313" i="2" s="1"/>
  <c r="C238" i="5"/>
  <c r="I310" i="2" s="1"/>
  <c r="W237" i="5"/>
  <c r="D237" i="5"/>
  <c r="W236" i="5"/>
  <c r="D236" i="5"/>
  <c r="W235" i="5"/>
  <c r="N235" i="5"/>
  <c r="G235" i="5"/>
  <c r="F235" i="5"/>
  <c r="N234" i="5"/>
  <c r="E234" i="5"/>
  <c r="D234" i="5" s="1"/>
  <c r="W233" i="5"/>
  <c r="E233" i="5"/>
  <c r="D233" i="5" s="1"/>
  <c r="E232" i="5"/>
  <c r="D232" i="5" s="1"/>
  <c r="C232" i="5" s="1"/>
  <c r="E231" i="5"/>
  <c r="D231" i="5" s="1"/>
  <c r="C231" i="5" s="1"/>
  <c r="I326" i="2" s="1"/>
  <c r="E230" i="5"/>
  <c r="D230" i="5" s="1"/>
  <c r="C230" i="5" s="1"/>
  <c r="I325" i="2" s="1"/>
  <c r="E229" i="5"/>
  <c r="W226" i="5"/>
  <c r="D226" i="5"/>
  <c r="W225" i="5"/>
  <c r="D225" i="5"/>
  <c r="W224" i="5"/>
  <c r="D224" i="5"/>
  <c r="W223" i="5"/>
  <c r="P223" i="5"/>
  <c r="P227" i="5" s="1"/>
  <c r="D223" i="5"/>
  <c r="W222" i="5"/>
  <c r="D222" i="5"/>
  <c r="W221" i="5"/>
  <c r="D221" i="5"/>
  <c r="N220" i="5"/>
  <c r="D220" i="5"/>
  <c r="W219" i="5"/>
  <c r="D219" i="5"/>
  <c r="W218" i="5"/>
  <c r="D218" i="5"/>
  <c r="W217" i="5"/>
  <c r="N217" i="5"/>
  <c r="D217" i="5"/>
  <c r="W216" i="5"/>
  <c r="N216" i="5"/>
  <c r="D216" i="5"/>
  <c r="W215" i="5"/>
  <c r="D215" i="5"/>
  <c r="W214" i="5"/>
  <c r="D214" i="5"/>
  <c r="W213" i="5"/>
  <c r="D213" i="5"/>
  <c r="W212" i="5"/>
  <c r="D212" i="5"/>
  <c r="W211" i="5"/>
  <c r="D211" i="5"/>
  <c r="D208" i="5"/>
  <c r="D207" i="5"/>
  <c r="F206" i="5"/>
  <c r="F209" i="5" s="1"/>
  <c r="D205" i="5"/>
  <c r="D204" i="5"/>
  <c r="G203" i="5"/>
  <c r="D203" i="5" s="1"/>
  <c r="C203" i="5" s="1"/>
  <c r="I277" i="2" s="1"/>
  <c r="G202" i="5"/>
  <c r="D202" i="5" s="1"/>
  <c r="C202" i="5" s="1"/>
  <c r="I275" i="2" s="1"/>
  <c r="G201" i="5"/>
  <c r="D200" i="5"/>
  <c r="D199" i="5"/>
  <c r="I198" i="5"/>
  <c r="I209" i="5" s="1"/>
  <c r="W195" i="5"/>
  <c r="D195" i="5"/>
  <c r="D194" i="5"/>
  <c r="C194" i="5" s="1"/>
  <c r="I265" i="2" s="1"/>
  <c r="W193" i="5"/>
  <c r="D193" i="5"/>
  <c r="W192" i="5"/>
  <c r="D192" i="5"/>
  <c r="D187" i="5"/>
  <c r="N186" i="5"/>
  <c r="D186" i="5"/>
  <c r="D185" i="5"/>
  <c r="C185" i="5" s="1"/>
  <c r="D184" i="5"/>
  <c r="N183" i="5"/>
  <c r="D183" i="5"/>
  <c r="W167" i="5"/>
  <c r="W169" i="5" s="1"/>
  <c r="D167" i="5"/>
  <c r="D162" i="5"/>
  <c r="C162" i="5" s="1"/>
  <c r="I219" i="2" s="1"/>
  <c r="W161" i="5"/>
  <c r="D161" i="5"/>
  <c r="W160" i="5"/>
  <c r="D160" i="5"/>
  <c r="W159" i="5"/>
  <c r="D159" i="5"/>
  <c r="D156" i="5"/>
  <c r="D155" i="5"/>
  <c r="D154" i="5"/>
  <c r="W153" i="5"/>
  <c r="D153" i="5"/>
  <c r="W152" i="5"/>
  <c r="D152" i="5"/>
  <c r="W151" i="5"/>
  <c r="D151" i="5"/>
  <c r="W163" i="5"/>
  <c r="D163" i="5"/>
  <c r="D164" i="5"/>
  <c r="W180" i="5"/>
  <c r="D180" i="5"/>
  <c r="W179" i="5"/>
  <c r="D179" i="5"/>
  <c r="W178" i="5"/>
  <c r="D178" i="5"/>
  <c r="W177" i="5"/>
  <c r="D177" i="5"/>
  <c r="W176" i="5"/>
  <c r="D176" i="5"/>
  <c r="W175" i="5"/>
  <c r="D175" i="5"/>
  <c r="W174" i="5"/>
  <c r="D174" i="5"/>
  <c r="W173" i="5"/>
  <c r="D173" i="5"/>
  <c r="W172" i="5"/>
  <c r="D172" i="5"/>
  <c r="D171" i="5"/>
  <c r="D168" i="5"/>
  <c r="W148" i="5"/>
  <c r="D148" i="5"/>
  <c r="W147" i="5"/>
  <c r="D147" i="5"/>
  <c r="W146" i="5"/>
  <c r="D146" i="5"/>
  <c r="W145" i="5"/>
  <c r="D145" i="5"/>
  <c r="W144" i="5"/>
  <c r="D144" i="5"/>
  <c r="W143" i="5"/>
  <c r="D143" i="5"/>
  <c r="W142" i="5"/>
  <c r="D142" i="5"/>
  <c r="W141" i="5"/>
  <c r="D141" i="5"/>
  <c r="W140" i="5"/>
  <c r="D140" i="5"/>
  <c r="W139" i="5"/>
  <c r="D139" i="5"/>
  <c r="W138" i="5"/>
  <c r="D138" i="5"/>
  <c r="W133" i="5"/>
  <c r="D133" i="5"/>
  <c r="D132" i="5"/>
  <c r="D131" i="5"/>
  <c r="C131" i="5" s="1"/>
  <c r="I172" i="2" s="1"/>
  <c r="N130" i="5"/>
  <c r="N134" i="5" s="1"/>
  <c r="N135" i="5" s="1"/>
  <c r="D130" i="5"/>
  <c r="D129" i="5"/>
  <c r="C129" i="5" s="1"/>
  <c r="I169" i="2" s="1"/>
  <c r="D128" i="5"/>
  <c r="I168" i="2" s="1"/>
  <c r="D127" i="5"/>
  <c r="C127" i="5" s="1"/>
  <c r="I167" i="2" s="1"/>
  <c r="D126" i="5"/>
  <c r="D125" i="5"/>
  <c r="W122" i="5"/>
  <c r="D122" i="5"/>
  <c r="W121" i="5"/>
  <c r="D121" i="5"/>
  <c r="W120" i="5"/>
  <c r="D120" i="5"/>
  <c r="W119" i="5"/>
  <c r="D119" i="5"/>
  <c r="W118" i="5"/>
  <c r="H118" i="5"/>
  <c r="H123" i="5" s="1"/>
  <c r="H135" i="5" s="1"/>
  <c r="G118" i="5"/>
  <c r="G123" i="5" s="1"/>
  <c r="G135" i="5" s="1"/>
  <c r="D115" i="5"/>
  <c r="D112" i="5"/>
  <c r="C112" i="5" s="1"/>
  <c r="D111" i="5"/>
  <c r="W110" i="5"/>
  <c r="D110" i="5"/>
  <c r="D109" i="5"/>
  <c r="C109" i="5" s="1"/>
  <c r="I140" i="2" s="1"/>
  <c r="W108" i="5"/>
  <c r="D108" i="5"/>
  <c r="W107" i="5"/>
  <c r="D107" i="5"/>
  <c r="W106" i="5"/>
  <c r="D106" i="5"/>
  <c r="W105" i="5"/>
  <c r="D105" i="5"/>
  <c r="W104" i="5"/>
  <c r="D104" i="5"/>
  <c r="D103" i="5"/>
  <c r="C103" i="5" s="1"/>
  <c r="I132" i="2" s="1"/>
  <c r="W102" i="5"/>
  <c r="D102" i="5"/>
  <c r="W101" i="5"/>
  <c r="D101" i="5"/>
  <c r="W100" i="5"/>
  <c r="D100" i="5"/>
  <c r="D99" i="5"/>
  <c r="C99" i="5" s="1"/>
  <c r="I128" i="2" s="1"/>
  <c r="D98" i="5"/>
  <c r="D94" i="5"/>
  <c r="D96" i="5" s="1"/>
  <c r="D91" i="5"/>
  <c r="C91" i="5" s="1"/>
  <c r="I120" i="2" s="1"/>
  <c r="W90" i="5"/>
  <c r="D90" i="5"/>
  <c r="W89" i="5"/>
  <c r="D89" i="5"/>
  <c r="D88" i="5"/>
  <c r="C88" i="5" s="1"/>
  <c r="I116" i="2" s="1"/>
  <c r="D87" i="5"/>
  <c r="C87" i="5" s="1"/>
  <c r="I115" i="2" s="1"/>
  <c r="D86" i="5"/>
  <c r="C86" i="5" s="1"/>
  <c r="I114" i="2" s="1"/>
  <c r="P85" i="5"/>
  <c r="D85" i="5"/>
  <c r="D84" i="5"/>
  <c r="C84" i="5" s="1"/>
  <c r="I112" i="2" s="1"/>
  <c r="W83" i="5"/>
  <c r="D83" i="5"/>
  <c r="W82" i="5"/>
  <c r="D82" i="5"/>
  <c r="W81" i="5"/>
  <c r="D81" i="5"/>
  <c r="W80" i="5"/>
  <c r="D80" i="5"/>
  <c r="D79" i="5"/>
  <c r="D78" i="5"/>
  <c r="C78" i="5" s="1"/>
  <c r="I101" i="2" s="1"/>
  <c r="D77" i="5"/>
  <c r="C77" i="5" s="1"/>
  <c r="I100" i="2" s="1"/>
  <c r="D76" i="5"/>
  <c r="C76" i="5" s="1"/>
  <c r="I99" i="2" s="1"/>
  <c r="W75" i="5"/>
  <c r="D75" i="5"/>
  <c r="W74" i="5"/>
  <c r="D74" i="5"/>
  <c r="W73" i="5"/>
  <c r="D73" i="5"/>
  <c r="W72" i="5"/>
  <c r="D72" i="5"/>
  <c r="W71" i="5"/>
  <c r="D71" i="5"/>
  <c r="W70" i="5"/>
  <c r="D70" i="5"/>
  <c r="W69" i="5"/>
  <c r="D69" i="5"/>
  <c r="D68" i="5"/>
  <c r="W67" i="5"/>
  <c r="D67" i="5"/>
  <c r="D66" i="5"/>
  <c r="C66" i="5" s="1"/>
  <c r="I87" i="2" s="1"/>
  <c r="W65" i="5"/>
  <c r="D65" i="5"/>
  <c r="D64" i="5"/>
  <c r="C64" i="5" s="1"/>
  <c r="D63" i="5"/>
  <c r="C63" i="5" s="1"/>
  <c r="I82" i="2" s="1"/>
  <c r="W62" i="5"/>
  <c r="D62" i="5"/>
  <c r="W61" i="5"/>
  <c r="D61" i="5"/>
  <c r="D60" i="5"/>
  <c r="C60" i="5" s="1"/>
  <c r="I77" i="2" s="1"/>
  <c r="W59" i="5"/>
  <c r="D59" i="5"/>
  <c r="W58" i="5"/>
  <c r="D58" i="5"/>
  <c r="W57" i="5"/>
  <c r="D57" i="5"/>
  <c r="D56" i="5"/>
  <c r="C56" i="5" s="1"/>
  <c r="W55" i="5"/>
  <c r="D55" i="5"/>
  <c r="W54" i="5"/>
  <c r="D54" i="5"/>
  <c r="W53" i="5"/>
  <c r="D53" i="5"/>
  <c r="W52" i="5"/>
  <c r="D52" i="5"/>
  <c r="W51" i="5"/>
  <c r="D51" i="5"/>
  <c r="W50" i="5"/>
  <c r="D50" i="5"/>
  <c r="W49" i="5"/>
  <c r="D49" i="5"/>
  <c r="D48" i="5"/>
  <c r="C48" i="5" s="1"/>
  <c r="I62" i="2" s="1"/>
  <c r="D47" i="5"/>
  <c r="C47" i="5" s="1"/>
  <c r="I61" i="2" s="1"/>
  <c r="W46" i="5"/>
  <c r="D46" i="5"/>
  <c r="D45" i="5"/>
  <c r="C45" i="5" s="1"/>
  <c r="I59" i="2" s="1"/>
  <c r="W44" i="5"/>
  <c r="D44" i="5"/>
  <c r="D43" i="5"/>
  <c r="C43" i="5" s="1"/>
  <c r="W42" i="5"/>
  <c r="D42" i="5"/>
  <c r="W41" i="5"/>
  <c r="D41" i="5"/>
  <c r="W40" i="5"/>
  <c r="D40" i="5"/>
  <c r="D39" i="5"/>
  <c r="C39" i="5" s="1"/>
  <c r="I52" i="2" s="1"/>
  <c r="W38" i="5"/>
  <c r="D38" i="5"/>
  <c r="W37" i="5"/>
  <c r="D37" i="5"/>
  <c r="W36" i="5"/>
  <c r="D36" i="5"/>
  <c r="D35" i="5"/>
  <c r="C35" i="5" s="1"/>
  <c r="I46" i="2" s="1"/>
  <c r="W34" i="5"/>
  <c r="D34" i="5"/>
  <c r="W33" i="5"/>
  <c r="D33" i="5"/>
  <c r="D32" i="5"/>
  <c r="C32" i="5" s="1"/>
  <c r="I43" i="2" s="1"/>
  <c r="W31" i="5"/>
  <c r="D31" i="5"/>
  <c r="W30" i="5"/>
  <c r="D30" i="5"/>
  <c r="W29" i="5"/>
  <c r="D29" i="5"/>
  <c r="W28" i="5"/>
  <c r="D28" i="5"/>
  <c r="W27" i="5"/>
  <c r="D27" i="5"/>
  <c r="W26" i="5"/>
  <c r="D26" i="5"/>
  <c r="W25" i="5"/>
  <c r="D25" i="5"/>
  <c r="D24" i="5"/>
  <c r="D23" i="5"/>
  <c r="D22" i="5"/>
  <c r="D21" i="5"/>
  <c r="D20" i="5"/>
  <c r="C20" i="5" s="1"/>
  <c r="I26" i="2" s="1"/>
  <c r="D19" i="5"/>
  <c r="C19" i="5" s="1"/>
  <c r="I24" i="2" s="1"/>
  <c r="D18" i="5"/>
  <c r="P17" i="5"/>
  <c r="D17" i="5"/>
  <c r="W16" i="5"/>
  <c r="D16" i="5"/>
  <c r="W15" i="5"/>
  <c r="D15" i="5"/>
  <c r="D14" i="5"/>
  <c r="W13" i="5"/>
  <c r="D13" i="5"/>
  <c r="A13" i="5"/>
  <c r="A14" i="5" s="1"/>
  <c r="A15" i="5" s="1"/>
  <c r="A16" i="5" s="1"/>
  <c r="D12" i="5"/>
  <c r="D765" i="4"/>
  <c r="D764" i="4"/>
  <c r="D761" i="4"/>
  <c r="D760" i="4"/>
  <c r="D759" i="4"/>
  <c r="D758" i="4"/>
  <c r="D756" i="4"/>
  <c r="D755" i="4"/>
  <c r="D754" i="4"/>
  <c r="D753" i="4"/>
  <c r="D752" i="4"/>
  <c r="D750" i="4"/>
  <c r="D748" i="4"/>
  <c r="D745" i="4"/>
  <c r="D746" i="4" s="1"/>
  <c r="D741" i="4"/>
  <c r="D740" i="4"/>
  <c r="D739" i="4"/>
  <c r="D736" i="4"/>
  <c r="D735" i="4"/>
  <c r="D734" i="4"/>
  <c r="D731" i="4"/>
  <c r="D732" i="4" s="1"/>
  <c r="D727" i="4"/>
  <c r="T721" i="4"/>
  <c r="T722" i="4" s="1"/>
  <c r="T723" i="4" s="1"/>
  <c r="D721" i="4"/>
  <c r="D722" i="4" s="1"/>
  <c r="D718" i="4"/>
  <c r="D717" i="4"/>
  <c r="D716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0" i="4"/>
  <c r="D687" i="4"/>
  <c r="D686" i="4"/>
  <c r="D685" i="4"/>
  <c r="D681" i="4"/>
  <c r="D680" i="4"/>
  <c r="D679" i="4"/>
  <c r="D678" i="4"/>
  <c r="D677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0" i="4"/>
  <c r="D649" i="4"/>
  <c r="D648" i="4"/>
  <c r="D643" i="4"/>
  <c r="D642" i="4"/>
  <c r="D639" i="4"/>
  <c r="D636" i="4"/>
  <c r="D635" i="4"/>
  <c r="D632" i="4"/>
  <c r="D631" i="4"/>
  <c r="D628" i="4"/>
  <c r="D627" i="4"/>
  <c r="D624" i="4"/>
  <c r="D625" i="4" s="1"/>
  <c r="T617" i="4"/>
  <c r="T621" i="4" s="1"/>
  <c r="D616" i="4"/>
  <c r="D617" i="4" s="1"/>
  <c r="D613" i="4"/>
  <c r="D612" i="4"/>
  <c r="D611" i="4"/>
  <c r="D610" i="4"/>
  <c r="D605" i="4"/>
  <c r="D604" i="4"/>
  <c r="D603" i="4"/>
  <c r="D602" i="4"/>
  <c r="D599" i="4"/>
  <c r="D596" i="4"/>
  <c r="D595" i="4"/>
  <c r="D594" i="4"/>
  <c r="D593" i="4"/>
  <c r="D592" i="4"/>
  <c r="D591" i="4"/>
  <c r="D590" i="4"/>
  <c r="D589" i="4"/>
  <c r="D588" i="4"/>
  <c r="D587" i="4"/>
  <c r="D584" i="4"/>
  <c r="D585" i="4" s="1"/>
  <c r="D581" i="4"/>
  <c r="D580" i="4"/>
  <c r="D577" i="4"/>
  <c r="D576" i="4"/>
  <c r="D575" i="4"/>
  <c r="D574" i="4"/>
  <c r="D573" i="4"/>
  <c r="D572" i="4"/>
  <c r="D571" i="4"/>
  <c r="D570" i="4"/>
  <c r="D569" i="4"/>
  <c r="D568" i="4"/>
  <c r="D567" i="4"/>
  <c r="D564" i="4"/>
  <c r="D563" i="4"/>
  <c r="D562" i="4"/>
  <c r="D559" i="4"/>
  <c r="D558" i="4"/>
  <c r="D557" i="4"/>
  <c r="D556" i="4"/>
  <c r="D555" i="4"/>
  <c r="D554" i="4"/>
  <c r="D553" i="4"/>
  <c r="D552" i="4"/>
  <c r="D551" i="4"/>
  <c r="D550" i="4"/>
  <c r="D549" i="4"/>
  <c r="T548" i="4"/>
  <c r="D548" i="4"/>
  <c r="T547" i="4"/>
  <c r="D547" i="4"/>
  <c r="D546" i="4"/>
  <c r="D545" i="4"/>
  <c r="D544" i="4"/>
  <c r="D543" i="4"/>
  <c r="D542" i="4"/>
  <c r="D541" i="4"/>
  <c r="D540" i="4"/>
  <c r="D537" i="4"/>
  <c r="S532" i="4"/>
  <c r="S533" i="4" s="1"/>
  <c r="D532" i="4"/>
  <c r="D533" i="4" s="1"/>
  <c r="D529" i="4"/>
  <c r="D530" i="4" s="1"/>
  <c r="T526" i="4"/>
  <c r="T527" i="4" s="1"/>
  <c r="T534" i="4" s="1"/>
  <c r="D526" i="4"/>
  <c r="D525" i="4"/>
  <c r="S522" i="4"/>
  <c r="S523" i="4" s="1"/>
  <c r="D522" i="4"/>
  <c r="D523" i="4" s="1"/>
  <c r="D516" i="4"/>
  <c r="D515" i="4"/>
  <c r="D514" i="4"/>
  <c r="D513" i="4"/>
  <c r="D510" i="4"/>
  <c r="D511" i="4" s="1"/>
  <c r="D503" i="4"/>
  <c r="S502" i="4"/>
  <c r="D502" i="4"/>
  <c r="S501" i="4"/>
  <c r="D501" i="4"/>
  <c r="S500" i="4"/>
  <c r="D500" i="4"/>
  <c r="S499" i="4"/>
  <c r="D499" i="4"/>
  <c r="D498" i="4"/>
  <c r="D497" i="4"/>
  <c r="D492" i="4"/>
  <c r="D491" i="4"/>
  <c r="D490" i="4"/>
  <c r="D489" i="4"/>
  <c r="D488" i="4"/>
  <c r="D487" i="4"/>
  <c r="D486" i="4"/>
  <c r="D485" i="4"/>
  <c r="D484" i="4"/>
  <c r="D478" i="4"/>
  <c r="D477" i="4"/>
  <c r="D476" i="4"/>
  <c r="D475" i="4"/>
  <c r="D474" i="4"/>
  <c r="D473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V449" i="4"/>
  <c r="D448" i="4"/>
  <c r="D447" i="4"/>
  <c r="D446" i="4"/>
  <c r="V444" i="4"/>
  <c r="D443" i="4"/>
  <c r="D444" i="4" s="1"/>
  <c r="V441" i="4"/>
  <c r="D440" i="4"/>
  <c r="D439" i="4"/>
  <c r="D438" i="4"/>
  <c r="D437" i="4"/>
  <c r="D436" i="4"/>
  <c r="T433" i="4"/>
  <c r="D433" i="4"/>
  <c r="D432" i="4"/>
  <c r="D429" i="4"/>
  <c r="D428" i="4"/>
  <c r="D425" i="4"/>
  <c r="D424" i="4"/>
  <c r="D423" i="4"/>
  <c r="D422" i="4"/>
  <c r="D421" i="4"/>
  <c r="D418" i="4"/>
  <c r="D417" i="4"/>
  <c r="D416" i="4"/>
  <c r="D415" i="4"/>
  <c r="D414" i="4"/>
  <c r="D413" i="4"/>
  <c r="D412" i="4"/>
  <c r="D411" i="4"/>
  <c r="D410" i="4"/>
  <c r="D409" i="4"/>
  <c r="E408" i="4"/>
  <c r="D407" i="4"/>
  <c r="D406" i="4"/>
  <c r="E405" i="4"/>
  <c r="D404" i="4"/>
  <c r="D403" i="4"/>
  <c r="D402" i="4"/>
  <c r="D401" i="4"/>
  <c r="D400" i="4"/>
  <c r="D399" i="4"/>
  <c r="D398" i="4"/>
  <c r="D397" i="4"/>
  <c r="D396" i="4"/>
  <c r="K395" i="4"/>
  <c r="K419" i="4" s="1"/>
  <c r="K470" i="4" s="1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75" i="4"/>
  <c r="D371" i="4"/>
  <c r="D370" i="4"/>
  <c r="D369" i="4"/>
  <c r="D368" i="4"/>
  <c r="D367" i="4"/>
  <c r="D366" i="4"/>
  <c r="D365" i="4"/>
  <c r="F364" i="4"/>
  <c r="D363" i="4"/>
  <c r="D362" i="4"/>
  <c r="D361" i="4"/>
  <c r="K349" i="4"/>
  <c r="K355" i="4" s="1"/>
  <c r="T346" i="4"/>
  <c r="T355" i="4" s="1"/>
  <c r="Y342" i="4"/>
  <c r="Y768" i="4" s="1"/>
  <c r="X342" i="4"/>
  <c r="X768" i="4" s="1"/>
  <c r="W342" i="4"/>
  <c r="W768" i="4" s="1"/>
  <c r="V342" i="4"/>
  <c r="U342" i="4"/>
  <c r="U768" i="4" s="1"/>
  <c r="T338" i="4"/>
  <c r="T342" i="4" s="1"/>
  <c r="D334" i="4"/>
  <c r="D333" i="4"/>
  <c r="D332" i="4"/>
  <c r="D331" i="4"/>
  <c r="D330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1" i="4"/>
  <c r="D272" i="4" s="1"/>
  <c r="D264" i="4"/>
  <c r="D263" i="4"/>
  <c r="D262" i="4"/>
  <c r="D261" i="4"/>
  <c r="D260" i="4"/>
  <c r="D255" i="4"/>
  <c r="D254" i="4"/>
  <c r="F253" i="4"/>
  <c r="D253" i="4" s="1"/>
  <c r="F252" i="4"/>
  <c r="D252" i="4" s="1"/>
  <c r="F251" i="4"/>
  <c r="D251" i="4" s="1"/>
  <c r="D250" i="4"/>
  <c r="D249" i="4"/>
  <c r="F248" i="4"/>
  <c r="D247" i="4"/>
  <c r="D226" i="4"/>
  <c r="D225" i="4"/>
  <c r="D224" i="4"/>
  <c r="D223" i="4"/>
  <c r="D222" i="4"/>
  <c r="D221" i="4"/>
  <c r="D220" i="4"/>
  <c r="D219" i="4"/>
  <c r="D218" i="4"/>
  <c r="D217" i="4"/>
  <c r="D216" i="4"/>
  <c r="D214" i="4"/>
  <c r="D213" i="4"/>
  <c r="D212" i="4"/>
  <c r="D211" i="4"/>
  <c r="D208" i="4"/>
  <c r="D207" i="4"/>
  <c r="F206" i="4"/>
  <c r="D206" i="4" s="1"/>
  <c r="D205" i="4"/>
  <c r="D203" i="4"/>
  <c r="T202" i="4"/>
  <c r="T209" i="4" s="1"/>
  <c r="D201" i="4"/>
  <c r="D200" i="4"/>
  <c r="F199" i="4"/>
  <c r="D190" i="4"/>
  <c r="D189" i="4"/>
  <c r="D186" i="4"/>
  <c r="D185" i="4"/>
  <c r="J182" i="4"/>
  <c r="C182" i="4"/>
  <c r="J181" i="4"/>
  <c r="D178" i="4"/>
  <c r="S177" i="4"/>
  <c r="S179" i="4" s="1"/>
  <c r="S192" i="4" s="1"/>
  <c r="D176" i="4"/>
  <c r="D175" i="4"/>
  <c r="D164" i="4"/>
  <c r="D165" i="4" s="1"/>
  <c r="J161" i="4"/>
  <c r="J160" i="4"/>
  <c r="J159" i="4"/>
  <c r="D159" i="4"/>
  <c r="D162" i="4" s="1"/>
  <c r="A159" i="4"/>
  <c r="A160" i="4" s="1"/>
  <c r="A161" i="4" s="1"/>
  <c r="A164" i="4" s="1"/>
  <c r="A167" i="4" s="1"/>
  <c r="A168" i="4" s="1"/>
  <c r="A169" i="4" s="1"/>
  <c r="A170" i="4" s="1"/>
  <c r="A171" i="4" s="1"/>
  <c r="A172" i="4" s="1"/>
  <c r="A175" i="4" s="1"/>
  <c r="A176" i="4" s="1"/>
  <c r="A177" i="4" s="1"/>
  <c r="A178" i="4" s="1"/>
  <c r="A181" i="4" s="1"/>
  <c r="A182" i="4" s="1"/>
  <c r="A185" i="4" s="1"/>
  <c r="A186" i="4" s="1"/>
  <c r="A189" i="4" s="1"/>
  <c r="D154" i="4"/>
  <c r="D153" i="4"/>
  <c r="D152" i="4"/>
  <c r="D151" i="4"/>
  <c r="D150" i="4"/>
  <c r="D149" i="4"/>
  <c r="D148" i="4"/>
  <c r="D147" i="4"/>
  <c r="D146" i="4"/>
  <c r="S140" i="4"/>
  <c r="S141" i="4" s="1"/>
  <c r="S156" i="4" s="1"/>
  <c r="D140" i="4"/>
  <c r="D141" i="4" s="1"/>
  <c r="D137" i="4"/>
  <c r="D136" i="4"/>
  <c r="D135" i="4"/>
  <c r="D134" i="4"/>
  <c r="D133" i="4"/>
  <c r="D132" i="4"/>
  <c r="D131" i="4"/>
  <c r="D130" i="4"/>
  <c r="D129" i="4"/>
  <c r="D128" i="4"/>
  <c r="D127" i="4"/>
  <c r="D126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0" i="4"/>
  <c r="D101" i="4" s="1"/>
  <c r="D85" i="4"/>
  <c r="D84" i="4"/>
  <c r="D83" i="4"/>
  <c r="T88" i="4"/>
  <c r="T89" i="4" s="1"/>
  <c r="T71" i="4"/>
  <c r="T72" i="4" s="1"/>
  <c r="T86" i="4"/>
  <c r="T78" i="4"/>
  <c r="T79" i="4" s="1"/>
  <c r="D75" i="4"/>
  <c r="D74" i="4"/>
  <c r="M64" i="4"/>
  <c r="M65" i="4" s="1"/>
  <c r="M66" i="4" s="1"/>
  <c r="K63" i="4"/>
  <c r="K65" i="4" s="1"/>
  <c r="K60" i="4"/>
  <c r="K59" i="4"/>
  <c r="F61" i="4"/>
  <c r="F66" i="4" s="1"/>
  <c r="G57" i="4"/>
  <c r="D56" i="4"/>
  <c r="D55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A13" i="4"/>
  <c r="D12" i="4"/>
  <c r="H3295" i="2"/>
  <c r="H3285" i="2"/>
  <c r="I3281" i="2"/>
  <c r="H3263" i="2"/>
  <c r="H2676" i="2"/>
  <c r="H2795" i="2" s="1"/>
  <c r="H2671" i="2"/>
  <c r="H2614" i="2"/>
  <c r="G2553" i="2"/>
  <c r="G2672" i="2" s="1"/>
  <c r="H1898" i="2"/>
  <c r="H1978" i="2" s="1"/>
  <c r="H1706" i="2"/>
  <c r="H1659" i="2"/>
  <c r="H549" i="2"/>
  <c r="H761" i="2" s="1"/>
  <c r="H248" i="2"/>
  <c r="G248" i="2"/>
  <c r="G249" i="2" s="1"/>
  <c r="H241" i="2"/>
  <c r="H125" i="2"/>
  <c r="H176" i="2" s="1"/>
  <c r="H249" i="2" l="1"/>
  <c r="V768" i="4"/>
  <c r="I3266" i="2"/>
  <c r="I215" i="2"/>
  <c r="I1556" i="2"/>
  <c r="I1557" i="2" s="1"/>
  <c r="I214" i="2"/>
  <c r="C46" i="6"/>
  <c r="W165" i="5"/>
  <c r="D169" i="5"/>
  <c r="D165" i="5"/>
  <c r="D86" i="4"/>
  <c r="C98" i="4"/>
  <c r="D743" i="4"/>
  <c r="A35" i="6"/>
  <c r="A38" i="6" s="1"/>
  <c r="A39" i="6" s="1"/>
  <c r="A40" i="6" s="1"/>
  <c r="A41" i="6" s="1"/>
  <c r="I1924" i="2"/>
  <c r="C359" i="4"/>
  <c r="I1889" i="2"/>
  <c r="I2973" i="2"/>
  <c r="I2974" i="2"/>
  <c r="I3304" i="2"/>
  <c r="N1809" i="5"/>
  <c r="N1906" i="5" s="1"/>
  <c r="W1809" i="5"/>
  <c r="I3270" i="2"/>
  <c r="R596" i="6"/>
  <c r="X442" i="6"/>
  <c r="C996" i="5"/>
  <c r="I1259" i="2" s="1"/>
  <c r="N843" i="6"/>
  <c r="N844" i="6" s="1"/>
  <c r="C141" i="5"/>
  <c r="C14" i="5"/>
  <c r="A17" i="5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D644" i="4"/>
  <c r="C1933" i="5"/>
  <c r="I2699" i="2" s="1"/>
  <c r="E2238" i="5"/>
  <c r="E2246" i="5" s="1"/>
  <c r="W2238" i="5"/>
  <c r="N2238" i="5"/>
  <c r="N2246" i="5" s="1"/>
  <c r="C2149" i="5"/>
  <c r="I3064" i="2" s="1"/>
  <c r="I3066" i="2"/>
  <c r="C839" i="6"/>
  <c r="D843" i="6"/>
  <c r="D844" i="6" s="1"/>
  <c r="R843" i="6"/>
  <c r="C257" i="6"/>
  <c r="C244" i="6"/>
  <c r="W745" i="5"/>
  <c r="D768" i="5"/>
  <c r="W768" i="5"/>
  <c r="H2672" i="2"/>
  <c r="D745" i="5"/>
  <c r="L972" i="2"/>
  <c r="I3265" i="2"/>
  <c r="I2429" i="2"/>
  <c r="I637" i="2"/>
  <c r="A190" i="4"/>
  <c r="A195" i="4" s="1"/>
  <c r="A196" i="4" s="1"/>
  <c r="A199" i="4" s="1"/>
  <c r="A200" i="4" s="1"/>
  <c r="N2063" i="5"/>
  <c r="H1412" i="5"/>
  <c r="H1447" i="5" s="1"/>
  <c r="H2363" i="5" s="1"/>
  <c r="D1583" i="5"/>
  <c r="V1630" i="5"/>
  <c r="D1656" i="5"/>
  <c r="C235" i="6"/>
  <c r="C14" i="6"/>
  <c r="I3267" i="2"/>
  <c r="I2520" i="2"/>
  <c r="I3269" i="2"/>
  <c r="I1116" i="2"/>
  <c r="I2018" i="2"/>
  <c r="I2027" i="2"/>
  <c r="I2576" i="2"/>
  <c r="W1780" i="5"/>
  <c r="I2578" i="2"/>
  <c r="I2976" i="2"/>
  <c r="I638" i="2"/>
  <c r="C269" i="4"/>
  <c r="C432" i="6"/>
  <c r="C832" i="6"/>
  <c r="C1052" i="6"/>
  <c r="C354" i="4"/>
  <c r="C388" i="6"/>
  <c r="C1048" i="6"/>
  <c r="Q2063" i="5"/>
  <c r="Q2363" i="5" s="1"/>
  <c r="C665" i="6"/>
  <c r="C1033" i="6"/>
  <c r="I2166" i="2"/>
  <c r="C658" i="6"/>
  <c r="W763" i="6"/>
  <c r="C808" i="6"/>
  <c r="R1388" i="5"/>
  <c r="I1412" i="5"/>
  <c r="F1412" i="5"/>
  <c r="D1438" i="5"/>
  <c r="D1600" i="5"/>
  <c r="W1656" i="5"/>
  <c r="D1761" i="5"/>
  <c r="D1784" i="5"/>
  <c r="W181" i="5"/>
  <c r="E1412" i="5"/>
  <c r="W1703" i="5"/>
  <c r="G1876" i="5"/>
  <c r="G1906" i="5" s="1"/>
  <c r="I2733" i="2"/>
  <c r="F1359" i="5"/>
  <c r="F1372" i="5" s="1"/>
  <c r="I2728" i="2"/>
  <c r="W113" i="5"/>
  <c r="W472" i="5"/>
  <c r="D1394" i="5"/>
  <c r="W1748" i="5"/>
  <c r="D1756" i="5"/>
  <c r="W1876" i="5"/>
  <c r="W134" i="5"/>
  <c r="U877" i="5"/>
  <c r="P1447" i="5"/>
  <c r="R1412" i="5"/>
  <c r="G1412" i="5"/>
  <c r="U1412" i="5"/>
  <c r="U1447" i="5" s="1"/>
  <c r="D1421" i="5"/>
  <c r="D1433" i="5"/>
  <c r="W1600" i="5"/>
  <c r="D1634" i="5"/>
  <c r="D1646" i="5"/>
  <c r="D1686" i="5"/>
  <c r="D1770" i="5"/>
  <c r="D1776" i="5"/>
  <c r="W1784" i="5"/>
  <c r="F1805" i="5"/>
  <c r="O394" i="5"/>
  <c r="O572" i="5" s="1"/>
  <c r="O2363" i="5" s="1"/>
  <c r="D859" i="5"/>
  <c r="W877" i="5"/>
  <c r="V1359" i="5"/>
  <c r="V1372" i="5" s="1"/>
  <c r="E1388" i="5"/>
  <c r="V1388" i="5"/>
  <c r="V1447" i="5" s="1"/>
  <c r="R1583" i="5"/>
  <c r="R1657" i="5" s="1"/>
  <c r="V1592" i="5"/>
  <c r="N1657" i="5"/>
  <c r="W1646" i="5"/>
  <c r="W1686" i="5"/>
  <c r="D1703" i="5"/>
  <c r="W1756" i="5"/>
  <c r="W1770" i="5"/>
  <c r="D1780" i="5"/>
  <c r="F1876" i="5"/>
  <c r="F1906" i="5" s="1"/>
  <c r="E2063" i="5"/>
  <c r="W442" i="5"/>
  <c r="W452" i="5"/>
  <c r="D1614" i="5"/>
  <c r="D1630" i="5"/>
  <c r="D2328" i="5"/>
  <c r="W423" i="5"/>
  <c r="D442" i="5"/>
  <c r="D472" i="5"/>
  <c r="W534" i="5"/>
  <c r="W394" i="5"/>
  <c r="D423" i="5"/>
  <c r="D534" i="5"/>
  <c r="D877" i="5"/>
  <c r="D113" i="5"/>
  <c r="D461" i="5"/>
  <c r="D394" i="5"/>
  <c r="D452" i="5"/>
  <c r="R797" i="6"/>
  <c r="I2366" i="2"/>
  <c r="I3200" i="2"/>
  <c r="I2421" i="2"/>
  <c r="I1691" i="2"/>
  <c r="I2617" i="2"/>
  <c r="I2856" i="2"/>
  <c r="I63" i="6"/>
  <c r="I125" i="6" s="1"/>
  <c r="R31" i="6"/>
  <c r="W1040" i="6"/>
  <c r="I2235" i="2"/>
  <c r="K61" i="4"/>
  <c r="K66" i="4" s="1"/>
  <c r="T90" i="4"/>
  <c r="D633" i="4"/>
  <c r="I1669" i="2"/>
  <c r="I3187" i="2"/>
  <c r="I3199" i="2"/>
  <c r="J183" i="4"/>
  <c r="D434" i="4"/>
  <c r="S504" i="4"/>
  <c r="S534" i="4" s="1"/>
  <c r="I3203" i="2"/>
  <c r="J162" i="4"/>
  <c r="D430" i="4"/>
  <c r="D449" i="4"/>
  <c r="D682" i="4"/>
  <c r="G63" i="6"/>
  <c r="G125" i="6" s="1"/>
  <c r="W42" i="6"/>
  <c r="R77" i="6"/>
  <c r="R125" i="6" s="1"/>
  <c r="U96" i="6"/>
  <c r="U125" i="6" s="1"/>
  <c r="W149" i="5"/>
  <c r="W1371" i="5"/>
  <c r="W1853" i="5"/>
  <c r="D1922" i="5"/>
  <c r="W2068" i="5"/>
  <c r="D1842" i="5"/>
  <c r="W1922" i="5"/>
  <c r="N2027" i="5"/>
  <c r="N2028" i="5" s="1"/>
  <c r="T257" i="4"/>
  <c r="P92" i="5"/>
  <c r="P135" i="5" s="1"/>
  <c r="D265" i="4"/>
  <c r="D517" i="4"/>
  <c r="G61" i="4"/>
  <c r="G66" i="4" s="1"/>
  <c r="I138" i="2"/>
  <c r="H61" i="4"/>
  <c r="H66" i="4" s="1"/>
  <c r="I252" i="2"/>
  <c r="I256" i="2"/>
  <c r="D155" i="4"/>
  <c r="I449" i="2"/>
  <c r="I453" i="2"/>
  <c r="I936" i="2"/>
  <c r="I1378" i="2"/>
  <c r="D335" i="4"/>
  <c r="D364" i="4"/>
  <c r="F372" i="4"/>
  <c r="F379" i="4" s="1"/>
  <c r="I1690" i="2"/>
  <c r="D405" i="4"/>
  <c r="E419" i="4"/>
  <c r="E470" i="4" s="1"/>
  <c r="D426" i="4"/>
  <c r="D538" i="4"/>
  <c r="I2352" i="2"/>
  <c r="I2364" i="2"/>
  <c r="D582" i="4"/>
  <c r="I2451" i="2"/>
  <c r="I2455" i="2"/>
  <c r="I2469" i="2"/>
  <c r="D640" i="4"/>
  <c r="D688" i="4"/>
  <c r="D719" i="4"/>
  <c r="I3128" i="2"/>
  <c r="C743" i="4"/>
  <c r="D762" i="4"/>
  <c r="I3303" i="2"/>
  <c r="I3307" i="2"/>
  <c r="I3315" i="2"/>
  <c r="H3379" i="2"/>
  <c r="I253" i="2"/>
  <c r="I446" i="2"/>
  <c r="I450" i="2"/>
  <c r="D187" i="4"/>
  <c r="D227" i="4"/>
  <c r="I937" i="2"/>
  <c r="I1529" i="2"/>
  <c r="I1684" i="2"/>
  <c r="I1692" i="2"/>
  <c r="D378" i="4"/>
  <c r="I1940" i="2"/>
  <c r="I2168" i="2"/>
  <c r="D560" i="4"/>
  <c r="I2353" i="2"/>
  <c r="I2387" i="2"/>
  <c r="I2398" i="2"/>
  <c r="I2438" i="2"/>
  <c r="I2452" i="2"/>
  <c r="D600" i="4"/>
  <c r="I2470" i="2"/>
  <c r="I2571" i="2"/>
  <c r="I2956" i="2"/>
  <c r="C737" i="4"/>
  <c r="D737" i="4"/>
  <c r="I3308" i="2"/>
  <c r="I3312" i="2"/>
  <c r="I3316" i="2"/>
  <c r="W123" i="5"/>
  <c r="D149" i="5"/>
  <c r="W157" i="5"/>
  <c r="W329" i="5"/>
  <c r="G329" i="5"/>
  <c r="N333" i="5"/>
  <c r="D1371" i="5"/>
  <c r="W2297" i="5"/>
  <c r="D2307" i="5"/>
  <c r="D2317" i="5"/>
  <c r="U2361" i="5"/>
  <c r="U2362" i="5" s="1"/>
  <c r="W116" i="6"/>
  <c r="W202" i="6"/>
  <c r="W277" i="6"/>
  <c r="W648" i="6"/>
  <c r="W649" i="6" s="1"/>
  <c r="D47" i="4"/>
  <c r="I84" i="2"/>
  <c r="I143" i="2"/>
  <c r="I148" i="2"/>
  <c r="D76" i="4"/>
  <c r="I254" i="2"/>
  <c r="I447" i="2"/>
  <c r="I451" i="2"/>
  <c r="D179" i="4"/>
  <c r="D199" i="4"/>
  <c r="F209" i="4"/>
  <c r="I938" i="2"/>
  <c r="I1235" i="2"/>
  <c r="I1530" i="2"/>
  <c r="I1676" i="2"/>
  <c r="I1685" i="2"/>
  <c r="I1693" i="2"/>
  <c r="I1903" i="2"/>
  <c r="D527" i="4"/>
  <c r="I2388" i="2"/>
  <c r="D565" i="4"/>
  <c r="I2428" i="2"/>
  <c r="I2453" i="2"/>
  <c r="I2459" i="2"/>
  <c r="D606" i="4"/>
  <c r="D614" i="4"/>
  <c r="D621" i="4" s="1"/>
  <c r="D629" i="4"/>
  <c r="D637" i="4"/>
  <c r="I2957" i="2"/>
  <c r="D729" i="4"/>
  <c r="I3280" i="2"/>
  <c r="I3309" i="2"/>
  <c r="I3313" i="2"/>
  <c r="D766" i="4"/>
  <c r="W465" i="5"/>
  <c r="D571" i="5"/>
  <c r="W2344" i="5"/>
  <c r="Q139" i="6"/>
  <c r="C372" i="6"/>
  <c r="W379" i="6"/>
  <c r="W558" i="6"/>
  <c r="W563" i="6"/>
  <c r="D595" i="6"/>
  <c r="D596" i="6" s="1"/>
  <c r="W681" i="6"/>
  <c r="W774" i="6"/>
  <c r="W1073" i="6"/>
  <c r="I255" i="2"/>
  <c r="G138" i="4"/>
  <c r="G156" i="4" s="1"/>
  <c r="I448" i="2"/>
  <c r="I452" i="2"/>
  <c r="D191" i="4"/>
  <c r="I935" i="2"/>
  <c r="D248" i="4"/>
  <c r="F256" i="4"/>
  <c r="D328" i="4"/>
  <c r="I1531" i="2"/>
  <c r="I1677" i="2"/>
  <c r="I1689" i="2"/>
  <c r="I1694" i="2"/>
  <c r="D441" i="4"/>
  <c r="I1904" i="2"/>
  <c r="D469" i="4"/>
  <c r="C493" i="4"/>
  <c r="D493" i="4"/>
  <c r="D494" i="4" s="1"/>
  <c r="D504" i="4"/>
  <c r="I2408" i="2"/>
  <c r="D597" i="4"/>
  <c r="I2454" i="2"/>
  <c r="I2460" i="2"/>
  <c r="D651" i="4"/>
  <c r="D652" i="4" s="1"/>
  <c r="D691" i="4"/>
  <c r="I3306" i="2"/>
  <c r="I3310" i="2"/>
  <c r="I3314" i="2"/>
  <c r="F63" i="6"/>
  <c r="F125" i="6" s="1"/>
  <c r="Q224" i="6"/>
  <c r="R360" i="6"/>
  <c r="R383" i="6" s="1"/>
  <c r="C375" i="6"/>
  <c r="D441" i="6"/>
  <c r="D442" i="6" s="1"/>
  <c r="W509" i="6"/>
  <c r="W717" i="6"/>
  <c r="W739" i="6"/>
  <c r="W786" i="6"/>
  <c r="W802" i="6"/>
  <c r="W826" i="6"/>
  <c r="W961" i="6"/>
  <c r="T434" i="4"/>
  <c r="T470" i="4" s="1"/>
  <c r="D188" i="5"/>
  <c r="D196" i="5"/>
  <c r="D465" i="5"/>
  <c r="D1292" i="5"/>
  <c r="D1302" i="5"/>
  <c r="D1331" i="5"/>
  <c r="I1576" i="5"/>
  <c r="I1577" i="5" s="1"/>
  <c r="F329" i="5"/>
  <c r="F353" i="5" s="1"/>
  <c r="I329" i="5"/>
  <c r="I353" i="5" s="1"/>
  <c r="D333" i="5"/>
  <c r="W705" i="5"/>
  <c r="D892" i="5"/>
  <c r="D910" i="5"/>
  <c r="W1325" i="5"/>
  <c r="F1446" i="5"/>
  <c r="W1577" i="5"/>
  <c r="N1576" i="5"/>
  <c r="N1577" i="5" s="1"/>
  <c r="G1576" i="5"/>
  <c r="G1577" i="5" s="1"/>
  <c r="T560" i="4"/>
  <c r="T607" i="4" s="1"/>
  <c r="W188" i="5"/>
  <c r="W209" i="5"/>
  <c r="D227" i="5"/>
  <c r="N329" i="5"/>
  <c r="C340" i="5"/>
  <c r="C343" i="5" s="1"/>
  <c r="D343" i="5"/>
  <c r="W352" i="5"/>
  <c r="W571" i="5"/>
  <c r="D705" i="5"/>
  <c r="W1249" i="5"/>
  <c r="D967" i="5"/>
  <c r="C967" i="5" s="1"/>
  <c r="I1229" i="2" s="1"/>
  <c r="G1249" i="5"/>
  <c r="G1293" i="5" s="1"/>
  <c r="D1325" i="5"/>
  <c r="F1576" i="5"/>
  <c r="F1577" i="5" s="1"/>
  <c r="C1622" i="5"/>
  <c r="C1758" i="5"/>
  <c r="C1761" i="5" s="1"/>
  <c r="C1797" i="5"/>
  <c r="D1853" i="5"/>
  <c r="D1905" i="5"/>
  <c r="W2027" i="5"/>
  <c r="D2038" i="5"/>
  <c r="C2038" i="5" s="1"/>
  <c r="I2838" i="2" s="1"/>
  <c r="D2068" i="5"/>
  <c r="C2070" i="5"/>
  <c r="D2078" i="5"/>
  <c r="D2240" i="5"/>
  <c r="I2245" i="5"/>
  <c r="I2246" i="5" s="1"/>
  <c r="D92" i="5"/>
  <c r="D181" i="5"/>
  <c r="D157" i="5"/>
  <c r="G209" i="5"/>
  <c r="W227" i="5"/>
  <c r="C335" i="5"/>
  <c r="C338" i="5" s="1"/>
  <c r="D338" i="5"/>
  <c r="D1377" i="5"/>
  <c r="C1377" i="5" s="1"/>
  <c r="C1602" i="5"/>
  <c r="C1788" i="5"/>
  <c r="C1792" i="5" s="1"/>
  <c r="D1792" i="5"/>
  <c r="W1905" i="5"/>
  <c r="M2363" i="5"/>
  <c r="W2245" i="5"/>
  <c r="W2307" i="5"/>
  <c r="W2317" i="5"/>
  <c r="W92" i="5"/>
  <c r="C98" i="5"/>
  <c r="P353" i="5"/>
  <c r="D349" i="5"/>
  <c r="C349" i="5" s="1"/>
  <c r="I458" i="2" s="1"/>
  <c r="E352" i="5"/>
  <c r="C467" i="5"/>
  <c r="C542" i="5"/>
  <c r="C547" i="5" s="1"/>
  <c r="D547" i="5"/>
  <c r="D840" i="5"/>
  <c r="C845" i="5"/>
  <c r="D853" i="5"/>
  <c r="C855" i="5"/>
  <c r="C859" i="5" s="1"/>
  <c r="C861" i="5"/>
  <c r="D863" i="5"/>
  <c r="W892" i="5"/>
  <c r="W910" i="5"/>
  <c r="U1249" i="5"/>
  <c r="D944" i="5"/>
  <c r="C944" i="5" s="1"/>
  <c r="I1206" i="2" s="1"/>
  <c r="E1249" i="5"/>
  <c r="E1293" i="5" s="1"/>
  <c r="D971" i="5"/>
  <c r="C971" i="5" s="1"/>
  <c r="I1233" i="2" s="1"/>
  <c r="F1249" i="5"/>
  <c r="F1293" i="5" s="1"/>
  <c r="D1253" i="5"/>
  <c r="D1264" i="5"/>
  <c r="C1272" i="5"/>
  <c r="C1275" i="5" s="1"/>
  <c r="D1275" i="5"/>
  <c r="D1347" i="5"/>
  <c r="C1423" i="5"/>
  <c r="C1433" i="5" s="1"/>
  <c r="G1446" i="5"/>
  <c r="D1471" i="5"/>
  <c r="C1471" i="5" s="1"/>
  <c r="E1576" i="5"/>
  <c r="E1577" i="5" s="1"/>
  <c r="C1688" i="5"/>
  <c r="C1814" i="5"/>
  <c r="D1818" i="5"/>
  <c r="D2080" i="5"/>
  <c r="D2238" i="5" s="1"/>
  <c r="C2330" i="5"/>
  <c r="D2344" i="5"/>
  <c r="D2349" i="5"/>
  <c r="C2349" i="5" s="1"/>
  <c r="E2361" i="5"/>
  <c r="E2362" i="5" s="1"/>
  <c r="W2361" i="5"/>
  <c r="C115" i="5"/>
  <c r="D116" i="5"/>
  <c r="D134" i="5"/>
  <c r="N188" i="5"/>
  <c r="N189" i="5" s="1"/>
  <c r="W196" i="5"/>
  <c r="N227" i="5"/>
  <c r="D229" i="5"/>
  <c r="E329" i="5"/>
  <c r="C454" i="5"/>
  <c r="C461" i="5" s="1"/>
  <c r="W840" i="5"/>
  <c r="D843" i="5"/>
  <c r="N1249" i="5"/>
  <c r="N1293" i="5" s="1"/>
  <c r="W1264" i="5"/>
  <c r="W1292" i="5"/>
  <c r="W1302" i="5"/>
  <c r="W1331" i="5"/>
  <c r="W1347" i="5"/>
  <c r="D1350" i="5"/>
  <c r="D1359" i="5" s="1"/>
  <c r="I1446" i="5"/>
  <c r="V1576" i="5"/>
  <c r="V1577" i="5" s="1"/>
  <c r="D1809" i="5"/>
  <c r="W1842" i="5"/>
  <c r="E2027" i="5"/>
  <c r="E2028" i="5" s="1"/>
  <c r="C2030" i="5"/>
  <c r="W2078" i="5"/>
  <c r="D2297" i="5"/>
  <c r="C2320" i="5"/>
  <c r="C2328" i="5" s="1"/>
  <c r="I1133" i="2"/>
  <c r="I1134" i="2"/>
  <c r="I924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A52" i="4" s="1"/>
  <c r="A55" i="4" s="1"/>
  <c r="A56" i="4" s="1"/>
  <c r="A57" i="4" s="1"/>
  <c r="A58" i="4" s="1"/>
  <c r="A59" i="4" s="1"/>
  <c r="A60" i="4" s="1"/>
  <c r="A63" i="4" s="1"/>
  <c r="A64" i="4" s="1"/>
  <c r="A69" i="4" s="1"/>
  <c r="W109" i="6"/>
  <c r="W149" i="6"/>
  <c r="C686" i="6"/>
  <c r="D695" i="6"/>
  <c r="D708" i="6" s="1"/>
  <c r="C721" i="6"/>
  <c r="D724" i="6"/>
  <c r="D764" i="6" s="1"/>
  <c r="C783" i="6"/>
  <c r="D786" i="6"/>
  <c r="D787" i="6" s="1"/>
  <c r="P1012" i="6"/>
  <c r="P1034" i="6" s="1"/>
  <c r="W51" i="6"/>
  <c r="W55" i="6" s="1"/>
  <c r="W167" i="6"/>
  <c r="W366" i="6"/>
  <c r="W695" i="6"/>
  <c r="W707" i="6"/>
  <c r="R852" i="6"/>
  <c r="R853" i="6" s="1"/>
  <c r="D58" i="6"/>
  <c r="E63" i="6"/>
  <c r="E125" i="6" s="1"/>
  <c r="C128" i="6"/>
  <c r="D139" i="6"/>
  <c r="D236" i="6" s="1"/>
  <c r="W595" i="6"/>
  <c r="R643" i="6"/>
  <c r="R649" i="6" s="1"/>
  <c r="W797" i="6"/>
  <c r="W815" i="6"/>
  <c r="D244" i="6"/>
  <c r="W550" i="6"/>
  <c r="W1095" i="6"/>
  <c r="I3181" i="2"/>
  <c r="I2476" i="2"/>
  <c r="I1662" i="2"/>
  <c r="I1188" i="2"/>
  <c r="I1088" i="2"/>
  <c r="C261" i="6"/>
  <c r="I286" i="2"/>
  <c r="A128" i="2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7" i="2" s="1"/>
  <c r="A148" i="2" s="1"/>
  <c r="A149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9" i="2" s="1"/>
  <c r="A180" i="2" s="1"/>
  <c r="I1017" i="2"/>
  <c r="I1089" i="2"/>
  <c r="I1634" i="2"/>
  <c r="I3194" i="2"/>
  <c r="I548" i="2"/>
  <c r="I1398" i="2"/>
  <c r="I1621" i="2"/>
  <c r="I1675" i="2"/>
  <c r="I1615" i="2"/>
  <c r="C1071" i="6"/>
  <c r="I3182" i="2"/>
  <c r="I1617" i="2"/>
  <c r="I2504" i="2"/>
  <c r="I3190" i="2"/>
  <c r="I3202" i="2"/>
  <c r="I1674" i="2"/>
  <c r="I3129" i="2"/>
  <c r="I3184" i="2"/>
  <c r="I1620" i="2"/>
  <c r="I3196" i="2"/>
  <c r="I2433" i="2"/>
  <c r="I1666" i="2"/>
  <c r="I1688" i="2"/>
  <c r="I2409" i="2"/>
  <c r="I2547" i="2"/>
  <c r="I3188" i="2"/>
  <c r="I1633" i="2"/>
  <c r="I2986" i="2"/>
  <c r="I2991" i="2"/>
  <c r="I2238" i="2"/>
  <c r="I1912" i="2"/>
  <c r="I1916" i="2"/>
  <c r="I1670" i="2"/>
  <c r="I2202" i="2"/>
  <c r="I2410" i="2"/>
  <c r="I1789" i="2"/>
  <c r="I1624" i="2"/>
  <c r="I2181" i="2"/>
  <c r="I2373" i="2"/>
  <c r="C691" i="6"/>
  <c r="I1100" i="2"/>
  <c r="I1190" i="2"/>
  <c r="I555" i="2"/>
  <c r="I2365" i="2"/>
  <c r="I1080" i="2"/>
  <c r="I159" i="2"/>
  <c r="I1887" i="2"/>
  <c r="I2128" i="2"/>
  <c r="I287" i="2"/>
  <c r="I2985" i="2"/>
  <c r="I2990" i="2"/>
  <c r="I2432" i="2"/>
  <c r="I262" i="2"/>
  <c r="I2427" i="2"/>
  <c r="I1911" i="2"/>
  <c r="I1915" i="2"/>
  <c r="I3193" i="2"/>
  <c r="I389" i="2"/>
  <c r="I641" i="2"/>
  <c r="I2419" i="2"/>
  <c r="I2245" i="2"/>
  <c r="C102" i="6"/>
  <c r="I2667" i="2"/>
  <c r="I2422" i="2"/>
  <c r="I274" i="2"/>
  <c r="I1559" i="2"/>
  <c r="I1560" i="2" s="1"/>
  <c r="I2374" i="2"/>
  <c r="I2512" i="2"/>
  <c r="I3189" i="2"/>
  <c r="I2548" i="2"/>
  <c r="I1696" i="2"/>
  <c r="I431" i="2"/>
  <c r="I1723" i="2"/>
  <c r="I2182" i="2"/>
  <c r="I2203" i="2"/>
  <c r="I843" i="2"/>
  <c r="I1069" i="2"/>
  <c r="I1388" i="2"/>
  <c r="I2461" i="2"/>
  <c r="C475" i="6"/>
  <c r="C855" i="6"/>
  <c r="C1094" i="6"/>
  <c r="C818" i="6"/>
  <c r="C997" i="6"/>
  <c r="C67" i="6"/>
  <c r="I57" i="2"/>
  <c r="I388" i="2"/>
  <c r="I3157" i="2"/>
  <c r="I497" i="2"/>
  <c r="I609" i="2"/>
  <c r="I781" i="2"/>
  <c r="I1386" i="2"/>
  <c r="I1618" i="2"/>
  <c r="I1625" i="2"/>
  <c r="I1302" i="2"/>
  <c r="I2987" i="2"/>
  <c r="C159" i="6"/>
  <c r="C161" i="6"/>
  <c r="C165" i="6"/>
  <c r="C181" i="6"/>
  <c r="C517" i="6"/>
  <c r="I1191" i="2"/>
  <c r="I1665" i="2"/>
  <c r="I1910" i="2"/>
  <c r="I1914" i="2"/>
  <c r="I1671" i="2"/>
  <c r="I1687" i="2"/>
  <c r="I1186" i="2"/>
  <c r="I2430" i="2"/>
  <c r="I2482" i="2"/>
  <c r="I2424" i="2"/>
  <c r="C329" i="6"/>
  <c r="C461" i="6"/>
  <c r="C462" i="6"/>
  <c r="C468" i="6"/>
  <c r="C473" i="6"/>
  <c r="C484" i="6"/>
  <c r="C492" i="6"/>
  <c r="C493" i="6"/>
  <c r="C614" i="6"/>
  <c r="C641" i="6"/>
  <c r="I1070" i="2"/>
  <c r="I1192" i="2"/>
  <c r="I1460" i="2"/>
  <c r="I1475" i="2"/>
  <c r="I1921" i="2"/>
  <c r="I2500" i="2"/>
  <c r="I2160" i="2"/>
  <c r="I83" i="2"/>
  <c r="C248" i="5"/>
  <c r="I322" i="2" s="1"/>
  <c r="I144" i="2"/>
  <c r="I21" i="2"/>
  <c r="I70" i="2"/>
  <c r="I373" i="2"/>
  <c r="I390" i="2"/>
  <c r="I642" i="2"/>
  <c r="I653" i="2"/>
  <c r="I959" i="2"/>
  <c r="L959" i="2" s="1"/>
  <c r="I1437" i="2"/>
  <c r="I1524" i="2"/>
  <c r="I71" i="2"/>
  <c r="I496" i="2"/>
  <c r="I1175" i="2"/>
  <c r="C464" i="5"/>
  <c r="I647" i="2" s="1"/>
  <c r="C551" i="5"/>
  <c r="I740" i="2" s="1"/>
  <c r="C1919" i="5"/>
  <c r="I2685" i="2" s="1"/>
  <c r="C1582" i="5"/>
  <c r="I2154" i="2" s="1"/>
  <c r="I2394" i="2"/>
  <c r="C1772" i="5"/>
  <c r="C1776" i="5" s="1"/>
  <c r="C1867" i="5"/>
  <c r="I2630" i="2" s="1"/>
  <c r="C1903" i="5"/>
  <c r="I2669" i="2" s="1"/>
  <c r="C1915" i="5"/>
  <c r="I2681" i="2" s="1"/>
  <c r="C1917" i="5"/>
  <c r="I2683" i="2" s="1"/>
  <c r="C1935" i="5"/>
  <c r="I2701" i="2" s="1"/>
  <c r="C1959" i="5"/>
  <c r="C1982" i="5"/>
  <c r="I2749" i="2" s="1"/>
  <c r="C1986" i="5"/>
  <c r="I2753" i="2" s="1"/>
  <c r="I2169" i="2"/>
  <c r="I2993" i="2"/>
  <c r="I3311" i="2"/>
  <c r="C195" i="6"/>
  <c r="C197" i="6"/>
  <c r="C201" i="6"/>
  <c r="C499" i="6"/>
  <c r="C49" i="6"/>
  <c r="I945" i="2"/>
  <c r="I1695" i="2"/>
  <c r="I2423" i="2"/>
  <c r="I2431" i="2"/>
  <c r="I3185" i="2"/>
  <c r="I1913" i="2"/>
  <c r="C683" i="6"/>
  <c r="C741" i="6"/>
  <c r="C753" i="6"/>
  <c r="C1084" i="6"/>
  <c r="C1086" i="6"/>
  <c r="C1090" i="6"/>
  <c r="C1554" i="5"/>
  <c r="I2118" i="2" s="1"/>
  <c r="C1299" i="5"/>
  <c r="I1591" i="2" s="1"/>
  <c r="C1301" i="5"/>
  <c r="I1593" i="2" s="1"/>
  <c r="C1310" i="5"/>
  <c r="I1602" i="2" s="1"/>
  <c r="C2346" i="5"/>
  <c r="C1071" i="5"/>
  <c r="I1343" i="2" s="1"/>
  <c r="C1089" i="5"/>
  <c r="I1362" i="2" s="1"/>
  <c r="C866" i="6"/>
  <c r="C874" i="6"/>
  <c r="C933" i="6"/>
  <c r="C945" i="6"/>
  <c r="C950" i="6"/>
  <c r="C1089" i="6"/>
  <c r="C524" i="6"/>
  <c r="C580" i="6"/>
  <c r="I2204" i="2"/>
  <c r="I2426" i="2"/>
  <c r="C921" i="6"/>
  <c r="I1664" i="2"/>
  <c r="I3191" i="2"/>
  <c r="I1095" i="2"/>
  <c r="I1909" i="2"/>
  <c r="I160" i="2"/>
  <c r="I1197" i="2"/>
  <c r="C295" i="6"/>
  <c r="C463" i="6"/>
  <c r="C464" i="6"/>
  <c r="C521" i="6"/>
  <c r="C544" i="6"/>
  <c r="C957" i="6"/>
  <c r="C959" i="6"/>
  <c r="C466" i="6"/>
  <c r="C469" i="6"/>
  <c r="C620" i="6"/>
  <c r="C622" i="6"/>
  <c r="C624" i="6"/>
  <c r="C715" i="6"/>
  <c r="C731" i="6"/>
  <c r="C785" i="6"/>
  <c r="C869" i="6"/>
  <c r="C871" i="6"/>
  <c r="C879" i="6"/>
  <c r="C898" i="6"/>
  <c r="C904" i="6"/>
  <c r="C917" i="6"/>
  <c r="C947" i="6"/>
  <c r="C960" i="6"/>
  <c r="I2992" i="2"/>
  <c r="C263" i="6"/>
  <c r="C268" i="6"/>
  <c r="C271" i="6"/>
  <c r="C363" i="6"/>
  <c r="C505" i="6"/>
  <c r="C531" i="6"/>
  <c r="C821" i="6"/>
  <c r="C849" i="6"/>
  <c r="C851" i="6"/>
  <c r="C1039" i="6"/>
  <c r="C1080" i="6"/>
  <c r="I1680" i="2"/>
  <c r="I2994" i="2"/>
  <c r="I3197" i="2"/>
  <c r="I2995" i="2"/>
  <c r="C619" i="6"/>
  <c r="I3183" i="2"/>
  <c r="I3192" i="2"/>
  <c r="C50" i="6"/>
  <c r="C103" i="6"/>
  <c r="AA1097" i="6"/>
  <c r="C528" i="6"/>
  <c r="C530" i="6"/>
  <c r="C575" i="6"/>
  <c r="C576" i="6"/>
  <c r="C587" i="6"/>
  <c r="C631" i="6"/>
  <c r="C639" i="6"/>
  <c r="C673" i="6"/>
  <c r="C685" i="6"/>
  <c r="C692" i="6"/>
  <c r="C706" i="6"/>
  <c r="C790" i="6"/>
  <c r="C820" i="6"/>
  <c r="C859" i="6"/>
  <c r="C868" i="6"/>
  <c r="C901" i="6"/>
  <c r="C918" i="6"/>
  <c r="C928" i="6"/>
  <c r="C1075" i="6"/>
  <c r="C1085" i="6"/>
  <c r="I3159" i="2"/>
  <c r="I3279" i="2"/>
  <c r="I3038" i="2"/>
  <c r="C169" i="6"/>
  <c r="C176" i="6"/>
  <c r="C198" i="6"/>
  <c r="C287" i="6"/>
  <c r="C292" i="6"/>
  <c r="C362" i="6"/>
  <c r="C364" i="6"/>
  <c r="C378" i="6"/>
  <c r="C449" i="6"/>
  <c r="C451" i="6"/>
  <c r="C497" i="6"/>
  <c r="C498" i="6"/>
  <c r="C533" i="6"/>
  <c r="C581" i="6"/>
  <c r="C592" i="6"/>
  <c r="C594" i="6"/>
  <c r="C627" i="6"/>
  <c r="C638" i="6"/>
  <c r="C642" i="6"/>
  <c r="C690" i="6"/>
  <c r="C703" i="6"/>
  <c r="C762" i="6"/>
  <c r="C864" i="6"/>
  <c r="C880" i="6"/>
  <c r="C884" i="6"/>
  <c r="C888" i="6"/>
  <c r="C946" i="6"/>
  <c r="C884" i="5"/>
  <c r="I1140" i="2" s="1"/>
  <c r="C904" i="5"/>
  <c r="I1160" i="2" s="1"/>
  <c r="C907" i="5"/>
  <c r="I1163" i="2" s="1"/>
  <c r="C1555" i="5"/>
  <c r="I2120" i="2" s="1"/>
  <c r="I503" i="2"/>
  <c r="C391" i="5"/>
  <c r="I511" i="2" s="1"/>
  <c r="C1195" i="5"/>
  <c r="I1472" i="2" s="1"/>
  <c r="C1536" i="5"/>
  <c r="I2096" i="2" s="1"/>
  <c r="C2126" i="5"/>
  <c r="I3033" i="2" s="1"/>
  <c r="I3035" i="2"/>
  <c r="C2222" i="5"/>
  <c r="I3163" i="2" s="1"/>
  <c r="C2223" i="5"/>
  <c r="I3164" i="2" s="1"/>
  <c r="I640" i="2"/>
  <c r="C984" i="5"/>
  <c r="I1247" i="2" s="1"/>
  <c r="C1041" i="5"/>
  <c r="I1309" i="2" s="1"/>
  <c r="C1050" i="5"/>
  <c r="I1318" i="2" s="1"/>
  <c r="C2173" i="5"/>
  <c r="I3092" i="2" s="1"/>
  <c r="C2175" i="5"/>
  <c r="I3094" i="2" s="1"/>
  <c r="C2177" i="5"/>
  <c r="I3096" i="2" s="1"/>
  <c r="I3123" i="2"/>
  <c r="C2197" i="5"/>
  <c r="I3125" i="2" s="1"/>
  <c r="C2199" i="5"/>
  <c r="I3127" i="2" s="1"/>
  <c r="C2208" i="5"/>
  <c r="I3148" i="2" s="1"/>
  <c r="C2224" i="5"/>
  <c r="I3165" i="2" s="1"/>
  <c r="I1198" i="2"/>
  <c r="I3158" i="2"/>
  <c r="C2220" i="5"/>
  <c r="I3161" i="2" s="1"/>
  <c r="C2221" i="5"/>
  <c r="I3162" i="2" s="1"/>
  <c r="C2343" i="5"/>
  <c r="I3339" i="2" s="1"/>
  <c r="C379" i="5"/>
  <c r="I495" i="2" s="1"/>
  <c r="C898" i="5"/>
  <c r="I1154" i="2" s="1"/>
  <c r="C1384" i="5"/>
  <c r="C58" i="5"/>
  <c r="I74" i="2" s="1"/>
  <c r="C59" i="5"/>
  <c r="I76" i="2" s="1"/>
  <c r="C67" i="5"/>
  <c r="I89" i="2" s="1"/>
  <c r="C138" i="5"/>
  <c r="C140" i="5"/>
  <c r="I181" i="2" s="1"/>
  <c r="C173" i="5"/>
  <c r="I233" i="2" s="1"/>
  <c r="C177" i="5"/>
  <c r="I237" i="2" s="1"/>
  <c r="C350" i="5"/>
  <c r="I461" i="2" s="1"/>
  <c r="C390" i="5"/>
  <c r="I510" i="2" s="1"/>
  <c r="C554" i="5"/>
  <c r="I743" i="2" s="1"/>
  <c r="C556" i="5"/>
  <c r="I745" i="2" s="1"/>
  <c r="C684" i="5"/>
  <c r="I882" i="2" s="1"/>
  <c r="C686" i="5"/>
  <c r="I884" i="2" s="1"/>
  <c r="C688" i="5"/>
  <c r="I886" i="2" s="1"/>
  <c r="C912" i="5"/>
  <c r="C1043" i="5"/>
  <c r="I1311" i="2" s="1"/>
  <c r="I1319" i="2"/>
  <c r="C1070" i="5"/>
  <c r="I1342" i="2" s="1"/>
  <c r="C1078" i="5"/>
  <c r="I1350" i="2" s="1"/>
  <c r="C1204" i="5"/>
  <c r="I1481" i="2" s="1"/>
  <c r="C1317" i="5"/>
  <c r="I1609" i="2" s="1"/>
  <c r="C760" i="5"/>
  <c r="I975" i="2" s="1"/>
  <c r="C766" i="5"/>
  <c r="I981" i="2" s="1"/>
  <c r="C917" i="5"/>
  <c r="I1173" i="2" s="1"/>
  <c r="C921" i="5"/>
  <c r="I1177" i="2" s="1"/>
  <c r="C963" i="5"/>
  <c r="I1225" i="2" s="1"/>
  <c r="C1013" i="5"/>
  <c r="I1276" i="2" s="1"/>
  <c r="C1101" i="5"/>
  <c r="I1374" i="2" s="1"/>
  <c r="C1951" i="5"/>
  <c r="I2717" i="2" s="1"/>
  <c r="C1954" i="5"/>
  <c r="I2721" i="2" s="1"/>
  <c r="C1956" i="5"/>
  <c r="I2723" i="2" s="1"/>
  <c r="C2003" i="5"/>
  <c r="I2770" i="2" s="1"/>
  <c r="C2110" i="5"/>
  <c r="I3014" i="2" s="1"/>
  <c r="C2112" i="5"/>
  <c r="I3016" i="2" s="1"/>
  <c r="I3043" i="2"/>
  <c r="C2140" i="5"/>
  <c r="I3055" i="2" s="1"/>
  <c r="C2151" i="5"/>
  <c r="I3068" i="2" s="1"/>
  <c r="C2153" i="5"/>
  <c r="I3070" i="2" s="1"/>
  <c r="C2155" i="5"/>
  <c r="I3072" i="2" s="1"/>
  <c r="C2157" i="5"/>
  <c r="I3074" i="2" s="1"/>
  <c r="C2159" i="5"/>
  <c r="I3076" i="2" s="1"/>
  <c r="C2161" i="5"/>
  <c r="I3078" i="2" s="1"/>
  <c r="C2163" i="5"/>
  <c r="I3080" i="2" s="1"/>
  <c r="C2165" i="5"/>
  <c r="I3082" i="2" s="1"/>
  <c r="C2168" i="5"/>
  <c r="I3086" i="2" s="1"/>
  <c r="I3105" i="2"/>
  <c r="C606" i="5"/>
  <c r="I800" i="2" s="1"/>
  <c r="C740" i="5"/>
  <c r="I951" i="2" s="1"/>
  <c r="C742" i="5"/>
  <c r="I953" i="2" s="1"/>
  <c r="C1139" i="5"/>
  <c r="I1415" i="2" s="1"/>
  <c r="I2002" i="2"/>
  <c r="C1464" i="5"/>
  <c r="C57" i="5"/>
  <c r="I73" i="2" s="1"/>
  <c r="I75" i="2"/>
  <c r="I88" i="2"/>
  <c r="C68" i="5"/>
  <c r="I90" i="2" s="1"/>
  <c r="C195" i="5"/>
  <c r="I267" i="2" s="1"/>
  <c r="C205" i="5"/>
  <c r="I280" i="2" s="1"/>
  <c r="C562" i="5"/>
  <c r="I751" i="2" s="1"/>
  <c r="C568" i="5"/>
  <c r="I757" i="2" s="1"/>
  <c r="C570" i="5"/>
  <c r="I759" i="2" s="1"/>
  <c r="C592" i="5"/>
  <c r="I786" i="2" s="1"/>
  <c r="C604" i="5"/>
  <c r="I798" i="2" s="1"/>
  <c r="C807" i="5"/>
  <c r="I1027" i="2" s="1"/>
  <c r="C811" i="5"/>
  <c r="I1031" i="2" s="1"/>
  <c r="C815" i="5"/>
  <c r="I1035" i="2" s="1"/>
  <c r="C819" i="5"/>
  <c r="I1039" i="2" s="1"/>
  <c r="C823" i="5"/>
  <c r="I1043" i="2" s="1"/>
  <c r="C825" i="5"/>
  <c r="I1045" i="2" s="1"/>
  <c r="C835" i="5"/>
  <c r="I1055" i="2" s="1"/>
  <c r="C837" i="5"/>
  <c r="I1057" i="2" s="1"/>
  <c r="C929" i="5"/>
  <c r="I1187" i="2" s="1"/>
  <c r="C1004" i="5"/>
  <c r="I1267" i="2" s="1"/>
  <c r="C1053" i="5"/>
  <c r="I1322" i="2" s="1"/>
  <c r="C1069" i="5"/>
  <c r="I1341" i="2" s="1"/>
  <c r="C1135" i="5"/>
  <c r="I1411" i="2" s="1"/>
  <c r="C1478" i="5"/>
  <c r="I2022" i="2" s="1"/>
  <c r="D1496" i="5"/>
  <c r="C1496" i="5" s="1"/>
  <c r="I2043" i="2" s="1"/>
  <c r="C1539" i="5"/>
  <c r="I2100" i="2" s="1"/>
  <c r="C1541" i="5"/>
  <c r="I2104" i="2" s="1"/>
  <c r="C1543" i="5"/>
  <c r="I2106" i="2" s="1"/>
  <c r="C1561" i="5"/>
  <c r="I2127" i="2" s="1"/>
  <c r="C1711" i="5"/>
  <c r="I2344" i="2" s="1"/>
  <c r="C1716" i="5"/>
  <c r="I2349" i="2" s="1"/>
  <c r="C1729" i="5"/>
  <c r="I2368" i="2" s="1"/>
  <c r="C1741" i="5"/>
  <c r="I2382" i="2" s="1"/>
  <c r="C1755" i="5"/>
  <c r="I2406" i="2" s="1"/>
  <c r="C1844" i="5"/>
  <c r="C1845" i="5"/>
  <c r="I2606" i="2" s="1"/>
  <c r="C1871" i="5"/>
  <c r="I2634" i="2" s="1"/>
  <c r="C1880" i="5"/>
  <c r="I2644" i="2" s="1"/>
  <c r="C1888" i="5"/>
  <c r="I2652" i="2" s="1"/>
  <c r="C1902" i="5"/>
  <c r="I2668" i="2" s="1"/>
  <c r="C1941" i="5"/>
  <c r="C1952" i="5"/>
  <c r="I2718" i="2" s="1"/>
  <c r="C1953" i="5"/>
  <c r="I2720" i="2" s="1"/>
  <c r="C1955" i="5"/>
  <c r="I2722" i="2" s="1"/>
  <c r="C1957" i="5"/>
  <c r="I2724" i="2" s="1"/>
  <c r="C1962" i="5"/>
  <c r="C1978" i="5"/>
  <c r="I2745" i="2" s="1"/>
  <c r="C1979" i="5"/>
  <c r="I2746" i="2" s="1"/>
  <c r="C1981" i="5"/>
  <c r="I2748" i="2" s="1"/>
  <c r="C1985" i="5"/>
  <c r="I2752" i="2" s="1"/>
  <c r="C1992" i="5"/>
  <c r="I2759" i="2" s="1"/>
  <c r="C1994" i="5"/>
  <c r="I2761" i="2" s="1"/>
  <c r="C2008" i="5"/>
  <c r="I2775" i="2" s="1"/>
  <c r="I3302" i="2"/>
  <c r="C234" i="5"/>
  <c r="I330" i="2" s="1"/>
  <c r="C242" i="5"/>
  <c r="I316" i="2" s="1"/>
  <c r="C253" i="5"/>
  <c r="I332" i="2" s="1"/>
  <c r="C905" i="5"/>
  <c r="C906" i="5"/>
  <c r="I1162" i="2" s="1"/>
  <c r="C909" i="5"/>
  <c r="I1165" i="2" s="1"/>
  <c r="C999" i="5"/>
  <c r="I1262" i="2" s="1"/>
  <c r="C1047" i="5"/>
  <c r="I1315" i="2" s="1"/>
  <c r="C1239" i="5"/>
  <c r="I1516" i="2" s="1"/>
  <c r="C1499" i="5"/>
  <c r="I2046" i="2" s="1"/>
  <c r="C1504" i="5"/>
  <c r="I2051" i="2" s="1"/>
  <c r="C1506" i="5"/>
  <c r="I2053" i="2" s="1"/>
  <c r="C1519" i="5"/>
  <c r="I2071" i="2" s="1"/>
  <c r="C1574" i="5"/>
  <c r="I2141" i="2" s="1"/>
  <c r="C1709" i="5"/>
  <c r="I2342" i="2" s="1"/>
  <c r="C2024" i="5"/>
  <c r="I2791" i="2" s="1"/>
  <c r="C233" i="5"/>
  <c r="I329" i="2" s="1"/>
  <c r="C1636" i="5"/>
  <c r="C1637" i="5" s="1"/>
  <c r="I2020" i="2"/>
  <c r="I22" i="2"/>
  <c r="C37" i="5"/>
  <c r="I48" i="2" s="1"/>
  <c r="I50" i="2"/>
  <c r="C102" i="5"/>
  <c r="I131" i="2" s="1"/>
  <c r="C374" i="5"/>
  <c r="I490" i="2" s="1"/>
  <c r="C378" i="5"/>
  <c r="I494" i="2" s="1"/>
  <c r="C415" i="5"/>
  <c r="I537" i="2" s="1"/>
  <c r="C421" i="5"/>
  <c r="I543" i="2" s="1"/>
  <c r="C749" i="5"/>
  <c r="I964" i="2" s="1"/>
  <c r="C800" i="5"/>
  <c r="I1020" i="2" s="1"/>
  <c r="C802" i="5"/>
  <c r="I1022" i="2" s="1"/>
  <c r="C804" i="5"/>
  <c r="I1024" i="2" s="1"/>
  <c r="C806" i="5"/>
  <c r="I1026" i="2" s="1"/>
  <c r="C808" i="5"/>
  <c r="I1028" i="2" s="1"/>
  <c r="C824" i="5"/>
  <c r="I1044" i="2" s="1"/>
  <c r="C826" i="5"/>
  <c r="I1046" i="2" s="1"/>
  <c r="C828" i="5"/>
  <c r="I1048" i="2" s="1"/>
  <c r="C830" i="5"/>
  <c r="I1050" i="2" s="1"/>
  <c r="C832" i="5"/>
  <c r="I1052" i="2" s="1"/>
  <c r="C834" i="5"/>
  <c r="I1054" i="2" s="1"/>
  <c r="C914" i="5"/>
  <c r="I1170" i="2" s="1"/>
  <c r="C941" i="5"/>
  <c r="I1203" i="2" s="1"/>
  <c r="C1027" i="5"/>
  <c r="I1291" i="2" s="1"/>
  <c r="C1039" i="5"/>
  <c r="I1306" i="2" s="1"/>
  <c r="C1072" i="5"/>
  <c r="I1344" i="2" s="1"/>
  <c r="C1094" i="5"/>
  <c r="I1367" i="2" s="1"/>
  <c r="C1096" i="5"/>
  <c r="I1369" i="2" s="1"/>
  <c r="C1181" i="5"/>
  <c r="I1458" i="2" s="1"/>
  <c r="C1266" i="5"/>
  <c r="C1267" i="5" s="1"/>
  <c r="C1345" i="5"/>
  <c r="I1657" i="2" s="1"/>
  <c r="C1352" i="5"/>
  <c r="I1672" i="2" s="1"/>
  <c r="C1365" i="5"/>
  <c r="I1712" i="2" s="1"/>
  <c r="C1700" i="5"/>
  <c r="I2328" i="2" s="1"/>
  <c r="C1706" i="5"/>
  <c r="I2339" i="2" s="1"/>
  <c r="C1708" i="5"/>
  <c r="I2341" i="2" s="1"/>
  <c r="C1898" i="5"/>
  <c r="I2664" i="2" s="1"/>
  <c r="C1900" i="5"/>
  <c r="I2666" i="2" s="1"/>
  <c r="C1928" i="5"/>
  <c r="I2694" i="2" s="1"/>
  <c r="C2011" i="5"/>
  <c r="I2778" i="2" s="1"/>
  <c r="C2013" i="5"/>
  <c r="I2780" i="2" s="1"/>
  <c r="C2015" i="5"/>
  <c r="I2782" i="2" s="1"/>
  <c r="C2017" i="5"/>
  <c r="C2062" i="5"/>
  <c r="I2949" i="2" s="1"/>
  <c r="I3036" i="2"/>
  <c r="C2131" i="5"/>
  <c r="I3040" i="2" s="1"/>
  <c r="C2139" i="5"/>
  <c r="I3054" i="2" s="1"/>
  <c r="C2213" i="5"/>
  <c r="I3155" i="2" s="1"/>
  <c r="C2214" i="5"/>
  <c r="I3156" i="2" s="1"/>
  <c r="C555" i="5"/>
  <c r="I744" i="2" s="1"/>
  <c r="C610" i="5"/>
  <c r="I804" i="2" s="1"/>
  <c r="C675" i="5"/>
  <c r="I873" i="2" s="1"/>
  <c r="C687" i="5"/>
  <c r="I885" i="2" s="1"/>
  <c r="C724" i="5"/>
  <c r="I929" i="2" s="1"/>
  <c r="C839" i="5"/>
  <c r="I1059" i="2" s="1"/>
  <c r="C842" i="5"/>
  <c r="I1062" i="2" s="1"/>
  <c r="C888" i="5"/>
  <c r="I1144" i="2" s="1"/>
  <c r="C938" i="5"/>
  <c r="I1200" i="2" s="1"/>
  <c r="C946" i="5"/>
  <c r="I1208" i="2" s="1"/>
  <c r="C950" i="5"/>
  <c r="I1212" i="2" s="1"/>
  <c r="C961" i="5"/>
  <c r="I1223" i="2" s="1"/>
  <c r="C1064" i="5"/>
  <c r="I1335" i="2" s="1"/>
  <c r="C1066" i="5"/>
  <c r="I1337" i="2" s="1"/>
  <c r="C1074" i="5"/>
  <c r="I1346" i="2" s="1"/>
  <c r="C1149" i="5"/>
  <c r="I1425" i="2" s="1"/>
  <c r="C1196" i="5"/>
  <c r="I1473" i="2" s="1"/>
  <c r="C1199" i="5"/>
  <c r="I1476" i="2" s="1"/>
  <c r="C1244" i="5"/>
  <c r="I1521" i="2" s="1"/>
  <c r="C1349" i="5"/>
  <c r="C1378" i="5"/>
  <c r="D1511" i="5"/>
  <c r="C1511" i="5" s="1"/>
  <c r="I2058" i="2" s="1"/>
  <c r="C1518" i="5"/>
  <c r="I2070" i="2" s="1"/>
  <c r="C1565" i="5"/>
  <c r="I2131" i="2" s="1"/>
  <c r="C1573" i="5"/>
  <c r="I2140" i="2" s="1"/>
  <c r="C1628" i="5"/>
  <c r="I2229" i="2" s="1"/>
  <c r="C1639" i="5"/>
  <c r="C1697" i="5"/>
  <c r="I2325" i="2" s="1"/>
  <c r="C1705" i="5"/>
  <c r="I2338" i="2" s="1"/>
  <c r="C1743" i="5"/>
  <c r="I2386" i="2" s="1"/>
  <c r="C1744" i="5"/>
  <c r="I2392" i="2" s="1"/>
  <c r="C1846" i="5"/>
  <c r="I2607" i="2" s="1"/>
  <c r="C1859" i="5"/>
  <c r="I2622" i="2" s="1"/>
  <c r="C1896" i="5"/>
  <c r="I2660" i="2" s="1"/>
  <c r="C1939" i="5"/>
  <c r="I2705" i="2" s="1"/>
  <c r="C2022" i="5"/>
  <c r="I2789" i="2" s="1"/>
  <c r="C2097" i="5"/>
  <c r="I3001" i="2" s="1"/>
  <c r="C2099" i="5"/>
  <c r="I3003" i="2" s="1"/>
  <c r="C2105" i="5"/>
  <c r="I3009" i="2" s="1"/>
  <c r="C2107" i="5"/>
  <c r="I3011" i="2" s="1"/>
  <c r="I3027" i="2"/>
  <c r="C2172" i="5"/>
  <c r="I3091" i="2" s="1"/>
  <c r="C2176" i="5"/>
  <c r="I3095" i="2" s="1"/>
  <c r="I3112" i="2"/>
  <c r="I3122" i="2"/>
  <c r="C2198" i="5"/>
  <c r="I3126" i="2" s="1"/>
  <c r="C2207" i="5"/>
  <c r="I3147" i="2" s="1"/>
  <c r="C2212" i="5"/>
  <c r="I3153" i="2" s="1"/>
  <c r="C2267" i="5"/>
  <c r="I3228" i="2" s="1"/>
  <c r="C998" i="5"/>
  <c r="I1261" i="2" s="1"/>
  <c r="C183" i="5"/>
  <c r="C345" i="5"/>
  <c r="C558" i="5"/>
  <c r="I747" i="2" s="1"/>
  <c r="C626" i="5"/>
  <c r="I821" i="2" s="1"/>
  <c r="C628" i="5"/>
  <c r="I823" i="2" s="1"/>
  <c r="C643" i="5"/>
  <c r="I838" i="2" s="1"/>
  <c r="C646" i="5"/>
  <c r="I841" i="2" s="1"/>
  <c r="C743" i="5"/>
  <c r="I956" i="2" s="1"/>
  <c r="C763" i="5"/>
  <c r="I978" i="2" s="1"/>
  <c r="C765" i="5"/>
  <c r="I980" i="2" s="1"/>
  <c r="C816" i="5"/>
  <c r="I1036" i="2" s="1"/>
  <c r="C820" i="5"/>
  <c r="I1040" i="2" s="1"/>
  <c r="C875" i="5"/>
  <c r="I1129" i="2" s="1"/>
  <c r="C897" i="5"/>
  <c r="I1153" i="2" s="1"/>
  <c r="C901" i="5"/>
  <c r="I1157" i="2" s="1"/>
  <c r="C928" i="5"/>
  <c r="I1185" i="2" s="1"/>
  <c r="C930" i="5"/>
  <c r="I1189" i="2" s="1"/>
  <c r="C935" i="5"/>
  <c r="I1196" i="2" s="1"/>
  <c r="C966" i="5"/>
  <c r="I1228" i="2" s="1"/>
  <c r="C989" i="5"/>
  <c r="I1252" i="2" s="1"/>
  <c r="C1011" i="5"/>
  <c r="I1274" i="2" s="1"/>
  <c r="C1034" i="5"/>
  <c r="I1298" i="2" s="1"/>
  <c r="C1080" i="5"/>
  <c r="I1352" i="2" s="1"/>
  <c r="C1103" i="5"/>
  <c r="I1376" i="2" s="1"/>
  <c r="C1116" i="5"/>
  <c r="I1391" i="2" s="1"/>
  <c r="C1137" i="5"/>
  <c r="I1413" i="2" s="1"/>
  <c r="C1141" i="5"/>
  <c r="I1417" i="2" s="1"/>
  <c r="C1155" i="5"/>
  <c r="I1431" i="2" s="1"/>
  <c r="C1160" i="5"/>
  <c r="I1436" i="2" s="1"/>
  <c r="C1163" i="5"/>
  <c r="I1439" i="2" s="1"/>
  <c r="C1171" i="5"/>
  <c r="I1448" i="2" s="1"/>
  <c r="C1197" i="5"/>
  <c r="I1474" i="2" s="1"/>
  <c r="C1231" i="5"/>
  <c r="I1508" i="2" s="1"/>
  <c r="C1260" i="5"/>
  <c r="I1544" i="2" s="1"/>
  <c r="C1322" i="5"/>
  <c r="I1619" i="2" s="1"/>
  <c r="C1386" i="5"/>
  <c r="C132" i="5"/>
  <c r="I173" i="2" s="1"/>
  <c r="D265" i="5"/>
  <c r="C265" i="5" s="1"/>
  <c r="I345" i="2" s="1"/>
  <c r="C269" i="5"/>
  <c r="I349" i="2" s="1"/>
  <c r="C1816" i="5"/>
  <c r="C2116" i="5"/>
  <c r="I3021" i="2" s="1"/>
  <c r="I3246" i="2"/>
  <c r="C36" i="5"/>
  <c r="I47" i="2" s="1"/>
  <c r="C38" i="5"/>
  <c r="I49" i="2" s="1"/>
  <c r="C133" i="5"/>
  <c r="I174" i="2" s="1"/>
  <c r="C271" i="5"/>
  <c r="I351" i="2" s="1"/>
  <c r="C351" i="5"/>
  <c r="I462" i="2" s="1"/>
  <c r="C371" i="5"/>
  <c r="I487" i="2" s="1"/>
  <c r="C418" i="5"/>
  <c r="I540" i="2" s="1"/>
  <c r="C561" i="5"/>
  <c r="I750" i="2" s="1"/>
  <c r="C569" i="5"/>
  <c r="I758" i="2" s="1"/>
  <c r="C591" i="5"/>
  <c r="I785" i="2" s="1"/>
  <c r="C598" i="5"/>
  <c r="I792" i="2" s="1"/>
  <c r="C605" i="5"/>
  <c r="I799" i="2" s="1"/>
  <c r="C642" i="5"/>
  <c r="I837" i="2" s="1"/>
  <c r="C681" i="5"/>
  <c r="I879" i="2" s="1"/>
  <c r="I907" i="2"/>
  <c r="C708" i="5"/>
  <c r="I908" i="2" s="1"/>
  <c r="I910" i="2"/>
  <c r="C714" i="5"/>
  <c r="I918" i="2" s="1"/>
  <c r="C718" i="5"/>
  <c r="I922" i="2" s="1"/>
  <c r="C721" i="5"/>
  <c r="I925" i="2" s="1"/>
  <c r="C729" i="5"/>
  <c r="I934" i="2" s="1"/>
  <c r="C736" i="5"/>
  <c r="I947" i="2" s="1"/>
  <c r="C754" i="5"/>
  <c r="I969" i="2" s="1"/>
  <c r="C803" i="5"/>
  <c r="I1023" i="2" s="1"/>
  <c r="C827" i="5"/>
  <c r="I1047" i="2" s="1"/>
  <c r="C831" i="5"/>
  <c r="I1051" i="2" s="1"/>
  <c r="C948" i="5"/>
  <c r="I1210" i="2" s="1"/>
  <c r="C997" i="5"/>
  <c r="I1260" i="2" s="1"/>
  <c r="C1001" i="5"/>
  <c r="I1264" i="2" s="1"/>
  <c r="C1008" i="5"/>
  <c r="I1271" i="2" s="1"/>
  <c r="C1012" i="5"/>
  <c r="I1275" i="2" s="1"/>
  <c r="C1055" i="5"/>
  <c r="I1324" i="2" s="1"/>
  <c r="C1075" i="5"/>
  <c r="I1347" i="2" s="1"/>
  <c r="C1077" i="5"/>
  <c r="I1349" i="2" s="1"/>
  <c r="C1081" i="5"/>
  <c r="I1353" i="2" s="1"/>
  <c r="C1088" i="5"/>
  <c r="I1361" i="2" s="1"/>
  <c r="C1164" i="5"/>
  <c r="I1440" i="2" s="1"/>
  <c r="C1170" i="5"/>
  <c r="I1446" i="2" s="1"/>
  <c r="C1172" i="5"/>
  <c r="I1449" i="2" s="1"/>
  <c r="C1180" i="5"/>
  <c r="I1457" i="2" s="1"/>
  <c r="C1203" i="5"/>
  <c r="I1480" i="2" s="1"/>
  <c r="C1209" i="5"/>
  <c r="I1486" i="2" s="1"/>
  <c r="C1211" i="5"/>
  <c r="I1488" i="2" s="1"/>
  <c r="C1213" i="5"/>
  <c r="I1490" i="2" s="1"/>
  <c r="C1215" i="5"/>
  <c r="I1492" i="2" s="1"/>
  <c r="C1217" i="5"/>
  <c r="I1494" i="2" s="1"/>
  <c r="C1252" i="5"/>
  <c r="I1533" i="2" s="1"/>
  <c r="C1255" i="5"/>
  <c r="C1256" i="5" s="1"/>
  <c r="C1327" i="5"/>
  <c r="C1341" i="5"/>
  <c r="I1653" i="2" s="1"/>
  <c r="C1369" i="5"/>
  <c r="I1716" i="2" s="1"/>
  <c r="I2033" i="2"/>
  <c r="C1525" i="5"/>
  <c r="I2081" i="2" s="1"/>
  <c r="C1527" i="5"/>
  <c r="I2085" i="2" s="1"/>
  <c r="C1551" i="5"/>
  <c r="I2115" i="2" s="1"/>
  <c r="C1569" i="5"/>
  <c r="I2136" i="2" s="1"/>
  <c r="C1663" i="5"/>
  <c r="I2290" i="2" s="1"/>
  <c r="C1724" i="5"/>
  <c r="I2360" i="2" s="1"/>
  <c r="I2383" i="2"/>
  <c r="C1766" i="5"/>
  <c r="C1779" i="5"/>
  <c r="I2472" i="2" s="1"/>
  <c r="C1856" i="5"/>
  <c r="I2619" i="2" s="1"/>
  <c r="C1858" i="5"/>
  <c r="I2621" i="2" s="1"/>
  <c r="C1860" i="5"/>
  <c r="I2623" i="2" s="1"/>
  <c r="C1864" i="5"/>
  <c r="I2627" i="2" s="1"/>
  <c r="C1890" i="5"/>
  <c r="I2654" i="2" s="1"/>
  <c r="C1894" i="5"/>
  <c r="I2658" i="2" s="1"/>
  <c r="C1924" i="5"/>
  <c r="I2690" i="2" s="1"/>
  <c r="C1926" i="5"/>
  <c r="I2692" i="2" s="1"/>
  <c r="C1960" i="5"/>
  <c r="C1963" i="5"/>
  <c r="C1965" i="5"/>
  <c r="C1998" i="5"/>
  <c r="I2765" i="2" s="1"/>
  <c r="C2001" i="5"/>
  <c r="I2768" i="2" s="1"/>
  <c r="C2009" i="5"/>
  <c r="I2776" i="2" s="1"/>
  <c r="C2098" i="5"/>
  <c r="I3002" i="2" s="1"/>
  <c r="C2106" i="5"/>
  <c r="I3010" i="2" s="1"/>
  <c r="C2122" i="5"/>
  <c r="I3029" i="2" s="1"/>
  <c r="C2174" i="5"/>
  <c r="I3093" i="2" s="1"/>
  <c r="C2178" i="5"/>
  <c r="I3097" i="2" s="1"/>
  <c r="I3099" i="2"/>
  <c r="C2181" i="5"/>
  <c r="I3101" i="2" s="1"/>
  <c r="C2184" i="5"/>
  <c r="I3104" i="2" s="1"/>
  <c r="C2186" i="5"/>
  <c r="I3107" i="2" s="1"/>
  <c r="I3109" i="2"/>
  <c r="C2191" i="5"/>
  <c r="I3115" i="2" s="1"/>
  <c r="C2211" i="5"/>
  <c r="I3152" i="2" s="1"/>
  <c r="C2219" i="5"/>
  <c r="I3160" i="2" s="1"/>
  <c r="C2236" i="5"/>
  <c r="I3177" i="2" s="1"/>
  <c r="C2251" i="5"/>
  <c r="I3212" i="2" s="1"/>
  <c r="C2253" i="5"/>
  <c r="I3214" i="2" s="1"/>
  <c r="C2263" i="5"/>
  <c r="I3224" i="2" s="1"/>
  <c r="C2283" i="5"/>
  <c r="I3244" i="2" s="1"/>
  <c r="C2292" i="5"/>
  <c r="I3253" i="2" s="1"/>
  <c r="C2296" i="5"/>
  <c r="I3257" i="2" s="1"/>
  <c r="C2300" i="5"/>
  <c r="I3274" i="2" s="1"/>
  <c r="C2302" i="5"/>
  <c r="I3276" i="2" s="1"/>
  <c r="I3278" i="2"/>
  <c r="C2316" i="5"/>
  <c r="I3294" i="2" s="1"/>
  <c r="C1466" i="5"/>
  <c r="I2006" i="2" s="1"/>
  <c r="I2064" i="2"/>
  <c r="I2066" i="2"/>
  <c r="C1532" i="5"/>
  <c r="I2090" i="2" s="1"/>
  <c r="C1550" i="5"/>
  <c r="I2114" i="2" s="1"/>
  <c r="C1557" i="5"/>
  <c r="I2123" i="2" s="1"/>
  <c r="C1572" i="5"/>
  <c r="C1581" i="5"/>
  <c r="C1586" i="5"/>
  <c r="I2158" i="2" s="1"/>
  <c r="C1821" i="5"/>
  <c r="I2582" i="2" s="1"/>
  <c r="C1823" i="5"/>
  <c r="I2584" i="2" s="1"/>
  <c r="C1825" i="5"/>
  <c r="I2586" i="2" s="1"/>
  <c r="C1827" i="5"/>
  <c r="I2588" i="2" s="1"/>
  <c r="C1829" i="5"/>
  <c r="I2590" i="2" s="1"/>
  <c r="C1830" i="5"/>
  <c r="I2591" i="2" s="1"/>
  <c r="C1833" i="5"/>
  <c r="I2594" i="2" s="1"/>
  <c r="C1835" i="5"/>
  <c r="I2596" i="2" s="1"/>
  <c r="C1837" i="5"/>
  <c r="I2598" i="2" s="1"/>
  <c r="C1839" i="5"/>
  <c r="I2600" i="2" s="1"/>
  <c r="C1841" i="5"/>
  <c r="I2602" i="2" s="1"/>
  <c r="C1861" i="5"/>
  <c r="I2624" i="2" s="1"/>
  <c r="C1865" i="5"/>
  <c r="I2628" i="2" s="1"/>
  <c r="C1885" i="5"/>
  <c r="I2649" i="2" s="1"/>
  <c r="C1887" i="5"/>
  <c r="I2651" i="2" s="1"/>
  <c r="C1889" i="5"/>
  <c r="I2653" i="2" s="1"/>
  <c r="C1893" i="5"/>
  <c r="I2657" i="2" s="1"/>
  <c r="C1980" i="5"/>
  <c r="I2747" i="2" s="1"/>
  <c r="C1988" i="5"/>
  <c r="I2755" i="2" s="1"/>
  <c r="C1996" i="5"/>
  <c r="I2763" i="2" s="1"/>
  <c r="C1997" i="5"/>
  <c r="I2764" i="2" s="1"/>
  <c r="C2000" i="5"/>
  <c r="I2767" i="2" s="1"/>
  <c r="C2002" i="5"/>
  <c r="I2769" i="2" s="1"/>
  <c r="C2006" i="5"/>
  <c r="I2773" i="2" s="1"/>
  <c r="C2019" i="5"/>
  <c r="I2786" i="2" s="1"/>
  <c r="C2021" i="5"/>
  <c r="C2067" i="5"/>
  <c r="I2954" i="2" s="1"/>
  <c r="C2109" i="5"/>
  <c r="I3013" i="2" s="1"/>
  <c r="C2113" i="5"/>
  <c r="I3017" i="2" s="1"/>
  <c r="C2114" i="5"/>
  <c r="I3019" i="2" s="1"/>
  <c r="I3028" i="2"/>
  <c r="C2123" i="5"/>
  <c r="I3030" i="2" s="1"/>
  <c r="C2125" i="5"/>
  <c r="I3032" i="2" s="1"/>
  <c r="I3047" i="2"/>
  <c r="I3049" i="2"/>
  <c r="C2137" i="5"/>
  <c r="I3051" i="2" s="1"/>
  <c r="C2183" i="5"/>
  <c r="I3103" i="2" s="1"/>
  <c r="C2210" i="5"/>
  <c r="I3151" i="2" s="1"/>
  <c r="C2227" i="5"/>
  <c r="C2237" i="5"/>
  <c r="I3178" i="2" s="1"/>
  <c r="C2244" i="5"/>
  <c r="I3201" i="2" s="1"/>
  <c r="C2252" i="5"/>
  <c r="I3213" i="2" s="1"/>
  <c r="C2260" i="5"/>
  <c r="I3221" i="2" s="1"/>
  <c r="C2264" i="5"/>
  <c r="I3225" i="2" s="1"/>
  <c r="C2266" i="5"/>
  <c r="I3227" i="2" s="1"/>
  <c r="C2276" i="5"/>
  <c r="I3237" i="2" s="1"/>
  <c r="C2284" i="5"/>
  <c r="I3245" i="2" s="1"/>
  <c r="C2295" i="5"/>
  <c r="I3256" i="2" s="1"/>
  <c r="C2301" i="5"/>
  <c r="I3275" i="2" s="1"/>
  <c r="I3277" i="2"/>
  <c r="C88" i="4"/>
  <c r="D1403" i="5"/>
  <c r="C1403" i="5" s="1"/>
  <c r="I1871" i="2" s="1"/>
  <c r="C2332" i="5"/>
  <c r="I3328" i="2" s="1"/>
  <c r="C317" i="5"/>
  <c r="I399" i="2" s="1"/>
  <c r="C549" i="5"/>
  <c r="I738" i="2" s="1"/>
  <c r="C602" i="5"/>
  <c r="I796" i="2" s="1"/>
  <c r="C615" i="5"/>
  <c r="I810" i="2" s="1"/>
  <c r="C762" i="5"/>
  <c r="I977" i="2" s="1"/>
  <c r="C809" i="5"/>
  <c r="I1029" i="2" s="1"/>
  <c r="C920" i="5"/>
  <c r="I1176" i="2" s="1"/>
  <c r="C932" i="5"/>
  <c r="I1193" i="2" s="1"/>
  <c r="C972" i="5"/>
  <c r="I1234" i="2" s="1"/>
  <c r="C975" i="5"/>
  <c r="I1238" i="2" s="1"/>
  <c r="C1356" i="5"/>
  <c r="I1678" i="2" s="1"/>
  <c r="C1361" i="5"/>
  <c r="C1363" i="5"/>
  <c r="I1710" i="2" s="1"/>
  <c r="C1367" i="5"/>
  <c r="I1714" i="2" s="1"/>
  <c r="C1739" i="5"/>
  <c r="I2380" i="2" s="1"/>
  <c r="D1803" i="5"/>
  <c r="C1803" i="5" s="1"/>
  <c r="I2525" i="2" s="1"/>
  <c r="I1068" i="2"/>
  <c r="C18" i="5"/>
  <c r="I23" i="2" s="1"/>
  <c r="I51" i="2"/>
  <c r="C44" i="5"/>
  <c r="I58" i="2" s="1"/>
  <c r="I79" i="2"/>
  <c r="C85" i="5"/>
  <c r="I113" i="2" s="1"/>
  <c r="C94" i="5"/>
  <c r="C96" i="5" s="1"/>
  <c r="C199" i="5"/>
  <c r="I271" i="2" s="1"/>
  <c r="C207" i="5"/>
  <c r="I282" i="2" s="1"/>
  <c r="C236" i="5"/>
  <c r="I309" i="2" s="1"/>
  <c r="C247" i="5"/>
  <c r="I321" i="2" s="1"/>
  <c r="C322" i="5"/>
  <c r="I404" i="2" s="1"/>
  <c r="C347" i="5"/>
  <c r="C369" i="5"/>
  <c r="I485" i="2" s="1"/>
  <c r="C410" i="5"/>
  <c r="I532" i="2" s="1"/>
  <c r="C414" i="5"/>
  <c r="I536" i="2" s="1"/>
  <c r="C629" i="5"/>
  <c r="I824" i="2" s="1"/>
  <c r="I849" i="2"/>
  <c r="I913" i="2"/>
  <c r="C717" i="5"/>
  <c r="I921" i="2" s="1"/>
  <c r="C719" i="5"/>
  <c r="I923" i="2" s="1"/>
  <c r="I939" i="2"/>
  <c r="C731" i="5"/>
  <c r="I941" i="2" s="1"/>
  <c r="C737" i="5"/>
  <c r="I948" i="2" s="1"/>
  <c r="C739" i="5"/>
  <c r="I950" i="2" s="1"/>
  <c r="C885" i="5"/>
  <c r="I1141" i="2" s="1"/>
  <c r="C891" i="5"/>
  <c r="I1147" i="2" s="1"/>
  <c r="C1079" i="5"/>
  <c r="I1351" i="2" s="1"/>
  <c r="C1095" i="5"/>
  <c r="I1368" i="2" s="1"/>
  <c r="C1147" i="5"/>
  <c r="I1423" i="2" s="1"/>
  <c r="C1151" i="5"/>
  <c r="I1427" i="2" s="1"/>
  <c r="C1457" i="5"/>
  <c r="I1994" i="2" s="1"/>
  <c r="D1485" i="5"/>
  <c r="C1485" i="5" s="1"/>
  <c r="I2031" i="2" s="1"/>
  <c r="I2384" i="2"/>
  <c r="I2390" i="2"/>
  <c r="C836" i="5"/>
  <c r="I1056" i="2" s="1"/>
  <c r="C872" i="5"/>
  <c r="I1126" i="2" s="1"/>
  <c r="C874" i="5"/>
  <c r="I1128" i="2" s="1"/>
  <c r="C876" i="5"/>
  <c r="I1130" i="2" s="1"/>
  <c r="C916" i="5"/>
  <c r="I1172" i="2" s="1"/>
  <c r="C1032" i="5"/>
  <c r="I1296" i="2" s="1"/>
  <c r="C1036" i="5"/>
  <c r="I1303" i="2" s="1"/>
  <c r="C1049" i="5"/>
  <c r="I1317" i="2" s="1"/>
  <c r="C1157" i="5"/>
  <c r="I1433" i="2" s="1"/>
  <c r="C1176" i="5"/>
  <c r="I1453" i="2" s="1"/>
  <c r="C1187" i="5"/>
  <c r="I1464" i="2" s="1"/>
  <c r="C1191" i="5"/>
  <c r="I1468" i="2" s="1"/>
  <c r="C1309" i="5"/>
  <c r="I1601" i="2" s="1"/>
  <c r="C1313" i="5"/>
  <c r="I1605" i="2" s="1"/>
  <c r="C1315" i="5"/>
  <c r="I1607" i="2" s="1"/>
  <c r="C1336" i="5"/>
  <c r="I1648" i="2" s="1"/>
  <c r="C1483" i="5"/>
  <c r="C1640" i="5"/>
  <c r="I2253" i="2" s="1"/>
  <c r="C1664" i="5"/>
  <c r="I2291" i="2" s="1"/>
  <c r="C1666" i="5"/>
  <c r="I2293" i="2" s="1"/>
  <c r="D1811" i="5"/>
  <c r="D1812" i="5" s="1"/>
  <c r="C15" i="5"/>
  <c r="I18" i="2" s="1"/>
  <c r="I53" i="2"/>
  <c r="C41" i="5"/>
  <c r="I55" i="2" s="1"/>
  <c r="C49" i="5"/>
  <c r="I63" i="2" s="1"/>
  <c r="C51" i="5"/>
  <c r="I65" i="2" s="1"/>
  <c r="C53" i="5"/>
  <c r="I67" i="2" s="1"/>
  <c r="C55" i="5"/>
  <c r="I69" i="2" s="1"/>
  <c r="I72" i="2"/>
  <c r="C61" i="5"/>
  <c r="I80" i="2" s="1"/>
  <c r="I92" i="2"/>
  <c r="C73" i="5"/>
  <c r="I96" i="2" s="1"/>
  <c r="C101" i="5"/>
  <c r="I130" i="2" s="1"/>
  <c r="C119" i="5"/>
  <c r="I153" i="2" s="1"/>
  <c r="C121" i="5"/>
  <c r="C178" i="5"/>
  <c r="I238" i="2" s="1"/>
  <c r="C151" i="5"/>
  <c r="C193" i="5"/>
  <c r="I261" i="2" s="1"/>
  <c r="C214" i="5"/>
  <c r="I294" i="2" s="1"/>
  <c r="C225" i="5"/>
  <c r="I305" i="2" s="1"/>
  <c r="I513" i="2"/>
  <c r="C409" i="5"/>
  <c r="I531" i="2" s="1"/>
  <c r="C411" i="5"/>
  <c r="I533" i="2" s="1"/>
  <c r="C416" i="5"/>
  <c r="I538" i="2" s="1"/>
  <c r="C599" i="5"/>
  <c r="I793" i="2" s="1"/>
  <c r="I808" i="2"/>
  <c r="C635" i="5"/>
  <c r="I830" i="2" s="1"/>
  <c r="C637" i="5"/>
  <c r="I832" i="2" s="1"/>
  <c r="C639" i="5"/>
  <c r="I834" i="2" s="1"/>
  <c r="C640" i="5"/>
  <c r="I835" i="2" s="1"/>
  <c r="C641" i="5"/>
  <c r="I836" i="2" s="1"/>
  <c r="I848" i="2"/>
  <c r="C710" i="5"/>
  <c r="I911" i="2" s="1"/>
  <c r="C727" i="5"/>
  <c r="I932" i="2" s="1"/>
  <c r="C732" i="5"/>
  <c r="I942" i="2" s="1"/>
  <c r="C734" i="5"/>
  <c r="I944" i="2" s="1"/>
  <c r="I955" i="2"/>
  <c r="C750" i="5"/>
  <c r="I965" i="2" s="1"/>
  <c r="C801" i="5"/>
  <c r="I1021" i="2" s="1"/>
  <c r="C805" i="5"/>
  <c r="I1025" i="2" s="1"/>
  <c r="C812" i="5"/>
  <c r="I1032" i="2" s="1"/>
  <c r="C829" i="5"/>
  <c r="I1049" i="2" s="1"/>
  <c r="C833" i="5"/>
  <c r="I1053" i="2" s="1"/>
  <c r="C894" i="5"/>
  <c r="C899" i="5"/>
  <c r="I1155" i="2" s="1"/>
  <c r="C933" i="5"/>
  <c r="I1194" i="2" s="1"/>
  <c r="C940" i="5"/>
  <c r="I1202" i="2" s="1"/>
  <c r="C947" i="5"/>
  <c r="I1209" i="2" s="1"/>
  <c r="C968" i="5"/>
  <c r="I1230" i="2" s="1"/>
  <c r="C970" i="5"/>
  <c r="I1232" i="2" s="1"/>
  <c r="C979" i="5"/>
  <c r="I1242" i="2" s="1"/>
  <c r="C981" i="5"/>
  <c r="I1244" i="2" s="1"/>
  <c r="C983" i="5"/>
  <c r="I1246" i="2" s="1"/>
  <c r="C993" i="5"/>
  <c r="I1256" i="2" s="1"/>
  <c r="C995" i="5"/>
  <c r="I1258" i="2" s="1"/>
  <c r="C1015" i="5"/>
  <c r="I1278" i="2" s="1"/>
  <c r="C1024" i="5"/>
  <c r="I1288" i="2" s="1"/>
  <c r="C1092" i="5"/>
  <c r="I1365" i="2" s="1"/>
  <c r="C1093" i="5"/>
  <c r="I1366" i="2" s="1"/>
  <c r="C1104" i="5"/>
  <c r="I1377" i="2" s="1"/>
  <c r="C1205" i="5"/>
  <c r="I1482" i="2" s="1"/>
  <c r="C1243" i="5"/>
  <c r="I1520" i="2" s="1"/>
  <c r="C1261" i="5"/>
  <c r="I1545" i="2" s="1"/>
  <c r="C1321" i="5"/>
  <c r="I1614" i="2" s="1"/>
  <c r="C1328" i="5"/>
  <c r="I1635" i="2" s="1"/>
  <c r="C1486" i="5"/>
  <c r="I2032" i="2" s="1"/>
  <c r="C1523" i="5"/>
  <c r="I2079" i="2" s="1"/>
  <c r="C1537" i="5"/>
  <c r="I2097" i="2" s="1"/>
  <c r="C1597" i="5"/>
  <c r="I2175" i="2" s="1"/>
  <c r="C1649" i="5"/>
  <c r="I2268" i="2" s="1"/>
  <c r="C1652" i="5"/>
  <c r="I2271" i="2" s="1"/>
  <c r="C1661" i="5"/>
  <c r="I2288" i="2" s="1"/>
  <c r="C1746" i="5"/>
  <c r="I2395" i="2" s="1"/>
  <c r="C1783" i="5"/>
  <c r="I2478" i="2" s="1"/>
  <c r="C922" i="5"/>
  <c r="I1178" i="2" s="1"/>
  <c r="C943" i="5"/>
  <c r="I1205" i="2" s="1"/>
  <c r="C945" i="5"/>
  <c r="I1207" i="2" s="1"/>
  <c r="C952" i="5"/>
  <c r="I1214" i="2" s="1"/>
  <c r="C954" i="5"/>
  <c r="I1216" i="2" s="1"/>
  <c r="C956" i="5"/>
  <c r="I1218" i="2" s="1"/>
  <c r="C958" i="5"/>
  <c r="I1220" i="2" s="1"/>
  <c r="C1014" i="5"/>
  <c r="I1277" i="2" s="1"/>
  <c r="C1029" i="5"/>
  <c r="I1293" i="2" s="1"/>
  <c r="C1033" i="5"/>
  <c r="I1297" i="2" s="1"/>
  <c r="C1051" i="5"/>
  <c r="I1320" i="2" s="1"/>
  <c r="C1061" i="5"/>
  <c r="I1332" i="2" s="1"/>
  <c r="I1355" i="2"/>
  <c r="C1091" i="5"/>
  <c r="I1364" i="2" s="1"/>
  <c r="C1115" i="5"/>
  <c r="I1390" i="2" s="1"/>
  <c r="C1134" i="5"/>
  <c r="I1410" i="2" s="1"/>
  <c r="C1142" i="5"/>
  <c r="I1418" i="2" s="1"/>
  <c r="C1150" i="5"/>
  <c r="I1426" i="2" s="1"/>
  <c r="C1154" i="5"/>
  <c r="I1430" i="2" s="1"/>
  <c r="C1169" i="5"/>
  <c r="I1445" i="2" s="1"/>
  <c r="C1175" i="5"/>
  <c r="I1452" i="2" s="1"/>
  <c r="C1224" i="5"/>
  <c r="I1501" i="2" s="1"/>
  <c r="C1308" i="5"/>
  <c r="I1600" i="2" s="1"/>
  <c r="C1329" i="5"/>
  <c r="I1636" i="2" s="1"/>
  <c r="C1340" i="5"/>
  <c r="I1652" i="2" s="1"/>
  <c r="C1342" i="5"/>
  <c r="I1654" i="2" s="1"/>
  <c r="C1344" i="5"/>
  <c r="I1656" i="2" s="1"/>
  <c r="C1350" i="5"/>
  <c r="I1667" i="2" s="1"/>
  <c r="C1470" i="5"/>
  <c r="I2010" i="2" s="1"/>
  <c r="C1492" i="5"/>
  <c r="I2039" i="2" s="1"/>
  <c r="D1494" i="5"/>
  <c r="C1494" i="5" s="1"/>
  <c r="I2041" i="2" s="1"/>
  <c r="I2048" i="2"/>
  <c r="C1509" i="5"/>
  <c r="I2056" i="2" s="1"/>
  <c r="I2067" i="2"/>
  <c r="C1547" i="5"/>
  <c r="I2110" i="2" s="1"/>
  <c r="C1567" i="5"/>
  <c r="I2134" i="2" s="1"/>
  <c r="C1571" i="5"/>
  <c r="C1590" i="5"/>
  <c r="I2165" i="2" s="1"/>
  <c r="C1702" i="5"/>
  <c r="I2331" i="2" s="1"/>
  <c r="C1726" i="5"/>
  <c r="I2362" i="2" s="1"/>
  <c r="I2391" i="2"/>
  <c r="C1752" i="5"/>
  <c r="I2403" i="2" s="1"/>
  <c r="C1754" i="5"/>
  <c r="I2405" i="2" s="1"/>
  <c r="C900" i="5"/>
  <c r="I1156" i="2" s="1"/>
  <c r="C902" i="5"/>
  <c r="I1158" i="2" s="1"/>
  <c r="C913" i="5"/>
  <c r="I1169" i="2" s="1"/>
  <c r="C962" i="5"/>
  <c r="I1224" i="2" s="1"/>
  <c r="C969" i="5"/>
  <c r="I1231" i="2" s="1"/>
  <c r="C977" i="5"/>
  <c r="I1240" i="2" s="1"/>
  <c r="C987" i="5"/>
  <c r="I1250" i="2" s="1"/>
  <c r="C994" i="5"/>
  <c r="I1257" i="2" s="1"/>
  <c r="C1005" i="5"/>
  <c r="I1268" i="2" s="1"/>
  <c r="C1023" i="5"/>
  <c r="I1287" i="2" s="1"/>
  <c r="C1025" i="5"/>
  <c r="I1289" i="2" s="1"/>
  <c r="C1035" i="5"/>
  <c r="I1301" i="2" s="1"/>
  <c r="C1052" i="5"/>
  <c r="I1321" i="2" s="1"/>
  <c r="C1054" i="5"/>
  <c r="I1323" i="2" s="1"/>
  <c r="C1059" i="5"/>
  <c r="I1330" i="2" s="1"/>
  <c r="C1068" i="5"/>
  <c r="I1340" i="2" s="1"/>
  <c r="C1073" i="5"/>
  <c r="I1345" i="2" s="1"/>
  <c r="C1082" i="5"/>
  <c r="I1354" i="2" s="1"/>
  <c r="C1102" i="5"/>
  <c r="I1375" i="2" s="1"/>
  <c r="C1106" i="5"/>
  <c r="I1380" i="2" s="1"/>
  <c r="C1108" i="5"/>
  <c r="I1382" i="2" s="1"/>
  <c r="C1110" i="5"/>
  <c r="I1384" i="2" s="1"/>
  <c r="C1112" i="5"/>
  <c r="I1387" i="2" s="1"/>
  <c r="C1146" i="5"/>
  <c r="I1422" i="2" s="1"/>
  <c r="C1162" i="5"/>
  <c r="I1438" i="2" s="1"/>
  <c r="C1178" i="5"/>
  <c r="I1455" i="2" s="1"/>
  <c r="C1192" i="5"/>
  <c r="I1469" i="2" s="1"/>
  <c r="C1202" i="5"/>
  <c r="I1479" i="2" s="1"/>
  <c r="C1218" i="5"/>
  <c r="I1495" i="2" s="1"/>
  <c r="C1223" i="5"/>
  <c r="I1500" i="2" s="1"/>
  <c r="C1233" i="5"/>
  <c r="I1510" i="2" s="1"/>
  <c r="C1305" i="5"/>
  <c r="I1597" i="2" s="1"/>
  <c r="C1307" i="5"/>
  <c r="I1599" i="2" s="1"/>
  <c r="C1316" i="5"/>
  <c r="I1608" i="2" s="1"/>
  <c r="C1318" i="5"/>
  <c r="I1610" i="2" s="1"/>
  <c r="C1323" i="5"/>
  <c r="I1622" i="2" s="1"/>
  <c r="C1343" i="5"/>
  <c r="I1655" i="2" s="1"/>
  <c r="C1355" i="5"/>
  <c r="I1663" i="2" s="1"/>
  <c r="C1362" i="5"/>
  <c r="I1709" i="2" s="1"/>
  <c r="C1366" i="5"/>
  <c r="I1713" i="2" s="1"/>
  <c r="D1408" i="5"/>
  <c r="C1408" i="5" s="1"/>
  <c r="I1874" i="2" s="1"/>
  <c r="D1443" i="5"/>
  <c r="C1443" i="5" s="1"/>
  <c r="C1463" i="5"/>
  <c r="I2003" i="2" s="1"/>
  <c r="C1465" i="5"/>
  <c r="I2005" i="2" s="1"/>
  <c r="C1467" i="5"/>
  <c r="I2007" i="2" s="1"/>
  <c r="C1477" i="5"/>
  <c r="I2021" i="2" s="1"/>
  <c r="D1495" i="5"/>
  <c r="C1495" i="5" s="1"/>
  <c r="I2042" i="2" s="1"/>
  <c r="I2047" i="2"/>
  <c r="C1522" i="5"/>
  <c r="I2077" i="2" s="1"/>
  <c r="C1538" i="5"/>
  <c r="I2098" i="2" s="1"/>
  <c r="C1540" i="5"/>
  <c r="I2101" i="2" s="1"/>
  <c r="I2103" i="2"/>
  <c r="C1542" i="5"/>
  <c r="I2105" i="2" s="1"/>
  <c r="C1544" i="5"/>
  <c r="I2107" i="2" s="1"/>
  <c r="D1546" i="5"/>
  <c r="C1546" i="5" s="1"/>
  <c r="I2109" i="2" s="1"/>
  <c r="C1558" i="5"/>
  <c r="I2124" i="2" s="1"/>
  <c r="C1568" i="5"/>
  <c r="I2135" i="2" s="1"/>
  <c r="C1627" i="5"/>
  <c r="I2228" i="2" s="1"/>
  <c r="C1660" i="5"/>
  <c r="C1696" i="5"/>
  <c r="I2324" i="2" s="1"/>
  <c r="C1698" i="5"/>
  <c r="I2326" i="2" s="1"/>
  <c r="C1707" i="5"/>
  <c r="I2340" i="2" s="1"/>
  <c r="C1717" i="5"/>
  <c r="I2351" i="2" s="1"/>
  <c r="C1720" i="5"/>
  <c r="I2356" i="2" s="1"/>
  <c r="C1747" i="5"/>
  <c r="I2396" i="2" s="1"/>
  <c r="C1768" i="5"/>
  <c r="I2443" i="2" s="1"/>
  <c r="C1849" i="5"/>
  <c r="I2610" i="2" s="1"/>
  <c r="C1863" i="5"/>
  <c r="I2626" i="2" s="1"/>
  <c r="C1881" i="5"/>
  <c r="I2645" i="2" s="1"/>
  <c r="C1892" i="5"/>
  <c r="I2656" i="2" s="1"/>
  <c r="C1929" i="5"/>
  <c r="C1943" i="5"/>
  <c r="I2719" i="2" s="1"/>
  <c r="C1967" i="5"/>
  <c r="C1969" i="5"/>
  <c r="C1971" i="5"/>
  <c r="I2738" i="2" s="1"/>
  <c r="C1973" i="5"/>
  <c r="I2740" i="2" s="1"/>
  <c r="C1984" i="5"/>
  <c r="I2751" i="2" s="1"/>
  <c r="C1991" i="5"/>
  <c r="I2758" i="2" s="1"/>
  <c r="C2094" i="5"/>
  <c r="I2997" i="2" s="1"/>
  <c r="C2138" i="5"/>
  <c r="I3053" i="2" s="1"/>
  <c r="C2171" i="5"/>
  <c r="I3090" i="2" s="1"/>
  <c r="C2185" i="5"/>
  <c r="C2187" i="5"/>
  <c r="I3108" i="2" s="1"/>
  <c r="C2226" i="5"/>
  <c r="I3167" i="2" s="1"/>
  <c r="C2272" i="5"/>
  <c r="I3233" i="2" s="1"/>
  <c r="C2274" i="5"/>
  <c r="I3235" i="2" s="1"/>
  <c r="I3283" i="2"/>
  <c r="C2310" i="5"/>
  <c r="I3288" i="2" s="1"/>
  <c r="C2333" i="5"/>
  <c r="I3329" i="2" s="1"/>
  <c r="C1855" i="5"/>
  <c r="C1868" i="5"/>
  <c r="I2631" i="2" s="1"/>
  <c r="C1884" i="5"/>
  <c r="I2648" i="2" s="1"/>
  <c r="C1977" i="5"/>
  <c r="I2744" i="2" s="1"/>
  <c r="C1989" i="5"/>
  <c r="I2756" i="2" s="1"/>
  <c r="C2005" i="5"/>
  <c r="I2772" i="2" s="1"/>
  <c r="C2012" i="5"/>
  <c r="I2779" i="2" s="1"/>
  <c r="C2018" i="5"/>
  <c r="I2785" i="2" s="1"/>
  <c r="C2025" i="5"/>
  <c r="I2792" i="2" s="1"/>
  <c r="C2095" i="5"/>
  <c r="I2998" i="2" s="1"/>
  <c r="C2100" i="5"/>
  <c r="I3004" i="2" s="1"/>
  <c r="C2102" i="5"/>
  <c r="I3006" i="2" s="1"/>
  <c r="C2108" i="5"/>
  <c r="I3012" i="2" s="1"/>
  <c r="C2117" i="5"/>
  <c r="I3022" i="2" s="1"/>
  <c r="C2119" i="5"/>
  <c r="I3024" i="2" s="1"/>
  <c r="C2121" i="5"/>
  <c r="I3026" i="2" s="1"/>
  <c r="C2124" i="5"/>
  <c r="I3031" i="2" s="1"/>
  <c r="I3044" i="2"/>
  <c r="C2135" i="5"/>
  <c r="I3048" i="2" s="1"/>
  <c r="C2136" i="5"/>
  <c r="I3050" i="2" s="1"/>
  <c r="I3052" i="2"/>
  <c r="C2142" i="5"/>
  <c r="I3057" i="2" s="1"/>
  <c r="C2144" i="5"/>
  <c r="I3059" i="2" s="1"/>
  <c r="C2189" i="5"/>
  <c r="I3113" i="2" s="1"/>
  <c r="C2196" i="5"/>
  <c r="I3121" i="2" s="1"/>
  <c r="I3149" i="2"/>
  <c r="C2225" i="5"/>
  <c r="I3166" i="2" s="1"/>
  <c r="C2228" i="5"/>
  <c r="I3169" i="2" s="1"/>
  <c r="C2338" i="5"/>
  <c r="I3334" i="2" s="1"/>
  <c r="C2340" i="5"/>
  <c r="I3336" i="2" s="1"/>
  <c r="C1769" i="5"/>
  <c r="I2444" i="2" s="1"/>
  <c r="C1852" i="5"/>
  <c r="I2613" i="2" s="1"/>
  <c r="C1869" i="5"/>
  <c r="I2632" i="2" s="1"/>
  <c r="D1875" i="5"/>
  <c r="C1875" i="5" s="1"/>
  <c r="I2639" i="2" s="1"/>
  <c r="C1897" i="5"/>
  <c r="I2661" i="2" s="1"/>
  <c r="C1904" i="5"/>
  <c r="I2670" i="2" s="1"/>
  <c r="C1918" i="5"/>
  <c r="I2684" i="2" s="1"/>
  <c r="C1921" i="5"/>
  <c r="I2687" i="2" s="1"/>
  <c r="C1925" i="5"/>
  <c r="I2691" i="2" s="1"/>
  <c r="C1942" i="5"/>
  <c r="C1974" i="5"/>
  <c r="I2741" i="2" s="1"/>
  <c r="C2077" i="5"/>
  <c r="I2967" i="2" s="1"/>
  <c r="C2101" i="5"/>
  <c r="I3005" i="2" s="1"/>
  <c r="C2103" i="5"/>
  <c r="I3007" i="2" s="1"/>
  <c r="C2111" i="5"/>
  <c r="I3015" i="2" s="1"/>
  <c r="C2118" i="5"/>
  <c r="I3023" i="2" s="1"/>
  <c r="C2120" i="5"/>
  <c r="I3025" i="2" s="1"/>
  <c r="C2127" i="5"/>
  <c r="I3034" i="2" s="1"/>
  <c r="C2130" i="5"/>
  <c r="I3039" i="2" s="1"/>
  <c r="C2132" i="5"/>
  <c r="I3041" i="2" s="1"/>
  <c r="C2141" i="5"/>
  <c r="I3056" i="2" s="1"/>
  <c r="C2143" i="5"/>
  <c r="I3058" i="2" s="1"/>
  <c r="C2179" i="5"/>
  <c r="I3098" i="2" s="1"/>
  <c r="C2180" i="5"/>
  <c r="I3100" i="2" s="1"/>
  <c r="C2182" i="5"/>
  <c r="I3102" i="2" s="1"/>
  <c r="I3111" i="2"/>
  <c r="C2190" i="5"/>
  <c r="I3114" i="2" s="1"/>
  <c r="I3124" i="2"/>
  <c r="C2201" i="5"/>
  <c r="I3131" i="2" s="1"/>
  <c r="C2209" i="5"/>
  <c r="I3150" i="2" s="1"/>
  <c r="I3154" i="2"/>
  <c r="C2255" i="5"/>
  <c r="I3216" i="2" s="1"/>
  <c r="C2271" i="5"/>
  <c r="I3232" i="2" s="1"/>
  <c r="C2275" i="5"/>
  <c r="I3236" i="2" s="1"/>
  <c r="C2305" i="5"/>
  <c r="I3282" i="2" s="1"/>
  <c r="C2306" i="5"/>
  <c r="I3284" i="2" s="1"/>
  <c r="C2309" i="5"/>
  <c r="C2311" i="5"/>
  <c r="I3289" i="2" s="1"/>
  <c r="C2339" i="5"/>
  <c r="I3335" i="2" s="1"/>
  <c r="C2341" i="5"/>
  <c r="I3337" i="2" s="1"/>
  <c r="I870" i="2"/>
  <c r="I1951" i="2"/>
  <c r="I2183" i="2"/>
  <c r="I2869" i="2"/>
  <c r="I2988" i="2"/>
  <c r="I3298" i="2"/>
  <c r="I1967" i="2"/>
  <c r="C299" i="6"/>
  <c r="C334" i="6"/>
  <c r="C470" i="6"/>
  <c r="C485" i="6"/>
  <c r="C626" i="6"/>
  <c r="C677" i="6"/>
  <c r="C679" i="6"/>
  <c r="C860" i="6"/>
  <c r="C922" i="6"/>
  <c r="C926" i="6"/>
  <c r="I1525" i="2"/>
  <c r="I1750" i="2"/>
  <c r="C41" i="6"/>
  <c r="C81" i="6"/>
  <c r="C99" i="6"/>
  <c r="C172" i="6"/>
  <c r="C228" i="6"/>
  <c r="C339" i="6"/>
  <c r="C348" i="6"/>
  <c r="C478" i="6"/>
  <c r="C480" i="6"/>
  <c r="C496" i="6"/>
  <c r="C508" i="6"/>
  <c r="C516" i="6"/>
  <c r="C548" i="6"/>
  <c r="C570" i="6"/>
  <c r="C571" i="6"/>
  <c r="C572" i="6"/>
  <c r="C579" i="6"/>
  <c r="C824" i="6"/>
  <c r="C876" i="6"/>
  <c r="C903" i="6"/>
  <c r="C952" i="6"/>
  <c r="I3363" i="2"/>
  <c r="I3371" i="2"/>
  <c r="I1456" i="2"/>
  <c r="C100" i="6"/>
  <c r="C147" i="6"/>
  <c r="C154" i="6"/>
  <c r="C158" i="6"/>
  <c r="C160" i="6"/>
  <c r="C184" i="6"/>
  <c r="C190" i="6"/>
  <c r="C194" i="6"/>
  <c r="C196" i="6"/>
  <c r="C270" i="6"/>
  <c r="C281" i="6"/>
  <c r="C285" i="6"/>
  <c r="C338" i="6"/>
  <c r="C414" i="6"/>
  <c r="C518" i="6"/>
  <c r="C520" i="6"/>
  <c r="C522" i="6"/>
  <c r="C526" i="6"/>
  <c r="C534" i="6"/>
  <c r="C585" i="6"/>
  <c r="C791" i="6"/>
  <c r="C819" i="6"/>
  <c r="C850" i="6"/>
  <c r="C940" i="6"/>
  <c r="C1076" i="6"/>
  <c r="C452" i="6"/>
  <c r="C453" i="6"/>
  <c r="C477" i="6"/>
  <c r="C481" i="6"/>
  <c r="C501" i="6"/>
  <c r="C519" i="6"/>
  <c r="C527" i="6"/>
  <c r="C543" i="6"/>
  <c r="C574" i="6"/>
  <c r="C757" i="6"/>
  <c r="C759" i="6"/>
  <c r="C771" i="6"/>
  <c r="C937" i="6"/>
  <c r="C939" i="6"/>
  <c r="C977" i="6"/>
  <c r="C623" i="6"/>
  <c r="C678" i="6"/>
  <c r="C688" i="6"/>
  <c r="C705" i="6"/>
  <c r="C714" i="6"/>
  <c r="C758" i="6"/>
  <c r="C772" i="6"/>
  <c r="C792" i="6"/>
  <c r="C863" i="6"/>
  <c r="C870" i="6"/>
  <c r="C872" i="6"/>
  <c r="C877" i="6"/>
  <c r="C882" i="6"/>
  <c r="C889" i="6"/>
  <c r="C912" i="6"/>
  <c r="C915" i="6"/>
  <c r="C920" i="6"/>
  <c r="C936" i="6"/>
  <c r="C948" i="6"/>
  <c r="C1077" i="6"/>
  <c r="C1087" i="6"/>
  <c r="I593" i="2"/>
  <c r="I1096" i="2"/>
  <c r="C162" i="6"/>
  <c r="C166" i="6"/>
  <c r="C180" i="6"/>
  <c r="C266" i="6"/>
  <c r="C269" i="6"/>
  <c r="C273" i="6"/>
  <c r="C275" i="6"/>
  <c r="C294" i="6"/>
  <c r="C173" i="6"/>
  <c r="C177" i="6"/>
  <c r="C179" i="6"/>
  <c r="C186" i="6"/>
  <c r="C274" i="6"/>
  <c r="C276" i="6"/>
  <c r="C65" i="5"/>
  <c r="I85" i="2" s="1"/>
  <c r="C70" i="5"/>
  <c r="I93" i="2" s="1"/>
  <c r="C74" i="5"/>
  <c r="I97" i="2" s="1"/>
  <c r="C256" i="5"/>
  <c r="I335" i="2" s="1"/>
  <c r="C258" i="5"/>
  <c r="I337" i="2" s="1"/>
  <c r="C370" i="5"/>
  <c r="I486" i="2" s="1"/>
  <c r="C373" i="5"/>
  <c r="I489" i="2" s="1"/>
  <c r="C375" i="5"/>
  <c r="I491" i="2" s="1"/>
  <c r="C377" i="5"/>
  <c r="I493" i="2" s="1"/>
  <c r="I514" i="2"/>
  <c r="C405" i="5"/>
  <c r="I527" i="2" s="1"/>
  <c r="C407" i="5"/>
  <c r="I529" i="2" s="1"/>
  <c r="C560" i="5"/>
  <c r="I749" i="2" s="1"/>
  <c r="C563" i="5"/>
  <c r="I752" i="2" s="1"/>
  <c r="C567" i="5"/>
  <c r="I756" i="2" s="1"/>
  <c r="C595" i="5"/>
  <c r="I789" i="2" s="1"/>
  <c r="C608" i="5"/>
  <c r="I802" i="2" s="1"/>
  <c r="C614" i="5"/>
  <c r="I809" i="2" s="1"/>
  <c r="C618" i="5"/>
  <c r="I813" i="2" s="1"/>
  <c r="C620" i="5"/>
  <c r="I815" i="2" s="1"/>
  <c r="C625" i="5"/>
  <c r="I820" i="2" s="1"/>
  <c r="C668" i="5"/>
  <c r="I865" i="2" s="1"/>
  <c r="C679" i="5"/>
  <c r="I877" i="2" s="1"/>
  <c r="C692" i="5"/>
  <c r="I890" i="2" s="1"/>
  <c r="C709" i="5"/>
  <c r="I909" i="2" s="1"/>
  <c r="C713" i="5"/>
  <c r="I917" i="2" s="1"/>
  <c r="I926" i="2"/>
  <c r="C723" i="5"/>
  <c r="I928" i="2" s="1"/>
  <c r="C733" i="5"/>
  <c r="I943" i="2" s="1"/>
  <c r="C735" i="5"/>
  <c r="I946" i="2" s="1"/>
  <c r="C738" i="5"/>
  <c r="I949" i="2" s="1"/>
  <c r="C751" i="5"/>
  <c r="I966" i="2" s="1"/>
  <c r="C753" i="5"/>
  <c r="I968" i="2" s="1"/>
  <c r="C755" i="5"/>
  <c r="I970" i="2" s="1"/>
  <c r="C767" i="5"/>
  <c r="I982" i="2" s="1"/>
  <c r="C217" i="5"/>
  <c r="I297" i="2" s="1"/>
  <c r="C13" i="5"/>
  <c r="I14" i="2" s="1"/>
  <c r="I16" i="2"/>
  <c r="C71" i="5"/>
  <c r="I94" i="2" s="1"/>
  <c r="C75" i="5"/>
  <c r="I98" i="2" s="1"/>
  <c r="C79" i="5"/>
  <c r="I102" i="2" s="1"/>
  <c r="I104" i="2"/>
  <c r="C81" i="5"/>
  <c r="I106" i="2" s="1"/>
  <c r="C82" i="5"/>
  <c r="I108" i="2" s="1"/>
  <c r="C83" i="5"/>
  <c r="I110" i="2" s="1"/>
  <c r="C172" i="5"/>
  <c r="I232" i="2" s="1"/>
  <c r="C174" i="5"/>
  <c r="I234" i="2" s="1"/>
  <c r="C176" i="5"/>
  <c r="I236" i="2" s="1"/>
  <c r="C163" i="5"/>
  <c r="I212" i="2" s="1"/>
  <c r="C152" i="5"/>
  <c r="I195" i="2" s="1"/>
  <c r="C154" i="5"/>
  <c r="I197" i="2" s="1"/>
  <c r="C156" i="5"/>
  <c r="I200" i="2" s="1"/>
  <c r="C208" i="5"/>
  <c r="I283" i="2" s="1"/>
  <c r="C257" i="5"/>
  <c r="I336" i="2" s="1"/>
  <c r="C259" i="5"/>
  <c r="I338" i="2" s="1"/>
  <c r="C270" i="5"/>
  <c r="I350" i="2" s="1"/>
  <c r="C295" i="5"/>
  <c r="I375" i="2" s="1"/>
  <c r="C315" i="5"/>
  <c r="I395" i="2" s="1"/>
  <c r="C316" i="5"/>
  <c r="I397" i="2" s="1"/>
  <c r="I468" i="2"/>
  <c r="C357" i="5"/>
  <c r="I470" i="2" s="1"/>
  <c r="C359" i="5"/>
  <c r="I472" i="2" s="1"/>
  <c r="C361" i="5"/>
  <c r="I474" i="2" s="1"/>
  <c r="C362" i="5"/>
  <c r="I476" i="2" s="1"/>
  <c r="C364" i="5"/>
  <c r="I478" i="2" s="1"/>
  <c r="I480" i="2"/>
  <c r="I482" i="2"/>
  <c r="C393" i="5"/>
  <c r="I515" i="2" s="1"/>
  <c r="C413" i="5"/>
  <c r="I535" i="2" s="1"/>
  <c r="C417" i="5"/>
  <c r="I539" i="2" s="1"/>
  <c r="C420" i="5"/>
  <c r="I542" i="2" s="1"/>
  <c r="C422" i="5"/>
  <c r="I544" i="2" s="1"/>
  <c r="C550" i="5"/>
  <c r="I739" i="2" s="1"/>
  <c r="C553" i="5"/>
  <c r="I742" i="2" s="1"/>
  <c r="C597" i="5"/>
  <c r="I791" i="2" s="1"/>
  <c r="C603" i="5"/>
  <c r="C619" i="5"/>
  <c r="I814" i="2" s="1"/>
  <c r="C650" i="5"/>
  <c r="I845" i="2" s="1"/>
  <c r="C674" i="5"/>
  <c r="I872" i="2" s="1"/>
  <c r="C676" i="5"/>
  <c r="I874" i="2" s="1"/>
  <c r="C691" i="5"/>
  <c r="I889" i="2" s="1"/>
  <c r="C722" i="5"/>
  <c r="I927" i="2" s="1"/>
  <c r="C726" i="5"/>
  <c r="I931" i="2" s="1"/>
  <c r="C728" i="5"/>
  <c r="I933" i="2" s="1"/>
  <c r="C730" i="5"/>
  <c r="I940" i="2" s="1"/>
  <c r="C741" i="5"/>
  <c r="I952" i="2" s="1"/>
  <c r="I954" i="2"/>
  <c r="C748" i="5"/>
  <c r="I963" i="2" s="1"/>
  <c r="C752" i="5"/>
  <c r="C756" i="5"/>
  <c r="I971" i="2" s="1"/>
  <c r="C761" i="5"/>
  <c r="I976" i="2" s="1"/>
  <c r="C764" i="5"/>
  <c r="I979" i="2" s="1"/>
  <c r="G1719" i="2"/>
  <c r="G3380" i="2" s="1"/>
  <c r="H1719" i="2"/>
  <c r="C463" i="5"/>
  <c r="C465" i="5" s="1"/>
  <c r="C1277" i="5"/>
  <c r="C1278" i="5" s="1"/>
  <c r="C1594" i="5"/>
  <c r="C1878" i="5"/>
  <c r="C130" i="5"/>
  <c r="I170" i="2" s="1"/>
  <c r="D268" i="5"/>
  <c r="C268" i="5" s="1"/>
  <c r="I348" i="2" s="1"/>
  <c r="D1375" i="5"/>
  <c r="C1375" i="5" s="1"/>
  <c r="C1619" i="5"/>
  <c r="C1620" i="5" s="1"/>
  <c r="D1874" i="5"/>
  <c r="C1874" i="5" s="1"/>
  <c r="I2638" i="2" s="1"/>
  <c r="D58" i="4"/>
  <c r="C332" i="5"/>
  <c r="C895" i="5"/>
  <c r="I1151" i="2" s="1"/>
  <c r="C926" i="5"/>
  <c r="I1183" i="2" s="1"/>
  <c r="C1206" i="5"/>
  <c r="I1483" i="2" s="1"/>
  <c r="C1510" i="5"/>
  <c r="I2057" i="2" s="1"/>
  <c r="C1529" i="5"/>
  <c r="I2087" i="2" s="1"/>
  <c r="I17" i="2"/>
  <c r="C16" i="5"/>
  <c r="I19" i="2" s="1"/>
  <c r="C34" i="5"/>
  <c r="I45" i="2" s="1"/>
  <c r="I78" i="2"/>
  <c r="C62" i="5"/>
  <c r="I81" i="2" s="1"/>
  <c r="C72" i="5"/>
  <c r="I95" i="2" s="1"/>
  <c r="C104" i="5"/>
  <c r="I133" i="2" s="1"/>
  <c r="C106" i="5"/>
  <c r="I135" i="2" s="1"/>
  <c r="C108" i="5"/>
  <c r="I137" i="2" s="1"/>
  <c r="C168" i="5"/>
  <c r="C175" i="5"/>
  <c r="I235" i="2" s="1"/>
  <c r="C153" i="5"/>
  <c r="I196" i="2" s="1"/>
  <c r="C184" i="5"/>
  <c r="I244" i="2" s="1"/>
  <c r="C186" i="5"/>
  <c r="D201" i="5"/>
  <c r="C201" i="5" s="1"/>
  <c r="C204" i="5"/>
  <c r="I278" i="2" s="1"/>
  <c r="D206" i="5"/>
  <c r="C206" i="5" s="1"/>
  <c r="I281" i="2" s="1"/>
  <c r="C211" i="5"/>
  <c r="C213" i="5"/>
  <c r="I293" i="2" s="1"/>
  <c r="C215" i="5"/>
  <c r="I295" i="2" s="1"/>
  <c r="C237" i="5"/>
  <c r="I311" i="2" s="1"/>
  <c r="C250" i="5"/>
  <c r="I324" i="2" s="1"/>
  <c r="C255" i="5"/>
  <c r="I334" i="2" s="1"/>
  <c r="C262" i="5"/>
  <c r="I342" i="2" s="1"/>
  <c r="C292" i="5"/>
  <c r="I372" i="2" s="1"/>
  <c r="C311" i="5"/>
  <c r="I391" i="2" s="1"/>
  <c r="C313" i="5"/>
  <c r="I393" i="2" s="1"/>
  <c r="C318" i="5"/>
  <c r="I400" i="2" s="1"/>
  <c r="C320" i="5"/>
  <c r="I402" i="2" s="1"/>
  <c r="C321" i="5"/>
  <c r="I403" i="2" s="1"/>
  <c r="C331" i="5"/>
  <c r="C333" i="5" s="1"/>
  <c r="C368" i="5"/>
  <c r="I484" i="2" s="1"/>
  <c r="C376" i="5"/>
  <c r="I492" i="2" s="1"/>
  <c r="C397" i="5"/>
  <c r="I519" i="2" s="1"/>
  <c r="C399" i="5"/>
  <c r="I521" i="2" s="1"/>
  <c r="C401" i="5"/>
  <c r="I523" i="2" s="1"/>
  <c r="C403" i="5"/>
  <c r="I525" i="2" s="1"/>
  <c r="C412" i="5"/>
  <c r="I534" i="2" s="1"/>
  <c r="C445" i="5"/>
  <c r="I627" i="2" s="1"/>
  <c r="C447" i="5"/>
  <c r="I629" i="2" s="1"/>
  <c r="C449" i="5"/>
  <c r="I631" i="2" s="1"/>
  <c r="C594" i="5"/>
  <c r="I788" i="2" s="1"/>
  <c r="C596" i="5"/>
  <c r="I790" i="2" s="1"/>
  <c r="C601" i="5"/>
  <c r="I795" i="2" s="1"/>
  <c r="C607" i="5"/>
  <c r="I801" i="2" s="1"/>
  <c r="C616" i="5"/>
  <c r="I811" i="2" s="1"/>
  <c r="C622" i="5"/>
  <c r="I817" i="2" s="1"/>
  <c r="C624" i="5"/>
  <c r="I819" i="2" s="1"/>
  <c r="C627" i="5"/>
  <c r="I822" i="2" s="1"/>
  <c r="C652" i="5"/>
  <c r="I847" i="2" s="1"/>
  <c r="C702" i="5"/>
  <c r="I900" i="2" s="1"/>
  <c r="C712" i="5"/>
  <c r="I915" i="2" s="1"/>
  <c r="C716" i="5"/>
  <c r="I920" i="2" s="1"/>
  <c r="C725" i="5"/>
  <c r="I930" i="2" s="1"/>
  <c r="C772" i="5"/>
  <c r="I991" i="2" s="1"/>
  <c r="C774" i="5"/>
  <c r="I993" i="2" s="1"/>
  <c r="C776" i="5"/>
  <c r="I995" i="2" s="1"/>
  <c r="C778" i="5"/>
  <c r="I997" i="2" s="1"/>
  <c r="C780" i="5"/>
  <c r="I999" i="2" s="1"/>
  <c r="C782" i="5"/>
  <c r="I1001" i="2" s="1"/>
  <c r="C784" i="5"/>
  <c r="I1003" i="2" s="1"/>
  <c r="C786" i="5"/>
  <c r="I1005" i="2" s="1"/>
  <c r="C788" i="5"/>
  <c r="I1007" i="2" s="1"/>
  <c r="C789" i="5"/>
  <c r="I1008" i="2" s="1"/>
  <c r="C791" i="5"/>
  <c r="I1010" i="2" s="1"/>
  <c r="C793" i="5"/>
  <c r="I1012" i="2" s="1"/>
  <c r="C795" i="5"/>
  <c r="I1014" i="2" s="1"/>
  <c r="C797" i="5"/>
  <c r="I1016" i="2" s="1"/>
  <c r="C799" i="5"/>
  <c r="I1019" i="2" s="1"/>
  <c r="C810" i="5"/>
  <c r="I1030" i="2" s="1"/>
  <c r="C813" i="5"/>
  <c r="I1033" i="2" s="1"/>
  <c r="C818" i="5"/>
  <c r="I1038" i="2" s="1"/>
  <c r="C821" i="5"/>
  <c r="I1041" i="2" s="1"/>
  <c r="C887" i="5"/>
  <c r="I1143" i="2" s="1"/>
  <c r="C903" i="5"/>
  <c r="I1159" i="2" s="1"/>
  <c r="C924" i="5"/>
  <c r="I1181" i="2" s="1"/>
  <c r="C949" i="5"/>
  <c r="I1211" i="2" s="1"/>
  <c r="C957" i="5"/>
  <c r="I1219" i="2" s="1"/>
  <c r="C965" i="5"/>
  <c r="I1227" i="2" s="1"/>
  <c r="C986" i="5"/>
  <c r="I1249" i="2" s="1"/>
  <c r="C992" i="5"/>
  <c r="I1255" i="2" s="1"/>
  <c r="C1007" i="5"/>
  <c r="I1270" i="2" s="1"/>
  <c r="C1017" i="5"/>
  <c r="I1280" i="2" s="1"/>
  <c r="C1021" i="5"/>
  <c r="I1285" i="2" s="1"/>
  <c r="C1031" i="5"/>
  <c r="I1295" i="2" s="1"/>
  <c r="C1040" i="5"/>
  <c r="I1308" i="2" s="1"/>
  <c r="C1045" i="5"/>
  <c r="C1048" i="5"/>
  <c r="C1058" i="5"/>
  <c r="I1327" i="2" s="1"/>
  <c r="C1083" i="5"/>
  <c r="I1356" i="2" s="1"/>
  <c r="C1086" i="5"/>
  <c r="I1359" i="2" s="1"/>
  <c r="C1097" i="5"/>
  <c r="I1370" i="2" s="1"/>
  <c r="C1100" i="5"/>
  <c r="I1373" i="2" s="1"/>
  <c r="C1118" i="5"/>
  <c r="I1393" i="2" s="1"/>
  <c r="C1119" i="5"/>
  <c r="I1394" i="2" s="1"/>
  <c r="C1121" i="5"/>
  <c r="I1396" i="2" s="1"/>
  <c r="C1123" i="5"/>
  <c r="I1399" i="2" s="1"/>
  <c r="C1125" i="5"/>
  <c r="I1401" i="2" s="1"/>
  <c r="C1127" i="5"/>
  <c r="I1403" i="2" s="1"/>
  <c r="C1129" i="5"/>
  <c r="I1405" i="2" s="1"/>
  <c r="C1131" i="5"/>
  <c r="I1407" i="2" s="1"/>
  <c r="C1132" i="5"/>
  <c r="I1408" i="2" s="1"/>
  <c r="C1194" i="5"/>
  <c r="I1470" i="2" s="1"/>
  <c r="C1207" i="5"/>
  <c r="I1484" i="2" s="1"/>
  <c r="C1221" i="5"/>
  <c r="I1498" i="2" s="1"/>
  <c r="C1226" i="5"/>
  <c r="I1503" i="2" s="1"/>
  <c r="C1228" i="5"/>
  <c r="I1505" i="2" s="1"/>
  <c r="C1230" i="5"/>
  <c r="I1507" i="2" s="1"/>
  <c r="C1234" i="5"/>
  <c r="I1511" i="2" s="1"/>
  <c r="C1236" i="5"/>
  <c r="I1513" i="2" s="1"/>
  <c r="C1238" i="5"/>
  <c r="I1515" i="2" s="1"/>
  <c r="C1262" i="5"/>
  <c r="C1281" i="5"/>
  <c r="I1573" i="2" s="1"/>
  <c r="C1282" i="5"/>
  <c r="I1574" i="2" s="1"/>
  <c r="C1284" i="5"/>
  <c r="I1576" i="2" s="1"/>
  <c r="C1286" i="5"/>
  <c r="I1578" i="2" s="1"/>
  <c r="C1288" i="5"/>
  <c r="I1580" i="2" s="1"/>
  <c r="C1290" i="5"/>
  <c r="I1582" i="2" s="1"/>
  <c r="C1314" i="5"/>
  <c r="I1606" i="2" s="1"/>
  <c r="C1319" i="5"/>
  <c r="I1612" i="2" s="1"/>
  <c r="C1335" i="5"/>
  <c r="I1647" i="2" s="1"/>
  <c r="C1337" i="5"/>
  <c r="C1364" i="5"/>
  <c r="I1711" i="2" s="1"/>
  <c r="C1411" i="5"/>
  <c r="I1883" i="2" s="1"/>
  <c r="D1441" i="5"/>
  <c r="C1441" i="5" s="1"/>
  <c r="I1937" i="2" s="1"/>
  <c r="C1452" i="5"/>
  <c r="I1987" i="2" s="1"/>
  <c r="C1453" i="5"/>
  <c r="I1989" i="2" s="1"/>
  <c r="C1456" i="5"/>
  <c r="I1993" i="2" s="1"/>
  <c r="C1461" i="5"/>
  <c r="I2000" i="2" s="1"/>
  <c r="I2016" i="2"/>
  <c r="D1507" i="5"/>
  <c r="C1507" i="5" s="1"/>
  <c r="I2054" i="2" s="1"/>
  <c r="C1553" i="5"/>
  <c r="I2117" i="2" s="1"/>
  <c r="C1556" i="5"/>
  <c r="I2122" i="2" s="1"/>
  <c r="C1559" i="5"/>
  <c r="I2125" i="2" s="1"/>
  <c r="C1564" i="5"/>
  <c r="I2130" i="2" s="1"/>
  <c r="C1723" i="5"/>
  <c r="I2359" i="2" s="1"/>
  <c r="C1767" i="5"/>
  <c r="I2442" i="2" s="1"/>
  <c r="C1899" i="5"/>
  <c r="I2665" i="2" s="1"/>
  <c r="C1912" i="5"/>
  <c r="C1916" i="5"/>
  <c r="I2682" i="2" s="1"/>
  <c r="C1930" i="5"/>
  <c r="I2696" i="2" s="1"/>
  <c r="C2026" i="5"/>
  <c r="I2793" i="2" s="1"/>
  <c r="D297" i="5"/>
  <c r="C297" i="5" s="1"/>
  <c r="I377" i="2" s="1"/>
  <c r="C384" i="5"/>
  <c r="I504" i="2" s="1"/>
  <c r="C1006" i="5"/>
  <c r="I1269" i="2" s="1"/>
  <c r="C1019" i="5"/>
  <c r="I1282" i="2" s="1"/>
  <c r="C1145" i="5"/>
  <c r="I1421" i="2" s="1"/>
  <c r="C1159" i="5"/>
  <c r="I1435" i="2" s="1"/>
  <c r="C1237" i="5"/>
  <c r="I1514" i="2" s="1"/>
  <c r="C1245" i="5"/>
  <c r="I1523" i="2" s="1"/>
  <c r="C1306" i="5"/>
  <c r="I1598" i="2" s="1"/>
  <c r="C1311" i="5"/>
  <c r="I1603" i="2" s="1"/>
  <c r="C1351" i="5"/>
  <c r="I1668" i="2" s="1"/>
  <c r="C1379" i="5"/>
  <c r="I1794" i="2" s="1"/>
  <c r="D1414" i="5"/>
  <c r="D1416" i="5" s="1"/>
  <c r="D1442" i="5"/>
  <c r="C1442" i="5" s="1"/>
  <c r="I1938" i="2" s="1"/>
  <c r="C1458" i="5"/>
  <c r="I1997" i="2" s="1"/>
  <c r="C1460" i="5"/>
  <c r="I1999" i="2" s="1"/>
  <c r="C1484" i="5"/>
  <c r="I2029" i="2" s="1"/>
  <c r="C1488" i="5"/>
  <c r="I2035" i="2" s="1"/>
  <c r="D1490" i="5"/>
  <c r="C1490" i="5" s="1"/>
  <c r="I2037" i="2" s="1"/>
  <c r="C1503" i="5"/>
  <c r="I2050" i="2" s="1"/>
  <c r="C1508" i="5"/>
  <c r="I2055" i="2" s="1"/>
  <c r="C1516" i="5"/>
  <c r="I2063" i="2" s="1"/>
  <c r="I2068" i="2"/>
  <c r="C1521" i="5"/>
  <c r="C1524" i="5"/>
  <c r="I2080" i="2" s="1"/>
  <c r="C1528" i="5"/>
  <c r="I2086" i="2" s="1"/>
  <c r="C1531" i="5"/>
  <c r="I2089" i="2" s="1"/>
  <c r="C1552" i="5"/>
  <c r="I2116" i="2" s="1"/>
  <c r="I2119" i="2"/>
  <c r="C1580" i="5"/>
  <c r="C1595" i="5"/>
  <c r="I2173" i="2" s="1"/>
  <c r="C1643" i="5"/>
  <c r="I2256" i="2" s="1"/>
  <c r="C1662" i="5"/>
  <c r="I2289" i="2" s="1"/>
  <c r="C1665" i="5"/>
  <c r="I2292" i="2" s="1"/>
  <c r="I2350" i="2"/>
  <c r="C1725" i="5"/>
  <c r="I2361" i="2" s="1"/>
  <c r="I2389" i="2"/>
  <c r="C1850" i="5"/>
  <c r="I2611" i="2" s="1"/>
  <c r="C1862" i="5"/>
  <c r="I2625" i="2" s="1"/>
  <c r="C1882" i="5"/>
  <c r="I2646" i="2" s="1"/>
  <c r="C1891" i="5"/>
  <c r="I2655" i="2" s="1"/>
  <c r="C1920" i="5"/>
  <c r="I2686" i="2" s="1"/>
  <c r="C1993" i="5"/>
  <c r="I2760" i="2" s="1"/>
  <c r="C2016" i="5"/>
  <c r="I2783" i="2" s="1"/>
  <c r="C2056" i="5"/>
  <c r="I2893" i="2" s="1"/>
  <c r="C33" i="5"/>
  <c r="I44" i="2" s="1"/>
  <c r="C46" i="5"/>
  <c r="I60" i="2" s="1"/>
  <c r="C69" i="5"/>
  <c r="I91" i="2" s="1"/>
  <c r="C90" i="5"/>
  <c r="I118" i="2" s="1"/>
  <c r="C126" i="5"/>
  <c r="I166" i="2" s="1"/>
  <c r="I245" i="2"/>
  <c r="C200" i="5"/>
  <c r="I272" i="2" s="1"/>
  <c r="C212" i="5"/>
  <c r="I292" i="2" s="1"/>
  <c r="C249" i="5"/>
  <c r="I323" i="2" s="1"/>
  <c r="C251" i="5"/>
  <c r="C312" i="5"/>
  <c r="I392" i="2" s="1"/>
  <c r="C314" i="5"/>
  <c r="I394" i="2" s="1"/>
  <c r="C319" i="5"/>
  <c r="I401" i="2" s="1"/>
  <c r="C346" i="5"/>
  <c r="I457" i="2" s="1"/>
  <c r="C372" i="5"/>
  <c r="I488" i="2" s="1"/>
  <c r="C381" i="5"/>
  <c r="I500" i="2" s="1"/>
  <c r="C383" i="5"/>
  <c r="I502" i="2" s="1"/>
  <c r="C392" i="5"/>
  <c r="I512" i="2" s="1"/>
  <c r="C406" i="5"/>
  <c r="I528" i="2" s="1"/>
  <c r="C408" i="5"/>
  <c r="I530" i="2" s="1"/>
  <c r="C470" i="5"/>
  <c r="I654" i="2" s="1"/>
  <c r="C552" i="5"/>
  <c r="I741" i="2" s="1"/>
  <c r="C557" i="5"/>
  <c r="I746" i="2" s="1"/>
  <c r="C565" i="5"/>
  <c r="I754" i="2" s="1"/>
  <c r="I765" i="2"/>
  <c r="C590" i="5"/>
  <c r="I784" i="2" s="1"/>
  <c r="C600" i="5"/>
  <c r="I794" i="2" s="1"/>
  <c r="C680" i="5"/>
  <c r="I878" i="2" s="1"/>
  <c r="C689" i="5"/>
  <c r="I887" i="2" s="1"/>
  <c r="C695" i="5"/>
  <c r="I893" i="2" s="1"/>
  <c r="C697" i="5"/>
  <c r="I895" i="2" s="1"/>
  <c r="C699" i="5"/>
  <c r="I897" i="2" s="1"/>
  <c r="C701" i="5"/>
  <c r="I899" i="2" s="1"/>
  <c r="C711" i="5"/>
  <c r="I914" i="2" s="1"/>
  <c r="I916" i="2"/>
  <c r="C715" i="5"/>
  <c r="I919" i="2" s="1"/>
  <c r="C744" i="5"/>
  <c r="I958" i="2" s="1"/>
  <c r="C771" i="5"/>
  <c r="I990" i="2" s="1"/>
  <c r="C773" i="5"/>
  <c r="I992" i="2" s="1"/>
  <c r="C775" i="5"/>
  <c r="I994" i="2" s="1"/>
  <c r="C777" i="5"/>
  <c r="I996" i="2" s="1"/>
  <c r="C779" i="5"/>
  <c r="I998" i="2" s="1"/>
  <c r="C781" i="5"/>
  <c r="I1000" i="2" s="1"/>
  <c r="C783" i="5"/>
  <c r="I1002" i="2" s="1"/>
  <c r="C785" i="5"/>
  <c r="I1004" i="2" s="1"/>
  <c r="C787" i="5"/>
  <c r="I1006" i="2" s="1"/>
  <c r="C790" i="5"/>
  <c r="I1009" i="2" s="1"/>
  <c r="C792" i="5"/>
  <c r="I1011" i="2" s="1"/>
  <c r="C794" i="5"/>
  <c r="I1013" i="2" s="1"/>
  <c r="C796" i="5"/>
  <c r="I1015" i="2" s="1"/>
  <c r="C798" i="5"/>
  <c r="C814" i="5"/>
  <c r="I1034" i="2" s="1"/>
  <c r="C817" i="5"/>
  <c r="I1037" i="2" s="1"/>
  <c r="C822" i="5"/>
  <c r="I1042" i="2" s="1"/>
  <c r="C868" i="5"/>
  <c r="I1122" i="2" s="1"/>
  <c r="C870" i="5"/>
  <c r="I1124" i="2" s="1"/>
  <c r="C889" i="5"/>
  <c r="I1145" i="2" s="1"/>
  <c r="C896" i="5"/>
  <c r="I1152" i="2" s="1"/>
  <c r="C908" i="5"/>
  <c r="I1164" i="2" s="1"/>
  <c r="C927" i="5"/>
  <c r="I1184" i="2" s="1"/>
  <c r="C951" i="5"/>
  <c r="I1213" i="2" s="1"/>
  <c r="C953" i="5"/>
  <c r="I1215" i="2" s="1"/>
  <c r="C955" i="5"/>
  <c r="I1217" i="2" s="1"/>
  <c r="C964" i="5"/>
  <c r="I1226" i="2" s="1"/>
  <c r="C976" i="5"/>
  <c r="I1239" i="2" s="1"/>
  <c r="C982" i="5"/>
  <c r="I1245" i="2" s="1"/>
  <c r="C988" i="5"/>
  <c r="I1251" i="2" s="1"/>
  <c r="C990" i="5"/>
  <c r="I1253" i="2" s="1"/>
  <c r="C1000" i="5"/>
  <c r="I1263" i="2" s="1"/>
  <c r="C1002" i="5"/>
  <c r="I1265" i="2" s="1"/>
  <c r="C1016" i="5"/>
  <c r="I1279" i="2" s="1"/>
  <c r="C1020" i="5"/>
  <c r="C1026" i="5"/>
  <c r="I1290" i="2" s="1"/>
  <c r="C1030" i="5"/>
  <c r="I1294" i="2" s="1"/>
  <c r="C1037" i="5"/>
  <c r="I1304" i="2" s="1"/>
  <c r="C1056" i="5"/>
  <c r="I1325" i="2" s="1"/>
  <c r="C1060" i="5"/>
  <c r="I1331" i="2" s="1"/>
  <c r="C1062" i="5"/>
  <c r="I1333" i="2" s="1"/>
  <c r="C1076" i="5"/>
  <c r="I1348" i="2" s="1"/>
  <c r="C1085" i="5"/>
  <c r="I1358" i="2" s="1"/>
  <c r="C1090" i="5"/>
  <c r="I1363" i="2" s="1"/>
  <c r="C1099" i="5"/>
  <c r="I1372" i="2" s="1"/>
  <c r="C1144" i="5"/>
  <c r="I1420" i="2" s="1"/>
  <c r="C1153" i="5"/>
  <c r="I1429" i="2" s="1"/>
  <c r="C1174" i="5"/>
  <c r="I1451" i="2" s="1"/>
  <c r="C1185" i="5"/>
  <c r="I1462" i="2" s="1"/>
  <c r="C1220" i="5"/>
  <c r="I1497" i="2" s="1"/>
  <c r="C1232" i="5"/>
  <c r="I1509" i="2" s="1"/>
  <c r="C1241" i="5"/>
  <c r="I1518" i="2" s="1"/>
  <c r="C1259" i="5"/>
  <c r="I1543" i="2" s="1"/>
  <c r="C1296" i="5"/>
  <c r="C1300" i="5"/>
  <c r="I1592" i="2" s="1"/>
  <c r="C1330" i="5"/>
  <c r="I1637" i="2" s="1"/>
  <c r="C1346" i="5"/>
  <c r="I1658" i="2" s="1"/>
  <c r="C1370" i="5"/>
  <c r="I1717" i="2" s="1"/>
  <c r="D1407" i="5"/>
  <c r="C1407" i="5" s="1"/>
  <c r="I1873" i="2" s="1"/>
  <c r="C1410" i="5"/>
  <c r="I1882" i="2" s="1"/>
  <c r="C1481" i="5"/>
  <c r="I2026" i="2" s="1"/>
  <c r="C1505" i="5"/>
  <c r="I2052" i="2" s="1"/>
  <c r="C1513" i="5"/>
  <c r="I2060" i="2" s="1"/>
  <c r="I2065" i="2"/>
  <c r="C1530" i="5"/>
  <c r="I2088" i="2" s="1"/>
  <c r="C1560" i="5"/>
  <c r="I2126" i="2" s="1"/>
  <c r="C1563" i="5"/>
  <c r="I2129" i="2" s="1"/>
  <c r="C1598" i="5"/>
  <c r="I2176" i="2" s="1"/>
  <c r="C1632" i="5"/>
  <c r="C1634" i="5" s="1"/>
  <c r="C1710" i="5"/>
  <c r="I2343" i="2" s="1"/>
  <c r="C1847" i="5"/>
  <c r="I2608" i="2" s="1"/>
  <c r="C1857" i="5"/>
  <c r="I2620" i="2" s="1"/>
  <c r="C1886" i="5"/>
  <c r="I2650" i="2" s="1"/>
  <c r="C1913" i="5"/>
  <c r="I2679" i="2" s="1"/>
  <c r="C1936" i="5"/>
  <c r="I2702" i="2" s="1"/>
  <c r="C1983" i="5"/>
  <c r="I2750" i="2" s="1"/>
  <c r="C2020" i="5"/>
  <c r="I2787" i="2" s="1"/>
  <c r="C2075" i="5"/>
  <c r="I2965" i="2" s="1"/>
  <c r="C838" i="5"/>
  <c r="I1058" i="2" s="1"/>
  <c r="C867" i="5"/>
  <c r="C869" i="5"/>
  <c r="I1123" i="2" s="1"/>
  <c r="C883" i="5"/>
  <c r="I1139" i="2" s="1"/>
  <c r="C890" i="5"/>
  <c r="I1146" i="2" s="1"/>
  <c r="C915" i="5"/>
  <c r="I1171" i="2" s="1"/>
  <c r="C925" i="5"/>
  <c r="I1182" i="2" s="1"/>
  <c r="C934" i="5"/>
  <c r="I1195" i="2" s="1"/>
  <c r="C937" i="5"/>
  <c r="I1199" i="2" s="1"/>
  <c r="C942" i="5"/>
  <c r="I1204" i="2" s="1"/>
  <c r="C959" i="5"/>
  <c r="I1221" i="2" s="1"/>
  <c r="C1003" i="5"/>
  <c r="I1266" i="2" s="1"/>
  <c r="C1010" i="5"/>
  <c r="I1273" i="2" s="1"/>
  <c r="C1042" i="5"/>
  <c r="I1310" i="2" s="1"/>
  <c r="C1044" i="5"/>
  <c r="I1312" i="2" s="1"/>
  <c r="C1057" i="5"/>
  <c r="I1326" i="2" s="1"/>
  <c r="C1063" i="5"/>
  <c r="I1334" i="2" s="1"/>
  <c r="C1084" i="5"/>
  <c r="I1357" i="2" s="1"/>
  <c r="C1087" i="5"/>
  <c r="I1360" i="2" s="1"/>
  <c r="C1098" i="5"/>
  <c r="I1371" i="2" s="1"/>
  <c r="C1105" i="5"/>
  <c r="I1379" i="2" s="1"/>
  <c r="C1136" i="5"/>
  <c r="I1412" i="2" s="1"/>
  <c r="C1138" i="5"/>
  <c r="I1414" i="2" s="1"/>
  <c r="C1143" i="5"/>
  <c r="I1419" i="2" s="1"/>
  <c r="C1148" i="5"/>
  <c r="I1424" i="2" s="1"/>
  <c r="C1158" i="5"/>
  <c r="I1434" i="2" s="1"/>
  <c r="C1173" i="5"/>
  <c r="I1450" i="2" s="1"/>
  <c r="C1177" i="5"/>
  <c r="I1454" i="2" s="1"/>
  <c r="D1188" i="5"/>
  <c r="C1188" i="5" s="1"/>
  <c r="I1465" i="2" s="1"/>
  <c r="C1189" i="5"/>
  <c r="I1466" i="2" s="1"/>
  <c r="C1208" i="5"/>
  <c r="I1485" i="2" s="1"/>
  <c r="C1210" i="5"/>
  <c r="I1487" i="2" s="1"/>
  <c r="C1212" i="5"/>
  <c r="I1489" i="2" s="1"/>
  <c r="C1214" i="5"/>
  <c r="I1491" i="2" s="1"/>
  <c r="C1216" i="5"/>
  <c r="I1493" i="2" s="1"/>
  <c r="C1222" i="5"/>
  <c r="I1499" i="2" s="1"/>
  <c r="C1235" i="5"/>
  <c r="I1512" i="2" s="1"/>
  <c r="C1240" i="5"/>
  <c r="I1517" i="2" s="1"/>
  <c r="C1242" i="5"/>
  <c r="I1519" i="2" s="1"/>
  <c r="C1283" i="5"/>
  <c r="I1575" i="2" s="1"/>
  <c r="C1285" i="5"/>
  <c r="I1577" i="2" s="1"/>
  <c r="C1287" i="5"/>
  <c r="I1579" i="2" s="1"/>
  <c r="C1289" i="5"/>
  <c r="I1581" i="2" s="1"/>
  <c r="C1291" i="5"/>
  <c r="I1583" i="2" s="1"/>
  <c r="C1312" i="5"/>
  <c r="I1604" i="2" s="1"/>
  <c r="C1320" i="5"/>
  <c r="I1613" i="2" s="1"/>
  <c r="C1324" i="5"/>
  <c r="I1623" i="2" s="1"/>
  <c r="C1368" i="5"/>
  <c r="I1715" i="2" s="1"/>
  <c r="C1450" i="5"/>
  <c r="C1454" i="5"/>
  <c r="I1990" i="2" s="1"/>
  <c r="C1455" i="5"/>
  <c r="I1992" i="2" s="1"/>
  <c r="D1459" i="5"/>
  <c r="C1459" i="5" s="1"/>
  <c r="I1998" i="2" s="1"/>
  <c r="C1462" i="5"/>
  <c r="I2001" i="2" s="1"/>
  <c r="C1472" i="5"/>
  <c r="I2034" i="2"/>
  <c r="C1489" i="5"/>
  <c r="I2036" i="2" s="1"/>
  <c r="C1497" i="5"/>
  <c r="I2044" i="2" s="1"/>
  <c r="C1512" i="5"/>
  <c r="I2059" i="2" s="1"/>
  <c r="C1517" i="5"/>
  <c r="I2069" i="2" s="1"/>
  <c r="I2111" i="2"/>
  <c r="I2133" i="2"/>
  <c r="C1668" i="5"/>
  <c r="I2295" i="2" s="1"/>
  <c r="C1670" i="5"/>
  <c r="I2297" i="2" s="1"/>
  <c r="C1672" i="5"/>
  <c r="I2299" i="2" s="1"/>
  <c r="C1674" i="5"/>
  <c r="I2301" i="2" s="1"/>
  <c r="C1676" i="5"/>
  <c r="I2303" i="2" s="1"/>
  <c r="I2305" i="2"/>
  <c r="C1679" i="5"/>
  <c r="I2307" i="2" s="1"/>
  <c r="C1681" i="5"/>
  <c r="I2309" i="2" s="1"/>
  <c r="C1683" i="5"/>
  <c r="I2311" i="2" s="1"/>
  <c r="C1685" i="5"/>
  <c r="I2313" i="2" s="1"/>
  <c r="C1714" i="5"/>
  <c r="I2347" i="2" s="1"/>
  <c r="C1728" i="5"/>
  <c r="I2367" i="2" s="1"/>
  <c r="C1733" i="5"/>
  <c r="I2372" i="2" s="1"/>
  <c r="C1735" i="5"/>
  <c r="I2376" i="2" s="1"/>
  <c r="C1736" i="5"/>
  <c r="I2377" i="2" s="1"/>
  <c r="I2397" i="2"/>
  <c r="C1851" i="5"/>
  <c r="I2612" i="2" s="1"/>
  <c r="C1870" i="5"/>
  <c r="I2633" i="2" s="1"/>
  <c r="C1883" i="5"/>
  <c r="I2647" i="2" s="1"/>
  <c r="C1927" i="5"/>
  <c r="I2693" i="2" s="1"/>
  <c r="C1937" i="5"/>
  <c r="I2703" i="2" s="1"/>
  <c r="C1945" i="5"/>
  <c r="I2710" i="2" s="1"/>
  <c r="C1947" i="5"/>
  <c r="I2712" i="2" s="1"/>
  <c r="C1949" i="5"/>
  <c r="I2714" i="2" s="1"/>
  <c r="C1976" i="5"/>
  <c r="I2743" i="2" s="1"/>
  <c r="C1990" i="5"/>
  <c r="I2757" i="2" s="1"/>
  <c r="C2007" i="5"/>
  <c r="I2774" i="2" s="1"/>
  <c r="C2010" i="5"/>
  <c r="I2777" i="2" s="1"/>
  <c r="C2076" i="5"/>
  <c r="I2966" i="2" s="1"/>
  <c r="C2192" i="5"/>
  <c r="I3116" i="2" s="1"/>
  <c r="C2240" i="5"/>
  <c r="C1469" i="5"/>
  <c r="I2009" i="2" s="1"/>
  <c r="C1480" i="5"/>
  <c r="I2025" i="2" s="1"/>
  <c r="I2030" i="2"/>
  <c r="D1502" i="5"/>
  <c r="C1502" i="5" s="1"/>
  <c r="I2049" i="2" s="1"/>
  <c r="C1514" i="5"/>
  <c r="I2061" i="2" s="1"/>
  <c r="C1570" i="5"/>
  <c r="I2137" i="2" s="1"/>
  <c r="C1575" i="5"/>
  <c r="I2142" i="2" s="1"/>
  <c r="C1585" i="5"/>
  <c r="C1596" i="5"/>
  <c r="I2174" i="2" s="1"/>
  <c r="C1651" i="5"/>
  <c r="C1653" i="5"/>
  <c r="I2272" i="2" s="1"/>
  <c r="C1655" i="5"/>
  <c r="I2274" i="2" s="1"/>
  <c r="C1699" i="5"/>
  <c r="I2327" i="2" s="1"/>
  <c r="C1715" i="5"/>
  <c r="I2348" i="2" s="1"/>
  <c r="C1745" i="5"/>
  <c r="I2393" i="2" s="1"/>
  <c r="C1866" i="5"/>
  <c r="I2629" i="2" s="1"/>
  <c r="I2637" i="2"/>
  <c r="C1879" i="5"/>
  <c r="I2643" i="2" s="1"/>
  <c r="C1895" i="5"/>
  <c r="I2659" i="2" s="1"/>
  <c r="C1934" i="5"/>
  <c r="I2700" i="2" s="1"/>
  <c r="C1964" i="5"/>
  <c r="C1968" i="5"/>
  <c r="C1970" i="5"/>
  <c r="I2737" i="2" s="1"/>
  <c r="C1987" i="5"/>
  <c r="I2754" i="2" s="1"/>
  <c r="C2004" i="5"/>
  <c r="I2771" i="2" s="1"/>
  <c r="C2023" i="5"/>
  <c r="I2790" i="2" s="1"/>
  <c r="C2066" i="5"/>
  <c r="C2073" i="5"/>
  <c r="I2963" i="2" s="1"/>
  <c r="C817" i="6"/>
  <c r="C75" i="6"/>
  <c r="C208" i="6"/>
  <c r="C34" i="6"/>
  <c r="C1669" i="5"/>
  <c r="I2296" i="2" s="1"/>
  <c r="C1673" i="5"/>
  <c r="I2300" i="2" s="1"/>
  <c r="C1677" i="5"/>
  <c r="I2304" i="2" s="1"/>
  <c r="C1680" i="5"/>
  <c r="I2308" i="2" s="1"/>
  <c r="C1684" i="5"/>
  <c r="I2312" i="2" s="1"/>
  <c r="C1721" i="5"/>
  <c r="I2357" i="2" s="1"/>
  <c r="C1732" i="5"/>
  <c r="I2371" i="2" s="1"/>
  <c r="C1820" i="5"/>
  <c r="C1822" i="5"/>
  <c r="I2583" i="2" s="1"/>
  <c r="C1824" i="5"/>
  <c r="I2585" i="2" s="1"/>
  <c r="C1826" i="5"/>
  <c r="I2587" i="2" s="1"/>
  <c r="C1828" i="5"/>
  <c r="I2589" i="2" s="1"/>
  <c r="C1834" i="5"/>
  <c r="I2595" i="2" s="1"/>
  <c r="C1836" i="5"/>
  <c r="I2597" i="2" s="1"/>
  <c r="C1838" i="5"/>
  <c r="I2599" i="2" s="1"/>
  <c r="C1840" i="5"/>
  <c r="I2601" i="2" s="1"/>
  <c r="C1848" i="5"/>
  <c r="I2609" i="2" s="1"/>
  <c r="C1873" i="5"/>
  <c r="I2636" i="2" s="1"/>
  <c r="C1914" i="5"/>
  <c r="I2680" i="2" s="1"/>
  <c r="C1999" i="5"/>
  <c r="I2766" i="2" s="1"/>
  <c r="C2014" i="5"/>
  <c r="I2781" i="2" s="1"/>
  <c r="C2074" i="5"/>
  <c r="I2964" i="2" s="1"/>
  <c r="C2115" i="5"/>
  <c r="I3020" i="2" s="1"/>
  <c r="C2145" i="5"/>
  <c r="I3060" i="2" s="1"/>
  <c r="D61" i="6"/>
  <c r="C61" i="6" s="1"/>
  <c r="C76" i="6"/>
  <c r="C726" i="6"/>
  <c r="C2093" i="5"/>
  <c r="I2996" i="2" s="1"/>
  <c r="C2096" i="5"/>
  <c r="I2999" i="2" s="1"/>
  <c r="C2104" i="5"/>
  <c r="I3008" i="2" s="1"/>
  <c r="C2147" i="5"/>
  <c r="I3062" i="2" s="1"/>
  <c r="C2193" i="5"/>
  <c r="I3117" i="2" s="1"/>
  <c r="C2194" i="5"/>
  <c r="I3118" i="2" s="1"/>
  <c r="C2195" i="5"/>
  <c r="I3120" i="2" s="1"/>
  <c r="C2202" i="5"/>
  <c r="I3132" i="2" s="1"/>
  <c r="I3136" i="2"/>
  <c r="C2205" i="5"/>
  <c r="I3140" i="2" s="1"/>
  <c r="I3142" i="2"/>
  <c r="I3144" i="2"/>
  <c r="I3146" i="2"/>
  <c r="C2231" i="5"/>
  <c r="I3172" i="2" s="1"/>
  <c r="C2235" i="5"/>
  <c r="I3176" i="2" s="1"/>
  <c r="C2242" i="5"/>
  <c r="I3195" i="2" s="1"/>
  <c r="C2250" i="5"/>
  <c r="I3211" i="2" s="1"/>
  <c r="C2259" i="5"/>
  <c r="I3220" i="2" s="1"/>
  <c r="C2268" i="5"/>
  <c r="I3229" i="2" s="1"/>
  <c r="C2277" i="5"/>
  <c r="I3238" i="2" s="1"/>
  <c r="C2279" i="5"/>
  <c r="I3240" i="2" s="1"/>
  <c r="C2291" i="5"/>
  <c r="I3252" i="2" s="1"/>
  <c r="C2347" i="5"/>
  <c r="C2358" i="5"/>
  <c r="I3375" i="2" s="1"/>
  <c r="C2360" i="5"/>
  <c r="I3377" i="2" s="1"/>
  <c r="C19" i="6"/>
  <c r="C106" i="6"/>
  <c r="C113" i="6"/>
  <c r="C146" i="6"/>
  <c r="C157" i="6"/>
  <c r="C187" i="6"/>
  <c r="C189" i="6"/>
  <c r="C288" i="6"/>
  <c r="C290" i="6"/>
  <c r="C298" i="6"/>
  <c r="C300" i="6"/>
  <c r="C302" i="6"/>
  <c r="C333" i="6"/>
  <c r="C599" i="6"/>
  <c r="C749" i="6"/>
  <c r="I3000" i="2"/>
  <c r="I3042" i="2"/>
  <c r="C2133" i="5"/>
  <c r="I3045" i="2" s="1"/>
  <c r="C2146" i="5"/>
  <c r="I3061" i="2" s="1"/>
  <c r="I3119" i="2"/>
  <c r="I3135" i="2"/>
  <c r="I3137" i="2"/>
  <c r="I3139" i="2"/>
  <c r="D2241" i="5"/>
  <c r="C2241" i="5" s="1"/>
  <c r="I3186" i="2" s="1"/>
  <c r="C2243" i="5"/>
  <c r="I3198" i="2" s="1"/>
  <c r="C2256" i="5"/>
  <c r="I3217" i="2" s="1"/>
  <c r="C2269" i="5"/>
  <c r="I3230" i="2" s="1"/>
  <c r="C2280" i="5"/>
  <c r="I3241" i="2" s="1"/>
  <c r="C2282" i="5"/>
  <c r="I3243" i="2" s="1"/>
  <c r="C2288" i="5"/>
  <c r="I3249" i="2" s="1"/>
  <c r="C2315" i="5"/>
  <c r="I3293" i="2" s="1"/>
  <c r="C2348" i="5"/>
  <c r="I3357" i="2" s="1"/>
  <c r="C2352" i="5"/>
  <c r="I3372" i="2" s="1"/>
  <c r="C2357" i="5"/>
  <c r="I3374" i="2" s="1"/>
  <c r="C2359" i="5"/>
  <c r="I3376" i="2" s="1"/>
  <c r="C72" i="6"/>
  <c r="C105" i="6"/>
  <c r="C153" i="6"/>
  <c r="C193" i="6"/>
  <c r="C264" i="6"/>
  <c r="C289" i="6"/>
  <c r="C297" i="6"/>
  <c r="C332" i="6"/>
  <c r="C776" i="6"/>
  <c r="C447" i="6"/>
  <c r="C455" i="6"/>
  <c r="C458" i="6"/>
  <c r="C467" i="6"/>
  <c r="C471" i="6"/>
  <c r="C474" i="6"/>
  <c r="C495" i="6"/>
  <c r="C503" i="6"/>
  <c r="C525" i="6"/>
  <c r="C536" i="6"/>
  <c r="C538" i="6"/>
  <c r="C539" i="6"/>
  <c r="C545" i="6"/>
  <c r="C547" i="6"/>
  <c r="C583" i="6"/>
  <c r="C589" i="6"/>
  <c r="C591" i="6"/>
  <c r="C593" i="6"/>
  <c r="C448" i="6"/>
  <c r="C456" i="6"/>
  <c r="C460" i="6"/>
  <c r="C465" i="6"/>
  <c r="C472" i="6"/>
  <c r="C491" i="6"/>
  <c r="C494" i="6"/>
  <c r="C500" i="6"/>
  <c r="C504" i="6"/>
  <c r="C506" i="6"/>
  <c r="C529" i="6"/>
  <c r="C535" i="6"/>
  <c r="C537" i="6"/>
  <c r="C546" i="6"/>
  <c r="C549" i="6"/>
  <c r="C553" i="6"/>
  <c r="C578" i="6"/>
  <c r="C582" i="6"/>
  <c r="C584" i="6"/>
  <c r="C588" i="6"/>
  <c r="C590" i="6"/>
  <c r="C676" i="6"/>
  <c r="C781" i="6"/>
  <c r="C629" i="6"/>
  <c r="C632" i="6"/>
  <c r="C674" i="6"/>
  <c r="C755" i="6"/>
  <c r="C761" i="6"/>
  <c r="C813" i="6"/>
  <c r="C875" i="6"/>
  <c r="C890" i="6"/>
  <c r="C891" i="6"/>
  <c r="C906" i="6"/>
  <c r="C908" i="6"/>
  <c r="C925" i="6"/>
  <c r="C930" i="6"/>
  <c r="C932" i="6"/>
  <c r="C606" i="6"/>
  <c r="C621" i="6"/>
  <c r="C630" i="6"/>
  <c r="C636" i="6"/>
  <c r="C711" i="6"/>
  <c r="C712" i="6"/>
  <c r="C754" i="6"/>
  <c r="C760" i="6"/>
  <c r="C778" i="6"/>
  <c r="C801" i="6"/>
  <c r="C823" i="6"/>
  <c r="C856" i="6"/>
  <c r="C858" i="6"/>
  <c r="C900" i="6"/>
  <c r="C905" i="6"/>
  <c r="C909" i="6"/>
  <c r="C914" i="6"/>
  <c r="C934" i="6"/>
  <c r="C941" i="6"/>
  <c r="C951" i="6"/>
  <c r="C955" i="6"/>
  <c r="E1096" i="6"/>
  <c r="E1097" i="6" s="1"/>
  <c r="C1092" i="6"/>
  <c r="C814" i="6"/>
  <c r="C825" i="6"/>
  <c r="C881" i="6"/>
  <c r="C885" i="6"/>
  <c r="C892" i="6"/>
  <c r="C899" i="6"/>
  <c r="C910" i="6"/>
  <c r="C911" i="6"/>
  <c r="C924" i="6"/>
  <c r="C929" i="6"/>
  <c r="C931" i="6"/>
  <c r="C942" i="6"/>
  <c r="C956" i="6"/>
  <c r="C965" i="6"/>
  <c r="S1096" i="6"/>
  <c r="S1097" i="6" s="1"/>
  <c r="C862" i="6"/>
  <c r="C867" i="6"/>
  <c r="C895" i="6"/>
  <c r="C913" i="6"/>
  <c r="C919" i="6"/>
  <c r="C935" i="6"/>
  <c r="C944" i="6"/>
  <c r="C954" i="6"/>
  <c r="C958" i="6"/>
  <c r="G1096" i="6"/>
  <c r="G1097" i="6" s="1"/>
  <c r="O1096" i="6"/>
  <c r="O1097" i="6" s="1"/>
  <c r="C1072" i="6"/>
  <c r="C1078" i="6"/>
  <c r="C1091" i="6"/>
  <c r="U1096" i="6"/>
  <c r="U1097" i="6" s="1"/>
  <c r="M1096" i="6"/>
  <c r="M1097" i="6" s="1"/>
  <c r="N1096" i="6"/>
  <c r="C155" i="4"/>
  <c r="I2004" i="2"/>
  <c r="C181" i="4"/>
  <c r="D57" i="4"/>
  <c r="C21" i="5"/>
  <c r="I27" i="2" s="1"/>
  <c r="I29" i="2"/>
  <c r="C23" i="5"/>
  <c r="I31" i="2" s="1"/>
  <c r="I33" i="2"/>
  <c r="C25" i="5"/>
  <c r="I35" i="2" s="1"/>
  <c r="C26" i="5"/>
  <c r="I37" i="2" s="1"/>
  <c r="C28" i="5"/>
  <c r="I39" i="2" s="1"/>
  <c r="C30" i="5"/>
  <c r="I41" i="2" s="1"/>
  <c r="C110" i="5"/>
  <c r="I141" i="2" s="1"/>
  <c r="C219" i="5"/>
  <c r="I299" i="2" s="1"/>
  <c r="C221" i="5"/>
  <c r="C386" i="5"/>
  <c r="I506" i="2" s="1"/>
  <c r="C388" i="5"/>
  <c r="I508" i="2" s="1"/>
  <c r="I86" i="2"/>
  <c r="C80" i="5"/>
  <c r="I103" i="2" s="1"/>
  <c r="I105" i="2"/>
  <c r="I107" i="2"/>
  <c r="I109" i="2"/>
  <c r="I111" i="2"/>
  <c r="C89" i="5"/>
  <c r="I117" i="2" s="1"/>
  <c r="I119" i="2"/>
  <c r="C180" i="5"/>
  <c r="I240" i="2" s="1"/>
  <c r="C164" i="5"/>
  <c r="C155" i="5"/>
  <c r="I198" i="2" s="1"/>
  <c r="C323" i="5"/>
  <c r="I405" i="2" s="1"/>
  <c r="I469" i="2"/>
  <c r="C358" i="5"/>
  <c r="I471" i="2" s="1"/>
  <c r="C360" i="5"/>
  <c r="I473" i="2" s="1"/>
  <c r="C363" i="5"/>
  <c r="I477" i="2" s="1"/>
  <c r="C365" i="5"/>
  <c r="I479" i="2" s="1"/>
  <c r="C366" i="5"/>
  <c r="I481" i="2" s="1"/>
  <c r="C382" i="5"/>
  <c r="I501" i="2" s="1"/>
  <c r="C398" i="5"/>
  <c r="I520" i="2" s="1"/>
  <c r="C400" i="5"/>
  <c r="I522" i="2" s="1"/>
  <c r="C402" i="5"/>
  <c r="I524" i="2" s="1"/>
  <c r="C426" i="5"/>
  <c r="I560" i="2" s="1"/>
  <c r="C428" i="5"/>
  <c r="I562" i="2" s="1"/>
  <c r="C430" i="5"/>
  <c r="I564" i="2" s="1"/>
  <c r="C432" i="5"/>
  <c r="I566" i="2" s="1"/>
  <c r="C434" i="5"/>
  <c r="I568" i="2" s="1"/>
  <c r="C436" i="5"/>
  <c r="I570" i="2" s="1"/>
  <c r="C438" i="5"/>
  <c r="I572" i="2" s="1"/>
  <c r="C440" i="5"/>
  <c r="I574" i="2" s="1"/>
  <c r="C655" i="5"/>
  <c r="I852" i="2" s="1"/>
  <c r="C657" i="5"/>
  <c r="I854" i="2" s="1"/>
  <c r="C659" i="5"/>
  <c r="I856" i="2" s="1"/>
  <c r="C661" i="5"/>
  <c r="I858" i="2" s="1"/>
  <c r="C663" i="5"/>
  <c r="I860" i="2" s="1"/>
  <c r="I868" i="2"/>
  <c r="I28" i="2"/>
  <c r="C22" i="5"/>
  <c r="I30" i="2" s="1"/>
  <c r="C24" i="5"/>
  <c r="I32" i="2" s="1"/>
  <c r="I34" i="2"/>
  <c r="I36" i="2"/>
  <c r="C27" i="5"/>
  <c r="I38" i="2" s="1"/>
  <c r="C29" i="5"/>
  <c r="I40" i="2" s="1"/>
  <c r="C31" i="5"/>
  <c r="I42" i="2" s="1"/>
  <c r="C111" i="5"/>
  <c r="I142" i="2" s="1"/>
  <c r="C142" i="5"/>
  <c r="I183" i="2" s="1"/>
  <c r="C144" i="5"/>
  <c r="I185" i="2" s="1"/>
  <c r="C146" i="5"/>
  <c r="I187" i="2" s="1"/>
  <c r="C148" i="5"/>
  <c r="I189" i="2" s="1"/>
  <c r="C171" i="5"/>
  <c r="C216" i="5"/>
  <c r="I296" i="2" s="1"/>
  <c r="C218" i="5"/>
  <c r="I298" i="2" s="1"/>
  <c r="C222" i="5"/>
  <c r="I302" i="2" s="1"/>
  <c r="I396" i="2"/>
  <c r="C324" i="5"/>
  <c r="I406" i="2" s="1"/>
  <c r="C326" i="5"/>
  <c r="I408" i="2" s="1"/>
  <c r="C328" i="5"/>
  <c r="I410" i="2" s="1"/>
  <c r="C385" i="5"/>
  <c r="I505" i="2" s="1"/>
  <c r="C387" i="5"/>
  <c r="I507" i="2" s="1"/>
  <c r="C419" i="5"/>
  <c r="I541" i="2" s="1"/>
  <c r="C468" i="5"/>
  <c r="C475" i="5"/>
  <c r="C476" i="5"/>
  <c r="I663" i="2" s="1"/>
  <c r="C478" i="5"/>
  <c r="I665" i="2" s="1"/>
  <c r="C480" i="5"/>
  <c r="I667" i="2" s="1"/>
  <c r="C482" i="5"/>
  <c r="I669" i="2" s="1"/>
  <c r="C484" i="5"/>
  <c r="I671" i="2" s="1"/>
  <c r="C486" i="5"/>
  <c r="I673" i="2" s="1"/>
  <c r="C488" i="5"/>
  <c r="I675" i="2" s="1"/>
  <c r="C490" i="5"/>
  <c r="I677" i="2" s="1"/>
  <c r="C492" i="5"/>
  <c r="I679" i="2" s="1"/>
  <c r="C494" i="5"/>
  <c r="I681" i="2" s="1"/>
  <c r="C496" i="5"/>
  <c r="I683" i="2" s="1"/>
  <c r="C498" i="5"/>
  <c r="I685" i="2" s="1"/>
  <c r="C499" i="5"/>
  <c r="I687" i="2" s="1"/>
  <c r="C501" i="5"/>
  <c r="I689" i="2" s="1"/>
  <c r="C503" i="5"/>
  <c r="I691" i="2" s="1"/>
  <c r="C505" i="5"/>
  <c r="I693" i="2" s="1"/>
  <c r="C507" i="5"/>
  <c r="I695" i="2" s="1"/>
  <c r="C509" i="5"/>
  <c r="I697" i="2" s="1"/>
  <c r="C511" i="5"/>
  <c r="I699" i="2" s="1"/>
  <c r="C513" i="5"/>
  <c r="I701" i="2" s="1"/>
  <c r="C515" i="5"/>
  <c r="I703" i="2" s="1"/>
  <c r="C517" i="5"/>
  <c r="I705" i="2" s="1"/>
  <c r="C519" i="5"/>
  <c r="I707" i="2" s="1"/>
  <c r="C521" i="5"/>
  <c r="I709" i="2" s="1"/>
  <c r="I711" i="2"/>
  <c r="C524" i="5"/>
  <c r="I713" i="2" s="1"/>
  <c r="C526" i="5"/>
  <c r="I715" i="2" s="1"/>
  <c r="C528" i="5"/>
  <c r="I717" i="2" s="1"/>
  <c r="C530" i="5"/>
  <c r="I719" i="2" s="1"/>
  <c r="C532" i="5"/>
  <c r="I721" i="2" s="1"/>
  <c r="C564" i="5"/>
  <c r="I753" i="2" s="1"/>
  <c r="C566" i="5"/>
  <c r="I755" i="2" s="1"/>
  <c r="C576" i="5"/>
  <c r="I769" i="2" s="1"/>
  <c r="C578" i="5"/>
  <c r="I771" i="2" s="1"/>
  <c r="C581" i="5"/>
  <c r="I774" i="2" s="1"/>
  <c r="C583" i="5"/>
  <c r="I776" i="2" s="1"/>
  <c r="C585" i="5"/>
  <c r="I778" i="2" s="1"/>
  <c r="C587" i="5"/>
  <c r="I780" i="2" s="1"/>
  <c r="C588" i="5"/>
  <c r="I782" i="2" s="1"/>
  <c r="C673" i="5"/>
  <c r="I871" i="2" s="1"/>
  <c r="C623" i="5"/>
  <c r="I818" i="2" s="1"/>
  <c r="C649" i="5"/>
  <c r="I844" i="2" s="1"/>
  <c r="C690" i="5"/>
  <c r="I888" i="2" s="1"/>
  <c r="C693" i="5"/>
  <c r="I891" i="2" s="1"/>
  <c r="C707" i="5"/>
  <c r="C425" i="5"/>
  <c r="C427" i="5"/>
  <c r="I561" i="2" s="1"/>
  <c r="C429" i="5"/>
  <c r="I563" i="2" s="1"/>
  <c r="C431" i="5"/>
  <c r="I565" i="2" s="1"/>
  <c r="C433" i="5"/>
  <c r="I567" i="2" s="1"/>
  <c r="C435" i="5"/>
  <c r="I569" i="2" s="1"/>
  <c r="C437" i="5"/>
  <c r="I571" i="2" s="1"/>
  <c r="C439" i="5"/>
  <c r="I573" i="2" s="1"/>
  <c r="C441" i="5"/>
  <c r="I575" i="2" s="1"/>
  <c r="C471" i="5"/>
  <c r="I655" i="2" s="1"/>
  <c r="C577" i="5"/>
  <c r="I770" i="2" s="1"/>
  <c r="C579" i="5"/>
  <c r="I772" i="2" s="1"/>
  <c r="C580" i="5"/>
  <c r="I773" i="2" s="1"/>
  <c r="C582" i="5"/>
  <c r="I775" i="2" s="1"/>
  <c r="C584" i="5"/>
  <c r="I777" i="2" s="1"/>
  <c r="C586" i="5"/>
  <c r="I779" i="2" s="1"/>
  <c r="C589" i="5"/>
  <c r="I783" i="2" s="1"/>
  <c r="C617" i="5"/>
  <c r="I812" i="2" s="1"/>
  <c r="C656" i="5"/>
  <c r="I853" i="2" s="1"/>
  <c r="C658" i="5"/>
  <c r="I855" i="2" s="1"/>
  <c r="C660" i="5"/>
  <c r="I857" i="2" s="1"/>
  <c r="C662" i="5"/>
  <c r="I859" i="2" s="1"/>
  <c r="C664" i="5"/>
  <c r="I861" i="2" s="1"/>
  <c r="C665" i="5"/>
  <c r="I862" i="2" s="1"/>
  <c r="C666" i="5"/>
  <c r="I863" i="2" s="1"/>
  <c r="C677" i="5"/>
  <c r="I875" i="2" s="1"/>
  <c r="C678" i="5"/>
  <c r="I876" i="2" s="1"/>
  <c r="C167" i="5"/>
  <c r="C169" i="5" s="1"/>
  <c r="D125" i="4"/>
  <c r="C299" i="5"/>
  <c r="I379" i="2" s="1"/>
  <c r="C301" i="5"/>
  <c r="I381" i="2" s="1"/>
  <c r="C303" i="5"/>
  <c r="I383" i="2" s="1"/>
  <c r="C305" i="5"/>
  <c r="I385" i="2" s="1"/>
  <c r="C307" i="5"/>
  <c r="I387" i="2" s="1"/>
  <c r="C747" i="5"/>
  <c r="C973" i="5"/>
  <c r="I1236" i="2" s="1"/>
  <c r="C974" i="5"/>
  <c r="I1237" i="2" s="1"/>
  <c r="C1038" i="5"/>
  <c r="I1305" i="2" s="1"/>
  <c r="C1114" i="5"/>
  <c r="I1389" i="2" s="1"/>
  <c r="C1152" i="5"/>
  <c r="I1428" i="2" s="1"/>
  <c r="C1201" i="5"/>
  <c r="I1478" i="2" s="1"/>
  <c r="D118" i="6"/>
  <c r="D119" i="6" s="1"/>
  <c r="D235" i="5"/>
  <c r="C235" i="5" s="1"/>
  <c r="I341" i="2" s="1"/>
  <c r="C1251" i="5"/>
  <c r="C1253" i="5" s="1"/>
  <c r="C1599" i="5"/>
  <c r="I2177" i="2" s="1"/>
  <c r="C1782" i="5"/>
  <c r="C1784" i="5" s="1"/>
  <c r="D1872" i="5"/>
  <c r="C187" i="5"/>
  <c r="I247" i="2" s="1"/>
  <c r="C356" i="5"/>
  <c r="I499" i="2"/>
  <c r="C444" i="5"/>
  <c r="C446" i="5"/>
  <c r="I628" i="2" s="1"/>
  <c r="C448" i="5"/>
  <c r="I630" i="2" s="1"/>
  <c r="C450" i="5"/>
  <c r="I632" i="2" s="1"/>
  <c r="C647" i="5"/>
  <c r="I842" i="2" s="1"/>
  <c r="C683" i="5"/>
  <c r="I881" i="2" s="1"/>
  <c r="C770" i="5"/>
  <c r="C882" i="5"/>
  <c r="C991" i="5"/>
  <c r="I1254" i="2" s="1"/>
  <c r="C1140" i="5"/>
  <c r="I1416" i="2" s="1"/>
  <c r="C1376" i="5"/>
  <c r="C1435" i="5"/>
  <c r="C1438" i="5" s="1"/>
  <c r="C1626" i="5"/>
  <c r="I2227" i="2" s="1"/>
  <c r="C72" i="4"/>
  <c r="C12" i="5"/>
  <c r="C17" i="5"/>
  <c r="I20" i="2" s="1"/>
  <c r="C179" i="5"/>
  <c r="I239" i="2" s="1"/>
  <c r="C160" i="5"/>
  <c r="I216" i="2" s="1"/>
  <c r="C220" i="5"/>
  <c r="C223" i="5"/>
  <c r="I303" i="2" s="1"/>
  <c r="D266" i="5"/>
  <c r="C266" i="5" s="1"/>
  <c r="I346" i="2" s="1"/>
  <c r="C272" i="5"/>
  <c r="I352" i="2" s="1"/>
  <c r="C275" i="5"/>
  <c r="I355" i="2" s="1"/>
  <c r="C277" i="5"/>
  <c r="I357" i="2" s="1"/>
  <c r="C278" i="5"/>
  <c r="I358" i="2" s="1"/>
  <c r="C280" i="5"/>
  <c r="I360" i="2" s="1"/>
  <c r="C282" i="5"/>
  <c r="I362" i="2" s="1"/>
  <c r="C284" i="5"/>
  <c r="I364" i="2" s="1"/>
  <c r="C286" i="5"/>
  <c r="I366" i="2" s="1"/>
  <c r="C288" i="5"/>
  <c r="I368" i="2" s="1"/>
  <c r="C290" i="5"/>
  <c r="I370" i="2" s="1"/>
  <c r="C536" i="5"/>
  <c r="C539" i="5"/>
  <c r="C540" i="5" s="1"/>
  <c r="C847" i="5"/>
  <c r="I1067" i="2" s="1"/>
  <c r="C985" i="5"/>
  <c r="I1248" i="2" s="1"/>
  <c r="C1184" i="5"/>
  <c r="I1461" i="2" s="1"/>
  <c r="C1186" i="5"/>
  <c r="I1463" i="2" s="1"/>
  <c r="C1405" i="5"/>
  <c r="I1859" i="2" s="1"/>
  <c r="C1418" i="5"/>
  <c r="C1421" i="5" s="1"/>
  <c r="I1995" i="2"/>
  <c r="D1589" i="5"/>
  <c r="C1589" i="5" s="1"/>
  <c r="I2162" i="2" s="1"/>
  <c r="C1642" i="5"/>
  <c r="I2255" i="2" s="1"/>
  <c r="C1713" i="5"/>
  <c r="C2313" i="5"/>
  <c r="I3291" i="2" s="1"/>
  <c r="I218" i="2"/>
  <c r="D408" i="4"/>
  <c r="I25" i="2"/>
  <c r="C100" i="5"/>
  <c r="I129" i="2" s="1"/>
  <c r="C125" i="5"/>
  <c r="C159" i="5"/>
  <c r="C161" i="5"/>
  <c r="I217" i="2" s="1"/>
  <c r="D198" i="5"/>
  <c r="C273" i="5"/>
  <c r="I353" i="2" s="1"/>
  <c r="C274" i="5"/>
  <c r="I354" i="2" s="1"/>
  <c r="C276" i="5"/>
  <c r="I356" i="2" s="1"/>
  <c r="C279" i="5"/>
  <c r="I359" i="2" s="1"/>
  <c r="C281" i="5"/>
  <c r="I361" i="2" s="1"/>
  <c r="C283" i="5"/>
  <c r="I363" i="2" s="1"/>
  <c r="C285" i="5"/>
  <c r="I365" i="2" s="1"/>
  <c r="C287" i="5"/>
  <c r="I367" i="2" s="1"/>
  <c r="C289" i="5"/>
  <c r="I369" i="2" s="1"/>
  <c r="C291" i="5"/>
  <c r="I371" i="2" s="1"/>
  <c r="C294" i="5"/>
  <c r="I374" i="2" s="1"/>
  <c r="C296" i="5"/>
  <c r="I376" i="2" s="1"/>
  <c r="C298" i="5"/>
  <c r="I378" i="2" s="1"/>
  <c r="C300" i="5"/>
  <c r="I380" i="2" s="1"/>
  <c r="C302" i="5"/>
  <c r="I382" i="2" s="1"/>
  <c r="C304" i="5"/>
  <c r="I384" i="2" s="1"/>
  <c r="C306" i="5"/>
  <c r="C325" i="5"/>
  <c r="I407" i="2" s="1"/>
  <c r="C327" i="5"/>
  <c r="I409" i="2" s="1"/>
  <c r="C380" i="5"/>
  <c r="I498" i="2" s="1"/>
  <c r="C873" i="5"/>
  <c r="I1127" i="2" s="1"/>
  <c r="C1269" i="5"/>
  <c r="C1270" i="5" s="1"/>
  <c r="C1304" i="5"/>
  <c r="D1406" i="5"/>
  <c r="C1406" i="5" s="1"/>
  <c r="I1863" i="2" s="1"/>
  <c r="C1603" i="5"/>
  <c r="I2187" i="2" s="1"/>
  <c r="C1616" i="5"/>
  <c r="C1617" i="5" s="1"/>
  <c r="C1625" i="5"/>
  <c r="C1750" i="5"/>
  <c r="C40" i="5"/>
  <c r="I54" i="2" s="1"/>
  <c r="C42" i="5"/>
  <c r="I56" i="2" s="1"/>
  <c r="C50" i="5"/>
  <c r="I64" i="2" s="1"/>
  <c r="C52" i="5"/>
  <c r="I66" i="2" s="1"/>
  <c r="C54" i="5"/>
  <c r="I68" i="2" s="1"/>
  <c r="C105" i="5"/>
  <c r="I134" i="2" s="1"/>
  <c r="C107" i="5"/>
  <c r="I136" i="2" s="1"/>
  <c r="D118" i="5"/>
  <c r="D123" i="5" s="1"/>
  <c r="C120" i="5"/>
  <c r="I154" i="2" s="1"/>
  <c r="C122" i="5"/>
  <c r="I158" i="2" s="1"/>
  <c r="C139" i="5"/>
  <c r="I180" i="2" s="1"/>
  <c r="I182" i="2"/>
  <c r="C143" i="5"/>
  <c r="I184" i="2" s="1"/>
  <c r="C145" i="5"/>
  <c r="I186" i="2" s="1"/>
  <c r="C147" i="5"/>
  <c r="I188" i="2" s="1"/>
  <c r="C192" i="5"/>
  <c r="C224" i="5"/>
  <c r="I304" i="2" s="1"/>
  <c r="C226" i="5"/>
  <c r="I306" i="2" s="1"/>
  <c r="C254" i="5"/>
  <c r="I333" i="2" s="1"/>
  <c r="C264" i="5"/>
  <c r="I344" i="2" s="1"/>
  <c r="C474" i="5"/>
  <c r="C477" i="5"/>
  <c r="I664" i="2" s="1"/>
  <c r="C479" i="5"/>
  <c r="I666" i="2" s="1"/>
  <c r="C481" i="5"/>
  <c r="I668" i="2" s="1"/>
  <c r="C483" i="5"/>
  <c r="I670" i="2" s="1"/>
  <c r="C485" i="5"/>
  <c r="I672" i="2" s="1"/>
  <c r="C487" i="5"/>
  <c r="I674" i="2" s="1"/>
  <c r="C489" i="5"/>
  <c r="I676" i="2" s="1"/>
  <c r="C491" i="5"/>
  <c r="I678" i="2" s="1"/>
  <c r="C493" i="5"/>
  <c r="I680" i="2" s="1"/>
  <c r="C495" i="5"/>
  <c r="I682" i="2" s="1"/>
  <c r="C497" i="5"/>
  <c r="I684" i="2" s="1"/>
  <c r="C500" i="5"/>
  <c r="I688" i="2" s="1"/>
  <c r="C502" i="5"/>
  <c r="I690" i="2" s="1"/>
  <c r="C504" i="5"/>
  <c r="I692" i="2" s="1"/>
  <c r="C506" i="5"/>
  <c r="I694" i="2" s="1"/>
  <c r="C508" i="5"/>
  <c r="I696" i="2" s="1"/>
  <c r="C510" i="5"/>
  <c r="I698" i="2" s="1"/>
  <c r="C512" i="5"/>
  <c r="I700" i="2" s="1"/>
  <c r="C514" i="5"/>
  <c r="I702" i="2" s="1"/>
  <c r="C516" i="5"/>
  <c r="I704" i="2" s="1"/>
  <c r="C518" i="5"/>
  <c r="I706" i="2" s="1"/>
  <c r="C520" i="5"/>
  <c r="I708" i="2" s="1"/>
  <c r="C522" i="5"/>
  <c r="I710" i="2" s="1"/>
  <c r="C523" i="5"/>
  <c r="I712" i="2" s="1"/>
  <c r="C525" i="5"/>
  <c r="I714" i="2" s="1"/>
  <c r="C527" i="5"/>
  <c r="I716" i="2" s="1"/>
  <c r="C529" i="5"/>
  <c r="I718" i="2" s="1"/>
  <c r="C531" i="5"/>
  <c r="I720" i="2" s="1"/>
  <c r="C533" i="5"/>
  <c r="I722" i="2" s="1"/>
  <c r="C575" i="5"/>
  <c r="C632" i="5"/>
  <c r="I827" i="2" s="1"/>
  <c r="C633" i="5"/>
  <c r="I828" i="2" s="1"/>
  <c r="C634" i="5"/>
  <c r="I829" i="2" s="1"/>
  <c r="C636" i="5"/>
  <c r="I831" i="2" s="1"/>
  <c r="C638" i="5"/>
  <c r="I833" i="2" s="1"/>
  <c r="C696" i="5"/>
  <c r="I894" i="2" s="1"/>
  <c r="C698" i="5"/>
  <c r="I896" i="2" s="1"/>
  <c r="C700" i="5"/>
  <c r="I898" i="2" s="1"/>
  <c r="C879" i="5"/>
  <c r="C880" i="5" s="1"/>
  <c r="C886" i="5"/>
  <c r="I1142" i="2" s="1"/>
  <c r="C923" i="5"/>
  <c r="I1180" i="2" s="1"/>
  <c r="C939" i="5"/>
  <c r="I1201" i="2" s="1"/>
  <c r="C960" i="5"/>
  <c r="I1222" i="2" s="1"/>
  <c r="C978" i="5"/>
  <c r="I1241" i="2" s="1"/>
  <c r="C980" i="5"/>
  <c r="I1243" i="2" s="1"/>
  <c r="C1009" i="5"/>
  <c r="I1272" i="2" s="1"/>
  <c r="C1018" i="5"/>
  <c r="I1281" i="2" s="1"/>
  <c r="C1022" i="5"/>
  <c r="I1286" i="2" s="1"/>
  <c r="C1028" i="5"/>
  <c r="I1292" i="2" s="1"/>
  <c r="C1046" i="5"/>
  <c r="C1065" i="5"/>
  <c r="I1336" i="2" s="1"/>
  <c r="C1067" i="5"/>
  <c r="I1338" i="2" s="1"/>
  <c r="C1107" i="5"/>
  <c r="I1381" i="2" s="1"/>
  <c r="C1109" i="5"/>
  <c r="I1383" i="2" s="1"/>
  <c r="C1111" i="5"/>
  <c r="I1385" i="2" s="1"/>
  <c r="C1117" i="5"/>
  <c r="I1392" i="2" s="1"/>
  <c r="C1120" i="5"/>
  <c r="I1395" i="2" s="1"/>
  <c r="C1122" i="5"/>
  <c r="I1397" i="2" s="1"/>
  <c r="C1124" i="5"/>
  <c r="I1400" i="2" s="1"/>
  <c r="C1126" i="5"/>
  <c r="I1402" i="2" s="1"/>
  <c r="C1128" i="5"/>
  <c r="I1404" i="2" s="1"/>
  <c r="C1130" i="5"/>
  <c r="I1406" i="2" s="1"/>
  <c r="C1133" i="5"/>
  <c r="I1409" i="2" s="1"/>
  <c r="C1156" i="5"/>
  <c r="I1432" i="2" s="1"/>
  <c r="C1165" i="5"/>
  <c r="I1441" i="2" s="1"/>
  <c r="C1166" i="5"/>
  <c r="I1442" i="2" s="1"/>
  <c r="C1182" i="5"/>
  <c r="I1459" i="2" s="1"/>
  <c r="C1219" i="5"/>
  <c r="I1496" i="2" s="1"/>
  <c r="C1227" i="5"/>
  <c r="I1504" i="2" s="1"/>
  <c r="C1229" i="5"/>
  <c r="I1506" i="2" s="1"/>
  <c r="C1390" i="5"/>
  <c r="C1394" i="5" s="1"/>
  <c r="C1624" i="5"/>
  <c r="I2225" i="2" s="1"/>
  <c r="C1778" i="5"/>
  <c r="C1780" i="5" s="1"/>
  <c r="D1940" i="5"/>
  <c r="C1940" i="5" s="1"/>
  <c r="I2706" i="2" s="1"/>
  <c r="C2072" i="5"/>
  <c r="I2962" i="2" s="1"/>
  <c r="C1298" i="5"/>
  <c r="I1590" i="2" s="1"/>
  <c r="C1338" i="5"/>
  <c r="I1650" i="2" s="1"/>
  <c r="D1385" i="5"/>
  <c r="C1385" i="5" s="1"/>
  <c r="C1396" i="5"/>
  <c r="C1451" i="5"/>
  <c r="I1986" i="2" s="1"/>
  <c r="C1468" i="5"/>
  <c r="I2008" i="2" s="1"/>
  <c r="C1475" i="5"/>
  <c r="I2017" i="2" s="1"/>
  <c r="C1479" i="5"/>
  <c r="I2023" i="2" s="1"/>
  <c r="C1535" i="5"/>
  <c r="D1545" i="5"/>
  <c r="C1545" i="5" s="1"/>
  <c r="I2108" i="2" s="1"/>
  <c r="D1548" i="5"/>
  <c r="C1548" i="5" s="1"/>
  <c r="C1650" i="5"/>
  <c r="I2269" i="2" s="1"/>
  <c r="C1654" i="5"/>
  <c r="I2273" i="2" s="1"/>
  <c r="C1671" i="5"/>
  <c r="I2298" i="2" s="1"/>
  <c r="C1675" i="5"/>
  <c r="I2302" i="2" s="1"/>
  <c r="C1678" i="5"/>
  <c r="I2306" i="2" s="1"/>
  <c r="C1682" i="5"/>
  <c r="I2310" i="2" s="1"/>
  <c r="D1722" i="5"/>
  <c r="C1722" i="5" s="1"/>
  <c r="I2358" i="2" s="1"/>
  <c r="C1731" i="5"/>
  <c r="I2370" i="2" s="1"/>
  <c r="C1734" i="5"/>
  <c r="I2375" i="2" s="1"/>
  <c r="D1794" i="5"/>
  <c r="D1795" i="5" s="1"/>
  <c r="C1946" i="5"/>
  <c r="I2711" i="2" s="1"/>
  <c r="C1948" i="5"/>
  <c r="I2713" i="2" s="1"/>
  <c r="D2042" i="5"/>
  <c r="C2042" i="5" s="1"/>
  <c r="I2862" i="2" s="1"/>
  <c r="C2150" i="5"/>
  <c r="C2152" i="5"/>
  <c r="I3069" i="2" s="1"/>
  <c r="C2156" i="5"/>
  <c r="I3073" i="2" s="1"/>
  <c r="C2158" i="5"/>
  <c r="I3075" i="2" s="1"/>
  <c r="C2160" i="5"/>
  <c r="I3077" i="2" s="1"/>
  <c r="C2162" i="5"/>
  <c r="I3079" i="2" s="1"/>
  <c r="C2164" i="5"/>
  <c r="I3081" i="2" s="1"/>
  <c r="C2166" i="5"/>
  <c r="I3083" i="2" s="1"/>
  <c r="C2167" i="5"/>
  <c r="I3085" i="2" s="1"/>
  <c r="C2169" i="5"/>
  <c r="I3087" i="2" s="1"/>
  <c r="I3133" i="2"/>
  <c r="C2206" i="5"/>
  <c r="I3141" i="2" s="1"/>
  <c r="I3143" i="2"/>
  <c r="I3145" i="2"/>
  <c r="C2232" i="5"/>
  <c r="I3173" i="2" s="1"/>
  <c r="C2258" i="5"/>
  <c r="I3219" i="2" s="1"/>
  <c r="C2261" i="5"/>
  <c r="I3222" i="2" s="1"/>
  <c r="C2290" i="5"/>
  <c r="I3251" i="2" s="1"/>
  <c r="C2293" i="5"/>
  <c r="I3254" i="2" s="1"/>
  <c r="C16" i="6"/>
  <c r="C29" i="6"/>
  <c r="W303" i="6"/>
  <c r="W307" i="6" s="1"/>
  <c r="C282" i="6"/>
  <c r="C310" i="6"/>
  <c r="D1445" i="5"/>
  <c r="C1445" i="5" s="1"/>
  <c r="C1909" i="5"/>
  <c r="C1910" i="5" s="1"/>
  <c r="C112" i="6"/>
  <c r="C205" i="6"/>
  <c r="C511" i="6"/>
  <c r="C1082" i="6"/>
  <c r="C1354" i="5"/>
  <c r="I1682" i="2" s="1"/>
  <c r="D1440" i="5"/>
  <c r="C1498" i="5"/>
  <c r="I2045" i="2" s="1"/>
  <c r="C1515" i="5"/>
  <c r="I2062" i="2" s="1"/>
  <c r="C1533" i="5"/>
  <c r="I2092" i="2" s="1"/>
  <c r="D1549" i="5"/>
  <c r="C1549" i="5" s="1"/>
  <c r="I2113" i="2" s="1"/>
  <c r="C1648" i="5"/>
  <c r="C1763" i="5"/>
  <c r="C1764" i="5" s="1"/>
  <c r="C2299" i="5"/>
  <c r="C38" i="6"/>
  <c r="C214" i="6"/>
  <c r="C284" i="6"/>
  <c r="C317" i="6"/>
  <c r="C368" i="6"/>
  <c r="C459" i="6"/>
  <c r="C562" i="6"/>
  <c r="C2230" i="5"/>
  <c r="I3171" i="2" s="1"/>
  <c r="C2234" i="5"/>
  <c r="I3175" i="2" s="1"/>
  <c r="C2249" i="5"/>
  <c r="C2254" i="5"/>
  <c r="C2257" i="5"/>
  <c r="I3218" i="2" s="1"/>
  <c r="C2262" i="5"/>
  <c r="I3223" i="2" s="1"/>
  <c r="C2265" i="5"/>
  <c r="I3226" i="2" s="1"/>
  <c r="C2270" i="5"/>
  <c r="I3231" i="2" s="1"/>
  <c r="C2273" i="5"/>
  <c r="I3234" i="2" s="1"/>
  <c r="C2278" i="5"/>
  <c r="I3239" i="2" s="1"/>
  <c r="C2281" i="5"/>
  <c r="I3242" i="2" s="1"/>
  <c r="C2286" i="5"/>
  <c r="I3247" i="2" s="1"/>
  <c r="C2289" i="5"/>
  <c r="I3250" i="2" s="1"/>
  <c r="C2294" i="5"/>
  <c r="I3255" i="2" s="1"/>
  <c r="D2350" i="5"/>
  <c r="C2350" i="5" s="1"/>
  <c r="I3351" i="2" s="1"/>
  <c r="C40" i="6"/>
  <c r="C53" i="6"/>
  <c r="C107" i="6"/>
  <c r="C141" i="6"/>
  <c r="C152" i="6"/>
  <c r="C182" i="6"/>
  <c r="C188" i="6"/>
  <c r="C2203" i="5"/>
  <c r="I3134" i="2" s="1"/>
  <c r="C2204" i="5"/>
  <c r="I3138" i="2" s="1"/>
  <c r="C2229" i="5"/>
  <c r="I3170" i="2" s="1"/>
  <c r="C2233" i="5"/>
  <c r="I3174" i="2" s="1"/>
  <c r="C2314" i="5"/>
  <c r="I3292" i="2" s="1"/>
  <c r="C48" i="6"/>
  <c r="D62" i="6"/>
  <c r="C62" i="6" s="1"/>
  <c r="C65" i="6"/>
  <c r="C101" i="6"/>
  <c r="C174" i="6"/>
  <c r="C39" i="6"/>
  <c r="C79" i="6"/>
  <c r="C98" i="6"/>
  <c r="C108" i="6"/>
  <c r="C114" i="6"/>
  <c r="C121" i="6"/>
  <c r="C155" i="6"/>
  <c r="C163" i="6"/>
  <c r="C170" i="6"/>
  <c r="C175" i="6"/>
  <c r="C183" i="6"/>
  <c r="C191" i="6"/>
  <c r="C199" i="6"/>
  <c r="C301" i="6"/>
  <c r="D303" i="6"/>
  <c r="D307" i="6" s="1"/>
  <c r="C670" i="6"/>
  <c r="D60" i="6"/>
  <c r="C60" i="6" s="1"/>
  <c r="C104" i="6"/>
  <c r="C115" i="6"/>
  <c r="C156" i="6"/>
  <c r="C164" i="6"/>
  <c r="C171" i="6"/>
  <c r="C178" i="6"/>
  <c r="C192" i="6"/>
  <c r="C200" i="6"/>
  <c r="C246" i="6"/>
  <c r="C283" i="6"/>
  <c r="C377" i="6"/>
  <c r="C381" i="6"/>
  <c r="C400" i="6"/>
  <c r="C489" i="6"/>
  <c r="C542" i="6"/>
  <c r="C557" i="6"/>
  <c r="C566" i="6"/>
  <c r="C745" i="6"/>
  <c r="C145" i="6"/>
  <c r="C151" i="6"/>
  <c r="C252" i="6"/>
  <c r="C267" i="6"/>
  <c r="C293" i="6"/>
  <c r="C340" i="6"/>
  <c r="C390" i="6"/>
  <c r="C454" i="6"/>
  <c r="C490" i="6"/>
  <c r="C502" i="6"/>
  <c r="C552" i="6"/>
  <c r="C265" i="6"/>
  <c r="C296" i="6"/>
  <c r="C365" i="6"/>
  <c r="C486" i="6"/>
  <c r="C514" i="6"/>
  <c r="C646" i="6"/>
  <c r="C812" i="6"/>
  <c r="C450" i="6"/>
  <c r="C457" i="6"/>
  <c r="C479" i="6"/>
  <c r="C507" i="6"/>
  <c r="C515" i="6"/>
  <c r="C560" i="6"/>
  <c r="C767" i="6"/>
  <c r="R1096" i="6"/>
  <c r="C445" i="6"/>
  <c r="X596" i="6"/>
  <c r="C700" i="6"/>
  <c r="C834" i="6"/>
  <c r="C1068" i="6"/>
  <c r="C633" i="6"/>
  <c r="C645" i="6"/>
  <c r="C713" i="6"/>
  <c r="C848" i="6"/>
  <c r="C523" i="6"/>
  <c r="C540" i="6"/>
  <c r="C556" i="6"/>
  <c r="C561" i="6"/>
  <c r="C577" i="6"/>
  <c r="C628" i="6"/>
  <c r="C647" i="6"/>
  <c r="C672" i="6"/>
  <c r="C675" i="6"/>
  <c r="C680" i="6"/>
  <c r="C704" i="6"/>
  <c r="C782" i="6"/>
  <c r="C840" i="6"/>
  <c r="Y1097" i="6"/>
  <c r="C994" i="6"/>
  <c r="C532" i="6"/>
  <c r="C573" i="6"/>
  <c r="C586" i="6"/>
  <c r="C625" i="6"/>
  <c r="C667" i="6"/>
  <c r="C689" i="6"/>
  <c r="C719" i="6"/>
  <c r="C847" i="6"/>
  <c r="C878" i="6"/>
  <c r="C886" i="6"/>
  <c r="C1070" i="6"/>
  <c r="H1096" i="6"/>
  <c r="H1097" i="6" s="1"/>
  <c r="L1096" i="6"/>
  <c r="L1097" i="6" s="1"/>
  <c r="P1096" i="6"/>
  <c r="P1097" i="6" s="1"/>
  <c r="T1096" i="6"/>
  <c r="T1097" i="6" s="1"/>
  <c r="C613" i="6"/>
  <c r="C652" i="6"/>
  <c r="C671" i="6"/>
  <c r="C693" i="6"/>
  <c r="C697" i="6"/>
  <c r="C799" i="6"/>
  <c r="C865" i="6"/>
  <c r="C800" i="6"/>
  <c r="C861" i="6"/>
  <c r="C894" i="6"/>
  <c r="C897" i="6"/>
  <c r="C943" i="6"/>
  <c r="Z1097" i="6"/>
  <c r="I1096" i="6"/>
  <c r="I1097" i="6" s="1"/>
  <c r="Q1096" i="6"/>
  <c r="C887" i="6"/>
  <c r="C893" i="6"/>
  <c r="C916" i="6"/>
  <c r="C953" i="6"/>
  <c r="C964" i="6"/>
  <c r="C1054" i="6"/>
  <c r="F1096" i="6"/>
  <c r="J1096" i="6"/>
  <c r="J1097" i="6" s="1"/>
  <c r="V1096" i="6"/>
  <c r="V1097" i="6" s="1"/>
  <c r="C756" i="6"/>
  <c r="C773" i="6"/>
  <c r="C796" i="6"/>
  <c r="C822" i="6"/>
  <c r="C841" i="6"/>
  <c r="C857" i="6"/>
  <c r="C873" i="6"/>
  <c r="C883" i="6"/>
  <c r="C902" i="6"/>
  <c r="C927" i="6"/>
  <c r="C1038" i="6"/>
  <c r="C1083" i="6"/>
  <c r="C907" i="6"/>
  <c r="C923" i="6"/>
  <c r="C938" i="6"/>
  <c r="C949" i="6"/>
  <c r="C991" i="6"/>
  <c r="C1069" i="6"/>
  <c r="C1081" i="6"/>
  <c r="C1093" i="6"/>
  <c r="K1096" i="6"/>
  <c r="K1097" i="6" s="1"/>
  <c r="C1079" i="6"/>
  <c r="C1088" i="6"/>
  <c r="C360" i="6" l="1"/>
  <c r="W864" i="5"/>
  <c r="D864" i="5"/>
  <c r="C837" i="6"/>
  <c r="C51" i="6"/>
  <c r="I2518" i="2"/>
  <c r="I2519" i="2"/>
  <c r="C73" i="6"/>
  <c r="C229" i="6"/>
  <c r="I2715" i="2"/>
  <c r="I2458" i="2"/>
  <c r="I225" i="2"/>
  <c r="C54" i="6"/>
  <c r="C143" i="6"/>
  <c r="C224" i="6"/>
  <c r="C30" i="6"/>
  <c r="C668" i="6"/>
  <c r="C398" i="6"/>
  <c r="C250" i="6"/>
  <c r="C124" i="6"/>
  <c r="C68" i="6"/>
  <c r="C206" i="6"/>
  <c r="C36" i="6"/>
  <c r="C42" i="6"/>
  <c r="C719" i="4"/>
  <c r="C762" i="4"/>
  <c r="C188" i="5"/>
  <c r="C643" i="6"/>
  <c r="I213" i="2"/>
  <c r="C165" i="5"/>
  <c r="C181" i="5"/>
  <c r="C149" i="5"/>
  <c r="I194" i="2"/>
  <c r="C157" i="5"/>
  <c r="I2011" i="2"/>
  <c r="C1576" i="5"/>
  <c r="C89" i="4"/>
  <c r="C86" i="4"/>
  <c r="C138" i="4"/>
  <c r="D90" i="4"/>
  <c r="A44" i="6"/>
  <c r="A45" i="6" s="1"/>
  <c r="A48" i="6" s="1"/>
  <c r="D189" i="5"/>
  <c r="W189" i="5"/>
  <c r="A70" i="4"/>
  <c r="A71" i="4" s="1"/>
  <c r="A74" i="4" s="1"/>
  <c r="A75" i="4" s="1"/>
  <c r="A81" i="4" s="1"/>
  <c r="A78" i="4" s="1"/>
  <c r="A82" i="4" s="1"/>
  <c r="A181" i="2"/>
  <c r="A182" i="2" s="1"/>
  <c r="A183" i="2" s="1"/>
  <c r="A184" i="2" s="1"/>
  <c r="A185" i="2" s="1"/>
  <c r="A186" i="2" s="1"/>
  <c r="A187" i="2" s="1"/>
  <c r="A188" i="2" s="1"/>
  <c r="A189" i="2" s="1"/>
  <c r="A192" i="2" s="1"/>
  <c r="A193" i="2" s="1"/>
  <c r="W844" i="6"/>
  <c r="R844" i="6"/>
  <c r="R1097" i="6" s="1"/>
  <c r="C349" i="4"/>
  <c r="C183" i="4"/>
  <c r="C165" i="4"/>
  <c r="C688" i="4"/>
  <c r="C629" i="4"/>
  <c r="C426" i="4"/>
  <c r="C238" i="4"/>
  <c r="C582" i="4"/>
  <c r="C335" i="4"/>
  <c r="C101" i="4"/>
  <c r="C79" i="4"/>
  <c r="C633" i="4"/>
  <c r="C173" i="4"/>
  <c r="C53" i="4"/>
  <c r="C341" i="4"/>
  <c r="C265" i="4"/>
  <c r="C614" i="4"/>
  <c r="C449" i="4"/>
  <c r="C197" i="4"/>
  <c r="I1888" i="2"/>
  <c r="C637" i="4"/>
  <c r="C565" i="4"/>
  <c r="C644" i="4"/>
  <c r="C682" i="4"/>
  <c r="C444" i="4"/>
  <c r="C245" i="4"/>
  <c r="C732" i="4"/>
  <c r="C47" i="4"/>
  <c r="C517" i="4"/>
  <c r="C256" i="4"/>
  <c r="C187" i="4"/>
  <c r="C346" i="4"/>
  <c r="C76" i="4"/>
  <c r="C272" i="4"/>
  <c r="C597" i="4"/>
  <c r="C441" i="4"/>
  <c r="C191" i="4"/>
  <c r="I3268" i="2"/>
  <c r="I2334" i="2"/>
  <c r="I2335" i="2" s="1"/>
  <c r="I2138" i="2"/>
  <c r="I3106" i="2"/>
  <c r="I1314" i="2"/>
  <c r="C96" i="6"/>
  <c r="C2068" i="5"/>
  <c r="C196" i="5"/>
  <c r="D1876" i="5"/>
  <c r="D1906" i="5" s="1"/>
  <c r="C1583" i="5"/>
  <c r="I2788" i="2"/>
  <c r="C568" i="6"/>
  <c r="W1372" i="5"/>
  <c r="C2307" i="5"/>
  <c r="C1756" i="5"/>
  <c r="A29" i="5"/>
  <c r="A30" i="5" s="1"/>
  <c r="A31" i="5" s="1"/>
  <c r="A32" i="5" s="1"/>
  <c r="A33" i="5" s="1"/>
  <c r="A34" i="5" s="1"/>
  <c r="A35" i="5" s="1"/>
  <c r="A36" i="5" s="1"/>
  <c r="A37" i="5" s="1"/>
  <c r="A38" i="5" s="1"/>
  <c r="V1657" i="5"/>
  <c r="V2363" i="5" s="1"/>
  <c r="F1447" i="5"/>
  <c r="F2363" i="5" s="1"/>
  <c r="A201" i="4"/>
  <c r="A202" i="4" s="1"/>
  <c r="A203" i="4" s="1"/>
  <c r="A204" i="4" s="1"/>
  <c r="A205" i="4" s="1"/>
  <c r="A206" i="4" s="1"/>
  <c r="A207" i="4" s="1"/>
  <c r="A208" i="4" s="1"/>
  <c r="A211" i="4" s="1"/>
  <c r="A212" i="4" s="1"/>
  <c r="C227" i="4"/>
  <c r="C1905" i="5"/>
  <c r="C843" i="6"/>
  <c r="C134" i="5"/>
  <c r="C27" i="6"/>
  <c r="C441" i="6"/>
  <c r="I1447" i="5"/>
  <c r="I2363" i="5" s="1"/>
  <c r="C745" i="5"/>
  <c r="C509" i="6"/>
  <c r="C303" i="6"/>
  <c r="I1791" i="2"/>
  <c r="R1447" i="5"/>
  <c r="R2363" i="5" s="1"/>
  <c r="I1781" i="2"/>
  <c r="I1780" i="2"/>
  <c r="I1783" i="2"/>
  <c r="C277" i="6"/>
  <c r="I1779" i="2"/>
  <c r="I1782" i="2"/>
  <c r="C1388" i="5"/>
  <c r="I962" i="2"/>
  <c r="C768" i="5"/>
  <c r="C1577" i="5"/>
  <c r="E13" i="7" s="1"/>
  <c r="C419" i="4"/>
  <c r="C179" i="4"/>
  <c r="L919" i="2"/>
  <c r="L914" i="2"/>
  <c r="L920" i="2"/>
  <c r="L915" i="2"/>
  <c r="L926" i="2"/>
  <c r="L917" i="2"/>
  <c r="L923" i="2"/>
  <c r="L921" i="2"/>
  <c r="L925" i="2"/>
  <c r="L922" i="2"/>
  <c r="L918" i="2"/>
  <c r="L911" i="2"/>
  <c r="L913" i="2"/>
  <c r="L910" i="2"/>
  <c r="L916" i="2"/>
  <c r="L939" i="2"/>
  <c r="L908" i="2"/>
  <c r="L924" i="2"/>
  <c r="L907" i="2"/>
  <c r="L909" i="2"/>
  <c r="L945" i="2"/>
  <c r="C537" i="5"/>
  <c r="I658" i="2"/>
  <c r="I398" i="2"/>
  <c r="W1906" i="5"/>
  <c r="C578" i="4"/>
  <c r="D645" i="4"/>
  <c r="I2575" i="2"/>
  <c r="C1818" i="5"/>
  <c r="C1842" i="5"/>
  <c r="C1853" i="5"/>
  <c r="C1809" i="5"/>
  <c r="C815" i="6"/>
  <c r="C434" i="4"/>
  <c r="C1325" i="5"/>
  <c r="C149" i="6"/>
  <c r="Q236" i="6"/>
  <c r="Q1097" i="6" s="1"/>
  <c r="W2028" i="5"/>
  <c r="C840" i="5"/>
  <c r="I2708" i="2"/>
  <c r="I2784" i="2"/>
  <c r="I2707" i="2"/>
  <c r="I2019" i="2"/>
  <c r="C763" i="6"/>
  <c r="I226" i="2"/>
  <c r="W572" i="5"/>
  <c r="I2697" i="2"/>
  <c r="I2028" i="2"/>
  <c r="W1657" i="5"/>
  <c r="I3065" i="2"/>
  <c r="I2577" i="2"/>
  <c r="C625" i="4"/>
  <c r="I2539" i="2"/>
  <c r="C651" i="4"/>
  <c r="I2695" i="2"/>
  <c r="C563" i="6"/>
  <c r="C554" i="6"/>
  <c r="C315" i="6"/>
  <c r="C550" i="6"/>
  <c r="C167" i="6"/>
  <c r="C109" i="6"/>
  <c r="C430" i="4"/>
  <c r="C211" i="6"/>
  <c r="C695" i="6"/>
  <c r="C139" i="6"/>
  <c r="I1174" i="2"/>
  <c r="C328" i="4"/>
  <c r="C412" i="6"/>
  <c r="C1040" i="6"/>
  <c r="C77" i="6"/>
  <c r="C366" i="6"/>
  <c r="C1095" i="6"/>
  <c r="C797" i="6"/>
  <c r="C766" i="4"/>
  <c r="C372" i="4"/>
  <c r="D342" i="4"/>
  <c r="C378" i="4"/>
  <c r="C558" i="6"/>
  <c r="C1073" i="6"/>
  <c r="C681" i="6"/>
  <c r="C729" i="4"/>
  <c r="C65" i="4"/>
  <c r="C826" i="6"/>
  <c r="C961" i="6"/>
  <c r="I2159" i="2"/>
  <c r="C504" i="4"/>
  <c r="C469" i="4"/>
  <c r="I2467" i="2"/>
  <c r="C606" i="4"/>
  <c r="C355" i="4"/>
  <c r="C512" i="6"/>
  <c r="C1012" i="6"/>
  <c r="C662" i="6"/>
  <c r="C648" i="6"/>
  <c r="C405" i="6"/>
  <c r="C162" i="4"/>
  <c r="C786" i="6"/>
  <c r="C595" i="6"/>
  <c r="C2027" i="5"/>
  <c r="C202" i="6"/>
  <c r="C61" i="4"/>
  <c r="I3297" i="2"/>
  <c r="E1447" i="5"/>
  <c r="I224" i="2"/>
  <c r="C1066" i="6"/>
  <c r="I2731" i="2"/>
  <c r="I2736" i="2"/>
  <c r="I2732" i="2"/>
  <c r="I2729" i="2"/>
  <c r="I2734" i="2"/>
  <c r="I2730" i="2"/>
  <c r="I2726" i="2"/>
  <c r="I2727" i="2"/>
  <c r="C1656" i="5"/>
  <c r="I2735" i="2"/>
  <c r="C1412" i="5"/>
  <c r="C1686" i="5"/>
  <c r="C1646" i="5"/>
  <c r="C2361" i="5"/>
  <c r="C2063" i="5"/>
  <c r="C2078" i="5"/>
  <c r="C1630" i="5"/>
  <c r="D1412" i="5"/>
  <c r="C1592" i="5"/>
  <c r="C2245" i="5"/>
  <c r="C2317" i="5"/>
  <c r="C863" i="5"/>
  <c r="W2246" i="5"/>
  <c r="D1748" i="5"/>
  <c r="D1785" i="5" s="1"/>
  <c r="D1592" i="5"/>
  <c r="D1657" i="5" s="1"/>
  <c r="G1447" i="5"/>
  <c r="C1614" i="5"/>
  <c r="C1804" i="5"/>
  <c r="D572" i="5"/>
  <c r="C2297" i="5"/>
  <c r="C1922" i="5"/>
  <c r="D1388" i="5"/>
  <c r="C1600" i="5"/>
  <c r="C1770" i="5"/>
  <c r="C1331" i="5"/>
  <c r="C1748" i="5"/>
  <c r="C2344" i="5"/>
  <c r="C1703" i="5"/>
  <c r="W1785" i="5"/>
  <c r="D2063" i="5"/>
  <c r="C452" i="5"/>
  <c r="C423" i="5"/>
  <c r="I1168" i="2"/>
  <c r="C1249" i="5"/>
  <c r="C92" i="5"/>
  <c r="C892" i="5"/>
  <c r="C442" i="5"/>
  <c r="C560" i="4"/>
  <c r="C571" i="5"/>
  <c r="C227" i="5"/>
  <c r="C338" i="4"/>
  <c r="C843" i="5"/>
  <c r="C394" i="5"/>
  <c r="C877" i="5"/>
  <c r="C1302" i="5"/>
  <c r="C1347" i="5"/>
  <c r="C1264" i="5"/>
  <c r="C1371" i="5"/>
  <c r="C1359" i="5"/>
  <c r="D1372" i="5"/>
  <c r="C853" i="5"/>
  <c r="C705" i="5"/>
  <c r="C864" i="5" s="1"/>
  <c r="C534" i="5"/>
  <c r="C1292" i="5"/>
  <c r="C910" i="5"/>
  <c r="C352" i="5"/>
  <c r="C472" i="5"/>
  <c r="C113" i="5"/>
  <c r="I2083" i="2"/>
  <c r="I605" i="2"/>
  <c r="I622" i="2"/>
  <c r="I2015" i="2"/>
  <c r="I1751" i="2"/>
  <c r="I2139" i="2"/>
  <c r="D534" i="4"/>
  <c r="P2363" i="5"/>
  <c r="W125" i="6"/>
  <c r="I686" i="2"/>
  <c r="I2420" i="2"/>
  <c r="I2084" i="2"/>
  <c r="I2226" i="2"/>
  <c r="D1332" i="5"/>
  <c r="I1805" i="2"/>
  <c r="J192" i="4"/>
  <c r="I2074" i="2"/>
  <c r="I3322" i="2"/>
  <c r="I3301" i="2"/>
  <c r="I2242" i="2"/>
  <c r="I1793" i="2"/>
  <c r="I2798" i="2"/>
  <c r="D192" i="4"/>
  <c r="W708" i="6"/>
  <c r="W383" i="6"/>
  <c r="W787" i="6"/>
  <c r="G353" i="5"/>
  <c r="D372" i="4"/>
  <c r="D379" i="4" s="1"/>
  <c r="F257" i="4"/>
  <c r="C116" i="6"/>
  <c r="C379" i="6"/>
  <c r="C530" i="4"/>
  <c r="C722" i="4"/>
  <c r="I1931" i="2"/>
  <c r="I1920" i="2"/>
  <c r="I444" i="2"/>
  <c r="C523" i="4"/>
  <c r="C779" i="6"/>
  <c r="C750" i="6"/>
  <c r="I157" i="2"/>
  <c r="I3342" i="2"/>
  <c r="D256" i="4"/>
  <c r="D209" i="4"/>
  <c r="D138" i="4"/>
  <c r="D156" i="4" s="1"/>
  <c r="D723" i="4"/>
  <c r="I2437" i="2"/>
  <c r="I2161" i="2"/>
  <c r="C746" i="4"/>
  <c r="I162" i="2"/>
  <c r="C141" i="4"/>
  <c r="I156" i="2"/>
  <c r="C533" i="4"/>
  <c r="I2164" i="2"/>
  <c r="C729" i="6"/>
  <c r="N353" i="5"/>
  <c r="N2363" i="5" s="1"/>
  <c r="W764" i="6"/>
  <c r="D767" i="4"/>
  <c r="I1673" i="2"/>
  <c r="I1528" i="2"/>
  <c r="I3321" i="2"/>
  <c r="C382" i="6"/>
  <c r="C369" i="6"/>
  <c r="C654" i="6"/>
  <c r="C768" i="6"/>
  <c r="C774" i="6"/>
  <c r="C253" i="6"/>
  <c r="D1446" i="5"/>
  <c r="I2167" i="2"/>
  <c r="C585" i="4"/>
  <c r="I1746" i="2"/>
  <c r="I2498" i="2"/>
  <c r="C617" i="4"/>
  <c r="C742" i="6"/>
  <c r="I1802" i="2"/>
  <c r="I257" i="2"/>
  <c r="L257" i="2" s="1"/>
  <c r="W596" i="6"/>
  <c r="W236" i="6"/>
  <c r="D352" i="5"/>
  <c r="W135" i="5"/>
  <c r="C691" i="4"/>
  <c r="I2450" i="2"/>
  <c r="I2464" i="2"/>
  <c r="C600" i="4"/>
  <c r="C640" i="4"/>
  <c r="C538" i="4"/>
  <c r="D419" i="4"/>
  <c r="D470" i="4" s="1"/>
  <c r="I3358" i="2"/>
  <c r="C511" i="4"/>
  <c r="I2163" i="2"/>
  <c r="I2468" i="2"/>
  <c r="I2425" i="2"/>
  <c r="D578" i="4"/>
  <c r="D607" i="4" s="1"/>
  <c r="I1683" i="2"/>
  <c r="F1097" i="6"/>
  <c r="I2237" i="2"/>
  <c r="C527" i="4"/>
  <c r="D1249" i="5"/>
  <c r="D1293" i="5" s="1"/>
  <c r="U1293" i="5"/>
  <c r="U2363" i="5" s="1"/>
  <c r="W2362" i="5"/>
  <c r="I2581" i="2"/>
  <c r="I2603" i="2" s="1"/>
  <c r="I1588" i="2"/>
  <c r="I2287" i="2"/>
  <c r="I1150" i="2"/>
  <c r="I243" i="2"/>
  <c r="I179" i="2"/>
  <c r="W1332" i="5"/>
  <c r="C229" i="5"/>
  <c r="C329" i="5" s="1"/>
  <c r="D329" i="5"/>
  <c r="D2245" i="5"/>
  <c r="D2246" i="5" s="1"/>
  <c r="D1804" i="5"/>
  <c r="D1805" i="5" s="1"/>
  <c r="C198" i="5"/>
  <c r="C209" i="5" s="1"/>
  <c r="D209" i="5"/>
  <c r="I231" i="2"/>
  <c r="I518" i="2"/>
  <c r="I2157" i="2"/>
  <c r="I1572" i="2"/>
  <c r="C1414" i="5"/>
  <c r="C1416" i="5" s="1"/>
  <c r="I3287" i="2"/>
  <c r="I2456" i="2"/>
  <c r="W1293" i="5"/>
  <c r="C2080" i="5"/>
  <c r="I2316" i="2"/>
  <c r="I127" i="2"/>
  <c r="D2027" i="5"/>
  <c r="D2028" i="5" s="1"/>
  <c r="I2521" i="2"/>
  <c r="I438" i="2"/>
  <c r="I559" i="2"/>
  <c r="I2618" i="2"/>
  <c r="I2252" i="2"/>
  <c r="I1661" i="2"/>
  <c r="I2605" i="2"/>
  <c r="I2614" i="2" s="1"/>
  <c r="I3326" i="2"/>
  <c r="E353" i="5"/>
  <c r="I2497" i="2"/>
  <c r="I2186" i="2"/>
  <c r="I426" i="2"/>
  <c r="I2960" i="2"/>
  <c r="D1576" i="5"/>
  <c r="D1577" i="5" s="1"/>
  <c r="I1984" i="2"/>
  <c r="I2678" i="2"/>
  <c r="I737" i="2"/>
  <c r="I291" i="2"/>
  <c r="I2172" i="2"/>
  <c r="I1708" i="2"/>
  <c r="I1718" i="2" s="1"/>
  <c r="I2441" i="2"/>
  <c r="I2445" i="2" s="1"/>
  <c r="I1632" i="2"/>
  <c r="I456" i="2"/>
  <c r="I2337" i="2"/>
  <c r="D2361" i="5"/>
  <c r="D2362" i="5" s="1"/>
  <c r="I2797" i="2"/>
  <c r="I149" i="2"/>
  <c r="C116" i="5"/>
  <c r="I1115" i="2"/>
  <c r="I1065" i="2"/>
  <c r="I730" i="2"/>
  <c r="D135" i="5"/>
  <c r="I2223" i="2"/>
  <c r="W353" i="5"/>
  <c r="I2378" i="2"/>
  <c r="I2379" i="2"/>
  <c r="I880" i="2"/>
  <c r="I2381" i="2"/>
  <c r="I2355" i="2"/>
  <c r="I2345" i="2"/>
  <c r="I1611" i="2"/>
  <c r="I846" i="2"/>
  <c r="I840" i="2"/>
  <c r="I652" i="2"/>
  <c r="C144" i="4"/>
  <c r="I208" i="2"/>
  <c r="I206" i="2"/>
  <c r="I230" i="2"/>
  <c r="D61" i="4"/>
  <c r="D66" i="4" s="1"/>
  <c r="I147" i="2"/>
  <c r="N1097" i="6"/>
  <c r="C58" i="6"/>
  <c r="D63" i="6"/>
  <c r="D125" i="6" s="1"/>
  <c r="C802" i="6"/>
  <c r="C739" i="6"/>
  <c r="I161" i="2"/>
  <c r="C1055" i="6"/>
  <c r="C852" i="6"/>
  <c r="I2562" i="2"/>
  <c r="C746" i="6"/>
  <c r="I2407" i="2"/>
  <c r="C724" i="6"/>
  <c r="C717" i="6"/>
  <c r="I2261" i="2"/>
  <c r="C707" i="6"/>
  <c r="C701" i="6"/>
  <c r="C698" i="6"/>
  <c r="I2233" i="2"/>
  <c r="I1981" i="2"/>
  <c r="I1982" i="2" s="1"/>
  <c r="C600" i="6"/>
  <c r="I1844" i="2"/>
  <c r="I1777" i="2"/>
  <c r="C415" i="6"/>
  <c r="C318" i="6"/>
  <c r="I650" i="2"/>
  <c r="H3380" i="2"/>
  <c r="I3271" i="2"/>
  <c r="I1813" i="2"/>
  <c r="I276" i="2"/>
  <c r="I2825" i="2"/>
  <c r="I1801" i="2"/>
  <c r="I1649" i="2"/>
  <c r="I1806" i="2"/>
  <c r="I300" i="2"/>
  <c r="I2078" i="2"/>
  <c r="I1988" i="2"/>
  <c r="I1775" i="2"/>
  <c r="C1811" i="5"/>
  <c r="C1812" i="5" s="1"/>
  <c r="I2095" i="2"/>
  <c r="I2818" i="2"/>
  <c r="I417" i="2"/>
  <c r="I1757" i="2"/>
  <c r="I414" i="2"/>
  <c r="I301" i="2"/>
  <c r="I1313" i="2"/>
  <c r="I2945" i="2"/>
  <c r="I1786" i="2"/>
  <c r="I2112" i="2"/>
  <c r="I1970" i="2"/>
  <c r="I3355" i="2"/>
  <c r="I2415" i="2"/>
  <c r="I2563" i="2"/>
  <c r="I1804" i="2"/>
  <c r="I589" i="2"/>
  <c r="I1769" i="2"/>
  <c r="I585" i="2"/>
  <c r="I2810" i="2"/>
  <c r="I583" i="2"/>
  <c r="I1755" i="2"/>
  <c r="I625" i="2"/>
  <c r="I3366" i="2"/>
  <c r="I2483" i="2"/>
  <c r="I621" i="2"/>
  <c r="I3364" i="2"/>
  <c r="I1816" i="2"/>
  <c r="I619" i="2"/>
  <c r="I1739" i="2"/>
  <c r="I3360" i="2"/>
  <c r="I1941" i="2"/>
  <c r="I2887" i="2"/>
  <c r="I2935" i="2"/>
  <c r="I1851" i="2"/>
  <c r="I2938" i="2"/>
  <c r="I2883" i="2"/>
  <c r="I2903" i="2"/>
  <c r="I1949" i="2"/>
  <c r="I2930" i="2"/>
  <c r="I1741" i="2"/>
  <c r="I1943" i="2"/>
  <c r="I2916" i="2"/>
  <c r="I1740" i="2"/>
  <c r="I1071" i="2"/>
  <c r="I2948" i="2"/>
  <c r="I2866" i="2"/>
  <c r="I2848" i="2"/>
  <c r="I2523" i="2"/>
  <c r="I1770" i="2"/>
  <c r="I1876" i="2"/>
  <c r="I1104" i="2"/>
  <c r="I1738" i="2"/>
  <c r="I1076" i="2"/>
  <c r="I2827" i="2"/>
  <c r="I2418" i="2"/>
  <c r="I1848" i="2"/>
  <c r="I415" i="2"/>
  <c r="I3348" i="2"/>
  <c r="I2566" i="2"/>
  <c r="I1827" i="2"/>
  <c r="I2933" i="2"/>
  <c r="I2858" i="2"/>
  <c r="I2815" i="2"/>
  <c r="I2414" i="2"/>
  <c r="I2947" i="2"/>
  <c r="I1761" i="2"/>
  <c r="I1766" i="2"/>
  <c r="I3262" i="2"/>
  <c r="I1825" i="2"/>
  <c r="I1079" i="2"/>
  <c r="I3368" i="2"/>
  <c r="I2899" i="2"/>
  <c r="I2850" i="2"/>
  <c r="I2813" i="2"/>
  <c r="I2283" i="2"/>
  <c r="I1745" i="2"/>
  <c r="I1759" i="2"/>
  <c r="I1821" i="2"/>
  <c r="I2931" i="2"/>
  <c r="I2830" i="2"/>
  <c r="I2492" i="2"/>
  <c r="I1965" i="2"/>
  <c r="I1819" i="2"/>
  <c r="I1762" i="2"/>
  <c r="I1701" i="2"/>
  <c r="I1729" i="2"/>
  <c r="I2863" i="2"/>
  <c r="I2565" i="2"/>
  <c r="I2236" i="2"/>
  <c r="I1973" i="2"/>
  <c r="I1942" i="2"/>
  <c r="I1704" i="2"/>
  <c r="I2828" i="2"/>
  <c r="I1814" i="2"/>
  <c r="I1732" i="2"/>
  <c r="I1565" i="2"/>
  <c r="I600" i="2"/>
  <c r="I2533" i="2"/>
  <c r="I2213" i="2"/>
  <c r="I1966" i="2"/>
  <c r="I1936" i="2"/>
  <c r="I1856" i="2"/>
  <c r="I2839" i="2"/>
  <c r="I2808" i="2"/>
  <c r="I1812" i="2"/>
  <c r="I1730" i="2"/>
  <c r="I1538" i="2"/>
  <c r="I1101" i="2"/>
  <c r="I3359" i="2"/>
  <c r="I2910" i="2"/>
  <c r="I2812" i="2"/>
  <c r="I2264" i="2"/>
  <c r="I1958" i="2"/>
  <c r="I1929" i="2"/>
  <c r="I2847" i="2"/>
  <c r="I2834" i="2"/>
  <c r="I2241" i="2"/>
  <c r="I1972" i="2"/>
  <c r="I1862" i="2"/>
  <c r="I1536" i="2"/>
  <c r="I2900" i="2"/>
  <c r="I2803" i="2"/>
  <c r="I2243" i="2"/>
  <c r="I1950" i="2"/>
  <c r="I1726" i="2"/>
  <c r="I2121" i="2"/>
  <c r="I1799" i="2"/>
  <c r="I1550" i="2"/>
  <c r="I1551" i="2" s="1"/>
  <c r="I1537" i="2"/>
  <c r="I123" i="2"/>
  <c r="I2514" i="2"/>
  <c r="I2902" i="2"/>
  <c r="I2884" i="2"/>
  <c r="I2807" i="2"/>
  <c r="I2506" i="2"/>
  <c r="I2263" i="2"/>
  <c r="I3018" i="2"/>
  <c r="I1846" i="2"/>
  <c r="I1798" i="2"/>
  <c r="I1758" i="2"/>
  <c r="I1734" i="2"/>
  <c r="I2923" i="2"/>
  <c r="I2534" i="2"/>
  <c r="I1853" i="2"/>
  <c r="I1094" i="2"/>
  <c r="I608" i="2"/>
  <c r="I554" i="2"/>
  <c r="I2844" i="2"/>
  <c r="I2417" i="2"/>
  <c r="I1932" i="2"/>
  <c r="I1843" i="2"/>
  <c r="I1815" i="2"/>
  <c r="I1728" i="2"/>
  <c r="I2804" i="2"/>
  <c r="X1097" i="6"/>
  <c r="I2897" i="2"/>
  <c r="I2840" i="2"/>
  <c r="I2821" i="2"/>
  <c r="I2535" i="2"/>
  <c r="I2239" i="2"/>
  <c r="I2922" i="2"/>
  <c r="I1875" i="2"/>
  <c r="I1756" i="2"/>
  <c r="I1733" i="2"/>
  <c r="I620" i="2"/>
  <c r="I584" i="2"/>
  <c r="I2936" i="2"/>
  <c r="I2940" i="2"/>
  <c r="I2820" i="2"/>
  <c r="I1930" i="2"/>
  <c r="I1831" i="2"/>
  <c r="I1811" i="2"/>
  <c r="I727" i="2"/>
  <c r="I1957" i="2"/>
  <c r="I2219" i="2"/>
  <c r="I1300" i="2"/>
  <c r="I2075" i="2"/>
  <c r="I3361" i="2"/>
  <c r="I2934" i="2"/>
  <c r="I2890" i="2"/>
  <c r="I2833" i="2"/>
  <c r="I2816" i="2"/>
  <c r="I2488" i="2"/>
  <c r="I2218" i="2"/>
  <c r="I2920" i="2"/>
  <c r="I2489" i="2"/>
  <c r="I1860" i="2"/>
  <c r="I1820" i="2"/>
  <c r="I1744" i="2"/>
  <c r="I1700" i="2"/>
  <c r="I2564" i="2"/>
  <c r="I1955" i="2"/>
  <c r="I1078" i="2"/>
  <c r="I618" i="2"/>
  <c r="I582" i="2"/>
  <c r="I2867" i="2"/>
  <c r="I2569" i="2"/>
  <c r="I1928" i="2"/>
  <c r="I1810" i="2"/>
  <c r="I1447" i="2"/>
  <c r="I596" i="2"/>
  <c r="I343" i="2"/>
  <c r="I2908" i="2"/>
  <c r="I2217" i="2"/>
  <c r="I1787" i="2"/>
  <c r="I1109" i="2"/>
  <c r="I1828" i="2"/>
  <c r="I3344" i="2"/>
  <c r="I3168" i="2"/>
  <c r="I2919" i="2"/>
  <c r="I2886" i="2"/>
  <c r="I2831" i="2"/>
  <c r="I2814" i="2"/>
  <c r="I2282" i="2"/>
  <c r="I2505" i="2"/>
  <c r="I2487" i="2"/>
  <c r="I1935" i="2"/>
  <c r="I1854" i="2"/>
  <c r="I3343" i="2"/>
  <c r="I1864" i="2"/>
  <c r="I1845" i="2"/>
  <c r="I614" i="2"/>
  <c r="I578" i="2"/>
  <c r="I2865" i="2"/>
  <c r="I1947" i="2"/>
  <c r="I1880" i="2"/>
  <c r="I1826" i="2"/>
  <c r="I1800" i="2"/>
  <c r="I1743" i="2"/>
  <c r="I207" i="2"/>
  <c r="I2904" i="2"/>
  <c r="I1771" i="2"/>
  <c r="I1742" i="2"/>
  <c r="I601" i="2"/>
  <c r="I1103" i="2"/>
  <c r="I586" i="2"/>
  <c r="I597" i="2"/>
  <c r="I1083" i="2"/>
  <c r="I1084" i="2"/>
  <c r="I610" i="2"/>
  <c r="I1081" i="2"/>
  <c r="I1074" i="2"/>
  <c r="I604" i="2"/>
  <c r="I1082" i="2"/>
  <c r="I603" i="2"/>
  <c r="I1077" i="2"/>
  <c r="I590" i="2"/>
  <c r="I1893" i="2"/>
  <c r="I3367" i="2"/>
  <c r="I3345" i="2"/>
  <c r="I2942" i="2"/>
  <c r="I2901" i="2"/>
  <c r="I2826" i="2"/>
  <c r="I2972" i="2"/>
  <c r="I2915" i="2"/>
  <c r="I2891" i="2"/>
  <c r="I2875" i="2"/>
  <c r="I2843" i="2"/>
  <c r="I2572" i="2"/>
  <c r="I2917" i="2"/>
  <c r="I2874" i="2"/>
  <c r="I2799" i="2"/>
  <c r="I2851" i="2"/>
  <c r="I2558" i="2"/>
  <c r="I1968" i="2"/>
  <c r="I1952" i="2"/>
  <c r="I1878" i="2"/>
  <c r="I1817" i="2"/>
  <c r="I1763" i="2"/>
  <c r="I1703" i="2"/>
  <c r="I1963" i="2"/>
  <c r="I1868" i="2"/>
  <c r="I1809" i="2"/>
  <c r="I1773" i="2"/>
  <c r="I1736" i="2"/>
  <c r="I1072" i="2"/>
  <c r="I577" i="2"/>
  <c r="I1108" i="2"/>
  <c r="I611" i="2"/>
  <c r="I3356" i="2"/>
  <c r="I2953" i="2"/>
  <c r="I2012" i="2"/>
  <c r="I227" i="2"/>
  <c r="I2841" i="2"/>
  <c r="I1542" i="2"/>
  <c r="I2014" i="2"/>
  <c r="I1099" i="2"/>
  <c r="I3365" i="2"/>
  <c r="I3323" i="2"/>
  <c r="I2895" i="2"/>
  <c r="I2811" i="2"/>
  <c r="I2944" i="2"/>
  <c r="I2913" i="2"/>
  <c r="I2885" i="2"/>
  <c r="I2868" i="2"/>
  <c r="I3349" i="2"/>
  <c r="I2943" i="2"/>
  <c r="I2896" i="2"/>
  <c r="I2870" i="2"/>
  <c r="I2544" i="2"/>
  <c r="I2490" i="2"/>
  <c r="I2280" i="2"/>
  <c r="I2914" i="2"/>
  <c r="I2879" i="2"/>
  <c r="I2845" i="2"/>
  <c r="I2491" i="2"/>
  <c r="I2099" i="2"/>
  <c r="I1961" i="2"/>
  <c r="I1946" i="2"/>
  <c r="I1867" i="2"/>
  <c r="I1808" i="2"/>
  <c r="I1774" i="2"/>
  <c r="I1754" i="2"/>
  <c r="I1962" i="2"/>
  <c r="I1879" i="2"/>
  <c r="I1866" i="2"/>
  <c r="I1767" i="2"/>
  <c r="I1727" i="2"/>
  <c r="I2511" i="2"/>
  <c r="I288" i="2"/>
  <c r="I289" i="2" s="1"/>
  <c r="L289" i="2" s="1"/>
  <c r="I581" i="2"/>
  <c r="I552" i="2"/>
  <c r="I264" i="2"/>
  <c r="I3204" i="2"/>
  <c r="I2152" i="2"/>
  <c r="I2076" i="2"/>
  <c r="I3353" i="2"/>
  <c r="I2093" i="2"/>
  <c r="I2642" i="2"/>
  <c r="W1096" i="6"/>
  <c r="W1097" i="6" s="1"/>
  <c r="I2927" i="2"/>
  <c r="I2855" i="2"/>
  <c r="I2806" i="2"/>
  <c r="I2928" i="2"/>
  <c r="I2911" i="2"/>
  <c r="I2882" i="2"/>
  <c r="I2859" i="2"/>
  <c r="I2835" i="2"/>
  <c r="I2559" i="2"/>
  <c r="I2939" i="2"/>
  <c r="I2889" i="2"/>
  <c r="I2860" i="2"/>
  <c r="I2568" i="2"/>
  <c r="I2513" i="2"/>
  <c r="I2484" i="2"/>
  <c r="I2279" i="2"/>
  <c r="I2912" i="2"/>
  <c r="I2873" i="2"/>
  <c r="I2284" i="2"/>
  <c r="I2214" i="2"/>
  <c r="I2216" i="2"/>
  <c r="I1975" i="2"/>
  <c r="I1959" i="2"/>
  <c r="I1865" i="2"/>
  <c r="I1829" i="2"/>
  <c r="I1797" i="2"/>
  <c r="I1737" i="2"/>
  <c r="I1974" i="2"/>
  <c r="I1960" i="2"/>
  <c r="I1877" i="2"/>
  <c r="I1852" i="2"/>
  <c r="I1760" i="2"/>
  <c r="I1724" i="2"/>
  <c r="I1283" i="2"/>
  <c r="I1112" i="2"/>
  <c r="I433" i="2"/>
  <c r="I2234" i="2"/>
  <c r="I1991" i="2"/>
  <c r="I418" i="2"/>
  <c r="I1945" i="2"/>
  <c r="I1098" i="2"/>
  <c r="I1097" i="2"/>
  <c r="I1569" i="2"/>
  <c r="I2881" i="2"/>
  <c r="I3347" i="2"/>
  <c r="I2946" i="2"/>
  <c r="I2918" i="2"/>
  <c r="I2846" i="2"/>
  <c r="I2925" i="2"/>
  <c r="I2906" i="2"/>
  <c r="I2880" i="2"/>
  <c r="I2852" i="2"/>
  <c r="I2829" i="2"/>
  <c r="I3369" i="2"/>
  <c r="I2924" i="2"/>
  <c r="I2878" i="2"/>
  <c r="I2802" i="2"/>
  <c r="I2907" i="2"/>
  <c r="I2871" i="2"/>
  <c r="I2819" i="2"/>
  <c r="I2485" i="2"/>
  <c r="I1954" i="2"/>
  <c r="I1881" i="2"/>
  <c r="I1858" i="2"/>
  <c r="I1824" i="2"/>
  <c r="I1795" i="2"/>
  <c r="I1765" i="2"/>
  <c r="I1725" i="2"/>
  <c r="I1969" i="2"/>
  <c r="I1953" i="2"/>
  <c r="I1869" i="2"/>
  <c r="I1823" i="2"/>
  <c r="I1776" i="2"/>
  <c r="I1748" i="2"/>
  <c r="I1702" i="2"/>
  <c r="I1107" i="2"/>
  <c r="I617" i="2"/>
  <c r="I420" i="2"/>
  <c r="I2479" i="2"/>
  <c r="I1110" i="2"/>
  <c r="I613" i="2"/>
  <c r="I421" i="2"/>
  <c r="I155" i="2"/>
  <c r="I192" i="2"/>
  <c r="I1284" i="2"/>
  <c r="I1772" i="2"/>
  <c r="I646" i="2"/>
  <c r="I648" i="2" s="1"/>
  <c r="I1796" i="2"/>
  <c r="M768" i="4"/>
  <c r="F768" i="4"/>
  <c r="N768" i="4"/>
  <c r="I440" i="2"/>
  <c r="I1628" i="2"/>
  <c r="I1629" i="2" s="1"/>
  <c r="I764" i="2"/>
  <c r="I766" i="2" s="1"/>
  <c r="L766" i="2" s="1"/>
  <c r="I2270" i="2"/>
  <c r="G768" i="4"/>
  <c r="R768" i="4"/>
  <c r="E768" i="4"/>
  <c r="I725" i="2"/>
  <c r="J768" i="4"/>
  <c r="I553" i="2"/>
  <c r="I905" i="2"/>
  <c r="I211" i="2"/>
  <c r="I220" i="2" s="1"/>
  <c r="I651" i="2"/>
  <c r="I3350" i="2"/>
  <c r="I2921" i="2"/>
  <c r="I2929" i="2"/>
  <c r="I2849" i="2"/>
  <c r="I2663" i="2"/>
  <c r="I2486" i="2"/>
  <c r="I2971" i="2"/>
  <c r="I2853" i="2"/>
  <c r="I2877" i="2"/>
  <c r="I2805" i="2"/>
  <c r="I2809" i="2"/>
  <c r="I2024" i="2"/>
  <c r="I2822" i="2"/>
  <c r="I2240" i="2"/>
  <c r="I2013" i="2"/>
  <c r="I1939" i="2"/>
  <c r="I2180" i="2"/>
  <c r="I2184" i="2" s="1"/>
  <c r="I2091" i="2"/>
  <c r="I1944" i="2"/>
  <c r="I1850" i="2"/>
  <c r="I2145" i="2"/>
  <c r="I3319" i="2"/>
  <c r="I3305" i="2"/>
  <c r="I2501" i="2"/>
  <c r="I1818" i="2"/>
  <c r="I1747" i="2"/>
  <c r="I1907" i="2"/>
  <c r="I1699" i="2"/>
  <c r="I1822" i="2"/>
  <c r="I1735" i="2"/>
  <c r="I1102" i="2"/>
  <c r="I558" i="2"/>
  <c r="I1872" i="2"/>
  <c r="I1631" i="2"/>
  <c r="I1638" i="2" s="1"/>
  <c r="I595" i="2"/>
  <c r="I263" i="2"/>
  <c r="I2210" i="2"/>
  <c r="I1111" i="2"/>
  <c r="I599" i="2"/>
  <c r="I434" i="2"/>
  <c r="I1547" i="2"/>
  <c r="I1093" i="2"/>
  <c r="I260" i="2"/>
  <c r="I1553" i="2"/>
  <c r="I1554" i="2" s="1"/>
  <c r="I2248" i="2"/>
  <c r="I3205" i="2"/>
  <c r="I171" i="2"/>
  <c r="I989" i="2"/>
  <c r="L768" i="4"/>
  <c r="I2477" i="2"/>
  <c r="I3290" i="2"/>
  <c r="C118" i="6"/>
  <c r="I1849" i="2"/>
  <c r="I1121" i="2"/>
  <c r="I1066" i="2"/>
  <c r="I223" i="2"/>
  <c r="C1440" i="5"/>
  <c r="C1446" i="5" s="1"/>
  <c r="I3352" i="2"/>
  <c r="I643" i="2"/>
  <c r="I1091" i="2"/>
  <c r="C1794" i="5"/>
  <c r="C1795" i="5" s="1"/>
  <c r="C1805" i="5" s="1"/>
  <c r="I1847" i="2"/>
  <c r="I2471" i="2"/>
  <c r="I2905" i="2"/>
  <c r="I3354" i="2"/>
  <c r="I2909" i="2"/>
  <c r="I2832" i="2"/>
  <c r="I2941" i="2"/>
  <c r="I2837" i="2"/>
  <c r="I2857" i="2"/>
  <c r="I2249" i="2"/>
  <c r="I2211" i="2"/>
  <c r="I1934" i="2"/>
  <c r="I2876" i="2"/>
  <c r="I2220" i="2"/>
  <c r="I1901" i="2"/>
  <c r="I2102" i="2"/>
  <c r="I2616" i="2"/>
  <c r="I1731" i="2"/>
  <c r="I2557" i="2"/>
  <c r="I1841" i="2"/>
  <c r="I1807" i="2"/>
  <c r="I1073" i="2"/>
  <c r="I1792" i="2"/>
  <c r="I1075" i="2"/>
  <c r="I551" i="2"/>
  <c r="I1922" i="2"/>
  <c r="I1563" i="2"/>
  <c r="I1092" i="2"/>
  <c r="I624" i="2"/>
  <c r="I588" i="2"/>
  <c r="I435" i="2"/>
  <c r="I623" i="2"/>
  <c r="I594" i="2"/>
  <c r="I423" i="2"/>
  <c r="I327" i="2"/>
  <c r="I598" i="2"/>
  <c r="I416" i="2"/>
  <c r="I612" i="2"/>
  <c r="I3210" i="2"/>
  <c r="I1886" i="2"/>
  <c r="I1890" i="2" s="1"/>
  <c r="I662" i="2"/>
  <c r="I2436" i="2"/>
  <c r="I2439" i="2" s="1"/>
  <c r="I2267" i="2"/>
  <c r="I1135" i="2"/>
  <c r="I1136" i="2" s="1"/>
  <c r="I2401" i="2"/>
  <c r="I2411" i="2" s="1"/>
  <c r="I2201" i="2"/>
  <c r="I2447" i="2"/>
  <c r="I2448" i="2" s="1"/>
  <c r="I15" i="2"/>
  <c r="I1900" i="2"/>
  <c r="I726" i="2"/>
  <c r="I768" i="4"/>
  <c r="I1919" i="2"/>
  <c r="I1138" i="2"/>
  <c r="I1148" i="2" s="1"/>
  <c r="I626" i="2"/>
  <c r="Q768" i="4"/>
  <c r="I1532" i="2"/>
  <c r="I1534" i="2" s="1"/>
  <c r="S768" i="4"/>
  <c r="I957" i="2"/>
  <c r="I386" i="2"/>
  <c r="I1546" i="2"/>
  <c r="I475" i="2"/>
  <c r="I547" i="2"/>
  <c r="I549" i="2" s="1"/>
  <c r="I1834" i="2"/>
  <c r="I2675" i="2"/>
  <c r="I2676" i="2" s="1"/>
  <c r="I1803" i="2"/>
  <c r="I1835" i="2"/>
  <c r="I768" i="2"/>
  <c r="C118" i="5"/>
  <c r="C123" i="5" s="1"/>
  <c r="I1596" i="2"/>
  <c r="I3260" i="2"/>
  <c r="I3215" i="2"/>
  <c r="I193" i="2"/>
  <c r="I467" i="2"/>
  <c r="C1872" i="5"/>
  <c r="C1876" i="5" s="1"/>
  <c r="O768" i="4"/>
  <c r="I2570" i="2"/>
  <c r="I2196" i="2"/>
  <c r="I2198" i="2" s="1"/>
  <c r="I139" i="2"/>
  <c r="I145" i="2" s="1"/>
  <c r="I3067" i="2"/>
  <c r="I2549" i="2"/>
  <c r="I1908" i="2"/>
  <c r="I1562" i="2"/>
  <c r="I1090" i="2"/>
  <c r="I1018" i="2"/>
  <c r="I222" i="2"/>
  <c r="I3362" i="2"/>
  <c r="I3320" i="2"/>
  <c r="I3084" i="2"/>
  <c r="I2888" i="2"/>
  <c r="I2894" i="2"/>
  <c r="I2817" i="2"/>
  <c r="I2567" i="2"/>
  <c r="I2507" i="2"/>
  <c r="I2898" i="2"/>
  <c r="I2854" i="2"/>
  <c r="I2244" i="2"/>
  <c r="I2153" i="2"/>
  <c r="I2363" i="2"/>
  <c r="I1971" i="2"/>
  <c r="I1861" i="2"/>
  <c r="I2262" i="2"/>
  <c r="I2215" i="2"/>
  <c r="I1996" i="2"/>
  <c r="I1896" i="2"/>
  <c r="I2281" i="2"/>
  <c r="I2073" i="2"/>
  <c r="I2146" i="2"/>
  <c r="I1788" i="2"/>
  <c r="I1539" i="2"/>
  <c r="I1785" i="2"/>
  <c r="I1616" i="2"/>
  <c r="I2473" i="2"/>
  <c r="I616" i="2"/>
  <c r="I580" i="2"/>
  <c r="I328" i="2"/>
  <c r="I615" i="2"/>
  <c r="I587" i="2"/>
  <c r="I459" i="2"/>
  <c r="I463" i="2" s="1"/>
  <c r="I986" i="2"/>
  <c r="I266" i="2"/>
  <c r="I606" i="2"/>
  <c r="I246" i="2"/>
  <c r="I1161" i="2"/>
  <c r="I1166" i="2" s="1"/>
  <c r="I203" i="2"/>
  <c r="I3273" i="2"/>
  <c r="I3285" i="2" s="1"/>
  <c r="I3346" i="2"/>
  <c r="I3370" i="2"/>
  <c r="I2937" i="2"/>
  <c r="I2872" i="2"/>
  <c r="I3261" i="2"/>
  <c r="I2864" i="2"/>
  <c r="I2800" i="2"/>
  <c r="I2536" i="2"/>
  <c r="I2861" i="2"/>
  <c r="I2926" i="2"/>
  <c r="I2824" i="2"/>
  <c r="I2543" i="2"/>
  <c r="I2892" i="2"/>
  <c r="I2542" i="2"/>
  <c r="I2836" i="2"/>
  <c r="I2082" i="2"/>
  <c r="I1956" i="2"/>
  <c r="I3088" i="2"/>
  <c r="I2517" i="2"/>
  <c r="I2212" i="2"/>
  <c r="I2147" i="2"/>
  <c r="I1964" i="2"/>
  <c r="I1870" i="2"/>
  <c r="I2416" i="2"/>
  <c r="I1976" i="2"/>
  <c r="I2254" i="2"/>
  <c r="I2259" i="2" s="1"/>
  <c r="I1722" i="2"/>
  <c r="I1985" i="2"/>
  <c r="I1948" i="2"/>
  <c r="I1842" i="2"/>
  <c r="I1830" i="2"/>
  <c r="I1764" i="2"/>
  <c r="I1768" i="2"/>
  <c r="I1106" i="2"/>
  <c r="I1892" i="2"/>
  <c r="I1753" i="2"/>
  <c r="I1316" i="2"/>
  <c r="I967" i="2"/>
  <c r="I1897" i="2"/>
  <c r="I1568" i="2"/>
  <c r="I912" i="2"/>
  <c r="I602" i="2"/>
  <c r="I419" i="2"/>
  <c r="I607" i="2"/>
  <c r="I579" i="2"/>
  <c r="I413" i="2"/>
  <c r="I204" i="2"/>
  <c r="I1705" i="2"/>
  <c r="I273" i="2"/>
  <c r="I576" i="2"/>
  <c r="I422" i="2"/>
  <c r="I205" i="2"/>
  <c r="I1902" i="2"/>
  <c r="I1752" i="2"/>
  <c r="D1096" i="6"/>
  <c r="I432" i="2"/>
  <c r="I1125" i="2"/>
  <c r="I1749" i="2"/>
  <c r="I661" i="2"/>
  <c r="T768" i="4"/>
  <c r="E18" i="7"/>
  <c r="I2346" i="2"/>
  <c r="I13" i="2"/>
  <c r="H768" i="4"/>
  <c r="P768" i="4"/>
  <c r="I2662" i="2"/>
  <c r="K768" i="4"/>
  <c r="I2499" i="2"/>
  <c r="I2955" i="2"/>
  <c r="I2200" i="2"/>
  <c r="I636" i="2"/>
  <c r="I165" i="2"/>
  <c r="D18" i="7"/>
  <c r="I2823" i="2"/>
  <c r="I2413" i="2"/>
  <c r="I985" i="2"/>
  <c r="I199" i="2"/>
  <c r="I906" i="2"/>
  <c r="L906" i="2" s="1"/>
  <c r="I428" i="2"/>
  <c r="I429" i="2" s="1"/>
  <c r="L429" i="2" s="1"/>
  <c r="I279" i="2"/>
  <c r="C1034" i="6" l="1"/>
  <c r="C31" i="6"/>
  <c r="C406" i="6"/>
  <c r="C55" i="6"/>
  <c r="C189" i="5"/>
  <c r="I228" i="2"/>
  <c r="I241" i="2"/>
  <c r="L241" i="2" s="1"/>
  <c r="C353" i="5"/>
  <c r="I3317" i="2"/>
  <c r="L3317" i="2" s="1"/>
  <c r="C90" i="4"/>
  <c r="C156" i="4"/>
  <c r="I2143" i="2"/>
  <c r="L2143" i="2" s="1"/>
  <c r="I960" i="2"/>
  <c r="L960" i="2" s="1"/>
  <c r="L463" i="2"/>
  <c r="I201" i="2"/>
  <c r="L201" i="2" s="1"/>
  <c r="I248" i="2"/>
  <c r="A88" i="4"/>
  <c r="A83" i="4" s="1"/>
  <c r="A84" i="4" s="1"/>
  <c r="A85" i="4" s="1"/>
  <c r="A93" i="4" s="1"/>
  <c r="A94" i="4" s="1"/>
  <c r="A95" i="4" s="1"/>
  <c r="A96" i="4" s="1"/>
  <c r="A97" i="4" s="1"/>
  <c r="A100" i="4" s="1"/>
  <c r="L220" i="2"/>
  <c r="A194" i="2"/>
  <c r="A195" i="2" s="1"/>
  <c r="A196" i="2" s="1"/>
  <c r="A197" i="2" s="1"/>
  <c r="A198" i="2" s="1"/>
  <c r="C844" i="6"/>
  <c r="A39" i="5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I3295" i="2"/>
  <c r="I656" i="2"/>
  <c r="C652" i="4"/>
  <c r="C534" i="4"/>
  <c r="I2526" i="2"/>
  <c r="I1894" i="2"/>
  <c r="I442" i="2"/>
  <c r="L442" i="2" s="1"/>
  <c r="C192" i="4"/>
  <c r="C767" i="4"/>
  <c r="I3206" i="2"/>
  <c r="L1982" i="2"/>
  <c r="G2363" i="5"/>
  <c r="I2545" i="2"/>
  <c r="C307" i="6"/>
  <c r="C649" i="6"/>
  <c r="E8" i="7"/>
  <c r="I2560" i="2"/>
  <c r="I1594" i="2"/>
  <c r="L1594" i="2" s="1"/>
  <c r="L967" i="2"/>
  <c r="I983" i="2"/>
  <c r="L983" i="2" s="1"/>
  <c r="L912" i="2"/>
  <c r="I659" i="2"/>
  <c r="I2579" i="2"/>
  <c r="C645" i="4"/>
  <c r="C1906" i="5"/>
  <c r="I2540" i="2"/>
  <c r="I2671" i="2"/>
  <c r="L2671" i="2" s="1"/>
  <c r="I2537" i="2"/>
  <c r="I2573" i="2"/>
  <c r="C342" i="4"/>
  <c r="I545" i="2"/>
  <c r="C236" i="6"/>
  <c r="E5" i="7"/>
  <c r="L2603" i="2"/>
  <c r="C470" i="4"/>
  <c r="C379" i="4"/>
  <c r="I644" i="2"/>
  <c r="L644" i="2" s="1"/>
  <c r="I2794" i="2"/>
  <c r="C723" i="4"/>
  <c r="C63" i="6"/>
  <c r="C787" i="6"/>
  <c r="C764" i="6"/>
  <c r="C607" i="4"/>
  <c r="C209" i="4"/>
  <c r="C1096" i="6"/>
  <c r="C442" i="6"/>
  <c r="C621" i="4"/>
  <c r="C1332" i="5"/>
  <c r="E12" i="7" s="1"/>
  <c r="C1293" i="5"/>
  <c r="E9" i="7" s="1"/>
  <c r="C1657" i="5"/>
  <c r="E14" i="7" s="1"/>
  <c r="C2028" i="5"/>
  <c r="E19" i="7" s="1"/>
  <c r="C2362" i="5"/>
  <c r="C1785" i="5"/>
  <c r="E15" i="7" s="1"/>
  <c r="D1447" i="5"/>
  <c r="C1447" i="5"/>
  <c r="E11" i="7" s="1"/>
  <c r="L2540" i="2"/>
  <c r="C1372" i="5"/>
  <c r="E10" i="7" s="1"/>
  <c r="C572" i="5"/>
  <c r="E7" i="7" s="1"/>
  <c r="C135" i="5"/>
  <c r="E4" i="7" s="1"/>
  <c r="I1117" i="2"/>
  <c r="I1063" i="2"/>
  <c r="L1063" i="2" s="1"/>
  <c r="I1697" i="2"/>
  <c r="I2314" i="2"/>
  <c r="I2462" i="2"/>
  <c r="I2170" i="2"/>
  <c r="I2265" i="2"/>
  <c r="I2968" i="2"/>
  <c r="I1584" i="2"/>
  <c r="I2688" i="2"/>
  <c r="L2614" i="2"/>
  <c r="I190" i="2"/>
  <c r="L190" i="2" s="1"/>
  <c r="I2332" i="2"/>
  <c r="I2551" i="2"/>
  <c r="I3340" i="2"/>
  <c r="L3340" i="2" s="1"/>
  <c r="E2363" i="5"/>
  <c r="I2178" i="2"/>
  <c r="D257" i="4"/>
  <c r="D768" i="4" s="1"/>
  <c r="J773" i="4" s="1"/>
  <c r="A213" i="4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9" i="4" s="1"/>
  <c r="A230" i="4" s="1"/>
  <c r="A231" i="4" s="1"/>
  <c r="A233" i="4" s="1"/>
  <c r="A234" i="4" s="1"/>
  <c r="A235" i="4" s="1"/>
  <c r="A236" i="4" s="1"/>
  <c r="A237" i="4" s="1"/>
  <c r="A240" i="4" s="1"/>
  <c r="A241" i="4" s="1"/>
  <c r="A242" i="4" s="1"/>
  <c r="A243" i="4" s="1"/>
  <c r="A244" i="4" s="1"/>
  <c r="A247" i="4" s="1"/>
  <c r="C119" i="6"/>
  <c r="I2231" i="2"/>
  <c r="D353" i="5"/>
  <c r="I2465" i="2"/>
  <c r="C66" i="4"/>
  <c r="I797" i="2"/>
  <c r="I903" i="2" s="1"/>
  <c r="L903" i="2" s="1"/>
  <c r="I760" i="2"/>
  <c r="C383" i="6"/>
  <c r="C494" i="4"/>
  <c r="W2363" i="5"/>
  <c r="I735" i="2"/>
  <c r="L735" i="2" s="1"/>
  <c r="E16" i="7"/>
  <c r="I2989" i="2"/>
  <c r="I270" i="2"/>
  <c r="I312" i="2"/>
  <c r="I411" i="2" s="1"/>
  <c r="L411" i="2" s="1"/>
  <c r="A103" i="4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I150" i="2"/>
  <c r="D1097" i="6"/>
  <c r="C596" i="6"/>
  <c r="I259" i="2"/>
  <c r="I1570" i="2"/>
  <c r="C853" i="6"/>
  <c r="I2502" i="2"/>
  <c r="C708" i="6"/>
  <c r="I175" i="2"/>
  <c r="I121" i="2"/>
  <c r="I2434" i="2"/>
  <c r="I556" i="2"/>
  <c r="I436" i="2"/>
  <c r="L436" i="2" s="1"/>
  <c r="I2474" i="2"/>
  <c r="I2205" i="2"/>
  <c r="I723" i="2"/>
  <c r="L723" i="2" s="1"/>
  <c r="I1566" i="2"/>
  <c r="I516" i="2"/>
  <c r="L516" i="2" s="1"/>
  <c r="I2285" i="2"/>
  <c r="I2493" i="2"/>
  <c r="I987" i="2"/>
  <c r="L987" i="2" s="1"/>
  <c r="I2275" i="2"/>
  <c r="I2480" i="2"/>
  <c r="I2221" i="2"/>
  <c r="I2155" i="2"/>
  <c r="I2246" i="2"/>
  <c r="I2250" i="2"/>
  <c r="I2958" i="2"/>
  <c r="I1917" i="2"/>
  <c r="I1905" i="2"/>
  <c r="L1905" i="2" s="1"/>
  <c r="I1898" i="2"/>
  <c r="I1926" i="2"/>
  <c r="I1884" i="2"/>
  <c r="L1884" i="2" s="1"/>
  <c r="I1113" i="2"/>
  <c r="L1113" i="2" s="1"/>
  <c r="I634" i="2"/>
  <c r="I424" i="2"/>
  <c r="L424" i="2" s="1"/>
  <c r="I307" i="2"/>
  <c r="L307" i="2" s="1"/>
  <c r="I1526" i="2"/>
  <c r="I1839" i="2"/>
  <c r="I728" i="2"/>
  <c r="I1832" i="2"/>
  <c r="I1086" i="2"/>
  <c r="L1086" i="2" s="1"/>
  <c r="I1060" i="2"/>
  <c r="L1060" i="2" s="1"/>
  <c r="I591" i="2"/>
  <c r="I1548" i="2"/>
  <c r="I1540" i="2"/>
  <c r="I2148" i="2"/>
  <c r="I2515" i="2"/>
  <c r="I1131" i="2"/>
  <c r="I1626" i="2"/>
  <c r="I1706" i="2"/>
  <c r="I1659" i="2"/>
  <c r="I3258" i="2"/>
  <c r="I3263" i="2"/>
  <c r="I2950" i="2"/>
  <c r="L2950" i="2" s="1"/>
  <c r="I3324" i="2"/>
  <c r="L3324" i="2" s="1"/>
  <c r="I3378" i="2"/>
  <c r="L3378" i="2" s="1"/>
  <c r="I209" i="2"/>
  <c r="L209" i="2" s="1"/>
  <c r="F18" i="7"/>
  <c r="C18" i="7" s="1"/>
  <c r="I125" i="2"/>
  <c r="L1898" i="2"/>
  <c r="I152" i="2"/>
  <c r="I163" i="2" s="1"/>
  <c r="L1890" i="2"/>
  <c r="L1894" i="2"/>
  <c r="I2635" i="2"/>
  <c r="I2207" i="2"/>
  <c r="I2208" i="2" s="1"/>
  <c r="I445" i="2"/>
  <c r="I454" i="2" s="1"/>
  <c r="L454" i="2" s="1"/>
  <c r="L1832" i="2"/>
  <c r="L228" i="2"/>
  <c r="L1926" i="2"/>
  <c r="L2560" i="2"/>
  <c r="L1917" i="2"/>
  <c r="L2545" i="2"/>
  <c r="L1839" i="2"/>
  <c r="L556" i="2"/>
  <c r="I2508" i="2"/>
  <c r="I1933" i="2"/>
  <c r="I1977" i="2" s="1"/>
  <c r="L2148" i="2"/>
  <c r="L1117" i="2" l="1"/>
  <c r="I1118" i="2"/>
  <c r="C125" i="6"/>
  <c r="I249" i="2"/>
  <c r="L249" i="2" s="1"/>
  <c r="A199" i="2"/>
  <c r="A200" i="2" s="1"/>
  <c r="A203" i="2" s="1"/>
  <c r="A204" i="2" s="1"/>
  <c r="A205" i="2" s="1"/>
  <c r="A206" i="2" s="1"/>
  <c r="A207" i="2" s="1"/>
  <c r="A208" i="2" s="1"/>
  <c r="A211" i="2" s="1"/>
  <c r="A212" i="2" s="1"/>
  <c r="A57" i="5"/>
  <c r="A58" i="5" s="1"/>
  <c r="A59" i="5" s="1"/>
  <c r="A60" i="5" s="1"/>
  <c r="A61" i="5" s="1"/>
  <c r="A62" i="5" s="1"/>
  <c r="A63" i="5" s="1"/>
  <c r="A64" i="5" s="1"/>
  <c r="A65" i="5" s="1"/>
  <c r="D17" i="7"/>
  <c r="D11" i="7"/>
  <c r="C257" i="4"/>
  <c r="I1639" i="2"/>
  <c r="L1639" i="2" s="1"/>
  <c r="D10" i="7"/>
  <c r="I2553" i="2"/>
  <c r="I2149" i="2"/>
  <c r="L2149" i="2" s="1"/>
  <c r="L2573" i="2"/>
  <c r="I761" i="2"/>
  <c r="L761" i="2" s="1"/>
  <c r="I2640" i="2"/>
  <c r="L2640" i="2" s="1"/>
  <c r="A120" i="4"/>
  <c r="A121" i="4" s="1"/>
  <c r="A122" i="4" s="1"/>
  <c r="L2579" i="2"/>
  <c r="C1097" i="6"/>
  <c r="I3379" i="2"/>
  <c r="L3379" i="2" s="1"/>
  <c r="L2537" i="2"/>
  <c r="D21" i="7"/>
  <c r="L2553" i="2"/>
  <c r="I2795" i="2"/>
  <c r="L2795" i="2" s="1"/>
  <c r="D20" i="7"/>
  <c r="D2363" i="5"/>
  <c r="D4" i="7"/>
  <c r="D6" i="7"/>
  <c r="D14" i="7"/>
  <c r="D5" i="7"/>
  <c r="I1978" i="2"/>
  <c r="L1978" i="2" s="1"/>
  <c r="D7" i="7"/>
  <c r="A248" i="4"/>
  <c r="A249" i="4" s="1"/>
  <c r="A250" i="4" s="1"/>
  <c r="A251" i="4" s="1"/>
  <c r="A252" i="4" s="1"/>
  <c r="A253" i="4" s="1"/>
  <c r="A254" i="4" s="1"/>
  <c r="A255" i="4" s="1"/>
  <c r="D19" i="7"/>
  <c r="D12" i="7"/>
  <c r="D13" i="7"/>
  <c r="D16" i="7"/>
  <c r="E6" i="7"/>
  <c r="D9" i="7"/>
  <c r="I284" i="2"/>
  <c r="L284" i="2" s="1"/>
  <c r="I268" i="2"/>
  <c r="L268" i="2" s="1"/>
  <c r="I176" i="2"/>
  <c r="L176" i="2" s="1"/>
  <c r="I2276" i="2"/>
  <c r="L2276" i="2" s="1"/>
  <c r="I1585" i="2"/>
  <c r="L1585" i="2" s="1"/>
  <c r="I2509" i="2"/>
  <c r="I2527" i="2" s="1"/>
  <c r="L2527" i="2" s="1"/>
  <c r="E17" i="7"/>
  <c r="E21" i="7"/>
  <c r="F19" i="7"/>
  <c r="F9" i="7"/>
  <c r="F15" i="7"/>
  <c r="F7" i="7"/>
  <c r="F14" i="7"/>
  <c r="G18" i="7"/>
  <c r="F20" i="7"/>
  <c r="F17" i="7"/>
  <c r="F12" i="7"/>
  <c r="F16" i="7"/>
  <c r="F5" i="7"/>
  <c r="F21" i="7"/>
  <c r="F11" i="7"/>
  <c r="F4" i="7"/>
  <c r="F13" i="7"/>
  <c r="F8" i="7"/>
  <c r="L1118" i="2" l="1"/>
  <c r="L2238" i="5"/>
  <c r="L2246" i="5" s="1"/>
  <c r="L2363" i="5" s="1"/>
  <c r="C2154" i="5"/>
  <c r="I464" i="2"/>
  <c r="L464" i="2" s="1"/>
  <c r="A66" i="5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4" i="5" s="1"/>
  <c r="C11" i="7"/>
  <c r="G11" i="7" s="1"/>
  <c r="C768" i="4"/>
  <c r="I2672" i="2"/>
  <c r="L2672" i="2" s="1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40" i="4" s="1"/>
  <c r="A143" i="4" s="1"/>
  <c r="A146" i="4" s="1"/>
  <c r="A147" i="4" s="1"/>
  <c r="A148" i="4" s="1"/>
  <c r="A149" i="4" s="1"/>
  <c r="A150" i="4" s="1"/>
  <c r="A151" i="4" s="1"/>
  <c r="A152" i="4" s="1"/>
  <c r="A153" i="4" s="1"/>
  <c r="C16" i="7"/>
  <c r="G16" i="7" s="1"/>
  <c r="D8" i="7"/>
  <c r="C8" i="7" s="1"/>
  <c r="G8" i="7" s="1"/>
  <c r="C5" i="7"/>
  <c r="G5" i="7" s="1"/>
  <c r="C14" i="7"/>
  <c r="G14" i="7" s="1"/>
  <c r="C19" i="7"/>
  <c r="G19" i="7" s="1"/>
  <c r="C12" i="7"/>
  <c r="G12" i="7" s="1"/>
  <c r="C13" i="7"/>
  <c r="G13" i="7" s="1"/>
  <c r="C7" i="7"/>
  <c r="G7" i="7" s="1"/>
  <c r="C17" i="7"/>
  <c r="C9" i="7"/>
  <c r="G9" i="7" s="1"/>
  <c r="A260" i="4"/>
  <c r="A261" i="4" s="1"/>
  <c r="A262" i="4" s="1"/>
  <c r="A263" i="4" s="1"/>
  <c r="A264" i="4" s="1"/>
  <c r="A267" i="4" s="1"/>
  <c r="A268" i="4" s="1"/>
  <c r="A271" i="4" s="1"/>
  <c r="A274" i="4" s="1"/>
  <c r="F6" i="7"/>
  <c r="C6" i="7" s="1"/>
  <c r="C4" i="7"/>
  <c r="G4" i="7" s="1"/>
  <c r="C21" i="7"/>
  <c r="G21" i="7" s="1"/>
  <c r="I3071" i="2" l="1"/>
  <c r="I3179" i="2" s="1"/>
  <c r="I3207" i="2" s="1"/>
  <c r="L3207" i="2" s="1"/>
  <c r="C2238" i="5"/>
  <c r="C2246" i="5" s="1"/>
  <c r="A95" i="5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5" i="5" s="1"/>
  <c r="A118" i="5" s="1"/>
  <c r="A119" i="5" s="1"/>
  <c r="A120" i="5" s="1"/>
  <c r="A121" i="5" s="1"/>
  <c r="A122" i="5" s="1"/>
  <c r="A125" i="5" s="1"/>
  <c r="A126" i="5" s="1"/>
  <c r="A127" i="5" s="1"/>
  <c r="A128" i="5" s="1"/>
  <c r="A129" i="5" s="1"/>
  <c r="A130" i="5" s="1"/>
  <c r="A131" i="5" s="1"/>
  <c r="A132" i="5" s="1"/>
  <c r="A133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C772" i="4"/>
  <c r="A275" i="4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G6" i="7"/>
  <c r="G17" i="7"/>
  <c r="E20" i="7" l="1"/>
  <c r="C2363" i="5"/>
  <c r="A151" i="5"/>
  <c r="A152" i="5" s="1"/>
  <c r="A286" i="4"/>
  <c r="A287" i="4" s="1"/>
  <c r="A288" i="4" s="1"/>
  <c r="A289" i="4" l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30" i="4" s="1"/>
  <c r="A331" i="4" s="1"/>
  <c r="A332" i="4" s="1"/>
  <c r="A333" i="4" s="1"/>
  <c r="A334" i="4" s="1"/>
  <c r="A337" i="4" s="1"/>
  <c r="C2366" i="5"/>
  <c r="C2364" i="5"/>
  <c r="C2365" i="5" s="1"/>
  <c r="E24" i="7"/>
  <c r="C20" i="7"/>
  <c r="G20" i="7" s="1"/>
  <c r="I2354" i="2"/>
  <c r="A340" i="4" l="1"/>
  <c r="A345" i="4" s="1"/>
  <c r="A348" i="4" s="1"/>
  <c r="A351" i="4" s="1"/>
  <c r="A352" i="4" s="1"/>
  <c r="A353" i="4" s="1"/>
  <c r="A358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4" i="4" s="1"/>
  <c r="A375" i="4" s="1"/>
  <c r="A376" i="4" s="1"/>
  <c r="A377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E29" i="7"/>
  <c r="E31" i="7" s="1"/>
  <c r="I2399" i="2"/>
  <c r="I2494" i="2" s="1"/>
  <c r="L2494" i="2" s="1"/>
  <c r="D15" i="7"/>
  <c r="C15" i="7" s="1"/>
  <c r="A417" i="4" l="1"/>
  <c r="A418" i="4" s="1"/>
  <c r="A421" i="4" s="1"/>
  <c r="A422" i="4" s="1"/>
  <c r="A423" i="4" s="1"/>
  <c r="A424" i="4" s="1"/>
  <c r="A425" i="4" s="1"/>
  <c r="A428" i="4" s="1"/>
  <c r="A429" i="4" s="1"/>
  <c r="A432" i="4" s="1"/>
  <c r="A433" i="4" s="1"/>
  <c r="A436" i="4" s="1"/>
  <c r="A437" i="4" s="1"/>
  <c r="A438" i="4" s="1"/>
  <c r="A439" i="4" s="1"/>
  <c r="A440" i="4" s="1"/>
  <c r="A443" i="4" s="1"/>
  <c r="A446" i="4" s="1"/>
  <c r="A447" i="4" s="1"/>
  <c r="D24" i="7"/>
  <c r="C769" i="4"/>
  <c r="A448" i="4" l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C770" i="4"/>
  <c r="G15" i="7"/>
  <c r="A464" i="4" l="1"/>
  <c r="A465" i="4" s="1"/>
  <c r="A466" i="4" s="1"/>
  <c r="A467" i="4" s="1"/>
  <c r="A468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7" i="4" s="1"/>
  <c r="A498" i="4" s="1"/>
  <c r="A499" i="4" s="1"/>
  <c r="A500" i="4" s="1"/>
  <c r="A501" i="4" s="1"/>
  <c r="A502" i="4" s="1"/>
  <c r="A503" i="4" s="1"/>
  <c r="A506" i="4" s="1"/>
  <c r="A507" i="4" s="1"/>
  <c r="A510" i="4" s="1"/>
  <c r="A513" i="4" s="1"/>
  <c r="A514" i="4" s="1"/>
  <c r="A515" i="4" s="1"/>
  <c r="A516" i="4" s="1"/>
  <c r="A519" i="4" s="1"/>
  <c r="A522" i="4" s="1"/>
  <c r="A525" i="4" s="1"/>
  <c r="A526" i="4" s="1"/>
  <c r="A529" i="4" s="1"/>
  <c r="A532" i="4" s="1"/>
  <c r="A537" i="4" s="1"/>
  <c r="A540" i="4" s="1"/>
  <c r="A541" i="4" s="1"/>
  <c r="A542" i="4" s="1"/>
  <c r="A543" i="4" s="1"/>
  <c r="A544" i="4" s="1"/>
  <c r="A545" i="4" s="1"/>
  <c r="A546" i="4" s="1"/>
  <c r="A547" i="4" s="1"/>
  <c r="D29" i="7"/>
  <c r="D31" i="7" s="1"/>
  <c r="I1643" i="2"/>
  <c r="I1642" i="2"/>
  <c r="I1644" i="2"/>
  <c r="A548" i="4" l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2" i="4" s="1"/>
  <c r="A563" i="4" s="1"/>
  <c r="A564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80" i="4" s="1"/>
  <c r="A581" i="4" s="1"/>
  <c r="A584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9" i="4" s="1"/>
  <c r="A602" i="4" s="1"/>
  <c r="A603" i="4" s="1"/>
  <c r="A604" i="4" s="1"/>
  <c r="A605" i="4" s="1"/>
  <c r="A610" i="4" s="1"/>
  <c r="A611" i="4" s="1"/>
  <c r="A612" i="4" s="1"/>
  <c r="A613" i="4" s="1"/>
  <c r="A616" i="4" s="1"/>
  <c r="A619" i="4" s="1"/>
  <c r="A624" i="4" s="1"/>
  <c r="A627" i="4" s="1"/>
  <c r="A628" i="4" s="1"/>
  <c r="A631" i="4" s="1"/>
  <c r="A632" i="4" s="1"/>
  <c r="A635" i="4" s="1"/>
  <c r="A636" i="4" s="1"/>
  <c r="I1645" i="2"/>
  <c r="A639" i="4" l="1"/>
  <c r="A642" i="4" s="1"/>
  <c r="A643" i="4" s="1"/>
  <c r="A648" i="4" s="1"/>
  <c r="A649" i="4" s="1"/>
  <c r="I1719" i="2"/>
  <c r="F10" i="7"/>
  <c r="I3380" i="2" l="1"/>
  <c r="L3380" i="2" s="1"/>
  <c r="L1719" i="2"/>
  <c r="A650" i="4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C10" i="7"/>
  <c r="F24" i="7"/>
  <c r="C1098" i="6"/>
  <c r="I3381" i="2" l="1"/>
  <c r="L3381" i="2" s="1"/>
  <c r="A685" i="4"/>
  <c r="A686" i="4" s="1"/>
  <c r="A687" i="4" s="1"/>
  <c r="A690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C1099" i="6"/>
  <c r="G10" i="7"/>
  <c r="C24" i="7"/>
  <c r="G24" i="7" s="1"/>
  <c r="I3382" i="2" l="1"/>
  <c r="A715" i="4"/>
  <c r="A716" i="4" s="1"/>
  <c r="A717" i="4" s="1"/>
  <c r="A718" i="4" s="1"/>
  <c r="A721" i="4" s="1"/>
  <c r="A726" i="4" s="1"/>
  <c r="A727" i="4" s="1"/>
  <c r="A728" i="4" s="1"/>
  <c r="A731" i="4" s="1"/>
  <c r="A734" i="4" s="1"/>
  <c r="A735" i="4" s="1"/>
  <c r="A736" i="4" s="1"/>
  <c r="A739" i="4" s="1"/>
  <c r="A740" i="4" s="1"/>
  <c r="A741" i="4" s="1"/>
  <c r="F29" i="7"/>
  <c r="I3384" i="2" l="1"/>
  <c r="I3383" i="2"/>
  <c r="L3382" i="2"/>
  <c r="A742" i="4"/>
  <c r="A745" i="4" s="1"/>
  <c r="A748" i="4" s="1"/>
  <c r="A749" i="4" s="1"/>
  <c r="A750" i="4" s="1"/>
  <c r="A751" i="4" s="1"/>
  <c r="A752" i="4" s="1"/>
  <c r="A753" i="4" s="1"/>
  <c r="A754" i="4" s="1"/>
  <c r="C29" i="7"/>
  <c r="C31" i="7" s="1"/>
  <c r="F31" i="7"/>
  <c r="A755" i="4" l="1"/>
  <c r="A756" i="4" s="1"/>
  <c r="A757" i="4" s="1"/>
  <c r="A758" i="4" s="1"/>
  <c r="A759" i="4" l="1"/>
  <c r="A760" i="4" s="1"/>
  <c r="A761" i="4" s="1"/>
  <c r="A764" i="4" s="1"/>
  <c r="A765" i="4" s="1"/>
  <c r="A213" i="2"/>
  <c r="A214" i="2" s="1"/>
  <c r="A215" i="2" s="1"/>
  <c r="A216" i="2" s="1"/>
  <c r="A217" i="2" s="1"/>
  <c r="A218" i="2" l="1"/>
  <c r="A219" i="2" s="1"/>
  <c r="A222" i="2" s="1"/>
  <c r="A223" i="2" s="1"/>
  <c r="A224" i="2" s="1"/>
  <c r="A225" i="2" s="1"/>
  <c r="A226" i="2" s="1"/>
  <c r="A227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3" i="2" s="1"/>
  <c r="A244" i="2" s="1"/>
  <c r="A245" i="2" s="1"/>
  <c r="A246" i="2" s="1"/>
  <c r="A247" i="2" s="1"/>
  <c r="A252" i="2" s="1"/>
  <c r="A253" i="2" s="1"/>
  <c r="A254" i="2" s="1"/>
  <c r="A255" i="2" s="1"/>
  <c r="A256" i="2" s="1"/>
  <c r="A259" i="2" s="1"/>
  <c r="A260" i="2" s="1"/>
  <c r="A261" i="2" s="1"/>
  <c r="A262" i="2" s="1"/>
  <c r="A263" i="2" s="1"/>
  <c r="A264" i="2" s="1"/>
  <c r="A265" i="2" s="1"/>
  <c r="A266" i="2" s="1"/>
  <c r="A267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l="1"/>
  <c r="A281" i="2" s="1"/>
  <c r="A282" i="2" s="1"/>
  <c r="A283" i="2" s="1"/>
  <c r="A286" i="2" s="1"/>
  <c r="A287" i="2" s="1"/>
  <c r="A288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6" i="2" s="1"/>
  <c r="A427" i="2" s="1"/>
  <c r="A428" i="2" s="1"/>
  <c r="A431" i="2" s="1"/>
  <c r="A432" i="2" s="1"/>
  <c r="A433" i="2" s="1"/>
  <c r="A434" i="2" s="1"/>
  <c r="A435" i="2" s="1"/>
  <c r="A438" i="2" s="1"/>
  <c r="A439" i="2" s="1"/>
  <c r="A440" i="2" s="1"/>
  <c r="A441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6" i="2" s="1"/>
  <c r="A457" i="2" s="1"/>
  <c r="A458" i="2" s="1"/>
  <c r="A459" i="2" s="1"/>
  <c r="A460" i="2" s="1"/>
  <c r="A461" i="2" s="1"/>
  <c r="A462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7" i="2" s="1"/>
  <c r="A548" i="2" s="1"/>
  <c r="A551" i="2" s="1"/>
  <c r="A552" i="2" s="1"/>
  <c r="A553" i="2" s="1"/>
  <c r="A554" i="2" s="1"/>
  <c r="A555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3" i="2" s="1"/>
  <c r="A594" i="2" s="1"/>
  <c r="A595" i="2" s="1"/>
  <c r="A596" i="2" s="1"/>
  <c r="A597" i="2" s="1"/>
  <c r="A598" i="2" l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6" i="2" s="1"/>
  <c r="A637" i="2" s="1"/>
  <c r="A638" i="2" s="1"/>
  <c r="A639" i="2" s="1"/>
  <c r="A640" i="2" s="1"/>
  <c r="A641" i="2" s="1"/>
  <c r="A642" i="2" s="1"/>
  <c r="A643" i="2" s="1"/>
  <c r="A646" i="2" s="1"/>
  <c r="A647" i="2" s="1"/>
  <c r="A650" i="2" s="1"/>
  <c r="A651" i="2" s="1"/>
  <c r="A652" i="2" s="1"/>
  <c r="A653" i="2" s="1"/>
  <c r="A654" i="2" s="1"/>
  <c r="A655" i="2" s="1"/>
  <c r="A658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5" i="2" s="1"/>
  <c r="A726" i="2" s="1"/>
  <c r="A727" i="2" s="1"/>
  <c r="A730" i="2" s="1"/>
  <c r="A731" i="2" s="1"/>
  <c r="A732" i="2" s="1"/>
  <c r="A733" i="2" s="1"/>
  <c r="A734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4" i="2" s="1"/>
  <c r="A765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2" i="2" l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5" i="2" s="1"/>
  <c r="A986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2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5" i="2" s="1"/>
  <c r="A1116" i="2" s="1"/>
  <c r="A1121" i="2" s="1"/>
  <c r="A1123" i="2" l="1"/>
  <c r="A1125" i="2" s="1"/>
  <c r="A1127" i="2" s="1"/>
  <c r="A1129" i="2" s="1"/>
  <c r="A1122" i="2"/>
  <c r="A1124" i="2" s="1"/>
  <c r="A1126" i="2" s="1"/>
  <c r="A1128" i="2" s="1"/>
  <c r="A1130" i="2" s="1"/>
  <c r="A1133" i="2" s="1"/>
  <c r="A1134" i="2" s="1"/>
  <c r="A1135" i="2" l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8" i="2" s="1"/>
  <c r="A1529" i="2" s="1"/>
  <c r="A1530" i="2" s="1"/>
  <c r="A1531" i="2" s="1"/>
  <c r="A1532" i="2" s="1"/>
  <c r="A1533" i="2" s="1"/>
  <c r="A1536" i="2" s="1"/>
  <c r="A1537" i="2" s="1"/>
  <c r="A1538" i="2" s="1"/>
  <c r="A1539" i="2" s="1"/>
  <c r="A1542" i="2" s="1"/>
  <c r="A1543" i="2" s="1"/>
  <c r="A1544" i="2" s="1"/>
  <c r="A1545" i="2" s="1"/>
  <c r="A1546" i="2" s="1"/>
  <c r="A1547" i="2" s="1"/>
  <c r="A1550" i="2" s="1"/>
  <c r="A1553" i="2" s="1"/>
  <c r="A1556" i="2" s="1"/>
  <c r="A1559" i="2" s="1"/>
  <c r="A1562" i="2" s="1"/>
  <c r="A1563" i="2" s="1"/>
  <c r="A1564" i="2" s="1"/>
  <c r="A1565" i="2" s="1"/>
  <c r="A1568" i="2" s="1"/>
  <c r="A1569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8" i="2" s="1"/>
  <c r="A1589" i="2" s="1"/>
  <c r="A1590" i="2" s="1"/>
  <c r="A1591" i="2" s="1"/>
  <c r="A1592" i="2" s="1"/>
  <c r="A1593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8" i="2" s="1"/>
  <c r="A1631" i="2" s="1"/>
  <c r="A1632" i="2" s="1"/>
  <c r="A1633" i="2" s="1"/>
  <c r="A1634" i="2" s="1"/>
  <c r="A1635" i="2" s="1"/>
  <c r="A1636" i="2" s="1"/>
  <c r="A1637" i="2" s="1"/>
  <c r="A1642" i="2" s="1"/>
  <c r="A1647" i="2" l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43" i="2"/>
  <c r="A1644" i="2" s="1"/>
  <c r="A49" i="6"/>
  <c r="A50" i="6" s="1"/>
  <c r="A1662" i="2" l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59" i="6"/>
  <c r="A60" i="6" s="1"/>
  <c r="A61" i="6" s="1"/>
  <c r="A62" i="6" s="1"/>
  <c r="A65" i="6" s="1"/>
  <c r="A66" i="6" s="1"/>
  <c r="A67" i="6" s="1"/>
  <c r="A70" i="6" s="1"/>
  <c r="A71" i="6" s="1"/>
  <c r="A72" i="6" s="1"/>
  <c r="A75" i="6" s="1"/>
  <c r="A76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11" i="6" s="1"/>
  <c r="A112" i="6" s="1"/>
  <c r="A113" i="6" s="1"/>
  <c r="A114" i="6" s="1"/>
  <c r="A115" i="6" s="1"/>
  <c r="A118" i="6" s="1"/>
  <c r="A121" i="6" s="1"/>
  <c r="A122" i="6" s="1"/>
  <c r="A123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41" i="6" s="1"/>
  <c r="A142" i="6" s="1"/>
  <c r="A145" i="6" s="1"/>
  <c r="A146" i="6" s="1"/>
  <c r="A147" i="6" s="1"/>
  <c r="A148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9" i="6" s="1"/>
  <c r="A170" i="6" s="1"/>
  <c r="A171" i="6" s="1"/>
  <c r="A172" i="6" s="1"/>
  <c r="A173" i="6" s="1"/>
  <c r="A53" i="6"/>
  <c r="A153" i="5"/>
  <c r="A154" i="5" s="1"/>
  <c r="A155" i="5" s="1"/>
  <c r="A156" i="5" s="1"/>
  <c r="A159" i="5" s="1"/>
  <c r="A160" i="5" s="1"/>
  <c r="A161" i="5" s="1"/>
  <c r="A162" i="5" s="1"/>
  <c r="A163" i="5" s="1"/>
  <c r="A164" i="5" s="1"/>
  <c r="A167" i="5" s="1"/>
  <c r="A168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3" i="5" s="1"/>
  <c r="A184" i="5" s="1"/>
  <c r="A185" i="5" s="1"/>
  <c r="A186" i="5" s="1"/>
  <c r="A187" i="5" s="1"/>
  <c r="A192" i="5" s="1"/>
  <c r="A193" i="5" s="1"/>
  <c r="A194" i="5" s="1"/>
  <c r="A195" i="5" s="1"/>
  <c r="A198" i="5" s="1"/>
  <c r="A199" i="5" s="1"/>
  <c r="A200" i="5" s="1"/>
  <c r="A201" i="5" s="1"/>
  <c r="A202" i="5" s="1"/>
  <c r="A203" i="5" s="1"/>
  <c r="A204" i="5" s="1"/>
  <c r="A174" i="6" l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4" i="6" s="1"/>
  <c r="A205" i="6" s="1"/>
  <c r="A208" i="6" s="1"/>
  <c r="A209" i="6" s="1"/>
  <c r="A210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6" i="6" s="1"/>
  <c r="A227" i="6" s="1"/>
  <c r="A228" i="6" s="1"/>
  <c r="A231" i="6" s="1"/>
  <c r="A232" i="6" s="1"/>
  <c r="A233" i="6" s="1"/>
  <c r="A234" i="6" s="1"/>
  <c r="A239" i="6" s="1"/>
  <c r="A240" i="6" s="1"/>
  <c r="A241" i="6" s="1"/>
  <c r="A242" i="6" s="1"/>
  <c r="A243" i="6" s="1"/>
  <c r="A246" i="6" s="1"/>
  <c r="A247" i="6" s="1"/>
  <c r="A248" i="6" s="1"/>
  <c r="A249" i="6" s="1"/>
  <c r="A252" i="6" s="1"/>
  <c r="A255" i="6" s="1"/>
  <c r="A256" i="6" s="1"/>
  <c r="A205" i="5"/>
  <c r="A206" i="5" s="1"/>
  <c r="A207" i="5" s="1"/>
  <c r="A208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31" i="5" s="1"/>
  <c r="A332" i="5" s="1"/>
  <c r="A335" i="5" s="1"/>
  <c r="A336" i="5" s="1"/>
  <c r="A337" i="5" s="1"/>
  <c r="A340" i="5" s="1"/>
  <c r="A341" i="5" s="1"/>
  <c r="A342" i="5" s="1"/>
  <c r="A345" i="5" s="1"/>
  <c r="A346" i="5" s="1"/>
  <c r="A347" i="5" s="1"/>
  <c r="A348" i="5" s="1"/>
  <c r="A349" i="5" s="1"/>
  <c r="A350" i="5" s="1"/>
  <c r="A351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4" i="5" s="1"/>
  <c r="A445" i="5" s="1"/>
  <c r="A446" i="5" s="1"/>
  <c r="A447" i="5" s="1"/>
  <c r="A448" i="5" s="1"/>
  <c r="A449" i="5" s="1"/>
  <c r="A450" i="5" s="1"/>
  <c r="A451" i="5" s="1"/>
  <c r="A454" i="5" s="1"/>
  <c r="A455" i="5" s="1"/>
  <c r="A456" i="5" s="1"/>
  <c r="A457" i="5" s="1"/>
  <c r="A458" i="5" s="1"/>
  <c r="A459" i="5" s="1"/>
  <c r="A460" i="5" s="1"/>
  <c r="A463" i="5" s="1"/>
  <c r="A464" i="5" s="1"/>
  <c r="A467" i="5" s="1"/>
  <c r="A468" i="5" s="1"/>
  <c r="A469" i="5" s="1"/>
  <c r="A470" i="5" s="1"/>
  <c r="A471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6" i="5" s="1"/>
  <c r="A539" i="5" s="1"/>
  <c r="A542" i="5" s="1"/>
  <c r="A543" i="5" s="1"/>
  <c r="A544" i="5" s="1"/>
  <c r="A545" i="5" s="1"/>
  <c r="A546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1700" i="2"/>
  <c r="A1701" i="2" s="1"/>
  <c r="A1702" i="2" s="1"/>
  <c r="A1703" i="2" s="1"/>
  <c r="A1704" i="2" s="1"/>
  <c r="A1705" i="2" s="1"/>
  <c r="A259" i="6" l="1"/>
  <c r="A260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5" i="6" s="1"/>
  <c r="A310" i="6" s="1"/>
  <c r="A311" i="6" s="1"/>
  <c r="A312" i="6" s="1"/>
  <c r="A313" i="6" s="1"/>
  <c r="A314" i="6" s="1"/>
  <c r="A317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2" i="6" s="1"/>
  <c r="A363" i="6" s="1"/>
  <c r="A364" i="6" s="1"/>
  <c r="A365" i="6" s="1"/>
  <c r="A368" i="6" s="1"/>
  <c r="A371" i="6" s="1"/>
  <c r="A374" i="6" s="1"/>
  <c r="A377" i="6" s="1"/>
  <c r="A378" i="6" s="1"/>
  <c r="A381" i="6" s="1"/>
  <c r="A386" i="6" s="1"/>
  <c r="A387" i="6" s="1"/>
  <c r="A390" i="6" s="1"/>
  <c r="A391" i="6" s="1"/>
  <c r="A392" i="6" s="1"/>
  <c r="A393" i="6" s="1"/>
  <c r="A394" i="6" s="1"/>
  <c r="A395" i="6" s="1"/>
  <c r="A396" i="6" s="1"/>
  <c r="A397" i="6" s="1"/>
  <c r="A400" i="6" s="1"/>
  <c r="A401" i="6" s="1"/>
  <c r="A402" i="6" s="1"/>
  <c r="A403" i="6" s="1"/>
  <c r="A404" i="6" s="1"/>
  <c r="A409" i="6" s="1"/>
  <c r="A410" i="6" s="1"/>
  <c r="A411" i="6" s="1"/>
  <c r="A414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4" i="6" s="1"/>
  <c r="A435" i="6" s="1"/>
  <c r="A436" i="6" s="1"/>
  <c r="A437" i="6" s="1"/>
  <c r="A438" i="6" s="1"/>
  <c r="A439" i="6" s="1"/>
  <c r="A440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11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2" i="6" s="1"/>
  <c r="A553" i="6" s="1"/>
  <c r="A556" i="6" s="1"/>
  <c r="A557" i="6" s="1"/>
  <c r="A560" i="6" s="1"/>
  <c r="A561" i="6" s="1"/>
  <c r="A562" i="6" s="1"/>
  <c r="A565" i="6" s="1"/>
  <c r="A566" i="6" s="1"/>
  <c r="A567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9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5" i="6" s="1"/>
  <c r="A646" i="6" s="1"/>
  <c r="A647" i="6" s="1"/>
  <c r="A652" i="6" s="1"/>
  <c r="A653" i="6" s="1"/>
  <c r="A656" i="6" s="1"/>
  <c r="A657" i="6" s="1"/>
  <c r="A660" i="6" s="1"/>
  <c r="A661" i="6" s="1"/>
  <c r="A664" i="6" s="1"/>
  <c r="A667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7" i="6" s="1"/>
  <c r="A700" i="6" s="1"/>
  <c r="A703" i="6" s="1"/>
  <c r="A704" i="6" s="1"/>
  <c r="A705" i="6" s="1"/>
  <c r="A706" i="6" s="1"/>
  <c r="A711" i="6" s="1"/>
  <c r="A712" i="6" s="1"/>
  <c r="A713" i="6" s="1"/>
  <c r="A714" i="6" s="1"/>
  <c r="A715" i="6" s="1"/>
  <c r="A716" i="6" s="1"/>
  <c r="A719" i="6" s="1"/>
  <c r="A720" i="6" s="1"/>
  <c r="A721" i="6" s="1"/>
  <c r="A722" i="6" s="1"/>
  <c r="A723" i="6" s="1"/>
  <c r="A726" i="6" s="1"/>
  <c r="A727" i="6" s="1"/>
  <c r="A728" i="6" s="1"/>
  <c r="A731" i="6" s="1"/>
  <c r="A732" i="6" s="1"/>
  <c r="A733" i="6" s="1"/>
  <c r="A734" i="6" s="1"/>
  <c r="A735" i="6" s="1"/>
  <c r="A736" i="6" s="1"/>
  <c r="A737" i="6" s="1"/>
  <c r="A738" i="6" s="1"/>
  <c r="A741" i="6" s="1"/>
  <c r="A744" i="6" s="1"/>
  <c r="A745" i="6" s="1"/>
  <c r="A748" i="6" s="1"/>
  <c r="A749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7" i="6" s="1"/>
  <c r="A770" i="6" s="1"/>
  <c r="A771" i="6" s="1"/>
  <c r="A772" i="6" s="1"/>
  <c r="A773" i="6" s="1"/>
  <c r="A776" i="6" s="1"/>
  <c r="A777" i="6" s="1"/>
  <c r="A778" i="6" s="1"/>
  <c r="A781" i="6" s="1"/>
  <c r="A782" i="6" s="1"/>
  <c r="A783" i="6" s="1"/>
  <c r="A784" i="6" s="1"/>
  <c r="A785" i="6" s="1"/>
  <c r="A790" i="6" s="1"/>
  <c r="A791" i="6" s="1"/>
  <c r="A792" i="6" s="1"/>
  <c r="A793" i="6" s="1"/>
  <c r="A794" i="6" s="1"/>
  <c r="A795" i="6" s="1"/>
  <c r="A796" i="6" s="1"/>
  <c r="A799" i="6" s="1"/>
  <c r="A800" i="6" s="1"/>
  <c r="A801" i="6" s="1"/>
  <c r="A804" i="6" s="1"/>
  <c r="A805" i="6" s="1"/>
  <c r="A806" i="6" s="1"/>
  <c r="A807" i="6" s="1"/>
  <c r="A810" i="6" s="1"/>
  <c r="A811" i="6" s="1"/>
  <c r="A812" i="6" s="1"/>
  <c r="A813" i="6" s="1"/>
  <c r="A814" i="6" s="1"/>
  <c r="A817" i="6" s="1"/>
  <c r="A818" i="6" s="1"/>
  <c r="A819" i="6" s="1"/>
  <c r="A820" i="6" s="1"/>
  <c r="A821" i="6" s="1"/>
  <c r="A822" i="6" s="1"/>
  <c r="A823" i="6" s="1"/>
  <c r="A824" i="6" s="1"/>
  <c r="A825" i="6" s="1"/>
  <c r="A828" i="6" s="1"/>
  <c r="A829" i="6" s="1"/>
  <c r="A830" i="6" s="1"/>
  <c r="A831" i="6" s="1"/>
  <c r="A834" i="6" s="1"/>
  <c r="A835" i="6" s="1"/>
  <c r="A836" i="6" s="1"/>
  <c r="A839" i="6" s="1"/>
  <c r="A840" i="6" s="1"/>
  <c r="A841" i="6" s="1"/>
  <c r="A842" i="6" s="1"/>
  <c r="A847" i="6" s="1"/>
  <c r="A848" i="6" s="1"/>
  <c r="A849" i="6" s="1"/>
  <c r="A850" i="6" s="1"/>
  <c r="A851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7" i="6" s="1"/>
  <c r="A1038" i="6" s="1"/>
  <c r="A1039" i="6" s="1"/>
  <c r="A1042" i="6" s="1"/>
  <c r="A1043" i="6" s="1"/>
  <c r="A1044" i="6" s="1"/>
  <c r="A1045" i="6" s="1"/>
  <c r="A1046" i="6" s="1"/>
  <c r="A1047" i="6" s="1"/>
  <c r="A1050" i="6" s="1"/>
  <c r="A1051" i="6" s="1"/>
  <c r="A1054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8" i="6" s="1"/>
  <c r="A1069" i="6" s="1"/>
  <c r="A1070" i="6" s="1"/>
  <c r="A1071" i="6" s="1"/>
  <c r="A1072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688" i="5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2" i="5" s="1"/>
  <c r="A845" i="5" s="1"/>
  <c r="A846" i="5" s="1"/>
  <c r="A847" i="5" s="1"/>
  <c r="A848" i="5" s="1"/>
  <c r="A849" i="5" s="1"/>
  <c r="A850" i="5" s="1"/>
  <c r="A851" i="5" s="1"/>
  <c r="A852" i="5" s="1"/>
  <c r="A855" i="5" s="1"/>
  <c r="A856" i="5" s="1"/>
  <c r="A857" i="5" s="1"/>
  <c r="A858" i="5" s="1"/>
  <c r="A861" i="5" s="1"/>
  <c r="A862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9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709" i="2"/>
  <c r="A1710" i="2" s="1"/>
  <c r="A1711" i="2" s="1"/>
  <c r="A1712" i="2" s="1"/>
  <c r="A1713" i="2" s="1"/>
  <c r="A1714" i="2" s="1"/>
  <c r="A1715" i="2" s="1"/>
  <c r="A1716" i="2" s="1"/>
  <c r="A1717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4" i="2" s="1"/>
  <c r="A1835" i="2" s="1"/>
  <c r="A1836" i="2" s="1"/>
  <c r="A1837" i="2" s="1"/>
  <c r="A1838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6" i="2" s="1"/>
  <c r="A1887" i="2" s="1"/>
  <c r="A1888" i="2" s="1"/>
  <c r="A1889" i="2" s="1"/>
  <c r="A1892" i="2" s="1"/>
  <c r="A1893" i="2" s="1"/>
  <c r="A1896" i="2" s="1"/>
  <c r="A1897" i="2" s="1"/>
  <c r="A1900" i="2" s="1"/>
  <c r="A1901" i="2" s="1"/>
  <c r="A1902" i="2" s="1"/>
  <c r="A1903" i="2" s="1"/>
  <c r="A1904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9" i="2" s="1"/>
  <c r="A1920" i="2" s="1"/>
  <c r="A1921" i="2" s="1"/>
  <c r="A1922" i="2" s="1"/>
  <c r="A1923" i="2" s="1"/>
  <c r="A1924" i="2" s="1"/>
  <c r="A1925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81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5" i="2" s="1"/>
  <c r="A2146" i="2" s="1"/>
  <c r="A2147" i="2" s="1"/>
  <c r="A2152" i="2" s="1"/>
  <c r="A2153" i="2" s="1"/>
  <c r="A2154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2" i="2" s="1"/>
  <c r="A2173" i="2" s="1"/>
  <c r="A2174" i="2" s="1"/>
  <c r="A2175" i="2" s="1"/>
  <c r="A2176" i="2" s="1"/>
  <c r="A2177" i="2" s="1"/>
  <c r="A2180" i="2" s="1"/>
  <c r="A2181" i="2" s="1"/>
  <c r="A2182" i="2" s="1"/>
  <c r="A2183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200" i="2" s="1"/>
  <c r="A2201" i="2" s="1"/>
  <c r="A2202" i="2" s="1"/>
  <c r="A2203" i="2" s="1"/>
  <c r="A2204" i="2" s="1"/>
  <c r="A2207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3" i="2" s="1"/>
  <c r="A2224" i="2" s="1"/>
  <c r="A2225" i="2" s="1"/>
  <c r="A2226" i="2" s="1"/>
  <c r="A2227" i="2" s="1"/>
  <c r="A2228" i="2" s="1"/>
  <c r="A2229" i="2" s="1"/>
  <c r="A2230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8" i="2" s="1"/>
  <c r="A2249" i="2" s="1"/>
  <c r="A2252" i="2" s="1"/>
  <c r="A2253" i="2" s="1"/>
  <c r="A2254" i="2" s="1"/>
  <c r="A2255" i="2" s="1"/>
  <c r="A2256" i="2" s="1"/>
  <c r="A2257" i="2" s="1"/>
  <c r="A2258" i="2" s="1"/>
  <c r="A2261" i="2" s="1"/>
  <c r="A2262" i="2" s="1"/>
  <c r="A2263" i="2" s="1"/>
  <c r="A2264" i="2" s="1"/>
  <c r="A2267" i="2" s="1"/>
  <c r="A2268" i="2" s="1"/>
  <c r="A2269" i="2" s="1"/>
  <c r="A2270" i="2" s="1"/>
  <c r="A2271" i="2" s="1"/>
  <c r="A2272" i="2" s="1"/>
  <c r="A2273" i="2" s="1"/>
  <c r="A2274" i="2" s="1"/>
  <c r="A2279" i="2" s="1"/>
  <c r="A2280" i="2" s="1"/>
  <c r="A2281" i="2" s="1"/>
  <c r="A2282" i="2" s="1"/>
  <c r="A2283" i="2" s="1"/>
  <c r="A2284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4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6" i="2" s="1"/>
  <c r="A2437" i="2" s="1"/>
  <c r="A2438" i="2" s="1"/>
  <c r="A2441" i="2" s="1"/>
  <c r="A2442" i="2" s="1"/>
  <c r="A2443" i="2" s="1"/>
  <c r="A2444" i="2" s="1"/>
  <c r="A2447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4" i="2" s="1"/>
  <c r="A2467" i="2" s="1"/>
  <c r="A2468" i="2" s="1"/>
  <c r="A2469" i="2" s="1"/>
  <c r="A2470" i="2" s="1"/>
  <c r="A2471" i="2" s="1"/>
  <c r="A2472" i="2" s="1"/>
  <c r="A2473" i="2" s="1"/>
  <c r="A2476" i="2" l="1"/>
  <c r="A2477" i="2" s="1"/>
  <c r="A2478" i="2" s="1"/>
  <c r="A2479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7" i="2" s="1"/>
  <c r="A2498" i="2" s="1"/>
  <c r="A2499" i="2" s="1"/>
  <c r="A2500" i="2" s="1"/>
  <c r="A2501" i="2" s="1"/>
  <c r="A2504" i="2" s="1"/>
  <c r="A2505" i="2" s="1"/>
  <c r="A2506" i="2" s="1"/>
  <c r="A2507" i="2" s="1"/>
  <c r="A2508" i="2" s="1"/>
  <c r="A2511" i="2" s="1"/>
  <c r="A2512" i="2" s="1"/>
  <c r="A2513" i="2" s="1"/>
  <c r="A2514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30" i="2" s="1"/>
  <c r="A2531" i="2" s="1"/>
  <c r="A2532" i="2" s="1"/>
  <c r="A2533" i="2" s="1"/>
  <c r="A2534" i="2" s="1"/>
  <c r="A2535" i="2" s="1"/>
  <c r="A2536" i="2" s="1"/>
  <c r="A2539" i="2" s="1"/>
  <c r="A2542" i="2" s="1"/>
  <c r="A2543" i="2" s="1"/>
  <c r="A2544" i="2" s="1"/>
  <c r="A2547" i="2" s="1"/>
  <c r="A2548" i="2" s="1"/>
  <c r="A2549" i="2" s="1"/>
  <c r="A2550" i="2" s="1"/>
  <c r="A2551" i="2" s="1"/>
  <c r="A2552" i="2" s="1"/>
  <c r="A2555" i="2" s="1"/>
  <c r="A2556" i="2" s="1"/>
  <c r="A2557" i="2" s="1"/>
  <c r="A2558" i="2" s="1"/>
  <c r="A2559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5" i="2" s="1"/>
  <c r="A2576" i="2" s="1"/>
  <c r="A2577" i="2" s="1"/>
  <c r="A2578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5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1059" i="5"/>
  <c r="A1060" i="5" s="1"/>
  <c r="A1061" i="5" s="1"/>
  <c r="A1062" i="5" s="1"/>
  <c r="A1063" i="5" s="1"/>
  <c r="A1064" i="5" s="1"/>
  <c r="A1065" i="5" s="1"/>
  <c r="A1066" i="5" s="1"/>
  <c r="A1067" i="5" s="1"/>
  <c r="A2756" i="2" l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3" i="2" s="1"/>
  <c r="A2954" i="2" s="1"/>
  <c r="A2955" i="2" s="1"/>
  <c r="A2956" i="2" s="1"/>
  <c r="A2957" i="2" s="1"/>
  <c r="A2960" i="2" s="1"/>
  <c r="A2961" i="2" s="1"/>
  <c r="A2962" i="2" s="1"/>
  <c r="A2963" i="2" s="1"/>
  <c r="A2964" i="2" s="1"/>
  <c r="A2965" i="2" s="1"/>
  <c r="A2966" i="2" s="1"/>
  <c r="A2967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1068" i="5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3115" i="2" l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1083" i="5"/>
  <c r="A1084" i="5" s="1"/>
  <c r="A1085" i="5" l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51" i="5" s="1"/>
  <c r="A1252" i="5" s="1"/>
  <c r="A1255" i="5" s="1"/>
  <c r="A1258" i="5" s="1"/>
  <c r="A1259" i="5" s="1"/>
  <c r="A1260" i="5" s="1"/>
  <c r="A1261" i="5" s="1"/>
  <c r="A1262" i="5" s="1"/>
  <c r="A1263" i="5" s="1"/>
  <c r="A1266" i="5" s="1"/>
  <c r="A1269" i="5" s="1"/>
  <c r="A1272" i="5" s="1"/>
  <c r="A1273" i="5" s="1"/>
  <c r="A1274" i="5" s="1"/>
  <c r="A1277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6" i="5" s="1"/>
  <c r="A1297" i="5" s="1"/>
  <c r="A1298" i="5" s="1"/>
  <c r="A1299" i="5" s="1"/>
  <c r="A1300" i="5" s="1"/>
  <c r="A1301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7" i="5" s="1"/>
  <c r="A1328" i="5" s="1"/>
  <c r="A1329" i="5" s="1"/>
  <c r="A1330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90" i="5" s="1"/>
  <c r="A1391" i="5" s="1"/>
  <c r="A1392" i="5" s="1"/>
  <c r="A1393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4" i="5" s="1"/>
  <c r="A1415" i="5" s="1"/>
  <c r="A1418" i="5" s="1"/>
  <c r="A1419" i="5" s="1"/>
  <c r="A1420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5" i="5" s="1"/>
  <c r="A1436" i="5" s="1"/>
  <c r="A1437" i="5" s="1"/>
  <c r="A1440" i="5" s="1"/>
  <c r="A1441" i="5" s="1"/>
  <c r="A1442" i="5" s="1"/>
  <c r="A1443" i="5" s="1"/>
  <c r="A1444" i="5" s="1"/>
  <c r="A1445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3163" i="2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60" i="2" s="1"/>
  <c r="A3261" i="2" s="1"/>
  <c r="A3262" i="2" s="1"/>
  <c r="A3265" i="2" s="1"/>
  <c r="A3266" i="2" s="1"/>
  <c r="A3267" i="2" s="1"/>
  <c r="A3268" i="2" s="1"/>
  <c r="A3269" i="2" s="1"/>
  <c r="A3270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7" i="2" s="1"/>
  <c r="A3288" i="2" s="1"/>
  <c r="A3289" i="2" s="1"/>
  <c r="A3290" i="2" s="1"/>
  <c r="A3291" i="2" s="1"/>
  <c r="A3292" i="2" s="1"/>
  <c r="A3293" i="2" s="1"/>
  <c r="A3294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9" i="2" s="1"/>
  <c r="A3320" i="2" s="1"/>
  <c r="A3321" i="2" s="1"/>
  <c r="A3322" i="2" s="1"/>
  <c r="A3323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B24" i="7" s="1"/>
  <c r="A1505" i="5" l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80" i="5" s="1"/>
  <c r="A1581" i="5" s="1"/>
  <c r="A1582" i="5" s="1"/>
  <c r="A1585" i="5" s="1"/>
  <c r="A1586" i="5" s="1"/>
  <c r="A1587" i="5" s="1"/>
  <c r="A1588" i="5" s="1"/>
  <c r="A1589" i="5" s="1"/>
  <c r="A1590" i="5" s="1"/>
  <c r="A1591" i="5" s="1"/>
  <c r="A1594" i="5" s="1"/>
  <c r="A1595" i="5" s="1"/>
  <c r="A1596" i="5" s="1"/>
  <c r="A1597" i="5" s="1"/>
  <c r="A1598" i="5" s="1"/>
  <c r="A1599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6" i="5" s="1"/>
  <c r="A1619" i="5" s="1"/>
  <c r="A1622" i="5" s="1"/>
  <c r="A1623" i="5" s="1"/>
  <c r="A1624" i="5" s="1"/>
  <c r="A1625" i="5" s="1"/>
  <c r="A1626" i="5" s="1"/>
  <c r="A1627" i="5" s="1"/>
  <c r="A1628" i="5" s="1"/>
  <c r="A1629" i="5" s="1"/>
  <c r="A1632" i="5" s="1"/>
  <c r="A1633" i="5" s="1"/>
  <c r="A1636" i="5" s="1"/>
  <c r="A1639" i="5" s="1"/>
  <c r="A1640" i="5" s="1"/>
  <c r="A1641" i="5" s="1"/>
  <c r="A1642" i="5" s="1"/>
  <c r="A1643" i="5" s="1"/>
  <c r="A1644" i="5" s="1"/>
  <c r="A1645" i="5" s="1"/>
  <c r="A1648" i="5" s="1"/>
  <c r="A1649" i="5" s="1"/>
  <c r="A1650" i="5" s="1"/>
  <c r="A1651" i="5" s="1"/>
  <c r="A1652" i="5" s="1"/>
  <c r="A1653" i="5" s="1"/>
  <c r="A1654" i="5" s="1"/>
  <c r="A1655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50" i="5" s="1"/>
  <c r="A1751" i="5" s="1"/>
  <c r="A1752" i="5" s="1"/>
  <c r="A1753" i="5" s="1"/>
  <c r="A1754" i="5" s="1"/>
  <c r="A1755" i="5" s="1"/>
  <c r="A1758" i="5" s="1"/>
  <c r="A1759" i="5" s="1"/>
  <c r="A1760" i="5" s="1"/>
  <c r="A1763" i="5" s="1"/>
  <c r="A1766" i="5" s="1"/>
  <c r="A1767" i="5" s="1"/>
  <c r="A1768" i="5" s="1"/>
  <c r="A1769" i="5" s="1"/>
  <c r="A1772" i="5" s="1"/>
  <c r="A1773" i="5" s="1"/>
  <c r="A1774" i="5" s="1"/>
  <c r="A1775" i="5" s="1"/>
  <c r="A1778" i="5" s="1"/>
  <c r="A1779" i="5" s="1"/>
  <c r="A1782" i="5" l="1"/>
  <c r="A1783" i="5" s="1"/>
  <c r="A1788" i="5" s="1"/>
  <c r="A1789" i="5" s="1"/>
  <c r="A1790" i="5" s="1"/>
  <c r="A1791" i="5" s="1"/>
  <c r="A1794" i="5" s="1"/>
  <c r="A1797" i="5" s="1"/>
  <c r="A1798" i="5" s="1"/>
  <c r="A1799" i="5" s="1"/>
  <c r="A1800" i="5" s="1"/>
  <c r="A1801" i="5" s="1"/>
  <c r="A1802" i="5" s="1"/>
  <c r="A1803" i="5" s="1"/>
  <c r="A1808" i="5" s="1"/>
  <c r="A1811" i="5" s="1"/>
  <c r="A1814" i="5" s="1"/>
  <c r="A1815" i="5" s="1"/>
  <c r="A1816" i="5" s="1"/>
  <c r="A1817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9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l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6" i="5" s="1"/>
  <c r="A2067" i="5" s="1"/>
  <c r="A2070" i="5" s="1"/>
  <c r="A2071" i="5" s="1"/>
  <c r="A2072" i="5" s="1"/>
  <c r="A2073" i="5" s="1"/>
  <c r="A2074" i="5" s="1"/>
  <c r="A2075" i="5" s="1"/>
  <c r="A2076" i="5" s="1"/>
  <c r="A2077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l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l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40" i="5" s="1"/>
  <c r="A2241" i="5" s="1"/>
  <c r="A2242" i="5" s="1"/>
  <c r="A2243" i="5" s="1"/>
  <c r="A2244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9" i="5" s="1"/>
  <c r="A2300" i="5" s="1"/>
  <c r="A2301" i="5" s="1"/>
  <c r="A2302" i="5" s="1"/>
  <c r="A2303" i="5" s="1"/>
  <c r="A2304" i="5" s="1"/>
  <c r="A2305" i="5" s="1"/>
  <c r="A2306" i="5" s="1"/>
  <c r="A2309" i="5" s="1"/>
  <c r="A2312" i="5" l="1"/>
  <c r="A2310" i="5"/>
  <c r="A2311" i="5" s="1"/>
  <c r="A2313" i="5" s="1"/>
  <c r="A2314" i="5" s="1"/>
  <c r="A2315" i="5" s="1"/>
  <c r="A2316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  <author>Татьяна Яковлевна Макарова</author>
  </authors>
  <commentList>
    <comment ref="K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K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J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S1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Z19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Z1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19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F20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1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
ТС-остутствуют надо исключить</t>
        </r>
      </text>
    </comment>
    <comment ref="O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A2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A2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A2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K2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K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E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E2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321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T32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36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3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B525" authorId="2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Героев д.8, Крыша!!!
</t>
        </r>
      </text>
    </comment>
    <comment ref="F532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K5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K5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J5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X56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K5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O5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K5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Татьяна Яковлевна Макарова</author>
    <author>Анна Роландовна Фомина</author>
    <author>Анна Роландовна Петракова</author>
  </authors>
  <commentList>
    <comment ref="M1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B242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 Должна быть крыша по Протоколу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3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B575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Жду сумму на  смр по крыше</t>
        </r>
      </text>
    </comment>
    <comment ref="R5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5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W5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F59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объеме подвала</t>
        </r>
      </text>
    </comment>
    <comment ref="F6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W61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N6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6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6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дома</t>
        </r>
      </text>
    </comment>
    <comment ref="AF6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</t>
        </r>
      </text>
    </comment>
    <comment ref="AF6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подвала</t>
        </r>
      </text>
    </comment>
    <comment ref="E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69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предоставленном объеме подвала</t>
        </r>
      </text>
    </comment>
    <comment ref="N7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71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
</t>
        </r>
      </text>
    </comment>
    <comment ref="AF73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уточнить объем подвала</t>
        </r>
      </text>
    </comment>
    <comment ref="AF7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уточнить объем подвала</t>
        </r>
      </text>
    </comment>
    <comment ref="AF7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данных по V подвала нет, сделано по аналогии с д. 2</t>
        </r>
      </text>
    </comment>
    <comment ref="AF7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неверный объем подвала</t>
        </r>
      </text>
    </comment>
    <comment ref="AF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неверный объем подвала</t>
        </r>
      </text>
    </comment>
    <comment ref="AF7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F7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
</t>
        </r>
      </text>
    </comment>
    <comment ref="R7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7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G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H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W7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дома взяты из аис</t>
        </r>
      </text>
    </comment>
    <comment ref="W7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7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7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W76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W78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W8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80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8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8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W82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8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8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R8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8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971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превышение</t>
        </r>
      </text>
    </comment>
    <comment ref="AF1169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подвала</t>
        </r>
      </text>
    </comment>
    <comment ref="AF1181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 предоставлен объем подвала</t>
        </r>
      </text>
    </comment>
    <comment ref="AF1205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данных</t>
        </r>
      </text>
    </comment>
    <comment ref="AF1218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AF1233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объеме подвала</t>
        </r>
      </text>
    </comment>
    <comment ref="W1244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3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ИТП-2979420,00
</t>
        </r>
      </text>
    </comment>
    <comment ref="F13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ИТП-2984389,20
</t>
        </r>
      </text>
    </comment>
    <comment ref="F13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ИТП-2039818,80
</t>
        </r>
      </text>
    </comment>
    <comment ref="F13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13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ИТП-1726029,60
</t>
        </r>
      </text>
    </comment>
    <comment ref="F13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AF14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1581" authorId="3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1582" authorId="3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1632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Первомайская 9 ПИР на крышу</t>
        </r>
      </text>
    </comment>
    <comment ref="N1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N17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17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17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  <comment ref="R1801" authorId="0">
      <text>
        <r>
          <rPr>
            <sz val="9"/>
            <color indexed="81"/>
            <rFont val="Tahoma"/>
            <family val="2"/>
            <charset val="204"/>
          </rPr>
          <t xml:space="preserve">
PDF
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Татьяна Яковлевна Макарова</author>
    <author>Маркова Ольга Дмитриевна</author>
  </authors>
  <commentList>
    <comment ref="N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R2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3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W2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AD24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R2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E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F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E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28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8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9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R2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30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Z35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W358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R41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</t>
        </r>
      </text>
    </comment>
    <comment ref="R4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R4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AE5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652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653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690" authorId="3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Включить СМР крыша
</t>
        </r>
      </text>
    </comment>
    <comment ref="N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7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7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I1043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выгребная яма
</t>
        </r>
      </text>
    </comment>
    <comment ref="I1072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<sst xmlns="http://schemas.openxmlformats.org/spreadsheetml/2006/main" count="15297" uniqueCount="3601">
  <si>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</si>
  <si>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</si>
  <si>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</si>
  <si>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</si>
  <si>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</si>
  <si>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</si>
  <si>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</si>
  <si>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</si>
  <si>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</si>
  <si>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</si>
  <si>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</si>
  <si>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</si>
  <si>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</si>
  <si>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</si>
  <si>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</si>
  <si>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</si>
  <si>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</si>
  <si>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</si>
  <si>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</si>
  <si>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</si>
  <si>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</si>
  <si>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</si>
  <si>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</si>
  <si>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</si>
  <si>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</si>
  <si>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</si>
  <si>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</si>
  <si>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</si>
  <si>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</si>
  <si>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</si>
  <si>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</si>
  <si>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</si>
  <si>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</si>
  <si>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</si>
  <si>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</si>
  <si>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</si>
  <si>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</si>
  <si>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</si>
  <si>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</si>
  <si>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</si>
  <si>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</si>
  <si>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</si>
  <si>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</si>
  <si>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</si>
  <si>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</si>
  <si>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</si>
  <si>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</si>
  <si>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</si>
  <si>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</si>
  <si>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</si>
  <si>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</si>
  <si>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</si>
  <si>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</si>
  <si>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</si>
  <si>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</si>
  <si>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</si>
  <si>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</si>
  <si>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</si>
  <si>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</si>
  <si>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</si>
  <si>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</si>
  <si>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</si>
  <si>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</si>
  <si>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</si>
  <si>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</si>
  <si>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</si>
  <si>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</si>
  <si>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</si>
  <si>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</si>
  <si>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</si>
  <si>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</si>
  <si>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</si>
  <si>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</si>
  <si>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</si>
  <si>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</si>
  <si>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</si>
  <si>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</si>
  <si>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</si>
  <si>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</si>
  <si>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</si>
  <si>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</si>
  <si>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</si>
  <si>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</si>
  <si>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</si>
  <si>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</si>
  <si>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</si>
  <si>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</si>
  <si>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</si>
  <si>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</si>
  <si>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</si>
  <si>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</si>
  <si>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</si>
  <si>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</si>
  <si>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</si>
  <si>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</si>
  <si>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</si>
  <si>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</si>
  <si>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</si>
  <si>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</si>
  <si>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</si>
  <si>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</si>
  <si>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</si>
  <si>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</si>
  <si>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</si>
  <si>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</si>
  <si>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</si>
  <si>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</si>
  <si>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</si>
  <si>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</si>
  <si>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</si>
  <si>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</si>
  <si>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</si>
  <si>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</si>
  <si>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</si>
  <si>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</si>
  <si>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</si>
  <si>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</si>
  <si>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</si>
  <si>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</si>
  <si>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</si>
  <si>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</si>
  <si>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</si>
  <si>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</si>
  <si>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</si>
  <si>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</si>
  <si>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</si>
  <si>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</si>
  <si>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</si>
  <si>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</si>
  <si>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</si>
  <si>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</si>
  <si>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</si>
  <si>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</si>
  <si>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</si>
  <si>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</si>
  <si>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</si>
  <si>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</si>
  <si>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</si>
  <si>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</si>
  <si>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</si>
  <si>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</si>
  <si>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</si>
  <si>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</si>
  <si>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</si>
  <si>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</si>
  <si>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</si>
  <si>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</si>
  <si>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</si>
  <si>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</si>
  <si>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</si>
  <si>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</si>
  <si>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</si>
  <si>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</si>
  <si>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</si>
  <si>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</si>
  <si>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</si>
  <si>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</si>
  <si>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</si>
  <si>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</si>
  <si>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</si>
  <si>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</si>
  <si>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Строительная, д. 18</t>
  </si>
  <si>
    <t>Г. Пикалево, ул. Строительная, д. 22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</si>
  <si>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</si>
  <si>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</si>
  <si>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</si>
  <si>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</si>
  <si>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</si>
  <si>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Г.п. Ефимовский, ул. Северная, д. 3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</si>
  <si>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</si>
  <si>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</si>
  <si>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</si>
  <si>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</si>
  <si>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</si>
  <si>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</si>
  <si>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</si>
  <si>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</si>
  <si>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</si>
  <si>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</si>
  <si>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</si>
  <si>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</si>
  <si>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</si>
  <si>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</si>
  <si>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</si>
  <si>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</si>
  <si>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</si>
  <si>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</si>
  <si>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</si>
  <si>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</si>
  <si>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</si>
  <si>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</si>
  <si>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</si>
  <si>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</si>
  <si>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</si>
  <si>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расшифровать</t>
  </si>
  <si>
    <t>Муниципальное образование Бегуницкое сельское поселение</t>
  </si>
  <si>
    <t>Дер. Бегуницы, д. 12</t>
  </si>
  <si>
    <t>Дер. Бегуницы, д. 13</t>
  </si>
  <si>
    <t>электрика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</si>
  <si>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</si>
  <si>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</si>
  <si>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</si>
  <si>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</si>
  <si>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</si>
  <si>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</si>
  <si>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</si>
  <si>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</si>
  <si>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</si>
  <si>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</si>
  <si>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</si>
  <si>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</si>
  <si>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</si>
  <si>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</si>
  <si>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</si>
  <si>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</si>
  <si>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</si>
  <si>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</si>
  <si>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</si>
  <si>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</si>
  <si>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Пос. Сумино, д. 70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</si>
  <si>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</si>
  <si>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</si>
  <si>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</si>
  <si>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</si>
  <si>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</si>
  <si>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</si>
  <si>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</si>
  <si>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</si>
  <si>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</si>
  <si>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</si>
  <si>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</si>
  <si>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</si>
  <si>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</si>
  <si>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</si>
  <si>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</si>
  <si>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</si>
  <si>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</si>
  <si>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Пос. Каложицы, д. 15</t>
  </si>
  <si>
    <t>Пос. Кикерино, пер. Гатчинский, д. 9а</t>
  </si>
  <si>
    <t>Пос. Кикерино, ул. Ломакина, д. 13</t>
  </si>
  <si>
    <t>Пос. Кикерино, ул. Ломакина, д. 21</t>
  </si>
  <si>
    <t>Пос. Кикерино, ул. Ломакина, д. 25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</si>
  <si>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</si>
  <si>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</si>
  <si>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</si>
  <si>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</si>
  <si>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Дер. Клопицы, д. 15</t>
  </si>
  <si>
    <t>Пос. Жилгородок, д. 5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</si>
  <si>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</si>
  <si>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</si>
  <si>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</si>
  <si>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</si>
  <si>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</si>
  <si>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</si>
  <si>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</si>
  <si>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</si>
  <si>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Пос. Сельцо, д. 2</t>
  </si>
  <si>
    <t>эл.ТС,ХВС,ГВС,ВО</t>
  </si>
  <si>
    <t>Пос. Сельцо, д. 3</t>
  </si>
  <si>
    <t>Пос. Сельцо, д. 4</t>
  </si>
  <si>
    <t>Итого по Волосовскому муниципальному району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</si>
  <si>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</si>
  <si>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</si>
  <si>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</si>
  <si>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</si>
  <si>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</si>
  <si>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</si>
  <si>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</si>
  <si>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</si>
  <si>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</si>
  <si>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</si>
  <si>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</si>
  <si>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</si>
  <si>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</si>
  <si>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</si>
  <si>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</si>
  <si>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</si>
  <si>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</si>
  <si>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</si>
  <si>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</si>
  <si>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</si>
  <si>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</si>
  <si>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</si>
  <si>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</si>
  <si>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Молодежная, д. 11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</si>
  <si>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</si>
  <si>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</si>
  <si>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</si>
  <si>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Советская, д. 9</t>
  </si>
  <si>
    <t>Г. Волхов, ул. Фрунзе, д. 7</t>
  </si>
  <si>
    <t>Г. Волхов, ул. Юрия Гагарина, д. 11</t>
  </si>
  <si>
    <t>Г. Волхов, ул. Юрия Гагарина, д. 17</t>
  </si>
  <si>
    <t>Муниципальное образование Иссадское сельское поселение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</si>
  <si>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</si>
  <si>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</si>
  <si>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</si>
  <si>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</si>
  <si>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</si>
  <si>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</si>
  <si>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</si>
  <si>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</si>
  <si>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</si>
  <si>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</si>
  <si>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</si>
  <si>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</si>
  <si>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</si>
  <si>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</si>
  <si>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</si>
  <si>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</si>
  <si>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</si>
  <si>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</si>
  <si>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</si>
  <si>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</si>
  <si>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</si>
  <si>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</si>
  <si>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</si>
  <si>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</si>
  <si>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</si>
  <si>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</si>
  <si>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</si>
  <si>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</si>
  <si>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</si>
  <si>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</si>
  <si>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</si>
  <si>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</si>
  <si>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</si>
  <si>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</si>
  <si>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</si>
  <si>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</si>
  <si>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</si>
  <si>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</si>
  <si>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7</t>
  </si>
  <si>
    <t>Г. Новая Ладога, Наб. Ладожской Флотилии, д. 14</t>
  </si>
  <si>
    <t>Г. Новая Ладога, Наб. Ладожской Флотилии, д. 22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</si>
  <si>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</si>
  <si>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</si>
  <si>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</si>
  <si>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</si>
  <si>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</si>
  <si>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</si>
  <si>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</si>
  <si>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</si>
  <si>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</si>
  <si>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</si>
  <si>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</si>
  <si>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</si>
  <si>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</si>
  <si>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</si>
  <si>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</si>
  <si>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</si>
  <si>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</si>
  <si>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</si>
  <si>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</si>
  <si>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</si>
  <si>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</si>
  <si>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</si>
  <si>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</si>
  <si>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</si>
  <si>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</si>
  <si>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</si>
  <si>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</si>
  <si>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</si>
  <si>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</si>
  <si>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</si>
  <si>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</si>
  <si>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</si>
  <si>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</si>
  <si>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</si>
  <si>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</si>
  <si>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</si>
  <si>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</si>
  <si>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</si>
  <si>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</si>
  <si>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</si>
  <si>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</si>
  <si>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</si>
  <si>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</si>
  <si>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</si>
  <si>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</si>
  <si>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</si>
  <si>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</si>
  <si>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</si>
  <si>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</si>
  <si>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</si>
  <si>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</si>
  <si>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</si>
  <si>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</si>
  <si>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</si>
  <si>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</si>
  <si>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</si>
  <si>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</si>
  <si>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</si>
  <si>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</si>
  <si>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</si>
  <si>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</si>
  <si>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</si>
  <si>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</si>
  <si>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</si>
  <si>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</si>
  <si>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</si>
  <si>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</si>
  <si>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</si>
  <si>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</si>
  <si>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</si>
  <si>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</si>
  <si>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</si>
  <si>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</si>
  <si>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</si>
  <si>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</si>
  <si>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</si>
  <si>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</si>
  <si>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</si>
  <si>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</si>
  <si>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</si>
  <si>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</si>
  <si>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</si>
  <si>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</si>
  <si>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</si>
  <si>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</si>
  <si>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</si>
  <si>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Советская, д. 108</t>
  </si>
  <si>
    <t>С. Паша, ул. Советская, д. 110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</si>
  <si>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</si>
  <si>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</si>
  <si>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</si>
  <si>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73</t>
  </si>
  <si>
    <t>С. Паша, ул. Советская, д. 95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</si>
  <si>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</si>
  <si>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</si>
  <si>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</si>
  <si>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</si>
  <si>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</si>
  <si>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</si>
  <si>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</si>
  <si>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</si>
  <si>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</si>
  <si>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</si>
  <si>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</si>
  <si>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</si>
  <si>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</si>
  <si>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</si>
  <si>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19</t>
  </si>
  <si>
    <t>Пос. Селиваново, ул. Первомайская, д. 8</t>
  </si>
  <si>
    <t>Пос. Селиваново, ул. Торфяников, д. 12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</si>
  <si>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</si>
  <si>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</si>
  <si>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</si>
  <si>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</si>
  <si>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</si>
  <si>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</si>
  <si>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</si>
  <si>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</si>
  <si>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</si>
  <si>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</si>
  <si>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</si>
  <si>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</si>
  <si>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</si>
  <si>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</si>
  <si>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</si>
  <si>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</si>
  <si>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</si>
  <si>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</si>
  <si>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</si>
  <si>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</si>
  <si>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</si>
  <si>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</si>
  <si>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</si>
  <si>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</si>
  <si>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</si>
  <si>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</si>
  <si>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</si>
  <si>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</si>
  <si>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</si>
  <si>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</si>
  <si>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</si>
  <si>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</si>
  <si>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</si>
  <si>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</si>
  <si>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</si>
  <si>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</si>
  <si>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</si>
  <si>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</si>
  <si>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микрорайон Сертолово-2, ул. Березовая, д. 11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</si>
  <si>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</si>
  <si>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</si>
  <si>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</si>
  <si>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</si>
  <si>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</si>
  <si>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</si>
  <si>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</si>
  <si>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</si>
  <si>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</si>
  <si>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</si>
  <si>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</si>
  <si>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</si>
  <si>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</si>
  <si>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</si>
  <si>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1  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</si>
  <si>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</si>
  <si>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</si>
  <si>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</si>
  <si>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</si>
  <si>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</si>
  <si>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</si>
  <si>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</si>
  <si>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</si>
  <si>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</si>
  <si>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</si>
  <si>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</si>
  <si>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</si>
  <si>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</si>
  <si>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</si>
  <si>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</si>
  <si>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</si>
  <si>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Г. Сертолово, микрорайон Сертолово-1, ш. Восточно-Выборгское, д. 2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</si>
  <si>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</si>
  <si>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</si>
  <si>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</si>
  <si>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</si>
  <si>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</si>
  <si>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</si>
  <si>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</si>
  <si>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</si>
  <si>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</si>
  <si>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</si>
  <si>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</si>
  <si>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</si>
  <si>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</si>
  <si>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</si>
  <si>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</si>
  <si>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</si>
  <si>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</si>
  <si>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</si>
  <si>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</si>
  <si>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</si>
  <si>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</si>
  <si>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</si>
  <si>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</si>
  <si>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</si>
  <si>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</si>
  <si>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</si>
  <si>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</si>
  <si>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</si>
  <si>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</si>
  <si>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Пос. Бугры, пер. Средний, д. 3  </t>
  </si>
  <si>
    <t>Пос. Бугры, ул. Парковая, д. 16А</t>
  </si>
  <si>
    <t>Муниципальное образование Город Всеволожск</t>
  </si>
  <si>
    <t xml:space="preserve">Г. Всеволожск, просп. Всеволожский, д. 15  </t>
  </si>
  <si>
    <t xml:space="preserve">Г. Всеволожск, ул. 1 линия, д. 25-г  </t>
  </si>
  <si>
    <t xml:space="preserve">Г. Всеволожск, ул. Магистральная, д. 2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</si>
  <si>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</si>
  <si>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</si>
  <si>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</si>
  <si>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</si>
  <si>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</si>
  <si>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</si>
  <si>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</si>
  <si>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</si>
  <si>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</si>
  <si>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</si>
  <si>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</si>
  <si>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</si>
  <si>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</si>
  <si>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</si>
  <si>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</si>
  <si>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</si>
  <si>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</si>
  <si>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</si>
  <si>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</si>
  <si>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</si>
  <si>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</si>
  <si>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</si>
  <si>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</si>
  <si>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</si>
  <si>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</si>
  <si>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</si>
  <si>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</si>
  <si>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</si>
  <si>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</si>
  <si>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</si>
  <si>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</si>
  <si>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</si>
  <si>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</si>
  <si>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</si>
  <si>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</si>
  <si>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</si>
  <si>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</si>
  <si>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</si>
  <si>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</si>
  <si>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</si>
  <si>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</si>
  <si>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</si>
  <si>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</si>
  <si>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</si>
  <si>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</si>
  <si>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</si>
  <si>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</si>
  <si>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</si>
  <si>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</si>
  <si>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</si>
  <si>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</si>
  <si>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</si>
  <si>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</si>
  <si>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</si>
  <si>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</si>
  <si>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</si>
  <si>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</si>
  <si>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</si>
  <si>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</si>
  <si>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</si>
  <si>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</si>
  <si>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</si>
  <si>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</si>
  <si>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</si>
  <si>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</si>
  <si>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</si>
  <si>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</si>
  <si>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</si>
  <si>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</si>
  <si>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</si>
  <si>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</si>
  <si>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</si>
  <si>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</si>
  <si>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</si>
  <si>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</si>
  <si>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</si>
  <si>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</si>
  <si>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</si>
  <si>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</si>
  <si>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</si>
  <si>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</si>
  <si>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</si>
  <si>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</si>
  <si>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</si>
  <si>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</si>
  <si>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</si>
  <si>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</si>
  <si>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</si>
  <si>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</si>
  <si>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</si>
  <si>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</si>
  <si>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</si>
  <si>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</si>
  <si>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</si>
  <si>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</si>
  <si>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</si>
  <si>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</si>
  <si>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</si>
  <si>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</si>
  <si>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</si>
  <si>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</si>
  <si>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</si>
  <si>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</si>
  <si>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</si>
  <si>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</si>
  <si>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</si>
  <si>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</si>
  <si>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</si>
  <si>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</si>
  <si>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</si>
  <si>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</si>
  <si>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</si>
  <si>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</si>
  <si>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</si>
  <si>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</si>
  <si>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</si>
  <si>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</si>
  <si>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</si>
  <si>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</si>
  <si>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</si>
  <si>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</si>
  <si>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</si>
  <si>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</si>
  <si>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</si>
  <si>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</si>
  <si>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</si>
  <si>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</si>
  <si>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</si>
  <si>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</si>
  <si>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</si>
  <si>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</si>
  <si>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</si>
  <si>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</si>
  <si>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</si>
  <si>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</si>
  <si>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</si>
  <si>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</si>
  <si>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</si>
  <si>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</si>
  <si>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</si>
  <si>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</si>
  <si>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</si>
  <si>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</si>
  <si>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</si>
  <si>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</si>
  <si>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</si>
  <si>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</si>
  <si>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</si>
  <si>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</si>
  <si>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</si>
  <si>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</si>
  <si>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</si>
  <si>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</si>
  <si>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</si>
  <si>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</si>
  <si>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</si>
  <si>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</si>
  <si>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</si>
  <si>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</si>
  <si>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</si>
  <si>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</si>
  <si>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</si>
  <si>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</si>
  <si>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</si>
  <si>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</si>
  <si>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</si>
  <si>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</si>
  <si>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</si>
  <si>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</si>
  <si>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</si>
  <si>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</si>
  <si>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</si>
  <si>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</si>
  <si>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</si>
  <si>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</si>
  <si>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</si>
  <si>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</si>
  <si>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</si>
  <si>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</si>
  <si>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</si>
  <si>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Инженерная, д. 1а</t>
  </si>
  <si>
    <t>Г.п. Токсово, ул. Инженерная, д. 2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</si>
  <si>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</si>
  <si>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</si>
  <si>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</si>
  <si>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</si>
  <si>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</si>
  <si>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</si>
  <si>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</si>
  <si>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</si>
  <si>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</si>
  <si>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Г.п. Токсово, ул. Привокзальная, д. 4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</si>
  <si>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</si>
  <si>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</si>
  <si>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</si>
  <si>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</si>
  <si>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</si>
  <si>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</si>
  <si>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</si>
  <si>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</si>
  <si>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</si>
  <si>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</si>
  <si>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наб. 40-летия ВЛКСМ, д. 7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</si>
  <si>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</si>
  <si>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</si>
  <si>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</si>
  <si>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</si>
  <si>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</si>
  <si>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</si>
  <si>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</si>
  <si>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</si>
  <si>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</si>
  <si>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</si>
  <si>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</si>
  <si>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 xml:space="preserve">Г. Выборг, пер. Цветущий, д. 6  </t>
  </si>
  <si>
    <t xml:space="preserve">Г. Выборг, просп. Ленина, д. 20  </t>
  </si>
  <si>
    <t xml:space="preserve">Г. Выборг, просп. Ленинградский, д. 12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</si>
  <si>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</si>
  <si>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</si>
  <si>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7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</si>
  <si>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</si>
  <si>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</si>
  <si>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</si>
  <si>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</si>
  <si>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9  </t>
  </si>
  <si>
    <t xml:space="preserve">Г. Выборг, ул. 1 Бригадная, д. 21  </t>
  </si>
  <si>
    <t xml:space="preserve">Г. Выборг, ул. 1 Бригадная, д. 8  </t>
  </si>
  <si>
    <t xml:space="preserve">Г. Выборг, ул. 2 Бригадная, д. 27  </t>
  </si>
  <si>
    <t xml:space="preserve">Г. Выборг, ул. 3 Бригадная, д. 5  </t>
  </si>
  <si>
    <t xml:space="preserve">Г. Выборг, ул. Акулова, д. 11  </t>
  </si>
  <si>
    <t xml:space="preserve">Г. Выборг, ул. Андреевская, д. 4  </t>
  </si>
  <si>
    <t>Г. Выборг, ул. Андреевская, д. 9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</si>
  <si>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</si>
  <si>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</si>
  <si>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</si>
  <si>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</si>
  <si>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</si>
  <si>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 xml:space="preserve">Г. Выборг, ул. Михаила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</si>
  <si>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</si>
  <si>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</si>
  <si>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</si>
  <si>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8  </t>
  </si>
  <si>
    <t xml:space="preserve">Г. Выборг, ул. Весенняя Тропа, д. 9  </t>
  </si>
  <si>
    <t>Г. Выборг, ул. Восстановительная, д. 19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</si>
  <si>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</si>
  <si>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</si>
  <si>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</si>
  <si>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</si>
  <si>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</si>
  <si>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Данилова, д. 1  </t>
  </si>
  <si>
    <t xml:space="preserve">Г. Выборг, ул. Димитрова, д. 5б  </t>
  </si>
  <si>
    <t>Г. Выборг, ул. Димитрова, д. 9</t>
  </si>
  <si>
    <t>Г. Выборг, ул. Дремучий Остров, д. 4</t>
  </si>
  <si>
    <t xml:space="preserve">Г. Выборг, ул. Железнодорожная, д. 1  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</si>
  <si>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</si>
  <si>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</si>
  <si>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</si>
  <si>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</si>
  <si>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</si>
  <si>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</si>
  <si>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</si>
  <si>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</si>
  <si>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</si>
  <si>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</si>
  <si>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</si>
  <si>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</si>
  <si>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</si>
  <si>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</si>
  <si>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</si>
  <si>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>Г. Выборг, ул. Куйбышева, д. 7</t>
  </si>
  <si>
    <t xml:space="preserve">Г. Выборг, ул. Мира, д. 16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</si>
  <si>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</si>
  <si>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</si>
  <si>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</si>
  <si>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</si>
  <si>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</si>
  <si>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</si>
  <si>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</si>
  <si>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</si>
  <si>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</si>
  <si>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</si>
  <si>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</si>
  <si>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</si>
  <si>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</si>
  <si>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</si>
  <si>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</si>
  <si>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</si>
  <si>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</si>
  <si>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</si>
  <si>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</si>
  <si>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</si>
  <si>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</si>
  <si>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</si>
  <si>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>Г. Выборг, ул. Подгорная, д. 12</t>
  </si>
  <si>
    <t>Г. Выборг, ул. Приморская, д. 43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</si>
  <si>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</si>
  <si>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</si>
  <si>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</si>
  <si>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</si>
  <si>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</si>
  <si>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</si>
  <si>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</si>
  <si>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</si>
  <si>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Северная, д. 12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</si>
  <si>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</si>
  <si>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</si>
  <si>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</si>
  <si>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</si>
  <si>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</si>
  <si>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</si>
  <si>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</si>
  <si>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</si>
  <si>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</si>
  <si>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</si>
  <si>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</si>
  <si>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</si>
  <si>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</si>
  <si>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</si>
  <si>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</si>
  <si>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Хвойная, д. 11</t>
  </si>
  <si>
    <t>Г. Выборг, ул. Центральная, д. 14</t>
  </si>
  <si>
    <t>Г. Выборг, ул. Центральная, д. 26</t>
  </si>
  <si>
    <t xml:space="preserve">Г. Выборг, пер. Черноморский, д. 8  </t>
  </si>
  <si>
    <t xml:space="preserve">Г. Выборг, ул. Шестакова, д. 30  </t>
  </si>
  <si>
    <t xml:space="preserve">Г. Выборг, ул. Школьная, д. 17  </t>
  </si>
  <si>
    <t xml:space="preserve">Г. Выборг, ул. Школьная, д. 6  </t>
  </si>
  <si>
    <t xml:space="preserve">Г. Выборг, ул. Южный Вал, д. 18  </t>
  </si>
  <si>
    <t xml:space="preserve">Г. Выборг, ш. Ленинградское, д. 28  </t>
  </si>
  <si>
    <t>Г. Выборг, ш. Сайменское, д. 35</t>
  </si>
  <si>
    <t>Г. Выборг, ул. Судостроительная, д. 30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</si>
  <si>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</si>
  <si>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</si>
  <si>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</si>
  <si>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</si>
  <si>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</si>
  <si>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</si>
  <si>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</si>
  <si>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</si>
  <si>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</si>
  <si>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</si>
  <si>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</si>
  <si>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</si>
  <si>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</si>
  <si>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</si>
  <si>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</si>
  <si>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</si>
  <si>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</si>
  <si>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</si>
  <si>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</si>
  <si>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</si>
  <si>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</si>
  <si>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</si>
  <si>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</si>
  <si>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</si>
  <si>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</si>
  <si>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</si>
  <si>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</si>
  <si>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</si>
  <si>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</si>
  <si>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</si>
  <si>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</si>
  <si>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</si>
  <si>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</si>
  <si>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</si>
  <si>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</si>
  <si>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</si>
  <si>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</si>
  <si>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</si>
  <si>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</si>
  <si>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</si>
  <si>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</si>
  <si>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</si>
  <si>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</si>
  <si>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</si>
  <si>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</si>
  <si>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</si>
  <si>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</si>
  <si>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</si>
  <si>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</si>
  <si>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</si>
  <si>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</si>
  <si>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</si>
  <si>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</si>
  <si>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</si>
  <si>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</si>
  <si>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</si>
  <si>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</si>
  <si>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</si>
  <si>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</si>
  <si>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</si>
  <si>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</si>
  <si>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</si>
  <si>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</si>
  <si>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</si>
  <si>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</si>
  <si>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</si>
  <si>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</si>
  <si>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</si>
  <si>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</si>
  <si>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</si>
  <si>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</si>
  <si>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</si>
  <si>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</si>
  <si>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</si>
  <si>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</si>
  <si>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</si>
  <si>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</si>
  <si>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</si>
  <si>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</si>
  <si>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</si>
  <si>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</si>
  <si>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</si>
  <si>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</si>
  <si>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</si>
  <si>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</si>
  <si>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</si>
  <si>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</si>
  <si>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</si>
  <si>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</si>
  <si>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</si>
  <si>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</si>
  <si>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</si>
  <si>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</si>
  <si>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</si>
  <si>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</si>
  <si>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</si>
  <si>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</si>
  <si>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</si>
  <si>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</si>
  <si>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</si>
  <si>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</si>
  <si>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</si>
  <si>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</si>
  <si>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</si>
  <si>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</si>
  <si>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</si>
  <si>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</si>
  <si>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</si>
  <si>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</si>
  <si>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</si>
  <si>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</si>
  <si>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</si>
  <si>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</si>
  <si>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</si>
  <si>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</si>
  <si>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</si>
  <si>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</si>
  <si>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</si>
  <si>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</si>
  <si>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</si>
  <si>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</si>
  <si>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</si>
  <si>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</si>
  <si>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</si>
  <si>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</si>
  <si>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</si>
  <si>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</si>
  <si>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</si>
  <si>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</si>
  <si>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</si>
  <si>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</si>
  <si>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</si>
  <si>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</si>
  <si>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</si>
  <si>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</si>
  <si>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</si>
  <si>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</si>
  <si>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</si>
  <si>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</si>
  <si>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</si>
  <si>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</si>
  <si>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</si>
  <si>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</si>
  <si>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</si>
  <si>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</si>
  <si>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</si>
  <si>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</si>
  <si>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</si>
  <si>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</si>
  <si>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</si>
  <si>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Пос. Рябово, ул. Каменная, д. 7</t>
  </si>
  <si>
    <t>Пос. Рябово, ул. Каменная, д. 8</t>
  </si>
  <si>
    <t>Пос. Рябово, ул. Каменная, д. 9</t>
  </si>
  <si>
    <t>Муниципальное образование Рощинское городское поселение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</si>
  <si>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</si>
  <si>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</si>
  <si>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Гарькавого, д. 8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</si>
  <si>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</si>
  <si>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</si>
  <si>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</si>
  <si>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</si>
  <si>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Пос. Лесогорский, ул. Гагарина, д. 13</t>
  </si>
  <si>
    <t>Пос. Лесогорский, ул. Генераторная, д. 17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</si>
  <si>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</si>
  <si>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</si>
  <si>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</si>
  <si>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</si>
  <si>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</si>
  <si>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</si>
  <si>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</si>
  <si>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</si>
  <si>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</si>
  <si>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</si>
  <si>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</si>
  <si>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</si>
  <si>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Пос. Лесогорский, ш. Ленинградское, д. 32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</si>
  <si>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</si>
  <si>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</si>
  <si>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</si>
  <si>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</si>
  <si>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</si>
  <si>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</si>
  <si>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</si>
  <si>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</si>
  <si>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</si>
  <si>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</si>
  <si>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</si>
  <si>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</si>
  <si>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</si>
  <si>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</si>
  <si>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</si>
  <si>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</si>
  <si>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</si>
  <si>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</si>
  <si>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</si>
  <si>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</si>
  <si>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</si>
  <si>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</si>
  <si>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</si>
  <si>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</si>
  <si>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</si>
  <si>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</si>
  <si>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</si>
  <si>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</si>
  <si>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</si>
  <si>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</si>
  <si>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</si>
  <si>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</si>
  <si>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</si>
  <si>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</si>
  <si>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</si>
  <si>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</si>
  <si>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</si>
  <si>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</si>
  <si>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</si>
  <si>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</si>
  <si>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</si>
  <si>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</si>
  <si>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</si>
  <si>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</si>
  <si>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Дер. Зайцево, д. 8</t>
  </si>
  <si>
    <t>Муниципальное образование Войсковицкое сельское поселение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</si>
  <si>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</si>
  <si>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</si>
  <si>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</si>
  <si>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</si>
  <si>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</si>
  <si>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</si>
  <si>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</si>
  <si>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</si>
  <si>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</si>
  <si>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</si>
  <si>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Муниципальное образование Вырицкое городское поселение</t>
  </si>
  <si>
    <t>Г.п. Вырица, пер. Центральный, д. 3</t>
  </si>
  <si>
    <t>Г.п. Вырица, просп. Кирова, д. 12</t>
  </si>
  <si>
    <t>Г.п. Вырица, просп. Пильный, д. 15</t>
  </si>
  <si>
    <t>Г.п. Вырица, просп. Суворовский, д. 37</t>
  </si>
  <si>
    <t>Г.п. Вырица, просп. Урицкого, д. 7</t>
  </si>
  <si>
    <t>Г.п. Вырица, ул. Баркановская, д. 20/34</t>
  </si>
  <si>
    <t>Г.п. Вырица, ул. Боровая, д. 33</t>
  </si>
  <si>
    <t>Г.п. Вырица, ул. Красная, д. 39</t>
  </si>
  <si>
    <t>Г.п. Вырица, ул. Ломоносова, д. 14</t>
  </si>
  <si>
    <t>Г.п. Вырица, ул. М. Расковой, д. 33</t>
  </si>
  <si>
    <t>Г.п. Вырица, ул. Набережная, д. 2/7</t>
  </si>
  <si>
    <t>Г.п. Вырица, ул. Симбирская, д. 2/1</t>
  </si>
  <si>
    <t>Г.п. Вырица, ул. Соболевского, д. 27</t>
  </si>
  <si>
    <t>Г.п. Вырица, ул. Советская, д. 43</t>
  </si>
  <si>
    <t>Г.п. Вырица, ул. Софийская, д. 11</t>
  </si>
  <si>
    <t>Г.п. Вырица, ш. Сиверское, д. 139</t>
  </si>
  <si>
    <t>Муниципальное образование Город Гатчина</t>
  </si>
  <si>
    <t>Г. Гатчина, пер. Инженерный, д. 1</t>
  </si>
  <si>
    <t>Г. Гатчина, пер. Солнечный, д. 1</t>
  </si>
  <si>
    <t>ЭС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</si>
  <si>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</si>
  <si>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</si>
  <si>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</si>
  <si>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</si>
  <si>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</si>
  <si>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</si>
  <si>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</si>
  <si>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</si>
  <si>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</si>
  <si>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</si>
  <si>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</si>
  <si>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</si>
  <si>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</si>
  <si>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</si>
  <si>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</si>
  <si>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</si>
  <si>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</si>
  <si>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</si>
  <si>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</si>
  <si>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</si>
  <si>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</si>
  <si>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</si>
  <si>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</si>
  <si>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</si>
  <si>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</si>
  <si>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</si>
  <si>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</si>
  <si>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</si>
  <si>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</si>
  <si>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</si>
  <si>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</si>
  <si>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</si>
  <si>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</si>
  <si>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</si>
  <si>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</si>
  <si>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</si>
  <si>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</si>
  <si>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</si>
  <si>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</si>
  <si>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</si>
  <si>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</si>
  <si>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</si>
  <si>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</si>
  <si>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</si>
  <si>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</si>
  <si>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</si>
  <si>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</si>
  <si>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</si>
  <si>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</si>
  <si>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</si>
  <si>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</si>
  <si>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</si>
  <si>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</si>
  <si>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</si>
  <si>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</si>
  <si>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</si>
  <si>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</si>
  <si>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</si>
  <si>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</si>
  <si>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</si>
  <si>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</si>
  <si>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</si>
  <si>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</si>
  <si>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</si>
  <si>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</si>
  <si>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</si>
  <si>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</si>
  <si>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</si>
  <si>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</si>
  <si>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11</t>
  </si>
  <si>
    <t>Г. Гатчина, ул. Гагарина, д. 12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</si>
  <si>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</si>
  <si>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</si>
  <si>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</si>
  <si>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</si>
  <si>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</si>
  <si>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</si>
  <si>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</si>
  <si>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</si>
  <si>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</si>
  <si>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</si>
  <si>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</si>
  <si>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</si>
  <si>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</si>
  <si>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</si>
  <si>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</si>
  <si>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</si>
  <si>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</si>
  <si>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</si>
  <si>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</si>
  <si>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</si>
  <si>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</si>
  <si>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</si>
  <si>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</si>
  <si>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</si>
  <si>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</si>
  <si>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</si>
  <si>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</si>
  <si>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</si>
  <si>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</si>
  <si>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ТС, ХВС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</si>
  <si>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</si>
  <si>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</si>
  <si>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</si>
  <si>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</si>
  <si>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</si>
  <si>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</si>
  <si>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</si>
  <si>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</si>
  <si>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</si>
  <si>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</si>
  <si>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</si>
  <si>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</si>
  <si>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</si>
  <si>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</si>
  <si>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</si>
  <si>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</si>
  <si>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</si>
  <si>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</si>
  <si>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</si>
  <si>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</si>
  <si>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</si>
  <si>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</si>
  <si>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</si>
  <si>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</si>
  <si>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</si>
  <si>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</si>
  <si>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</si>
  <si>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</si>
  <si>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</si>
  <si>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</si>
  <si>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</si>
  <si>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</si>
  <si>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</si>
  <si>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</si>
  <si>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</si>
  <si>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</si>
  <si>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</si>
  <si>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</si>
  <si>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</si>
  <si>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</si>
  <si>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</si>
  <si>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</si>
  <si>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</si>
  <si>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</si>
  <si>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</si>
  <si>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</si>
  <si>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</si>
  <si>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</si>
  <si>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</si>
  <si>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</si>
  <si>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</si>
  <si>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</si>
  <si>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</si>
  <si>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</si>
  <si>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</si>
  <si>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</si>
  <si>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</si>
  <si>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</si>
  <si>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</si>
  <si>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</si>
  <si>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</si>
  <si>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</si>
  <si>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</si>
  <si>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</si>
  <si>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</si>
  <si>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</si>
  <si>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</si>
  <si>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</si>
  <si>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</si>
  <si>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</si>
  <si>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</si>
  <si>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</si>
  <si>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</si>
  <si>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</si>
  <si>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</si>
  <si>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</si>
  <si>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</si>
  <si>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</si>
  <si>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</si>
  <si>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Комсомольцев-Подпольщиков, д. 1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</si>
  <si>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</si>
  <si>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</si>
  <si>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</si>
  <si>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</si>
  <si>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</si>
  <si>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</si>
  <si>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</si>
  <si>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</si>
  <si>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</si>
  <si>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</si>
  <si>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</si>
  <si>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</si>
  <si>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</si>
  <si>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</si>
  <si>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</si>
  <si>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</si>
  <si>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</si>
  <si>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</si>
  <si>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</si>
  <si>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</si>
  <si>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</si>
  <si>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</si>
  <si>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</si>
  <si>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</si>
  <si>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</si>
  <si>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</si>
  <si>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</si>
  <si>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</si>
  <si>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</si>
  <si>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</si>
  <si>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</si>
  <si>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</si>
  <si>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</si>
  <si>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</si>
  <si>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</si>
  <si>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</si>
  <si>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</si>
  <si>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</si>
  <si>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</si>
  <si>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</si>
  <si>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</si>
  <si>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</si>
  <si>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</si>
  <si>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</si>
  <si>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</si>
  <si>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</si>
  <si>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</si>
  <si>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</si>
  <si>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</si>
  <si>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</si>
  <si>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</si>
  <si>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</si>
  <si>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</si>
  <si>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</si>
  <si>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</si>
  <si>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</si>
  <si>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</si>
  <si>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</si>
  <si>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</si>
  <si>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</si>
  <si>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</si>
  <si>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</si>
  <si>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</si>
  <si>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</si>
  <si>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</si>
  <si>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</si>
  <si>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</si>
  <si>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</si>
  <si>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</si>
  <si>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</si>
  <si>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</si>
  <si>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</si>
  <si>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</si>
  <si>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</si>
  <si>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</si>
  <si>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</si>
  <si>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</si>
  <si>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</si>
  <si>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</si>
  <si>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</si>
  <si>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</si>
  <si>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</si>
  <si>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</si>
  <si>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</si>
  <si>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</si>
  <si>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</si>
  <si>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</si>
  <si>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</si>
  <si>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</si>
  <si>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</si>
  <si>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ХВС</t>
  </si>
  <si>
    <t>Г. Гатчина, ул. Рысева, д. 55</t>
  </si>
  <si>
    <t>Г. Гатчина, ул. Рысева, д. 57</t>
  </si>
  <si>
    <t>фасад с утепл.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</si>
  <si>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</si>
  <si>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</si>
  <si>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</si>
  <si>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</si>
  <si>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</si>
  <si>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</si>
  <si>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</si>
  <si>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</si>
  <si>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</si>
  <si>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</si>
  <si>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</si>
  <si>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</si>
  <si>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</si>
  <si>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</si>
  <si>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</si>
  <si>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</si>
  <si>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</si>
  <si>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</si>
  <si>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</si>
  <si>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</si>
  <si>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</si>
  <si>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</si>
  <si>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</si>
  <si>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</si>
  <si>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</si>
  <si>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</si>
  <si>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</si>
  <si>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</si>
  <si>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</si>
  <si>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</si>
  <si>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</si>
  <si>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</si>
  <si>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</si>
  <si>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</si>
  <si>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</si>
  <si>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</si>
  <si>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</si>
  <si>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</si>
  <si>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</si>
  <si>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</si>
  <si>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</si>
  <si>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</si>
  <si>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</si>
  <si>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</si>
  <si>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</si>
  <si>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</si>
  <si>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</si>
  <si>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</si>
  <si>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</si>
  <si>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</si>
  <si>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</si>
  <si>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</si>
  <si>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</si>
  <si>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</si>
  <si>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</si>
  <si>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</si>
  <si>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</si>
  <si>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</si>
  <si>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</si>
  <si>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</si>
  <si>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</si>
  <si>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</si>
  <si>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</si>
  <si>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</si>
  <si>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</si>
  <si>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</si>
  <si>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</si>
  <si>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</si>
  <si>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</si>
  <si>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</si>
  <si>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</si>
  <si>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Г. Гатчина, ул. Чкалова, д. 38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</si>
  <si>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</si>
  <si>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</si>
  <si>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</si>
  <si>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</si>
  <si>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</si>
  <si>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</si>
  <si>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</si>
  <si>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</si>
  <si>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</si>
  <si>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</si>
  <si>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</si>
  <si>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</si>
  <si>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</si>
  <si>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</si>
  <si>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</si>
  <si>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</si>
  <si>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</si>
  <si>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</si>
  <si>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</si>
  <si>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</si>
  <si>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Кобринское, ул. Советских воинов, д. 7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</si>
  <si>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</si>
  <si>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</si>
  <si>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</si>
  <si>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</si>
  <si>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</si>
  <si>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</si>
  <si>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</si>
  <si>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</si>
  <si>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</si>
  <si>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</si>
  <si>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</si>
  <si>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Торфяное, д. 10</t>
  </si>
  <si>
    <t>Муниципальное образование Пудомягское сельское поселение</t>
  </si>
  <si>
    <t>Дер. Покровская, д. 4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</si>
  <si>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</si>
  <si>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</si>
  <si>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</si>
  <si>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</si>
  <si>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</si>
  <si>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</si>
  <si>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</si>
  <si>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Пос. Дружноселье, ул. ДПБ, д. 1</t>
  </si>
  <si>
    <t>Пос. Дружноселье, ул. ДПБ, д. 2</t>
  </si>
  <si>
    <t>Муниципальное образование Сяськелевское сельское поселение</t>
  </si>
  <si>
    <t>Дер. Тойворово, д. 2/5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</si>
  <si>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</si>
  <si>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</si>
  <si>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</si>
  <si>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</si>
  <si>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</si>
  <si>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</si>
  <si>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</si>
  <si>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Красногвардейская, д. 22</t>
  </si>
  <si>
    <t>Г.п. Тайцы, ул. Красногвардейская, д. 24</t>
  </si>
  <si>
    <t>Г.п. Тайцы, ул. Островского, д. 41</t>
  </si>
  <si>
    <t>Г.п. Тайцы, ул. Пушкина, д. 2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</si>
  <si>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</si>
  <si>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</si>
  <si>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</si>
  <si>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</si>
  <si>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</si>
  <si>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</si>
  <si>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</si>
  <si>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</si>
  <si>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</si>
  <si>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</si>
  <si>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</si>
  <si>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</si>
  <si>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</si>
  <si>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</si>
  <si>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</si>
  <si>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</si>
  <si>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</si>
  <si>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</si>
  <si>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</si>
  <si>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</si>
  <si>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</si>
  <si>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</si>
  <si>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</si>
  <si>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</si>
  <si>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</si>
  <si>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</si>
  <si>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</si>
  <si>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</si>
  <si>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</si>
  <si>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</si>
  <si>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</si>
  <si>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Железнодорожная, д. 6</t>
  </si>
  <si>
    <t>Г. Кингисепп, ул. Жукова, д. 10А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</si>
  <si>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</si>
  <si>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</si>
  <si>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</si>
  <si>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</si>
  <si>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</si>
  <si>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</si>
  <si>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</si>
  <si>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</si>
  <si>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</si>
  <si>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Муниципальное образование Котельское сельское поселение</t>
  </si>
  <si>
    <t>Дер. Котлы, д. 229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</si>
  <si>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</si>
  <si>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</si>
  <si>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</si>
  <si>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</si>
  <si>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</si>
  <si>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</si>
  <si>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</si>
  <si>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</si>
  <si>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</si>
  <si>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</si>
  <si>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</si>
  <si>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Делегатская, д. 1</t>
  </si>
  <si>
    <t>нет хвс</t>
  </si>
  <si>
    <t>Г.п. Будогощь, ул. Советская, д. 21</t>
  </si>
  <si>
    <t>Г.п. Будогощь, ул. Советская, д. 39</t>
  </si>
  <si>
    <t>нет подвала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</si>
  <si>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</si>
  <si>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</si>
  <si>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</si>
  <si>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</si>
  <si>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</si>
  <si>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</si>
  <si>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</si>
  <si>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</si>
  <si>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</si>
  <si>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</si>
  <si>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</si>
  <si>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</si>
  <si>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</si>
  <si>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</si>
  <si>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</si>
  <si>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</si>
  <si>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</si>
  <si>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</si>
  <si>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</si>
  <si>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</si>
  <si>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</si>
  <si>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</si>
  <si>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</si>
  <si>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</si>
  <si>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</si>
  <si>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</si>
  <si>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</si>
  <si>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</si>
  <si>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</si>
  <si>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</si>
  <si>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</si>
  <si>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</si>
  <si>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</si>
  <si>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</si>
  <si>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</si>
  <si>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</si>
  <si>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</si>
  <si>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</si>
  <si>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</si>
  <si>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</si>
  <si>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</si>
  <si>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</si>
  <si>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</si>
  <si>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</si>
  <si>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</si>
  <si>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</si>
  <si>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</si>
  <si>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</si>
  <si>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</si>
  <si>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</si>
  <si>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</si>
  <si>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</si>
  <si>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</si>
  <si>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</si>
  <si>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</si>
  <si>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</si>
  <si>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</si>
  <si>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</si>
  <si>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</si>
  <si>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</si>
  <si>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</si>
  <si>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</si>
  <si>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</si>
  <si>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</si>
  <si>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</si>
  <si>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</si>
  <si>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</si>
  <si>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</si>
  <si>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</si>
  <si>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</si>
  <si>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</si>
  <si>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</si>
  <si>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</si>
  <si>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</si>
  <si>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</si>
  <si>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</si>
  <si>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</si>
  <si>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</si>
  <si>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</si>
  <si>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включить ПУ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</si>
  <si>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</si>
  <si>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</si>
  <si>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</si>
  <si>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</si>
  <si>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</si>
  <si>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</si>
  <si>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</si>
  <si>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</si>
  <si>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</si>
  <si>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</si>
  <si>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</si>
  <si>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</si>
  <si>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</si>
  <si>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</si>
  <si>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</si>
  <si>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</si>
  <si>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</si>
  <si>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</si>
  <si>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</si>
  <si>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</si>
  <si>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</si>
  <si>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</si>
  <si>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</si>
  <si>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</si>
  <si>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</si>
  <si>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</si>
  <si>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</si>
  <si>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</si>
  <si>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</si>
  <si>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</si>
  <si>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</si>
  <si>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</si>
  <si>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</si>
  <si>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</si>
  <si>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</si>
  <si>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</si>
  <si>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</si>
  <si>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</si>
  <si>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</si>
  <si>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</si>
  <si>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</si>
  <si>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</si>
  <si>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</si>
  <si>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</si>
  <si>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</si>
  <si>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</si>
  <si>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</si>
  <si>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</si>
  <si>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</si>
  <si>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</si>
  <si>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</si>
  <si>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</si>
  <si>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</si>
  <si>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</si>
  <si>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</si>
  <si>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</si>
  <si>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</si>
  <si>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</si>
  <si>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</si>
  <si>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</si>
  <si>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</si>
  <si>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</si>
  <si>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</si>
  <si>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</si>
  <si>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</si>
  <si>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</si>
  <si>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</si>
  <si>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</si>
  <si>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</si>
  <si>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</si>
  <si>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</si>
  <si>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</si>
  <si>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</si>
  <si>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</si>
  <si>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</si>
  <si>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</si>
  <si>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</si>
  <si>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</si>
  <si>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</si>
  <si>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</si>
  <si>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</si>
  <si>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</si>
  <si>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</si>
  <si>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</si>
  <si>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</si>
  <si>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</si>
  <si>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</si>
  <si>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</si>
  <si>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</si>
  <si>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</si>
  <si>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</si>
  <si>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</si>
  <si>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</si>
  <si>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</si>
  <si>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</si>
  <si>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</si>
  <si>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</si>
  <si>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</si>
  <si>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</si>
  <si>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</si>
  <si>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</si>
  <si>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</si>
  <si>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</si>
  <si>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</si>
  <si>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Г.п. Мга, ул. Железнодорожная, д. 73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</si>
  <si>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</si>
  <si>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</si>
  <si>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</si>
  <si>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</si>
  <si>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</si>
  <si>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</si>
  <si>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</si>
  <si>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</si>
  <si>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</si>
  <si>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</si>
  <si>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</si>
  <si>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</si>
  <si>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</si>
  <si>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</si>
  <si>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</si>
  <si>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</si>
  <si>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</si>
  <si>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</si>
  <si>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</si>
  <si>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</si>
  <si>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</si>
  <si>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</si>
  <si>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</si>
  <si>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</si>
  <si>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</si>
  <si>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</si>
  <si>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</si>
  <si>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</si>
  <si>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</si>
  <si>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</si>
  <si>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</si>
  <si>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</si>
  <si>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</si>
  <si>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</si>
  <si>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</si>
  <si>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</si>
  <si>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</si>
  <si>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</si>
  <si>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</si>
  <si>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</si>
  <si>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</si>
  <si>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</si>
  <si>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</si>
  <si>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</si>
  <si>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</si>
  <si>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</si>
  <si>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</si>
  <si>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</si>
  <si>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</si>
  <si>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</si>
  <si>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</si>
  <si>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</si>
  <si>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</si>
  <si>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</si>
  <si>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Дер. Валовщина, ул. Новая, д. 1</t>
  </si>
  <si>
    <t>просят включить рапботы по фундаменту и УУ</t>
  </si>
  <si>
    <t>Дер. Валовщина, ул. Новая, д. 2</t>
  </si>
  <si>
    <t>Дер. Валовщина, ул. Новая, д. 3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</si>
  <si>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</si>
  <si>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</si>
  <si>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</si>
  <si>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</si>
  <si>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</si>
  <si>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</si>
  <si>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</si>
  <si>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</si>
  <si>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</si>
  <si>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</si>
  <si>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</si>
  <si>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</si>
  <si>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</si>
  <si>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</si>
  <si>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</si>
  <si>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ошибка в прог-ме, крыша была в этапе 2014-2016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</si>
  <si>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</si>
  <si>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</si>
  <si>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</si>
  <si>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</si>
  <si>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</si>
  <si>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</si>
  <si>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</si>
  <si>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</si>
  <si>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</si>
  <si>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</si>
  <si>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</si>
  <si>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</si>
  <si>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</si>
  <si>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</si>
  <si>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</si>
  <si>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</si>
  <si>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</si>
  <si>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</si>
  <si>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</si>
  <si>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</si>
  <si>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</si>
  <si>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</si>
  <si>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</si>
  <si>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</si>
  <si>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</si>
  <si>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</si>
  <si>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</si>
  <si>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</si>
  <si>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</si>
  <si>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</si>
  <si>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</si>
  <si>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</si>
  <si>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</si>
  <si>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</si>
  <si>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</si>
  <si>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</si>
  <si>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</si>
  <si>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</si>
  <si>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</si>
  <si>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</si>
  <si>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</si>
  <si>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</si>
  <si>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</si>
  <si>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</si>
  <si>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</si>
  <si>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</si>
  <si>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</si>
  <si>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</si>
  <si>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</si>
  <si>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</si>
  <si>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</si>
  <si>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</si>
  <si>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</si>
  <si>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</si>
  <si>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</si>
  <si>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</si>
  <si>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</si>
  <si>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Доможировское сельское поселение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</si>
  <si>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</si>
  <si>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</si>
  <si>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</si>
  <si>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</si>
  <si>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</si>
  <si>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</si>
  <si>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</si>
  <si>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</si>
  <si>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</si>
  <si>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</si>
  <si>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</si>
  <si>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</si>
  <si>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</si>
  <si>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</si>
  <si>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</si>
  <si>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ТС, (ХВС+ГВС)</t>
  </si>
  <si>
    <t>Г. Лодейное Поле, ул. Гагарина, д. 16</t>
  </si>
  <si>
    <t>Г. Лодейное Поле, ул. Гагарина, д. 18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</si>
  <si>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</si>
  <si>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</si>
  <si>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</si>
  <si>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</si>
  <si>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</si>
  <si>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</si>
  <si>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</si>
  <si>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</si>
  <si>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</si>
  <si>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</si>
  <si>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</si>
  <si>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</si>
  <si>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</si>
  <si>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</si>
  <si>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</si>
  <si>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</si>
  <si>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</si>
  <si>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</si>
  <si>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</si>
  <si>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</si>
  <si>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</si>
  <si>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</si>
  <si>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</si>
  <si>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</si>
  <si>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</si>
  <si>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</si>
  <si>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</si>
  <si>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</si>
  <si>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</si>
  <si>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</si>
  <si>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</si>
  <si>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</si>
  <si>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</si>
  <si>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</si>
  <si>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</si>
  <si>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</si>
  <si>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</si>
  <si>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</si>
  <si>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</si>
  <si>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</si>
  <si>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</si>
  <si>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</si>
  <si>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</si>
  <si>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</si>
  <si>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</si>
  <si>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</si>
  <si>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</si>
  <si>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</si>
  <si>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</si>
  <si>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</si>
  <si>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</si>
  <si>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</si>
  <si>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</si>
  <si>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</si>
  <si>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</si>
  <si>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</si>
  <si>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</si>
  <si>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</si>
  <si>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</si>
  <si>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</si>
  <si>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</si>
  <si>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</si>
  <si>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</si>
  <si>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</si>
  <si>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</si>
  <si>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</si>
  <si>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</si>
  <si>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</si>
  <si>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</si>
  <si>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</si>
  <si>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</si>
  <si>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</si>
  <si>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</si>
  <si>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</si>
  <si>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</si>
  <si>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</si>
  <si>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</si>
  <si>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</si>
  <si>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</si>
  <si>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</si>
  <si>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</si>
  <si>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</si>
  <si>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</si>
  <si>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</si>
  <si>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</si>
  <si>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</si>
  <si>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</si>
  <si>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13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</si>
  <si>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</si>
  <si>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</si>
  <si>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</si>
  <si>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</si>
  <si>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</si>
  <si>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</si>
  <si>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</si>
  <si>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</si>
  <si>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</si>
  <si>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</si>
  <si>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</si>
  <si>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</si>
  <si>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</si>
  <si>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</si>
  <si>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</si>
  <si>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</si>
  <si>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</si>
  <si>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</si>
  <si>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</si>
  <si>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</si>
  <si>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</si>
  <si>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</si>
  <si>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</si>
  <si>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</si>
  <si>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</si>
  <si>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</si>
  <si>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</si>
  <si>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</si>
  <si>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Ударника, д. 3</t>
  </si>
  <si>
    <t>Г. Лодейное Поле, ул. Ударника, д. 4</t>
  </si>
  <si>
    <t>Г. Лодейное Поле, ул. Ударника, д. 5</t>
  </si>
  <si>
    <t>Г. Лодейное Поле, ул. Ударника, д. 7</t>
  </si>
  <si>
    <t>Г. Лодейное Поле, ул. Ударника, д. 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</si>
  <si>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</si>
  <si>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</si>
  <si>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</si>
  <si>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</si>
  <si>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</si>
  <si>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</si>
  <si>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</si>
  <si>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</si>
  <si>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</si>
  <si>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</si>
  <si>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</si>
  <si>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</si>
  <si>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</si>
  <si>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</si>
  <si>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</si>
  <si>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</si>
  <si>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</si>
  <si>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</si>
  <si>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</si>
  <si>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</si>
  <si>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</si>
  <si>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</si>
  <si>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</si>
  <si>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</si>
  <si>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</si>
  <si>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</si>
  <si>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</si>
  <si>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</si>
  <si>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3</t>
  </si>
  <si>
    <t>Дер. Низино, ш. Санинское, д. 5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</si>
  <si>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</si>
  <si>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</si>
  <si>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</si>
  <si>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</si>
  <si>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</si>
  <si>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</si>
  <si>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</si>
  <si>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157</t>
  </si>
  <si>
    <t>Г.п. Новоселье, д. 160</t>
  </si>
  <si>
    <t>Г.п. Новоселье, д. 167</t>
  </si>
  <si>
    <t>Г.п. Новоселье, д. 5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</si>
  <si>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</si>
  <si>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</si>
  <si>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</si>
  <si>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</si>
  <si>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</si>
  <si>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</si>
  <si>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</si>
  <si>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</si>
  <si>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</si>
  <si>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</si>
  <si>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</si>
  <si>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</si>
  <si>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</si>
  <si>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</si>
  <si>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12</t>
  </si>
  <si>
    <t>Дер. Малое Карлино, д. 20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</si>
  <si>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</si>
  <si>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</si>
  <si>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</si>
  <si>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12</t>
  </si>
  <si>
    <t>Дер. Горбунки, д. 2</t>
  </si>
  <si>
    <t>Дер. Горбунки, д. 3</t>
  </si>
  <si>
    <t>Дер. Горбунки, д. 4</t>
  </si>
  <si>
    <t>Дер. Горбунки, д. 5</t>
  </si>
  <si>
    <t>Дер. Горбунки, д. 6</t>
  </si>
  <si>
    <t>Дер. Горбунки, д. 7</t>
  </si>
  <si>
    <t>Дер. Горбунки, д. 8</t>
  </si>
  <si>
    <t>Дер. Разбегаево, д. 28</t>
  </si>
  <si>
    <t>Дер. Разбегаево, д. 49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</si>
  <si>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</si>
  <si>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</si>
  <si>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</si>
  <si>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</si>
  <si>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</si>
  <si>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</si>
  <si>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</si>
  <si>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</si>
  <si>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</si>
  <si>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</si>
  <si>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</si>
  <si>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</si>
  <si>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</si>
  <si>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</si>
  <si>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</si>
  <si>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</si>
  <si>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</si>
  <si>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</si>
  <si>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</si>
  <si>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</si>
  <si>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</si>
  <si>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</si>
  <si>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</si>
  <si>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</si>
  <si>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</si>
  <si>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</si>
  <si>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</si>
  <si>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</si>
  <si>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</si>
  <si>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</si>
  <si>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</si>
  <si>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</si>
  <si>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</si>
  <si>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</si>
  <si>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</si>
  <si>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</si>
  <si>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</si>
  <si>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</si>
  <si>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</si>
  <si>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</si>
  <si>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</si>
  <si>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</si>
  <si>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</si>
  <si>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</si>
  <si>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</si>
  <si>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</si>
  <si>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</si>
  <si>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</si>
  <si>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</si>
  <si>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</si>
  <si>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</si>
  <si>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</si>
  <si>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</si>
  <si>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</si>
  <si>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</si>
  <si>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</si>
  <si>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</si>
  <si>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</si>
  <si>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</si>
  <si>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</si>
  <si>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</si>
  <si>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</si>
  <si>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</si>
  <si>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</si>
  <si>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</si>
  <si>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</si>
  <si>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</si>
  <si>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</si>
  <si>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</si>
  <si>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</si>
  <si>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14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</si>
  <si>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</si>
  <si>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</si>
  <si>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</si>
  <si>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</si>
  <si>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</si>
  <si>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</si>
  <si>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</si>
  <si>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</si>
  <si>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83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</si>
  <si>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</si>
  <si>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</si>
  <si>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</si>
  <si>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</si>
  <si>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</si>
  <si>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</si>
  <si>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</si>
  <si>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</si>
  <si>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просп. Механический, д. 36</t>
  </si>
  <si>
    <t>Г. Подпорожье, ул. Красноармейская, д. 13</t>
  </si>
  <si>
    <t>Г. Подпорожье, ул. Свирская, д. 27</t>
  </si>
  <si>
    <t>Г. Подпорожье, ул. Свирская, д. 62</t>
  </si>
  <si>
    <t>Г. Подпорожье, ул. Свирская, д. 82</t>
  </si>
  <si>
    <t>Итого по Подпорожскому муниципальному району</t>
  </si>
  <si>
    <t>теплосн+хвс</t>
  </si>
  <si>
    <t>электр</t>
  </si>
  <si>
    <t>Приозерский муниципальный район</t>
  </si>
  <si>
    <t>Муниципальное образование Громовское сельское поселение</t>
  </si>
  <si>
    <t>Пос. станция Громово, ул. Строителей, д. 1</t>
  </si>
  <si>
    <t>Пос. станция Громово, ул. Строителей, д. 2</t>
  </si>
  <si>
    <t>Пос. станция Громово, ул. Строителей, д. 3</t>
  </si>
  <si>
    <t>Пос. станция Громово, ул. Шоссейная, д. 4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</si>
  <si>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</si>
  <si>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</si>
  <si>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</si>
  <si>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</si>
  <si>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</si>
  <si>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</si>
  <si>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</si>
  <si>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</si>
  <si>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</si>
  <si>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</si>
  <si>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</si>
  <si>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</si>
  <si>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</si>
  <si>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</si>
  <si>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</si>
  <si>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</si>
  <si>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</si>
  <si>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</si>
  <si>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</si>
  <si>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</si>
  <si>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</si>
  <si>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</si>
  <si>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</si>
  <si>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</si>
  <si>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</si>
  <si>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Приозерское городское поселение</t>
  </si>
  <si>
    <t>Г. Приозерск, ул. Калинина, д. 32</t>
  </si>
  <si>
    <t>Г. Приозерск, ул. Кокорина, д. 3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</si>
  <si>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</si>
  <si>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</si>
  <si>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</si>
  <si>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</si>
  <si>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</si>
  <si>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</si>
  <si>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</si>
  <si>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</si>
  <si>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64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</si>
  <si>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</si>
  <si>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</si>
  <si>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</si>
  <si>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</si>
  <si>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</si>
  <si>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</si>
  <si>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</si>
  <si>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</si>
  <si>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</si>
  <si>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</si>
  <si>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</si>
  <si>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</si>
  <si>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</si>
  <si>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</si>
  <si>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</si>
  <si>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</si>
  <si>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</si>
  <si>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</si>
  <si>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</si>
  <si>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</si>
  <si>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</si>
  <si>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</si>
  <si>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</si>
  <si>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</si>
  <si>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</si>
  <si>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</si>
  <si>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</si>
  <si>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</si>
  <si>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</si>
  <si>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</si>
  <si>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</si>
  <si>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</si>
  <si>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</si>
  <si>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</si>
  <si>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</si>
  <si>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</si>
  <si>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</si>
  <si>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</si>
  <si>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</si>
  <si>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</si>
  <si>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</si>
  <si>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</si>
  <si>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</si>
  <si>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</si>
  <si>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</si>
  <si>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</si>
  <si>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</si>
  <si>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</si>
  <si>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</si>
  <si>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</si>
  <si>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</si>
  <si>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</si>
  <si>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</si>
  <si>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</si>
  <si>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</si>
  <si>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</si>
  <si>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</si>
  <si>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</si>
  <si>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</si>
  <si>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</si>
  <si>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</si>
  <si>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</si>
  <si>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</si>
  <si>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пер. Станционный, д. 7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</si>
  <si>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</si>
  <si>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</si>
  <si>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</si>
  <si>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</si>
  <si>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</si>
  <si>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</si>
  <si>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</si>
  <si>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</si>
  <si>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</si>
  <si>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</si>
  <si>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</si>
  <si>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</si>
  <si>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</si>
  <si>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</si>
  <si>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</si>
  <si>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</si>
  <si>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ЭЛ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</si>
  <si>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</si>
  <si>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</si>
  <si>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</si>
  <si>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</si>
  <si>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</si>
  <si>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</si>
  <si>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</si>
  <si>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</si>
  <si>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</si>
  <si>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</si>
  <si>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</si>
  <si>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</si>
  <si>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</si>
  <si>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</si>
  <si>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</si>
  <si>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</si>
  <si>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</si>
  <si>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</si>
  <si>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</si>
  <si>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4</t>
  </si>
  <si>
    <t>Г. Сланцы, пер. Почтовый, д. 5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</si>
  <si>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</si>
  <si>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</si>
  <si>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</si>
  <si>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</si>
  <si>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</si>
  <si>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</si>
  <si>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</si>
  <si>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</si>
  <si>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</si>
  <si>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</si>
  <si>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</si>
  <si>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</si>
  <si>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</si>
  <si>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</si>
  <si>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</si>
  <si>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</si>
  <si>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</si>
  <si>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Жуковского, д. 3а</t>
  </si>
  <si>
    <t>Г. Сланцы, ул. Кирова, д. 1/12</t>
  </si>
  <si>
    <t>Г. Сланцы, ул. Кирова, д. 12а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</si>
  <si>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</si>
  <si>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</si>
  <si>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</si>
  <si>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</si>
  <si>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</si>
  <si>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</si>
  <si>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</si>
  <si>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</si>
  <si>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</si>
  <si>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</si>
  <si>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</si>
  <si>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</si>
  <si>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</si>
  <si>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</si>
  <si>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</si>
  <si>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</si>
  <si>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</si>
  <si>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10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</si>
  <si>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</si>
  <si>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</si>
  <si>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</si>
  <si>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</si>
  <si>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</si>
  <si>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</si>
  <si>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</si>
  <si>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</si>
  <si>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</si>
  <si>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</si>
  <si>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</si>
  <si>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</si>
  <si>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</si>
  <si>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</si>
  <si>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</si>
  <si>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</si>
  <si>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</si>
  <si>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</si>
  <si>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</si>
  <si>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</si>
  <si>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</si>
  <si>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</si>
  <si>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</si>
  <si>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</si>
  <si>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</si>
  <si>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</si>
  <si>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</si>
  <si>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</si>
  <si>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</si>
  <si>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</si>
  <si>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</si>
  <si>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</si>
  <si>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</si>
  <si>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</si>
  <si>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</si>
  <si>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</si>
  <si>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</si>
  <si>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</si>
  <si>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</si>
  <si>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</si>
  <si>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</si>
  <si>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</si>
  <si>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</si>
  <si>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</si>
  <si>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</si>
  <si>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</si>
  <si>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</si>
  <si>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</si>
  <si>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</si>
  <si>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</si>
  <si>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</si>
  <si>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</si>
  <si>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</si>
  <si>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</si>
  <si>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</si>
  <si>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</si>
  <si>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</si>
  <si>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</si>
  <si>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</si>
  <si>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</si>
  <si>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</si>
  <si>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</si>
  <si>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</si>
  <si>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</si>
  <si>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</si>
  <si>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</si>
  <si>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</si>
  <si>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</si>
  <si>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</si>
  <si>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</si>
  <si>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</si>
  <si>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</si>
  <si>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</si>
  <si>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</si>
  <si>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</si>
  <si>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</si>
  <si>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</si>
  <si>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</si>
  <si>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</si>
  <si>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</si>
  <si>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</si>
  <si>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</si>
  <si>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</si>
  <si>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</si>
  <si>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</si>
  <si>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</si>
  <si>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</si>
  <si>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</si>
  <si>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</si>
  <si>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</si>
  <si>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</si>
  <si>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</si>
  <si>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</si>
  <si>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</si>
  <si>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</si>
  <si>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</si>
  <si>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</si>
  <si>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</si>
  <si>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</si>
  <si>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</si>
  <si>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</si>
  <si>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</si>
  <si>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</si>
  <si>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</si>
  <si>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</si>
  <si>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</si>
  <si>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</si>
  <si>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</si>
  <si>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</si>
  <si>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</si>
  <si>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</si>
  <si>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</si>
  <si>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</si>
  <si>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</si>
  <si>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</si>
  <si>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</si>
  <si>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</si>
  <si>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</si>
  <si>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</si>
  <si>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</si>
  <si>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</si>
  <si>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</si>
  <si>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</si>
  <si>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</si>
  <si>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</si>
  <si>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</si>
  <si>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</si>
  <si>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</si>
  <si>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д. 2</t>
  </si>
  <si>
    <t>Г. Сосновый Бор, ул. Красных Фортов,      д. 20</t>
  </si>
  <si>
    <t>Г. Сосновый Бор, ул. Красных Фортов, д. 4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</si>
  <si>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</si>
  <si>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</si>
  <si>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</si>
  <si>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</si>
  <si>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</si>
  <si>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</si>
  <si>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</si>
  <si>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</si>
  <si>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</si>
  <si>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</si>
  <si>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</si>
  <si>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</si>
  <si>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</si>
  <si>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</si>
  <si>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</si>
  <si>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</si>
  <si>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</si>
  <si>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</si>
  <si>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</si>
  <si>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</si>
  <si>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</si>
  <si>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</si>
  <si>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</si>
  <si>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</si>
  <si>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</si>
  <si>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</si>
  <si>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</si>
  <si>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</si>
  <si>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</si>
  <si>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</si>
  <si>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</si>
  <si>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</si>
  <si>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</si>
  <si>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</si>
  <si>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</si>
  <si>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</si>
  <si>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</si>
  <si>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</si>
  <si>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</si>
  <si>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</si>
  <si>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</si>
  <si>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</si>
  <si>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</si>
  <si>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</si>
  <si>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</si>
  <si>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</si>
  <si>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</si>
  <si>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</si>
  <si>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</si>
  <si>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</si>
  <si>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</si>
  <si>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</si>
  <si>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</si>
  <si>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</si>
  <si>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</si>
  <si>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</si>
  <si>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</si>
  <si>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</si>
  <si>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</si>
  <si>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</si>
  <si>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</si>
  <si>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</si>
  <si>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</si>
  <si>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</si>
  <si>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</si>
  <si>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</si>
  <si>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</si>
  <si>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</si>
  <si>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</si>
  <si>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</si>
  <si>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</si>
  <si>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</si>
  <si>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</si>
  <si>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</si>
  <si>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</si>
  <si>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</si>
  <si>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</si>
  <si>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</si>
  <si>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</si>
  <si>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</si>
  <si>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</si>
  <si>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</si>
  <si>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</si>
  <si>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</si>
  <si>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</si>
  <si>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</si>
  <si>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</si>
  <si>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</si>
  <si>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</si>
  <si>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</si>
  <si>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</si>
  <si>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</si>
  <si>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</si>
  <si>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</si>
  <si>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</si>
  <si>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</si>
  <si>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</si>
  <si>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</si>
  <si>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</si>
  <si>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</si>
  <si>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</si>
  <si>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</si>
  <si>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</si>
  <si>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</si>
  <si>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</si>
  <si>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</si>
  <si>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</si>
  <si>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</si>
  <si>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</si>
  <si>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</si>
  <si>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</si>
  <si>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</si>
  <si>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</si>
  <si>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</si>
  <si>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</si>
  <si>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</si>
  <si>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</si>
  <si>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</si>
  <si>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</si>
  <si>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</si>
  <si>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</si>
  <si>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</si>
  <si>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</si>
  <si>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</si>
  <si>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</si>
  <si>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</si>
  <si>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</si>
  <si>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</si>
  <si>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</si>
  <si>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</si>
  <si>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</si>
  <si>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</si>
  <si>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</si>
  <si>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</si>
  <si>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</si>
  <si>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</si>
  <si>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</si>
  <si>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</si>
  <si>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</si>
  <si>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</si>
  <si>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</si>
  <si>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</si>
  <si>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</si>
  <si>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</si>
  <si>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</si>
  <si>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</si>
  <si>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</si>
  <si>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</si>
  <si>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</si>
  <si>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</si>
  <si>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</si>
  <si>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</si>
  <si>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</si>
  <si>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</si>
  <si>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</si>
  <si>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</si>
  <si>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</si>
  <si>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</si>
  <si>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</si>
  <si>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</si>
  <si>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</si>
  <si>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</si>
  <si>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</si>
  <si>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</si>
  <si>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</si>
  <si>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</si>
  <si>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</si>
  <si>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</si>
  <si>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</si>
  <si>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</si>
  <si>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</si>
  <si>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</si>
  <si>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</si>
  <si>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</si>
  <si>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</si>
  <si>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</si>
  <si>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</si>
  <si>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</si>
  <si>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</si>
  <si>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</si>
  <si>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</si>
  <si>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</si>
  <si>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</si>
  <si>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</si>
  <si>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</si>
  <si>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</si>
  <si>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</si>
  <si>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</si>
  <si>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</si>
  <si>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</si>
  <si>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</si>
  <si>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35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</si>
  <si>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</si>
  <si>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</si>
  <si>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</si>
  <si>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</si>
  <si>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</si>
  <si>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</si>
  <si>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</si>
  <si>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</si>
  <si>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</si>
  <si>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</si>
  <si>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</si>
  <si>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</si>
  <si>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</si>
  <si>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</si>
  <si>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</si>
  <si>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</si>
  <si>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</si>
  <si>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</si>
  <si>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</si>
  <si>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</si>
  <si>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</si>
  <si>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</si>
  <si>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</si>
  <si>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</si>
  <si>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</si>
  <si>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</si>
  <si>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</si>
  <si>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</si>
  <si>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</si>
  <si>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</si>
  <si>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</si>
  <si>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</si>
  <si>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</si>
  <si>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</si>
  <si>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</si>
  <si>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</si>
  <si>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</si>
  <si>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</si>
  <si>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</si>
  <si>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пл. Свободы, д. 12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</si>
  <si>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</si>
  <si>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</si>
  <si>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</si>
  <si>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</si>
  <si>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</si>
  <si>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</si>
  <si>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</si>
  <si>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</si>
  <si>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</si>
  <si>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</si>
  <si>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</si>
  <si>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</si>
  <si>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</si>
  <si>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</si>
  <si>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</si>
  <si>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</si>
  <si>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</si>
  <si>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</si>
  <si>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</si>
  <si>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</si>
  <si>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</si>
  <si>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</si>
  <si>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</si>
  <si>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</si>
  <si>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Пролетарской диктатуры, д. 22</t>
  </si>
  <si>
    <t>Г. Тихвин, ул. Пролетарской диктатуры, д. 29</t>
  </si>
  <si>
    <t>Г. Тихвин, ул. Римского-Корсакова, д. 7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</si>
  <si>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</si>
  <si>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</si>
  <si>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</si>
  <si>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</si>
  <si>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</si>
  <si>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33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</si>
  <si>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</si>
  <si>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</si>
  <si>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</si>
  <si>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</si>
  <si>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</si>
  <si>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</si>
  <si>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</si>
  <si>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</si>
  <si>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</si>
  <si>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</si>
  <si>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</si>
  <si>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</si>
  <si>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</si>
  <si>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</si>
  <si>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</si>
  <si>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27</t>
  </si>
  <si>
    <t>Г. Тихвин, ул. Чернышевская, д. 32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</si>
  <si>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</si>
  <si>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</si>
  <si>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</si>
  <si>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</si>
  <si>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Пос. Берёзовик, д. 34</t>
  </si>
  <si>
    <t>Пос. Берёзовик, ул. Подгаецкого, д. 10</t>
  </si>
  <si>
    <t>Пос. Берёзовик, ул. Ястребова, д. 11</t>
  </si>
  <si>
    <t>Пос. Берёзовик, ул. Ястребова, д. 4/14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</si>
  <si>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</si>
  <si>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</si>
  <si>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</si>
  <si>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</si>
  <si>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</si>
  <si>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</si>
  <si>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</si>
  <si>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</si>
  <si>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</si>
  <si>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</si>
  <si>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</si>
  <si>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</si>
  <si>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</si>
  <si>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</si>
  <si>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</si>
  <si>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</si>
  <si>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</si>
  <si>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</si>
  <si>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</si>
  <si>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</si>
  <si>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</si>
  <si>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</si>
  <si>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</si>
  <si>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</si>
  <si>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Советская, д. 121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</si>
  <si>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</si>
  <si>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</si>
  <si>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</si>
  <si>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</si>
  <si>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</si>
  <si>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</si>
  <si>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</si>
  <si>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</si>
  <si>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</si>
  <si>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</si>
  <si>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</si>
  <si>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</si>
  <si>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</si>
  <si>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</si>
  <si>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</si>
  <si>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</si>
  <si>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</si>
  <si>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</si>
  <si>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</si>
  <si>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</si>
  <si>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</si>
  <si>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</si>
  <si>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</si>
  <si>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</si>
  <si>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</si>
  <si>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</si>
  <si>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</si>
  <si>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</si>
  <si>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</si>
  <si>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</si>
  <si>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</si>
  <si>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</si>
  <si>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</si>
  <si>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</si>
  <si>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</si>
  <si>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</si>
  <si>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</si>
  <si>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</si>
  <si>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</si>
  <si>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</si>
  <si>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18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</si>
  <si>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</si>
  <si>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</si>
  <si>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</si>
  <si>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</si>
  <si>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</si>
  <si>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</si>
  <si>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</si>
  <si>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</si>
  <si>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</si>
  <si>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</si>
  <si>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</si>
  <si>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</si>
  <si>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</si>
  <si>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</si>
  <si>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</si>
  <si>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</si>
  <si>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</si>
  <si>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</si>
  <si>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</si>
  <si>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</si>
  <si>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</si>
  <si>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</si>
  <si>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</si>
  <si>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</si>
  <si>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</si>
  <si>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</si>
  <si>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</si>
  <si>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</si>
  <si>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</si>
  <si>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</si>
  <si>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</si>
  <si>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</si>
  <si>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ул. Торговая, д. 7</t>
  </si>
  <si>
    <t>Г. Любань, ш. Загородное, д. 1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</si>
  <si>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</si>
  <si>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</si>
  <si>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</si>
  <si>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</si>
  <si>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</si>
  <si>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нет ПУ</t>
  </si>
  <si>
    <t>Г. Никольское, ул. Зеленая, д. 18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</si>
  <si>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</si>
  <si>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</si>
  <si>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</si>
  <si>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</si>
  <si>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</si>
  <si>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</si>
  <si>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</si>
  <si>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</si>
  <si>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</si>
  <si>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</si>
  <si>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</si>
  <si>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ПИРы сделаны в 2016 году ООО " МироГрупп"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</si>
  <si>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</si>
  <si>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</si>
  <si>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</si>
  <si>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</si>
  <si>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</si>
  <si>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</si>
  <si>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Боярова, д. 18а</t>
  </si>
  <si>
    <t>Г. Тосно, ул. Октябрьская, д. 77</t>
  </si>
  <si>
    <t>Г. Тосно, ул. Энергетиков, д. 5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</si>
  <si>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</si>
  <si>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</si>
  <si>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</si>
  <si>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</si>
  <si>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</si>
  <si>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</si>
  <si>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</si>
  <si>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</si>
  <si>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</si>
  <si>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</si>
  <si>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</si>
  <si>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</si>
  <si>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</si>
  <si>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</si>
  <si>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</si>
  <si>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</si>
  <si>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</si>
  <si>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</si>
  <si>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</si>
  <si>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</si>
  <si>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</si>
  <si>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</si>
  <si>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</si>
  <si>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</si>
  <si>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</si>
  <si>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</si>
  <si>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</si>
  <si>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</si>
  <si>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</si>
  <si>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</si>
  <si>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</si>
  <si>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</si>
  <si>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</si>
  <si>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</si>
  <si>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</si>
  <si>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</si>
  <si>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</si>
  <si>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</si>
  <si>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</si>
  <si>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</si>
  <si>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</si>
  <si>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</si>
  <si>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</si>
  <si>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</si>
  <si>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</si>
  <si>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</si>
  <si>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</si>
  <si>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</si>
  <si>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</si>
  <si>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</si>
  <si>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</si>
  <si>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</si>
  <si>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</si>
  <si>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</si>
  <si>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</si>
  <si>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</si>
  <si>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</si>
  <si>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</si>
  <si>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</si>
  <si>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</si>
  <si>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</si>
  <si>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</si>
  <si>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</si>
  <si>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</si>
  <si>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</si>
  <si>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</si>
  <si>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25</t>
  </si>
  <si>
    <t>Г.п. Форносово,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</si>
  <si>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</si>
  <si>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</si>
  <si>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</si>
  <si>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</si>
  <si>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</si>
  <si>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</si>
  <si>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</si>
  <si>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</si>
  <si>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общая площадь МКД, всего</t>
  </si>
  <si>
    <t>Количество жителей, зарегистрированных в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</si>
  <si>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</si>
  <si>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</si>
  <si>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</si>
  <si>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</si>
  <si>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</si>
  <si>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</si>
  <si>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</si>
  <si>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</si>
  <si>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</si>
  <si>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</si>
  <si>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</si>
  <si>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</si>
  <si>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</si>
  <si>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</si>
  <si>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</si>
  <si>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</si>
  <si>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</si>
  <si>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</si>
  <si>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</si>
  <si>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</si>
  <si>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</si>
  <si>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</si>
  <si>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</si>
  <si>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</si>
  <si>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</si>
  <si>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</si>
  <si>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</si>
  <si>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</si>
  <si>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</si>
  <si>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</si>
  <si>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</si>
  <si>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</si>
  <si>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</si>
  <si>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</si>
  <si>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</si>
  <si>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</si>
  <si>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</si>
  <si>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</si>
  <si>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</si>
  <si>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</si>
  <si>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</si>
  <si>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</si>
  <si>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</si>
  <si>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</si>
  <si>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</si>
  <si>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</si>
  <si>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</si>
  <si>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</si>
  <si>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</si>
  <si>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</si>
  <si>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</si>
  <si>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</si>
  <si>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</si>
  <si>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</si>
  <si>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</si>
  <si>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</si>
  <si>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</si>
  <si>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</si>
  <si>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</si>
  <si>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</si>
  <si>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</si>
  <si>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</si>
  <si>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</si>
  <si>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</si>
  <si>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</si>
  <si>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</si>
  <si>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</si>
  <si>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</si>
  <si>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</si>
  <si>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</si>
  <si>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</si>
  <si>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</si>
  <si>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</si>
  <si>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</si>
  <si>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</si>
  <si>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</si>
  <si>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</si>
  <si>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</si>
  <si>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</si>
  <si>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</si>
  <si>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</si>
  <si>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</si>
  <si>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</si>
  <si>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</si>
  <si>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</si>
  <si>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</si>
  <si>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</si>
  <si>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</si>
  <si>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</si>
  <si>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</si>
  <si>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</si>
  <si>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</si>
  <si>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</si>
  <si>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</si>
  <si>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</si>
  <si>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</si>
  <si>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</si>
  <si>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</si>
  <si>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</si>
  <si>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</si>
  <si>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</si>
  <si>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</si>
  <si>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</si>
  <si>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</si>
  <si>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</si>
  <si>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</si>
  <si>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</si>
  <si>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</si>
  <si>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</si>
  <si>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</si>
  <si>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</si>
  <si>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50</t>
  </si>
  <si>
    <t>12</t>
  </si>
  <si>
    <t>14</t>
  </si>
  <si>
    <t>9</t>
  </si>
  <si>
    <t>5</t>
  </si>
  <si>
    <t>19</t>
  </si>
  <si>
    <t>4</t>
  </si>
  <si>
    <t>62</t>
  </si>
  <si>
    <t>блочный (панельный)</t>
  </si>
  <si>
    <t>Итого по Всеволожскому муниципальному району</t>
  </si>
  <si>
    <t>сборно-щитовой</t>
  </si>
  <si>
    <t xml:space="preserve">4881.3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</si>
  <si>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</si>
  <si>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</si>
  <si>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</si>
  <si>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</si>
  <si>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</si>
  <si>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</si>
  <si>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</si>
  <si>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</si>
  <si>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</si>
  <si>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</si>
  <si>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</si>
  <si>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</si>
  <si>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</si>
  <si>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кирпично-деревянный</t>
  </si>
  <si>
    <t>шлакоблок/кирпичный</t>
  </si>
  <si>
    <t>4,5,6</t>
  </si>
  <si>
    <t>5-6</t>
  </si>
  <si>
    <t>7 и 8</t>
  </si>
  <si>
    <t>2 и 3</t>
  </si>
  <si>
    <t>2777.1</t>
  </si>
  <si>
    <t>479 ,0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</si>
  <si>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</si>
  <si>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</si>
  <si>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</si>
  <si>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</si>
  <si>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</si>
  <si>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</si>
  <si>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</si>
  <si>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</si>
  <si>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</si>
  <si>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</si>
  <si>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</si>
  <si>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</si>
  <si>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</si>
  <si>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</si>
  <si>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</si>
  <si>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</si>
  <si>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ш/блок</t>
  </si>
  <si>
    <t>Блочный</t>
  </si>
  <si>
    <t>к/бетон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</si>
  <si>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</si>
  <si>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</si>
  <si>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</si>
  <si>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</si>
  <si>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</si>
  <si>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</si>
  <si>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</si>
  <si>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</si>
  <si>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</si>
  <si>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</si>
  <si>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1 598,1</t>
  </si>
  <si>
    <t>1 171,3</t>
  </si>
  <si>
    <t>кирпично монолитный</t>
  </si>
  <si>
    <t>Дер. Глобицы, ул. Героев, д. 10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</si>
  <si>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</si>
  <si>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</si>
  <si>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</si>
  <si>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</si>
  <si>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</si>
  <si>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</si>
  <si>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26</t>
  </si>
  <si>
    <t>Г. Луга, просп. Володарского, д. 36</t>
  </si>
  <si>
    <t>Г. Луга, просп. Володарского, д. 40</t>
  </si>
  <si>
    <t>Г. Луга, просп. Володарского, д. 42</t>
  </si>
  <si>
    <t>Г. Луга, просп. Володарского, д. 46/15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</si>
  <si>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</si>
  <si>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</si>
  <si>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</si>
  <si>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</si>
  <si>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</si>
  <si>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</si>
  <si>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Победы, д. 4</t>
  </si>
  <si>
    <t>Г. Луга, ул. Победы, д. 7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</si>
  <si>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</si>
  <si>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</si>
  <si>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</si>
  <si>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</si>
  <si>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</si>
  <si>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</si>
  <si>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</si>
  <si>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</si>
  <si>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</si>
  <si>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</si>
  <si>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</si>
  <si>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</si>
  <si>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</si>
  <si>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</si>
  <si>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</si>
  <si>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</si>
  <si>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</si>
  <si>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</si>
  <si>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</si>
  <si>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</si>
  <si>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</si>
  <si>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</si>
  <si>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</si>
  <si>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</si>
  <si>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</si>
  <si>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</si>
  <si>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</si>
  <si>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</si>
  <si>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</si>
  <si>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</si>
  <si>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</si>
  <si>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</si>
  <si>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</si>
  <si>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</si>
  <si>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</si>
  <si>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</si>
  <si>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</si>
  <si>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</si>
  <si>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</si>
  <si>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</si>
  <si>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</si>
  <si>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</si>
  <si>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</si>
  <si>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Пос. Скреблово, д. 10</t>
  </si>
  <si>
    <t>Пос. Скреблово, д. 35</t>
  </si>
  <si>
    <t>Пос. Скреблово, д. 4</t>
  </si>
  <si>
    <t>Пос. Скреблово, д. 7</t>
  </si>
  <si>
    <t>Муниципальное образование Тесовское сельское поселение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</si>
  <si>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</si>
  <si>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</si>
  <si>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</si>
  <si>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</si>
  <si>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</si>
  <si>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</si>
  <si>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</si>
  <si>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</si>
  <si>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</si>
  <si>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Сланцы, пер. Почтовый, д. 11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</si>
  <si>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</si>
  <si>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</si>
  <si>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</si>
  <si>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</si>
  <si>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</si>
  <si>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</si>
  <si>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</si>
  <si>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</si>
  <si>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</si>
  <si>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</si>
  <si>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</si>
  <si>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</si>
  <si>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</si>
  <si>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</si>
  <si>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</si>
  <si>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</si>
  <si>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</si>
  <si>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</si>
  <si>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</si>
  <si>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</si>
  <si>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</si>
  <si>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</si>
  <si>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</si>
  <si>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</si>
  <si>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</si>
  <si>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</si>
  <si>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</si>
  <si>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</si>
  <si>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</si>
  <si>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</si>
  <si>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</si>
  <si>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</si>
  <si>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</si>
  <si>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</si>
  <si>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</si>
  <si>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</si>
  <si>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</si>
  <si>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</si>
  <si>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</si>
  <si>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</si>
  <si>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</si>
  <si>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</si>
  <si>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</si>
  <si>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</si>
  <si>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</si>
  <si>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</si>
  <si>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</si>
  <si>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</si>
  <si>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</si>
  <si>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</si>
  <si>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</si>
  <si>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</si>
  <si>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</si>
  <si>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</si>
  <si>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</si>
  <si>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</si>
  <si>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</si>
  <si>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</si>
  <si>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</si>
  <si>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</si>
  <si>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</si>
  <si>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</si>
  <si>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</si>
  <si>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</si>
  <si>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</si>
  <si>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</si>
  <si>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</si>
  <si>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</si>
  <si>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</si>
  <si>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</si>
  <si>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</si>
  <si>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</si>
  <si>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</si>
  <si>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</si>
  <si>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</si>
  <si>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просп. Урицкого, д. 69</t>
  </si>
  <si>
    <t>Г. Луга, ул. Виктора Пислегина, д. 35</t>
  </si>
  <si>
    <t>Г. Луга, ул. Гагарина, д. 147</t>
  </si>
  <si>
    <t>Г. Луга, ул. Гагарина, д. 24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</si>
  <si>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</si>
  <si>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</si>
  <si>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</si>
  <si>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</si>
  <si>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</si>
  <si>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</si>
  <si>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</si>
  <si>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</si>
  <si>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</si>
  <si>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</si>
  <si>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</si>
  <si>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</si>
  <si>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</si>
  <si>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</si>
  <si>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</si>
  <si>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</si>
  <si>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</si>
  <si>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Оредеж, ул. Ленина, д. 10</t>
  </si>
  <si>
    <t>Пос. Осьмино, ул. Ленина, д. 53</t>
  </si>
  <si>
    <t>Дер. Наволок, д. 12</t>
  </si>
  <si>
    <t>Пос. Межозерный, д. 6</t>
  </si>
  <si>
    <t>Г.п. Толмачёво, ул. Толмачёва, д. 29</t>
  </si>
  <si>
    <t>Г.п. Толмачёво, ул. Толмачёва, д. 31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</si>
  <si>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</si>
  <si>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</si>
  <si>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</si>
  <si>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</si>
  <si>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</si>
  <si>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</si>
  <si>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</si>
  <si>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</si>
  <si>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</si>
  <si>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</si>
  <si>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</si>
  <si>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</si>
  <si>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</si>
  <si>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</si>
  <si>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</si>
  <si>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3793.4</t>
  </si>
  <si>
    <t>Г. Луга, просп. Урицкого, д. 58</t>
  </si>
  <si>
    <t>Г. Луга, просп. Урицкого, д. 67</t>
  </si>
  <si>
    <t>Г. Луга, ул. Кингисеппа, д. 1</t>
  </si>
  <si>
    <t>Г. Луга, ул. Красной Артиллерии, д. 26</t>
  </si>
  <si>
    <t>Пос. Красный Маяк, д. 14в</t>
  </si>
  <si>
    <t>Дер. Сокольники, ул. Лужская, д. 2</t>
  </si>
  <si>
    <t>Пос. Оредеж, ул. Карла Маркса, д. 10</t>
  </si>
  <si>
    <t>Пос. Оредеж, ул. Комсомола, д. 1а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</si>
  <si>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</si>
  <si>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</si>
  <si>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</si>
  <si>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</si>
  <si>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</si>
  <si>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</si>
  <si>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</si>
  <si>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</si>
  <si>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</si>
  <si>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</si>
  <si>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</si>
  <si>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</si>
  <si>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</si>
  <si>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</si>
  <si>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</si>
  <si>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</si>
  <si>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</si>
  <si>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</si>
  <si>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</si>
  <si>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</si>
  <si>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</si>
  <si>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</si>
  <si>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</si>
  <si>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</si>
  <si>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</si>
  <si>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</si>
  <si>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</si>
  <si>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</si>
  <si>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</si>
  <si>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</si>
  <si>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Кирпич оштукатурен.</t>
  </si>
  <si>
    <t>Деревянный</t>
  </si>
  <si>
    <t>Панельный</t>
  </si>
  <si>
    <t>Кирпич</t>
  </si>
  <si>
    <t>Деревянные</t>
  </si>
  <si>
    <t>2-4</t>
  </si>
  <si>
    <t>Кирпичный      Деревянный</t>
  </si>
  <si>
    <t>2-3</t>
  </si>
  <si>
    <t>Каменный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</si>
  <si>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</si>
  <si>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</si>
  <si>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</si>
  <si>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</si>
  <si>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</si>
  <si>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</si>
  <si>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</si>
  <si>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</si>
  <si>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</si>
  <si>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</si>
  <si>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</si>
  <si>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</si>
  <si>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</si>
  <si>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</si>
  <si>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</si>
  <si>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</si>
  <si>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</si>
  <si>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</si>
  <si>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</si>
  <si>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</si>
  <si>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</si>
  <si>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</si>
  <si>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</si>
  <si>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</si>
  <si>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</si>
  <si>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</si>
  <si>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</si>
  <si>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206</t>
  </si>
  <si>
    <t>74</t>
  </si>
  <si>
    <t>109</t>
  </si>
  <si>
    <t>97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</si>
  <si>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</si>
  <si>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</si>
  <si>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</si>
  <si>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</si>
  <si>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</si>
  <si>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</si>
  <si>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</si>
  <si>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</si>
  <si>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</si>
  <si>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</si>
  <si>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</si>
  <si>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</si>
  <si>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</si>
  <si>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</si>
  <si>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</si>
  <si>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</si>
  <si>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</si>
  <si>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</si>
  <si>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</si>
  <si>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</si>
  <si>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</si>
  <si>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</si>
  <si>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</si>
  <si>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</si>
  <si>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</si>
  <si>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</si>
  <si>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</si>
  <si>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</si>
  <si>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</si>
  <si>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</si>
  <si>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</si>
  <si>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</si>
  <si>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</si>
  <si>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</si>
  <si>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</si>
  <si>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</si>
  <si>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</si>
  <si>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</si>
  <si>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</si>
  <si>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</si>
  <si>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3316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</si>
  <si>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</si>
  <si>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</si>
  <si>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</si>
  <si>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</si>
  <si>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</si>
  <si>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</si>
  <si>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</si>
  <si>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</si>
  <si>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</si>
  <si>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</si>
  <si>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</si>
  <si>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</si>
  <si>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Приложение  1</t>
  </si>
  <si>
    <t xml:space="preserve">к постановлению Правительства Ленинградской области </t>
  </si>
  <si>
    <t>Пос. Лесогорский, ул. Октябрьская, д. 8</t>
  </si>
  <si>
    <t>Г. Подпорожье, просп. Ленина, д. 13а</t>
  </si>
  <si>
    <t>Г. Подпорожье,  ул. Комсомольская, д. 15а</t>
  </si>
  <si>
    <t>Г. Подпорожье,  ул. Комсомольская, д. 6а</t>
  </si>
  <si>
    <t>фундамент</t>
  </si>
  <si>
    <t>СЕТИ</t>
  </si>
  <si>
    <t>Итого по Всеволожскому району</t>
  </si>
  <si>
    <t>Итого по Лодейнопольскому  району</t>
  </si>
  <si>
    <t>Г.п. Кузьмоловский, ул. Железнодорожная, д. 14</t>
  </si>
  <si>
    <t>Г.п. Кузьмоловский, ул. Железнодорожная, д. 18а</t>
  </si>
  <si>
    <t>Муниципальное образование Муринское городское поселение</t>
  </si>
  <si>
    <t>г. Мурино, ул. Оборонная, д. 2</t>
  </si>
  <si>
    <t>Г.п. Советский, ул. Садовая, д. 29</t>
  </si>
  <si>
    <t>Г. Отрадное, ул. Новая, д. 6а</t>
  </si>
  <si>
    <t>Г. Отрадное, ул. Щурова, д. 12</t>
  </si>
  <si>
    <t>Г. Лодейное Поле, просп. Урицкого, д. 21</t>
  </si>
  <si>
    <t>Г. Лодейное Поле, ул. Володарского, д. 31</t>
  </si>
  <si>
    <t>Муниципальное образование Петровское сельское поселение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</si>
  <si>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</si>
  <si>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</si>
  <si>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</si>
  <si>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</si>
  <si>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Тихвин, микрорайон 1,  д.13</t>
  </si>
  <si>
    <t>Г. Тихвин, микрорайон 1,  д.14</t>
  </si>
  <si>
    <t>х</t>
  </si>
  <si>
    <t>Муниципальное образование Аннинское сельское поселение</t>
  </si>
  <si>
    <t>Г. Тосно, ул. Советская, д.11</t>
  </si>
  <si>
    <t>Г. Тосно, ул. М. Горького, д.12а</t>
  </si>
  <si>
    <t>Г. Кировск, ул. Набережная, д. 7</t>
  </si>
  <si>
    <t>Г. Ивангород, ул. Льнопрядильная, д.4</t>
  </si>
  <si>
    <t>Г. Кировск, ул. Молодежная, д.5</t>
  </si>
  <si>
    <t>Пос. Громово, ул. Центральная, д. 7</t>
  </si>
  <si>
    <t>Пос. Громово, ул. Центральная, д. 8</t>
  </si>
  <si>
    <t>Пос. Громово, ул. Центральная, д. 1</t>
  </si>
  <si>
    <t>Пос. Мельниково, ул. Ленинградская, д. 6</t>
  </si>
  <si>
    <t>Пос. Мельниково, ул. Ленинградская, д. 8</t>
  </si>
  <si>
    <t>Пос. Коммунары, ул. Садовая, д. 7</t>
  </si>
  <si>
    <t xml:space="preserve">пос.Починок, ул.Леншоссе, д.11 </t>
  </si>
  <si>
    <t>Раздел I. Перечень многоквартирных домов, которые подлежат капитальному ремонту в 2020-2022 годах, за счет средств собственников формирующих фонд капитального ремонта на счетах регионального оператора</t>
  </si>
  <si>
    <t>Раздел II. Реестр многоквартирных домов, которые подлежат капитальному ремонту в 2020 году, за счет средств собственников формирующих фонд капитального ремонта на счетах регионального оператора</t>
  </si>
  <si>
    <t>Раздел III. Реестр многоквартирных домов, которые подлежат капитальному ремонту в 2021 году, за счет средств собственников формирующих фонд капитального ремонта на счетах регионального оператора</t>
  </si>
  <si>
    <t>Раздел IV. Реестр многоквартирных домов, которые подлежат капитальному ремонту в 2022 году, за счет средств собственников формирующих фонд капитального ремонта на счетах регионального оператора</t>
  </si>
  <si>
    <t>Стоимость капитального ремонта за счет средств собственников помещений в МКД</t>
  </si>
  <si>
    <t>ССРО</t>
  </si>
  <si>
    <t>Г. Кировск, ул. Новая, д. 38</t>
  </si>
  <si>
    <t>Г. Приозерск, ул. Ленина, д. 66</t>
  </si>
  <si>
    <t>Г. Приозерск, ул. Ленина, д. 60</t>
  </si>
  <si>
    <t>137</t>
  </si>
  <si>
    <t>Г. Сосновый Бор, ул. Комсомольская, д. 20</t>
  </si>
  <si>
    <t>Г. Тихвин, микрорайон 4, д. 33</t>
  </si>
  <si>
    <t xml:space="preserve"> кирпич</t>
  </si>
  <si>
    <t>Слоистые ж/б панели</t>
  </si>
  <si>
    <t>силикатные блоки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</si>
  <si>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</si>
  <si>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</si>
  <si>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</si>
  <si>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кирпичный оштукатуренный</t>
  </si>
  <si>
    <t>дер.Сандела, д.8</t>
  </si>
  <si>
    <t>Дер.Сандела, д.8</t>
  </si>
  <si>
    <t xml:space="preserve">Г. Выборг, проезд Школьный, д. 6  </t>
  </si>
  <si>
    <t>Дер. Бор, д. 26</t>
  </si>
  <si>
    <t>Муниципальное образование Рабитицкое сельское поселение</t>
  </si>
  <si>
    <t>Муниципальное образование  Калитинское сельское поселение</t>
  </si>
  <si>
    <t>Муниципальное образование  Рабитицкое сельское поселение</t>
  </si>
  <si>
    <t>Муниципальное образование  Большеврудское сельское поселение</t>
  </si>
  <si>
    <t xml:space="preserve">Г. Выборг, пер. Школьная, д. 3а  </t>
  </si>
  <si>
    <t>от  "21" мая 2020 года № 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</si>
</sst>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#,##0.0"/>
    <numFmt numFmtId="166" formatCode="0.0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sz val="12"/>
      <name val="Calibri"/>
      <family val="2"/>
      <scheme val="minor"/>
    </font>
    <font>
      <u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Calibri"/>
      <family val="2"/>
      <scheme val="minor"/>
    </font>
    <font>
      <b/>
      <sz val="12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26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7" fillId="0" borderId="0"/>
    <xf numFmtId="0" fontId="9" fillId="0" borderId="0"/>
    <xf numFmtId="0" fontId="10" fillId="0" borderId="0"/>
    <xf numFmtId="9" fontId="2" fillId="0" borderId="0" applyFont="0" applyFill="0" applyBorder="0" applyAlignment="0" applyProtection="0"/>
    <xf numFmtId="0" fontId="10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4" fillId="0" borderId="0"/>
    <xf numFmtId="0" fontId="7" fillId="0" borderId="0"/>
    <xf numFmtId="0" fontId="10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6" fillId="5" borderId="10" applyNumberFormat="0" applyAlignment="0" applyProtection="0"/>
  </cellStyleXfs>
  <cellXfs count="446">
    <xf numFmtId="0" fontId="0" fillId="0" borderId="0" xfId="0"/>
    <xf numFmtId="0" fontId="0" fillId="0" borderId="0" xfId="0"/>
    <xf numFmtId="1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NumberFormat="1" applyFont="1" applyFill="1" applyAlignment="1">
      <alignment horizontal="center" vertical="center"/>
    </xf>
    <xf numFmtId="0" fontId="6" fillId="3" borderId="9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>
      <alignment vertical="center" wrapText="1"/>
    </xf>
    <xf numFmtId="1" fontId="6" fillId="3" borderId="9" xfId="0" applyNumberFormat="1" applyFont="1" applyFill="1" applyBorder="1" applyAlignment="1">
      <alignment horizontal="left" vertical="center"/>
    </xf>
    <xf numFmtId="1" fontId="6" fillId="3" borderId="9" xfId="0" applyNumberFormat="1" applyFont="1" applyFill="1" applyBorder="1" applyAlignment="1">
      <alignment horizontal="center" vertical="center" wrapText="1"/>
    </xf>
    <xf numFmtId="1" fontId="6" fillId="3" borderId="9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right" vertical="center" indent="1"/>
    </xf>
    <xf numFmtId="2" fontId="6" fillId="3" borderId="9" xfId="0" applyNumberFormat="1" applyFont="1" applyFill="1" applyBorder="1" applyAlignment="1">
      <alignment horizontal="right" vertical="center" indent="1"/>
    </xf>
    <xf numFmtId="0" fontId="6" fillId="3" borderId="0" xfId="0" applyFont="1" applyFill="1" applyAlignment="1">
      <alignment vertical="center"/>
    </xf>
    <xf numFmtId="0" fontId="6" fillId="3" borderId="9" xfId="0" applyFont="1" applyFill="1" applyBorder="1" applyAlignment="1">
      <alignment vertical="center" wrapText="1"/>
    </xf>
    <xf numFmtId="0" fontId="6" fillId="3" borderId="9" xfId="0" applyFont="1" applyFill="1" applyBorder="1" applyAlignment="1">
      <alignment vertical="center"/>
    </xf>
    <xf numFmtId="4" fontId="6" fillId="3" borderId="9" xfId="0" applyNumberFormat="1" applyFont="1" applyFill="1" applyBorder="1" applyAlignment="1">
      <alignment vertical="center" wrapText="1"/>
    </xf>
    <xf numFmtId="4" fontId="6" fillId="3" borderId="9" xfId="0" applyNumberFormat="1" applyFont="1" applyFill="1" applyBorder="1" applyAlignment="1">
      <alignment vertical="center"/>
    </xf>
    <xf numFmtId="4" fontId="5" fillId="3" borderId="9" xfId="0" applyNumberFormat="1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/>
    </xf>
    <xf numFmtId="0" fontId="6" fillId="3" borderId="9" xfId="2" applyFont="1" applyFill="1" applyBorder="1" applyAlignment="1">
      <alignment horizontal="left" vertical="center" wrapText="1"/>
    </xf>
    <xf numFmtId="4" fontId="0" fillId="0" borderId="0" xfId="0" applyNumberFormat="1"/>
    <xf numFmtId="4" fontId="6" fillId="3" borderId="9" xfId="2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0" fillId="4" borderId="0" xfId="0" applyNumberFormat="1" applyFill="1"/>
    <xf numFmtId="4" fontId="0" fillId="3" borderId="0" xfId="0" applyNumberFormat="1" applyFill="1"/>
    <xf numFmtId="4" fontId="5" fillId="3" borderId="9" xfId="0" applyNumberFormat="1" applyFont="1" applyFill="1" applyBorder="1" applyAlignment="1">
      <alignment horizontal="right" vertical="center" wrapText="1"/>
    </xf>
    <xf numFmtId="0" fontId="6" fillId="3" borderId="0" xfId="0" applyFont="1" applyFill="1" applyAlignment="1">
      <alignment horizontal="left" vertical="center" wrapText="1"/>
    </xf>
    <xf numFmtId="49" fontId="6" fillId="3" borderId="9" xfId="2" applyNumberFormat="1" applyFont="1" applyFill="1" applyBorder="1" applyAlignment="1">
      <alignment horizontal="center" vertical="center" wrapText="1"/>
    </xf>
    <xf numFmtId="4" fontId="19" fillId="3" borderId="9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 wrapText="1"/>
    </xf>
    <xf numFmtId="4" fontId="8" fillId="3" borderId="0" xfId="0" applyNumberFormat="1" applyFont="1" applyFill="1" applyAlignment="1">
      <alignment horizontal="center" vertical="center"/>
    </xf>
    <xf numFmtId="0" fontId="20" fillId="3" borderId="0" xfId="0" applyFont="1" applyFill="1"/>
    <xf numFmtId="4" fontId="5" fillId="3" borderId="23" xfId="0" applyNumberFormat="1" applyFont="1" applyFill="1" applyBorder="1" applyAlignment="1">
      <alignment horizontal="center" vertical="center"/>
    </xf>
    <xf numFmtId="1" fontId="6" fillId="3" borderId="9" xfId="0" applyNumberFormat="1" applyFont="1" applyFill="1" applyBorder="1" applyAlignment="1">
      <alignment horizontal="left" vertical="center" wrapText="1"/>
    </xf>
    <xf numFmtId="4" fontId="5" fillId="3" borderId="9" xfId="0" applyNumberFormat="1" applyFont="1" applyFill="1" applyBorder="1" applyAlignment="1">
      <alignment horizontal="left" vertical="center" wrapText="1"/>
    </xf>
    <xf numFmtId="0" fontId="6" fillId="3" borderId="0" xfId="0" applyFont="1" applyFill="1"/>
    <xf numFmtId="4" fontId="6" fillId="3" borderId="0" xfId="0" applyNumberFormat="1" applyFont="1" applyFill="1"/>
    <xf numFmtId="0" fontId="8" fillId="3" borderId="0" xfId="0" applyFont="1" applyFill="1"/>
    <xf numFmtId="0" fontId="21" fillId="3" borderId="0" xfId="0" applyFont="1" applyFill="1"/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horizontal="left" wrapText="1"/>
    </xf>
    <xf numFmtId="165" fontId="6" fillId="3" borderId="9" xfId="2" applyNumberFormat="1" applyFont="1" applyFill="1" applyBorder="1" applyAlignment="1">
      <alignment horizontal="center" vertical="center" wrapText="1"/>
    </xf>
    <xf numFmtId="0" fontId="6" fillId="3" borderId="9" xfId="2" applyNumberFormat="1" applyFont="1" applyFill="1" applyBorder="1" applyAlignment="1">
      <alignment horizontal="center" vertical="center" wrapText="1"/>
    </xf>
    <xf numFmtId="1" fontId="6" fillId="3" borderId="9" xfId="2" applyNumberFormat="1" applyFont="1" applyFill="1" applyBorder="1" applyAlignment="1">
      <alignment horizontal="center" vertical="center" wrapText="1"/>
    </xf>
    <xf numFmtId="0" fontId="6" fillId="3" borderId="0" xfId="0" applyNumberFormat="1" applyFont="1" applyFill="1" applyAlignment="1">
      <alignment vertical="center"/>
    </xf>
    <xf numFmtId="3" fontId="6" fillId="3" borderId="9" xfId="0" applyNumberFormat="1" applyFont="1" applyFill="1" applyBorder="1" applyAlignment="1">
      <alignment horizontal="center" vertical="center"/>
    </xf>
    <xf numFmtId="1" fontId="6" fillId="3" borderId="9" xfId="2" applyNumberFormat="1" applyFont="1" applyFill="1" applyBorder="1" applyAlignment="1" applyProtection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9" xfId="8" applyFont="1" applyFill="1" applyBorder="1" applyAlignment="1">
      <alignment horizontal="center" vertical="center" wrapText="1"/>
    </xf>
    <xf numFmtId="0" fontId="6" fillId="3" borderId="9" xfId="8" applyFont="1" applyFill="1" applyBorder="1" applyAlignment="1">
      <alignment horizontal="center" vertical="center" wrapText="1"/>
    </xf>
    <xf numFmtId="0" fontId="13" fillId="3" borderId="9" xfId="8" applyFont="1" applyFill="1" applyBorder="1" applyAlignment="1">
      <alignment horizontal="center" vertical="center" wrapText="1"/>
    </xf>
    <xf numFmtId="4" fontId="8" fillId="3" borderId="9" xfId="0" applyNumberFormat="1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14" fontId="6" fillId="3" borderId="9" xfId="0" applyNumberFormat="1" applyFont="1" applyFill="1" applyBorder="1" applyAlignment="1">
      <alignment horizontal="center" vertical="center"/>
    </xf>
    <xf numFmtId="3" fontId="8" fillId="3" borderId="9" xfId="0" applyNumberFormat="1" applyFont="1" applyFill="1" applyBorder="1" applyAlignment="1">
      <alignment horizontal="center" vertical="center"/>
    </xf>
    <xf numFmtId="3" fontId="6" fillId="3" borderId="9" xfId="2" applyNumberFormat="1" applyFont="1" applyFill="1" applyBorder="1" applyAlignment="1">
      <alignment horizontal="center" vertical="center" wrapText="1"/>
    </xf>
    <xf numFmtId="165" fontId="8" fillId="3" borderId="9" xfId="1" applyNumberFormat="1" applyFont="1" applyFill="1" applyBorder="1" applyAlignment="1">
      <alignment horizontal="center" vertical="center" wrapText="1"/>
    </xf>
    <xf numFmtId="3" fontId="8" fillId="3" borderId="9" xfId="1" applyNumberFormat="1" applyFont="1" applyFill="1" applyBorder="1" applyAlignment="1">
      <alignment horizontal="center" vertical="center" wrapText="1"/>
    </xf>
    <xf numFmtId="3" fontId="24" fillId="3" borderId="9" xfId="31" applyNumberFormat="1" applyFont="1" applyFill="1" applyBorder="1" applyAlignment="1">
      <alignment horizontal="center" vertical="center" wrapText="1"/>
    </xf>
    <xf numFmtId="165" fontId="24" fillId="3" borderId="9" xfId="31" applyNumberFormat="1" applyFont="1" applyFill="1" applyBorder="1" applyAlignment="1">
      <alignment horizontal="center" vertical="center" wrapText="1"/>
    </xf>
    <xf numFmtId="2" fontId="8" fillId="3" borderId="9" xfId="0" applyNumberFormat="1" applyFont="1" applyFill="1" applyBorder="1" applyAlignment="1">
      <alignment horizontal="center" vertical="center"/>
    </xf>
    <xf numFmtId="49" fontId="6" fillId="3" borderId="9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left"/>
    </xf>
    <xf numFmtId="0" fontId="6" fillId="3" borderId="11" xfId="0" applyNumberFormat="1" applyFont="1" applyFill="1" applyBorder="1" applyAlignment="1">
      <alignment horizontal="center" vertical="center" wrapText="1"/>
    </xf>
    <xf numFmtId="4" fontId="6" fillId="3" borderId="13" xfId="0" applyNumberFormat="1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4" fontId="6" fillId="3" borderId="15" xfId="0" applyNumberFormat="1" applyFont="1" applyFill="1" applyBorder="1" applyAlignment="1">
      <alignment horizontal="center" vertical="center" wrapText="1"/>
    </xf>
    <xf numFmtId="4" fontId="6" fillId="3" borderId="0" xfId="0" applyNumberFormat="1" applyFont="1" applyFill="1" applyBorder="1" applyAlignment="1">
      <alignment horizontal="center" vertical="center" wrapText="1"/>
    </xf>
    <xf numFmtId="4" fontId="6" fillId="3" borderId="8" xfId="0" applyNumberFormat="1" applyFont="1" applyFill="1" applyBorder="1" applyAlignment="1">
      <alignment horizontal="center" vertical="center" wrapText="1"/>
    </xf>
    <xf numFmtId="0" fontId="6" fillId="3" borderId="9" xfId="0" applyNumberFormat="1" applyFont="1" applyFill="1" applyBorder="1" applyAlignment="1">
      <alignment horizontal="left" vertical="center"/>
    </xf>
    <xf numFmtId="4" fontId="5" fillId="3" borderId="0" xfId="0" applyNumberFormat="1" applyFont="1" applyFill="1" applyAlignment="1">
      <alignment vertical="center"/>
    </xf>
    <xf numFmtId="1" fontId="6" fillId="3" borderId="0" xfId="0" applyNumberFormat="1" applyFont="1" applyFill="1" applyBorder="1" applyAlignment="1">
      <alignment horizontal="center" vertical="center" wrapText="1"/>
    </xf>
    <xf numFmtId="1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vertical="center"/>
    </xf>
    <xf numFmtId="4" fontId="6" fillId="3" borderId="0" xfId="0" applyNumberFormat="1" applyFont="1" applyFill="1" applyAlignment="1">
      <alignment vertical="center"/>
    </xf>
    <xf numFmtId="4" fontId="6" fillId="3" borderId="23" xfId="0" applyNumberFormat="1" applyFont="1" applyFill="1" applyBorder="1" applyAlignment="1">
      <alignment horizontal="right" vertical="center" indent="1"/>
    </xf>
    <xf numFmtId="4" fontId="6" fillId="3" borderId="0" xfId="0" applyNumberFormat="1" applyFont="1" applyFill="1" applyAlignment="1">
      <alignment vertical="center" wrapText="1"/>
    </xf>
    <xf numFmtId="4" fontId="5" fillId="3" borderId="0" xfId="0" applyNumberFormat="1" applyFont="1" applyFill="1" applyAlignment="1">
      <alignment horizontal="center" vertical="center" wrapText="1"/>
    </xf>
    <xf numFmtId="4" fontId="6" fillId="3" borderId="9" xfId="0" applyNumberFormat="1" applyFont="1" applyFill="1" applyBorder="1" applyAlignment="1">
      <alignment horizontal="center"/>
    </xf>
    <xf numFmtId="4" fontId="6" fillId="3" borderId="9" xfId="0" applyNumberFormat="1" applyFont="1" applyFill="1" applyBorder="1" applyAlignment="1">
      <alignment horizontal="center" wrapText="1"/>
    </xf>
    <xf numFmtId="4" fontId="6" fillId="3" borderId="23" xfId="0" applyNumberFormat="1" applyFont="1" applyFill="1" applyBorder="1" applyAlignment="1">
      <alignment horizontal="center" wrapText="1"/>
    </xf>
    <xf numFmtId="4" fontId="5" fillId="3" borderId="25" xfId="0" applyNumberFormat="1" applyFont="1" applyFill="1" applyBorder="1" applyAlignment="1">
      <alignment horizontal="center" vertical="center" wrapText="1"/>
    </xf>
    <xf numFmtId="4" fontId="5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vertical="center"/>
    </xf>
    <xf numFmtId="4" fontId="6" fillId="3" borderId="0" xfId="0" applyNumberFormat="1" applyFont="1" applyFill="1" applyBorder="1" applyAlignment="1">
      <alignment horizontal="right" vertical="center"/>
    </xf>
    <xf numFmtId="4" fontId="6" fillId="3" borderId="0" xfId="0" applyNumberFormat="1" applyFont="1" applyFill="1" applyAlignment="1">
      <alignment horizontal="right" vertical="center" wrapText="1"/>
    </xf>
    <xf numFmtId="4" fontId="6" fillId="3" borderId="0" xfId="0" applyNumberFormat="1" applyFont="1" applyFill="1" applyAlignment="1">
      <alignment horizontal="center" vertical="center" wrapText="1"/>
    </xf>
    <xf numFmtId="4" fontId="6" fillId="3" borderId="26" xfId="0" applyNumberFormat="1" applyFont="1" applyFill="1" applyBorder="1" applyAlignment="1">
      <alignment horizontal="center" vertical="center"/>
    </xf>
    <xf numFmtId="2" fontId="6" fillId="3" borderId="23" xfId="0" applyNumberFormat="1" applyFont="1" applyFill="1" applyBorder="1" applyAlignment="1">
      <alignment horizontal="right" vertical="center" indent="1"/>
    </xf>
    <xf numFmtId="4" fontId="5" fillId="3" borderId="23" xfId="0" applyNumberFormat="1" applyFont="1" applyFill="1" applyBorder="1" applyAlignment="1">
      <alignment horizontal="right" vertical="center" indent="1"/>
    </xf>
    <xf numFmtId="4" fontId="6" fillId="3" borderId="0" xfId="0" applyNumberFormat="1" applyFont="1" applyFill="1" applyBorder="1" applyAlignment="1">
      <alignment horizontal="right" vertical="center" indent="1"/>
    </xf>
    <xf numFmtId="4" fontId="5" fillId="3" borderId="24" xfId="0" applyNumberFormat="1" applyFont="1" applyFill="1" applyBorder="1" applyAlignment="1">
      <alignment horizontal="center" vertical="center" wrapText="1"/>
    </xf>
    <xf numFmtId="4" fontId="6" fillId="3" borderId="24" xfId="0" applyNumberFormat="1" applyFont="1" applyFill="1" applyBorder="1" applyAlignment="1">
      <alignment horizontal="center" vertical="center" wrapText="1"/>
    </xf>
    <xf numFmtId="4" fontId="6" fillId="3" borderId="1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vertical="center" wrapText="1"/>
    </xf>
    <xf numFmtId="0" fontId="6" fillId="3" borderId="5" xfId="0" applyNumberFormat="1" applyFont="1" applyFill="1" applyBorder="1" applyAlignment="1">
      <alignment vertical="center" wrapText="1"/>
    </xf>
    <xf numFmtId="4" fontId="6" fillId="3" borderId="11" xfId="0" applyNumberFormat="1" applyFont="1" applyFill="1" applyBorder="1" applyAlignment="1">
      <alignment vertical="center" wrapText="1"/>
    </xf>
    <xf numFmtId="4" fontId="6" fillId="3" borderId="11" xfId="0" applyNumberFormat="1" applyFont="1" applyFill="1" applyBorder="1" applyAlignment="1">
      <alignment vertical="center"/>
    </xf>
    <xf numFmtId="4" fontId="6" fillId="3" borderId="23" xfId="0" applyNumberFormat="1" applyFont="1" applyFill="1" applyBorder="1" applyAlignment="1">
      <alignment horizontal="center" vertical="center" wrapText="1"/>
    </xf>
    <xf numFmtId="4" fontId="25" fillId="3" borderId="9" xfId="0" applyNumberFormat="1" applyFont="1" applyFill="1" applyBorder="1" applyAlignment="1">
      <alignment horizontal="center" wrapText="1"/>
    </xf>
    <xf numFmtId="4" fontId="25" fillId="3" borderId="0" xfId="0" applyNumberFormat="1" applyFont="1" applyFill="1" applyAlignment="1">
      <alignment horizontal="center" wrapText="1"/>
    </xf>
    <xf numFmtId="4" fontId="6" fillId="3" borderId="0" xfId="0" applyNumberFormat="1" applyFont="1" applyFill="1" applyBorder="1" applyAlignment="1">
      <alignment vertical="center" wrapText="1"/>
    </xf>
    <xf numFmtId="4" fontId="6" fillId="3" borderId="0" xfId="0" applyNumberFormat="1" applyFont="1" applyFill="1" applyBorder="1" applyAlignment="1">
      <alignment vertical="center"/>
    </xf>
    <xf numFmtId="2" fontId="5" fillId="3" borderId="9" xfId="0" applyNumberFormat="1" applyFont="1" applyFill="1" applyBorder="1" applyAlignment="1">
      <alignment vertical="center"/>
    </xf>
    <xf numFmtId="4" fontId="25" fillId="3" borderId="0" xfId="0" applyNumberFormat="1" applyFont="1" applyFill="1" applyAlignment="1">
      <alignment horizontal="center" vertical="center" wrapText="1"/>
    </xf>
    <xf numFmtId="4" fontId="25" fillId="3" borderId="23" xfId="0" applyNumberFormat="1" applyFont="1" applyFill="1" applyBorder="1" applyAlignment="1">
      <alignment horizontal="center" vertical="center" wrapText="1"/>
    </xf>
    <xf numFmtId="4" fontId="25" fillId="3" borderId="9" xfId="0" applyNumberFormat="1" applyFont="1" applyFill="1" applyBorder="1" applyAlignment="1">
      <alignment horizontal="center" vertical="center" wrapText="1"/>
    </xf>
    <xf numFmtId="4" fontId="25" fillId="3" borderId="0" xfId="0" applyNumberFormat="1" applyFont="1" applyFill="1" applyAlignment="1">
      <alignment horizontal="right" vertical="center" wrapText="1"/>
    </xf>
    <xf numFmtId="0" fontId="18" fillId="3" borderId="0" xfId="0" applyFont="1" applyFill="1"/>
    <xf numFmtId="4" fontId="25" fillId="3" borderId="9" xfId="0" applyNumberFormat="1" applyFont="1" applyFill="1" applyBorder="1" applyAlignment="1">
      <alignment horizontal="right" vertical="center" wrapText="1"/>
    </xf>
    <xf numFmtId="4" fontId="27" fillId="3" borderId="9" xfId="0" applyNumberFormat="1" applyFont="1" applyFill="1" applyBorder="1" applyAlignment="1">
      <alignment horizontal="right" vertical="center" wrapText="1"/>
    </xf>
    <xf numFmtId="4" fontId="6" fillId="3" borderId="12" xfId="0" applyNumberFormat="1" applyFont="1" applyFill="1" applyBorder="1" applyAlignment="1">
      <alignment horizontal="center" vertical="center"/>
    </xf>
    <xf numFmtId="0" fontId="20" fillId="3" borderId="0" xfId="0" applyFont="1" applyFill="1" applyAlignment="1"/>
    <xf numFmtId="4" fontId="6" fillId="3" borderId="0" xfId="0" applyNumberFormat="1" applyFont="1" applyFill="1" applyAlignment="1">
      <alignment horizontal="right" vertical="center" indent="1"/>
    </xf>
    <xf numFmtId="2" fontId="6" fillId="3" borderId="9" xfId="0" applyNumberFormat="1" applyFont="1" applyFill="1" applyBorder="1" applyAlignment="1">
      <alignment vertical="center"/>
    </xf>
    <xf numFmtId="2" fontId="5" fillId="3" borderId="9" xfId="0" applyNumberFormat="1" applyFont="1" applyFill="1" applyBorder="1" applyAlignment="1">
      <alignment vertical="center" wrapText="1"/>
    </xf>
    <xf numFmtId="2" fontId="6" fillId="3" borderId="9" xfId="2" applyNumberFormat="1" applyFont="1" applyFill="1" applyBorder="1" applyAlignment="1">
      <alignment vertical="center" wrapText="1"/>
    </xf>
    <xf numFmtId="2" fontId="6" fillId="3" borderId="2" xfId="2" applyNumberFormat="1" applyFont="1" applyFill="1" applyBorder="1" applyAlignment="1">
      <alignment vertical="center" wrapText="1"/>
    </xf>
    <xf numFmtId="1" fontId="6" fillId="3" borderId="0" xfId="0" applyNumberFormat="1" applyFont="1" applyFill="1" applyAlignment="1">
      <alignment horizontal="left" vertical="center"/>
    </xf>
    <xf numFmtId="1" fontId="6" fillId="3" borderId="1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5" fillId="3" borderId="9" xfId="0" applyNumberFormat="1" applyFont="1" applyFill="1" applyBorder="1" applyAlignment="1">
      <alignment horizontal="left" vertical="center"/>
    </xf>
    <xf numFmtId="1" fontId="5" fillId="3" borderId="9" xfId="0" applyNumberFormat="1" applyFont="1" applyFill="1" applyBorder="1" applyAlignment="1">
      <alignment vertical="center"/>
    </xf>
    <xf numFmtId="1" fontId="5" fillId="3" borderId="9" xfId="0" applyNumberFormat="1" applyFont="1" applyFill="1" applyBorder="1" applyAlignment="1">
      <alignment horizontal="center" vertical="center"/>
    </xf>
    <xf numFmtId="1" fontId="6" fillId="3" borderId="9" xfId="0" applyNumberFormat="1" applyFont="1" applyFill="1" applyBorder="1" applyAlignment="1">
      <alignment vertical="center"/>
    </xf>
    <xf numFmtId="1" fontId="20" fillId="3" borderId="0" xfId="0" applyNumberFormat="1" applyFont="1" applyFill="1" applyAlignment="1"/>
    <xf numFmtId="2" fontId="6" fillId="3" borderId="0" xfId="0" applyNumberFormat="1" applyFont="1" applyFill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right" vertical="center" indent="1"/>
    </xf>
    <xf numFmtId="2" fontId="6" fillId="3" borderId="33" xfId="0" applyNumberFormat="1" applyFont="1" applyFill="1" applyBorder="1" applyAlignment="1">
      <alignment horizontal="right" vertical="center" indent="1"/>
    </xf>
    <xf numFmtId="2" fontId="5" fillId="3" borderId="9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center" vertical="center" wrapText="1"/>
    </xf>
    <xf numFmtId="4" fontId="6" fillId="3" borderId="9" xfId="0" applyNumberFormat="1" applyFont="1" applyFill="1" applyBorder="1" applyAlignment="1">
      <alignment horizontal="left" vertical="center"/>
    </xf>
    <xf numFmtId="4" fontId="6" fillId="3" borderId="9" xfId="1" applyNumberFormat="1" applyFont="1" applyFill="1" applyBorder="1" applyAlignment="1">
      <alignment horizontal="center" vertical="center" wrapText="1"/>
    </xf>
    <xf numFmtId="2" fontId="6" fillId="3" borderId="0" xfId="0" applyNumberFormat="1" applyFont="1" applyFill="1" applyAlignment="1">
      <alignment horizontal="center" vertical="center"/>
    </xf>
    <xf numFmtId="4" fontId="6" fillId="3" borderId="9" xfId="3" applyNumberFormat="1" applyFont="1" applyFill="1" applyBorder="1" applyAlignment="1">
      <alignment horizontal="center" vertical="center" wrapText="1"/>
    </xf>
    <xf numFmtId="4" fontId="6" fillId="3" borderId="36" xfId="0" applyNumberFormat="1" applyFont="1" applyFill="1" applyBorder="1" applyAlignment="1">
      <alignment horizontal="center" vertical="center"/>
    </xf>
    <xf numFmtId="0" fontId="6" fillId="3" borderId="38" xfId="2" applyFont="1" applyFill="1" applyBorder="1" applyAlignment="1">
      <alignment horizontal="left" vertical="center" wrapText="1"/>
    </xf>
    <xf numFmtId="0" fontId="5" fillId="3" borderId="38" xfId="2" applyFont="1" applyFill="1" applyBorder="1" applyAlignment="1">
      <alignment vertical="center" wrapText="1"/>
    </xf>
    <xf numFmtId="4" fontId="6" fillId="3" borderId="42" xfId="0" applyNumberFormat="1" applyFont="1" applyFill="1" applyBorder="1" applyAlignment="1">
      <alignment horizontal="center" vertical="center"/>
    </xf>
    <xf numFmtId="2" fontId="6" fillId="3" borderId="42" xfId="0" applyNumberFormat="1" applyFont="1" applyFill="1" applyBorder="1" applyAlignment="1">
      <alignment horizontal="right" vertical="center" indent="1"/>
    </xf>
    <xf numFmtId="4" fontId="6" fillId="3" borderId="42" xfId="0" applyNumberFormat="1" applyFont="1" applyFill="1" applyBorder="1" applyAlignment="1">
      <alignment horizontal="right" vertical="center" indent="1"/>
    </xf>
    <xf numFmtId="4" fontId="6" fillId="3" borderId="23" xfId="0" applyNumberFormat="1" applyFont="1" applyFill="1" applyBorder="1" applyAlignment="1">
      <alignment horizontal="left" vertical="center" indent="1"/>
    </xf>
    <xf numFmtId="4" fontId="29" fillId="3" borderId="9" xfId="0" applyNumberFormat="1" applyFont="1" applyFill="1" applyBorder="1" applyAlignment="1">
      <alignment horizontal="center" vertical="center"/>
    </xf>
    <xf numFmtId="4" fontId="29" fillId="3" borderId="9" xfId="0" applyNumberFormat="1" applyFont="1" applyFill="1" applyBorder="1" applyAlignment="1">
      <alignment horizontal="center" vertical="center" wrapText="1"/>
    </xf>
    <xf numFmtId="4" fontId="29" fillId="3" borderId="9" xfId="0" applyNumberFormat="1" applyFont="1" applyFill="1" applyBorder="1"/>
    <xf numFmtId="0" fontId="29" fillId="3" borderId="9" xfId="0" applyFont="1" applyFill="1" applyBorder="1"/>
    <xf numFmtId="0" fontId="29" fillId="3" borderId="0" xfId="0" applyFont="1" applyFill="1"/>
    <xf numFmtId="2" fontId="29" fillId="3" borderId="9" xfId="0" applyNumberFormat="1" applyFont="1" applyFill="1" applyBorder="1" applyAlignment="1">
      <alignment horizontal="center" vertical="center"/>
    </xf>
    <xf numFmtId="4" fontId="29" fillId="3" borderId="9" xfId="0" applyNumberFormat="1" applyFont="1" applyFill="1" applyBorder="1" applyAlignment="1">
      <alignment vertical="center"/>
    </xf>
    <xf numFmtId="0" fontId="29" fillId="3" borderId="0" xfId="0" applyFont="1" applyFill="1" applyBorder="1" applyAlignment="1">
      <alignment vertical="center"/>
    </xf>
    <xf numFmtId="4" fontId="29" fillId="3" borderId="0" xfId="0" applyNumberFormat="1" applyFont="1" applyFill="1" applyAlignment="1">
      <alignment vertical="center"/>
    </xf>
    <xf numFmtId="4" fontId="32" fillId="3" borderId="0" xfId="0" applyNumberFormat="1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6" fillId="3" borderId="9" xfId="2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vertical="center"/>
    </xf>
    <xf numFmtId="4" fontId="21" fillId="3" borderId="9" xfId="0" applyNumberFormat="1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left"/>
    </xf>
    <xf numFmtId="0" fontId="5" fillId="3" borderId="9" xfId="0" applyFont="1" applyFill="1" applyBorder="1"/>
    <xf numFmtId="0" fontId="5" fillId="3" borderId="9" xfId="0" applyFont="1" applyFill="1" applyBorder="1" applyAlignment="1">
      <alignment wrapText="1"/>
    </xf>
    <xf numFmtId="2" fontId="5" fillId="3" borderId="9" xfId="2" applyNumberFormat="1" applyFont="1" applyFill="1" applyBorder="1" applyAlignment="1">
      <alignment vertical="center" wrapText="1"/>
    </xf>
    <xf numFmtId="0" fontId="6" fillId="3" borderId="9" xfId="2" applyFont="1" applyFill="1" applyBorder="1" applyAlignment="1">
      <alignment horizontal="center" vertical="center"/>
    </xf>
    <xf numFmtId="4" fontId="23" fillId="3" borderId="9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1" fontId="15" fillId="3" borderId="9" xfId="0" applyNumberFormat="1" applyFont="1" applyFill="1" applyBorder="1" applyAlignment="1">
      <alignment horizontal="center" vertical="center" wrapText="1"/>
    </xf>
    <xf numFmtId="1" fontId="8" fillId="3" borderId="9" xfId="1" applyNumberFormat="1" applyFont="1" applyFill="1" applyBorder="1" applyAlignment="1">
      <alignment horizontal="center" vertical="center" wrapText="1"/>
    </xf>
    <xf numFmtId="1" fontId="24" fillId="3" borderId="9" xfId="31" applyNumberFormat="1" applyFont="1" applyFill="1" applyBorder="1" applyAlignment="1">
      <alignment horizontal="center" vertical="center" wrapText="1"/>
    </xf>
    <xf numFmtId="1" fontId="21" fillId="3" borderId="9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 wrapText="1"/>
    </xf>
    <xf numFmtId="4" fontId="6" fillId="3" borderId="45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/>
    <xf numFmtId="4" fontId="6" fillId="3" borderId="46" xfId="0" applyNumberFormat="1" applyFont="1" applyFill="1" applyBorder="1" applyAlignment="1">
      <alignment horizontal="center" vertical="center" wrapText="1"/>
    </xf>
    <xf numFmtId="4" fontId="6" fillId="3" borderId="47" xfId="0" applyNumberFormat="1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left" vertical="center"/>
    </xf>
    <xf numFmtId="0" fontId="5" fillId="3" borderId="44" xfId="0" applyFont="1" applyFill="1" applyBorder="1" applyAlignment="1">
      <alignment horizontal="left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39" xfId="0" applyFont="1" applyFill="1" applyBorder="1" applyAlignment="1">
      <alignment horizontal="left" vertical="center"/>
    </xf>
    <xf numFmtId="0" fontId="6" fillId="3" borderId="9" xfId="2" applyFont="1" applyFill="1" applyBorder="1" applyAlignment="1">
      <alignment vertical="center" wrapText="1"/>
    </xf>
    <xf numFmtId="0" fontId="5" fillId="3" borderId="39" xfId="2" applyFont="1" applyFill="1" applyBorder="1" applyAlignment="1">
      <alignment horizontal="left" vertical="center"/>
    </xf>
    <xf numFmtId="1" fontId="6" fillId="3" borderId="9" xfId="2" applyNumberFormat="1" applyFont="1" applyFill="1" applyBorder="1" applyAlignment="1">
      <alignment horizontal="left" vertical="center"/>
    </xf>
    <xf numFmtId="4" fontId="6" fillId="3" borderId="53" xfId="0" applyNumberFormat="1" applyFont="1" applyFill="1" applyBorder="1" applyAlignment="1">
      <alignment horizontal="center" vertical="center"/>
    </xf>
    <xf numFmtId="4" fontId="6" fillId="3" borderId="54" xfId="0" applyNumberFormat="1" applyFont="1" applyFill="1" applyBorder="1" applyAlignment="1">
      <alignment horizontal="center" vertical="center"/>
    </xf>
    <xf numFmtId="4" fontId="6" fillId="3" borderId="52" xfId="0" applyNumberFormat="1" applyFont="1" applyFill="1" applyBorder="1" applyAlignment="1">
      <alignment horizontal="center" vertical="center"/>
    </xf>
    <xf numFmtId="0" fontId="8" fillId="3" borderId="0" xfId="0" applyFont="1" applyFill="1" applyBorder="1"/>
    <xf numFmtId="4" fontId="21" fillId="3" borderId="0" xfId="0" applyNumberFormat="1" applyFont="1" applyFill="1" applyBorder="1"/>
    <xf numFmtId="4" fontId="8" fillId="3" borderId="0" xfId="0" applyNumberFormat="1" applyFont="1" applyFill="1" applyBorder="1"/>
    <xf numFmtId="0" fontId="21" fillId="3" borderId="0" xfId="0" applyFont="1" applyFill="1" applyBorder="1"/>
    <xf numFmtId="14" fontId="6" fillId="3" borderId="0" xfId="0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 wrapText="1"/>
    </xf>
    <xf numFmtId="1" fontId="8" fillId="3" borderId="9" xfId="0" applyNumberFormat="1" applyFont="1" applyFill="1" applyBorder="1" applyAlignment="1">
      <alignment horizontal="center" vertical="center" wrapText="1"/>
    </xf>
    <xf numFmtId="4" fontId="8" fillId="3" borderId="9" xfId="0" applyNumberFormat="1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1" fontId="22" fillId="3" borderId="9" xfId="0" applyNumberFormat="1" applyFont="1" applyFill="1" applyBorder="1" applyAlignment="1">
      <alignment horizontal="center" vertical="center" wrapText="1"/>
    </xf>
    <xf numFmtId="4" fontId="6" fillId="3" borderId="38" xfId="0" applyNumberFormat="1" applyFont="1" applyFill="1" applyBorder="1" applyAlignment="1">
      <alignment horizontal="center" vertical="center"/>
    </xf>
    <xf numFmtId="0" fontId="30" fillId="3" borderId="0" xfId="0" applyFont="1" applyFill="1"/>
    <xf numFmtId="0" fontId="31" fillId="3" borderId="9" xfId="0" applyFont="1" applyFill="1" applyBorder="1" applyAlignment="1">
      <alignment horizontal="left" vertical="top" wrapText="1"/>
    </xf>
    <xf numFmtId="0" fontId="31" fillId="3" borderId="9" xfId="0" applyFont="1" applyFill="1" applyBorder="1" applyAlignment="1">
      <alignment horizontal="left" vertical="center" wrapText="1"/>
    </xf>
    <xf numFmtId="0" fontId="31" fillId="3" borderId="9" xfId="0" applyFont="1" applyFill="1" applyBorder="1" applyAlignment="1">
      <alignment horizontal="left" wrapText="1"/>
    </xf>
    <xf numFmtId="0" fontId="6" fillId="3" borderId="9" xfId="0" applyNumberFormat="1" applyFont="1" applyFill="1" applyBorder="1" applyAlignment="1">
      <alignment vertical="center"/>
    </xf>
    <xf numFmtId="3" fontId="6" fillId="3" borderId="9" xfId="0" applyNumberFormat="1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left"/>
    </xf>
    <xf numFmtId="165" fontId="6" fillId="3" borderId="9" xfId="5" applyNumberFormat="1" applyFont="1" applyFill="1" applyBorder="1" applyAlignment="1">
      <alignment horizontal="center" vertical="center" wrapText="1"/>
    </xf>
    <xf numFmtId="1" fontId="6" fillId="3" borderId="9" xfId="5" applyNumberFormat="1" applyFont="1" applyFill="1" applyBorder="1" applyAlignment="1">
      <alignment horizontal="center" vertical="center" wrapText="1"/>
    </xf>
    <xf numFmtId="165" fontId="8" fillId="3" borderId="9" xfId="0" applyNumberFormat="1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vertical="center"/>
    </xf>
    <xf numFmtId="0" fontId="13" fillId="3" borderId="9" xfId="0" applyFont="1" applyFill="1" applyBorder="1" applyAlignment="1">
      <alignment horizontal="center" vertical="center" wrapText="1"/>
    </xf>
    <xf numFmtId="1" fontId="13" fillId="3" borderId="9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1" fontId="13" fillId="3" borderId="9" xfId="0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1" fontId="8" fillId="3" borderId="9" xfId="2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1" fontId="6" fillId="6" borderId="9" xfId="0" applyNumberFormat="1" applyFont="1" applyFill="1" applyBorder="1" applyAlignment="1">
      <alignment horizontal="center" vertical="center"/>
    </xf>
    <xf numFmtId="44" fontId="6" fillId="3" borderId="9" xfId="30" applyFont="1" applyFill="1" applyBorder="1" applyAlignment="1">
      <alignment horizontal="center" vertical="center" wrapText="1"/>
    </xf>
    <xf numFmtId="1" fontId="8" fillId="3" borderId="9" xfId="8" applyNumberFormat="1" applyFont="1" applyFill="1" applyBorder="1" applyAlignment="1">
      <alignment horizontal="center" vertical="center"/>
    </xf>
    <xf numFmtId="166" fontId="8" fillId="3" borderId="9" xfId="0" applyNumberFormat="1" applyFont="1" applyFill="1" applyBorder="1" applyAlignment="1">
      <alignment horizontal="center" vertical="center" wrapText="1"/>
    </xf>
    <xf numFmtId="0" fontId="13" fillId="3" borderId="9" xfId="9" applyFont="1" applyFill="1" applyBorder="1" applyAlignment="1">
      <alignment horizontal="center" vertical="center"/>
    </xf>
    <xf numFmtId="1" fontId="13" fillId="3" borderId="9" xfId="9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0" fontId="20" fillId="3" borderId="9" xfId="0" applyFont="1" applyFill="1" applyBorder="1"/>
    <xf numFmtId="4" fontId="5" fillId="3" borderId="52" xfId="0" applyNumberFormat="1" applyFont="1" applyFill="1" applyBorder="1" applyAlignment="1">
      <alignment vertical="center"/>
    </xf>
    <xf numFmtId="4" fontId="26" fillId="3" borderId="53" xfId="0" applyNumberFormat="1" applyFont="1" applyFill="1" applyBorder="1" applyAlignment="1">
      <alignment vertical="center"/>
    </xf>
    <xf numFmtId="4" fontId="5" fillId="3" borderId="53" xfId="0" applyNumberFormat="1" applyFont="1" applyFill="1" applyBorder="1" applyAlignment="1">
      <alignment vertical="center"/>
    </xf>
    <xf numFmtId="4" fontId="5" fillId="3" borderId="52" xfId="0" applyNumberFormat="1" applyFont="1" applyFill="1" applyBorder="1" applyAlignment="1">
      <alignment vertical="center" wrapText="1"/>
    </xf>
    <xf numFmtId="4" fontId="6" fillId="3" borderId="52" xfId="0" applyNumberFormat="1" applyFont="1" applyFill="1" applyBorder="1" applyAlignment="1">
      <alignment vertical="center"/>
    </xf>
    <xf numFmtId="4" fontId="20" fillId="3" borderId="53" xfId="0" applyNumberFormat="1" applyFont="1" applyFill="1" applyBorder="1" applyAlignment="1">
      <alignment vertical="center"/>
    </xf>
    <xf numFmtId="4" fontId="27" fillId="3" borderId="3" xfId="0" applyNumberFormat="1" applyFont="1" applyFill="1" applyBorder="1" applyAlignment="1">
      <alignment vertical="center" wrapText="1"/>
    </xf>
    <xf numFmtId="4" fontId="27" fillId="3" borderId="0" xfId="0" applyNumberFormat="1" applyFont="1" applyFill="1" applyBorder="1" applyAlignment="1">
      <alignment vertical="center" wrapText="1"/>
    </xf>
    <xf numFmtId="0" fontId="33" fillId="3" borderId="0" xfId="0" applyFont="1" applyFill="1"/>
    <xf numFmtId="0" fontId="5" fillId="3" borderId="0" xfId="0" applyFont="1" applyFill="1" applyAlignment="1">
      <alignment vertical="center"/>
    </xf>
    <xf numFmtId="4" fontId="5" fillId="3" borderId="23" xfId="0" applyNumberFormat="1" applyFont="1" applyFill="1" applyBorder="1" applyAlignment="1">
      <alignment horizontal="center" vertical="center" wrapText="1"/>
    </xf>
    <xf numFmtId="4" fontId="8" fillId="3" borderId="0" xfId="0" applyNumberFormat="1" applyFont="1" applyFill="1"/>
    <xf numFmtId="4" fontId="23" fillId="3" borderId="0" xfId="0" applyNumberFormat="1" applyFont="1" applyFill="1" applyBorder="1" applyAlignment="1">
      <alignment horizontal="center" vertical="center"/>
    </xf>
    <xf numFmtId="4" fontId="5" fillId="3" borderId="9" xfId="0" applyNumberFormat="1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  <xf numFmtId="4" fontId="5" fillId="3" borderId="9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/>
    </xf>
    <xf numFmtId="0" fontId="5" fillId="3" borderId="9" xfId="2" applyFont="1" applyFill="1" applyBorder="1" applyAlignment="1">
      <alignment horizontal="left" vertical="center" wrapText="1"/>
    </xf>
    <xf numFmtId="4" fontId="5" fillId="3" borderId="0" xfId="0" applyNumberFormat="1" applyFont="1" applyFill="1" applyBorder="1" applyAlignment="1">
      <alignment horizontal="center" vertical="center"/>
    </xf>
    <xf numFmtId="0" fontId="5" fillId="3" borderId="9" xfId="2" applyFont="1" applyFill="1" applyBorder="1" applyAlignment="1">
      <alignment horizontal="left" vertical="center"/>
    </xf>
    <xf numFmtId="0" fontId="5" fillId="3" borderId="9" xfId="2" applyFont="1" applyFill="1" applyBorder="1" applyAlignment="1">
      <alignment vertical="center" wrapText="1"/>
    </xf>
    <xf numFmtId="0" fontId="6" fillId="3" borderId="9" xfId="0" applyNumberFormat="1" applyFont="1" applyFill="1" applyBorder="1" applyAlignment="1">
      <alignment vertical="center" wrapText="1"/>
    </xf>
    <xf numFmtId="0" fontId="6" fillId="3" borderId="9" xfId="0" applyNumberFormat="1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3" borderId="9" xfId="2" applyFont="1" applyFill="1" applyBorder="1" applyAlignment="1">
      <alignment vertical="center"/>
    </xf>
    <xf numFmtId="1" fontId="5" fillId="3" borderId="9" xfId="2" applyNumberFormat="1" applyFont="1" applyFill="1" applyBorder="1" applyAlignment="1">
      <alignment vertical="center"/>
    </xf>
    <xf numFmtId="1" fontId="5" fillId="3" borderId="9" xfId="2" applyNumberFormat="1" applyFont="1" applyFill="1" applyBorder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 wrapText="1"/>
    </xf>
    <xf numFmtId="4" fontId="6" fillId="3" borderId="5" xfId="0" applyNumberFormat="1" applyFont="1" applyFill="1" applyBorder="1" applyAlignment="1">
      <alignment horizontal="center" vertical="center" wrapText="1"/>
    </xf>
    <xf numFmtId="4" fontId="6" fillId="3" borderId="0" xfId="0" applyNumberFormat="1" applyFont="1" applyFill="1" applyAlignment="1">
      <alignment horizontal="center" vertical="center"/>
    </xf>
    <xf numFmtId="0" fontId="6" fillId="3" borderId="9" xfId="0" applyNumberFormat="1" applyFont="1" applyFill="1" applyBorder="1" applyAlignment="1">
      <alignment horizontal="center" vertical="center" wrapText="1"/>
    </xf>
    <xf numFmtId="4" fontId="6" fillId="3" borderId="0" xfId="0" applyNumberFormat="1" applyFont="1" applyFill="1" applyBorder="1" applyAlignment="1">
      <alignment horizontal="center"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6" fillId="3" borderId="9" xfId="0" applyNumberFormat="1" applyFont="1" applyFill="1" applyBorder="1" applyAlignment="1">
      <alignment horizontal="center" vertical="center"/>
    </xf>
    <xf numFmtId="2" fontId="5" fillId="3" borderId="9" xfId="0" applyNumberFormat="1" applyFont="1" applyFill="1" applyBorder="1" applyAlignment="1">
      <alignment horizontal="center" vertical="center" wrapText="1"/>
    </xf>
    <xf numFmtId="4" fontId="5" fillId="3" borderId="12" xfId="0" applyNumberFormat="1" applyFont="1" applyFill="1" applyBorder="1" applyAlignment="1">
      <alignment horizontal="center" vertical="center"/>
    </xf>
    <xf numFmtId="4" fontId="5" fillId="3" borderId="14" xfId="0" applyNumberFormat="1" applyFont="1" applyFill="1" applyBorder="1" applyAlignment="1">
      <alignment horizontal="center" vertical="center"/>
    </xf>
    <xf numFmtId="4" fontId="5" fillId="3" borderId="9" xfId="0" applyNumberFormat="1" applyFont="1" applyFill="1" applyBorder="1" applyAlignment="1">
      <alignment horizontal="center" vertical="center" wrapText="1"/>
    </xf>
    <xf numFmtId="4" fontId="26" fillId="3" borderId="9" xfId="0" applyNumberFormat="1" applyFont="1" applyFill="1" applyBorder="1" applyAlignment="1">
      <alignment horizontal="center" vertical="center"/>
    </xf>
    <xf numFmtId="4" fontId="5" fillId="3" borderId="9" xfId="0" applyNumberFormat="1" applyFont="1" applyFill="1" applyBorder="1" applyAlignment="1">
      <alignment vertical="center"/>
    </xf>
    <xf numFmtId="4" fontId="5" fillId="3" borderId="0" xfId="0" applyNumberFormat="1" applyFont="1" applyFill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 wrapText="1"/>
    </xf>
    <xf numFmtId="4" fontId="6" fillId="3" borderId="24" xfId="0" applyNumberFormat="1" applyFont="1" applyFill="1" applyBorder="1" applyAlignment="1">
      <alignment horizontal="center" vertical="center"/>
    </xf>
    <xf numFmtId="4" fontId="6" fillId="3" borderId="23" xfId="0" applyNumberFormat="1" applyFont="1" applyFill="1" applyBorder="1" applyAlignment="1">
      <alignment horizontal="center" vertical="center"/>
    </xf>
    <xf numFmtId="4" fontId="8" fillId="3" borderId="40" xfId="0" applyNumberFormat="1" applyFont="1" applyFill="1" applyBorder="1" applyAlignment="1">
      <alignment vertical="center"/>
    </xf>
    <xf numFmtId="0" fontId="6" fillId="3" borderId="9" xfId="0" applyFont="1" applyFill="1" applyBorder="1"/>
    <xf numFmtId="4" fontId="6" fillId="3" borderId="35" xfId="0" applyNumberFormat="1" applyFont="1" applyFill="1" applyBorder="1" applyAlignment="1">
      <alignment horizontal="center" vertical="center"/>
    </xf>
    <xf numFmtId="4" fontId="6" fillId="3" borderId="54" xfId="0" applyNumberFormat="1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top" wrapText="1"/>
    </xf>
    <xf numFmtId="4" fontId="6" fillId="3" borderId="9" xfId="0" applyNumberFormat="1" applyFont="1" applyFill="1" applyBorder="1" applyAlignment="1">
      <alignment horizontal="center" vertical="center" wrapText="1"/>
    </xf>
    <xf numFmtId="0" fontId="5" fillId="3" borderId="9" xfId="2" applyFont="1" applyFill="1" applyBorder="1" applyAlignment="1">
      <alignment horizontal="left" vertical="center" wrapText="1"/>
    </xf>
    <xf numFmtId="0" fontId="5" fillId="3" borderId="9" xfId="2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3" borderId="9" xfId="2" applyFont="1" applyFill="1" applyBorder="1" applyAlignment="1">
      <alignment vertical="center"/>
    </xf>
    <xf numFmtId="1" fontId="5" fillId="3" borderId="9" xfId="2" applyNumberFormat="1" applyFont="1" applyFill="1" applyBorder="1" applyAlignment="1">
      <alignment vertical="center"/>
    </xf>
    <xf numFmtId="0" fontId="5" fillId="3" borderId="9" xfId="2" applyFont="1" applyFill="1" applyBorder="1" applyAlignment="1">
      <alignment vertical="center" wrapText="1"/>
    </xf>
    <xf numFmtId="2" fontId="5" fillId="3" borderId="9" xfId="2" applyNumberFormat="1" applyFont="1" applyFill="1" applyBorder="1" applyAlignment="1">
      <alignment vertical="center"/>
    </xf>
    <xf numFmtId="1" fontId="5" fillId="3" borderId="9" xfId="2" applyNumberFormat="1" applyFont="1" applyFill="1" applyBorder="1" applyAlignment="1">
      <alignment horizontal="left" vertical="center"/>
    </xf>
    <xf numFmtId="4" fontId="5" fillId="3" borderId="9" xfId="0" applyNumberFormat="1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  <xf numFmtId="4" fontId="5" fillId="3" borderId="9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center" vertical="center"/>
    </xf>
    <xf numFmtId="0" fontId="6" fillId="3" borderId="9" xfId="0" applyNumberFormat="1" applyFont="1" applyFill="1" applyBorder="1" applyAlignment="1">
      <alignment vertical="center" wrapText="1"/>
    </xf>
    <xf numFmtId="0" fontId="6" fillId="3" borderId="9" xfId="0" applyNumberFormat="1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9" xfId="0" applyNumberFormat="1" applyFont="1" applyFill="1" applyBorder="1" applyAlignment="1">
      <alignment horizontal="center" vertical="center" textRotation="90"/>
    </xf>
    <xf numFmtId="0" fontId="6" fillId="3" borderId="9" xfId="0" applyFont="1" applyFill="1" applyBorder="1" applyAlignment="1">
      <alignment horizontal="center" vertical="center" textRotation="90" wrapText="1"/>
    </xf>
    <xf numFmtId="1" fontId="6" fillId="3" borderId="9" xfId="0" applyNumberFormat="1" applyFont="1" applyFill="1" applyBorder="1" applyAlignment="1">
      <alignment horizontal="center" vertical="center" textRotation="90" wrapText="1"/>
    </xf>
    <xf numFmtId="0" fontId="5" fillId="3" borderId="9" xfId="2" applyFont="1" applyFill="1" applyBorder="1" applyAlignment="1">
      <alignment horizontal="left" vertical="center"/>
    </xf>
    <xf numFmtId="4" fontId="5" fillId="3" borderId="0" xfId="0" applyNumberFormat="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 wrapText="1"/>
    </xf>
    <xf numFmtId="0" fontId="5" fillId="3" borderId="50" xfId="2" applyFont="1" applyFill="1" applyBorder="1" applyAlignment="1">
      <alignment horizontal="left" vertical="center" wrapText="1"/>
    </xf>
    <xf numFmtId="0" fontId="5" fillId="3" borderId="49" xfId="2" applyFont="1" applyFill="1" applyBorder="1" applyAlignment="1">
      <alignment horizontal="left" vertical="center" wrapText="1"/>
    </xf>
    <xf numFmtId="0" fontId="5" fillId="3" borderId="50" xfId="0" applyFont="1" applyFill="1" applyBorder="1" applyAlignment="1">
      <alignment horizontal="left" vertical="center" wrapText="1"/>
    </xf>
    <xf numFmtId="0" fontId="5" fillId="3" borderId="49" xfId="0" applyFont="1" applyFill="1" applyBorder="1" applyAlignment="1">
      <alignment horizontal="left" vertical="center" wrapText="1"/>
    </xf>
    <xf numFmtId="4" fontId="5" fillId="3" borderId="34" xfId="0" applyNumberFormat="1" applyFont="1" applyFill="1" applyBorder="1" applyAlignment="1">
      <alignment horizontal="center" vertical="center"/>
    </xf>
    <xf numFmtId="4" fontId="5" fillId="3" borderId="35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3" borderId="34" xfId="2" applyFont="1" applyFill="1" applyBorder="1" applyAlignment="1">
      <alignment horizontal="left" vertical="center" wrapText="1"/>
    </xf>
    <xf numFmtId="0" fontId="5" fillId="3" borderId="36" xfId="2" applyFont="1" applyFill="1" applyBorder="1" applyAlignment="1">
      <alignment horizontal="left" vertical="center" wrapText="1"/>
    </xf>
    <xf numFmtId="0" fontId="5" fillId="3" borderId="41" xfId="2" applyFont="1" applyFill="1" applyBorder="1" applyAlignment="1">
      <alignment horizontal="left" vertical="center"/>
    </xf>
    <xf numFmtId="0" fontId="5" fillId="3" borderId="42" xfId="2" applyFont="1" applyFill="1" applyBorder="1" applyAlignment="1">
      <alignment horizontal="left" vertical="center"/>
    </xf>
    <xf numFmtId="4" fontId="5" fillId="3" borderId="34" xfId="0" applyNumberFormat="1" applyFont="1" applyFill="1" applyBorder="1" applyAlignment="1">
      <alignment horizontal="left" vertical="center"/>
    </xf>
    <xf numFmtId="4" fontId="5" fillId="3" borderId="36" xfId="0" applyNumberFormat="1" applyFont="1" applyFill="1" applyBorder="1" applyAlignment="1">
      <alignment horizontal="left" vertical="center"/>
    </xf>
    <xf numFmtId="0" fontId="5" fillId="3" borderId="34" xfId="0" applyFont="1" applyFill="1" applyBorder="1" applyAlignment="1">
      <alignment horizontal="left" vertical="center" wrapText="1"/>
    </xf>
    <xf numFmtId="0" fontId="5" fillId="3" borderId="36" xfId="0" applyFont="1" applyFill="1" applyBorder="1" applyAlignment="1">
      <alignment horizontal="left" vertical="center" wrapText="1"/>
    </xf>
    <xf numFmtId="4" fontId="6" fillId="3" borderId="0" xfId="0" applyNumberFormat="1" applyFont="1" applyFill="1" applyBorder="1" applyAlignment="1">
      <alignment horizontal="center" vertical="center"/>
    </xf>
    <xf numFmtId="0" fontId="5" fillId="3" borderId="34" xfId="2" applyFont="1" applyFill="1" applyBorder="1" applyAlignment="1">
      <alignment horizontal="center" vertical="center"/>
    </xf>
    <xf numFmtId="0" fontId="5" fillId="3" borderId="35" xfId="2" applyFont="1" applyFill="1" applyBorder="1" applyAlignment="1">
      <alignment horizontal="center" vertical="center"/>
    </xf>
    <xf numFmtId="0" fontId="5" fillId="3" borderId="36" xfId="2" applyFont="1" applyFill="1" applyBorder="1" applyAlignment="1">
      <alignment horizontal="center" vertical="center"/>
    </xf>
    <xf numFmtId="0" fontId="5" fillId="3" borderId="34" xfId="2" applyFont="1" applyFill="1" applyBorder="1" applyAlignment="1">
      <alignment horizontal="left" vertical="center"/>
    </xf>
    <xf numFmtId="0" fontId="5" fillId="3" borderId="36" xfId="2" applyFont="1" applyFill="1" applyBorder="1" applyAlignment="1">
      <alignment horizontal="left" vertical="center"/>
    </xf>
    <xf numFmtId="0" fontId="5" fillId="3" borderId="30" xfId="0" applyFont="1" applyFill="1" applyBorder="1" applyAlignment="1">
      <alignment horizontal="left" vertical="center" wrapText="1"/>
    </xf>
    <xf numFmtId="0" fontId="5" fillId="3" borderId="31" xfId="0" applyFont="1" applyFill="1" applyBorder="1" applyAlignment="1">
      <alignment horizontal="left" vertical="center" wrapText="1"/>
    </xf>
    <xf numFmtId="4" fontId="5" fillId="3" borderId="0" xfId="0" applyNumberFormat="1" applyFont="1" applyFill="1" applyBorder="1" applyAlignment="1">
      <alignment horizontal="center" vertical="center" wrapText="1"/>
    </xf>
    <xf numFmtId="4" fontId="6" fillId="3" borderId="0" xfId="0" applyNumberFormat="1" applyFont="1" applyFill="1" applyAlignment="1">
      <alignment horizontal="center" vertical="center"/>
    </xf>
    <xf numFmtId="4" fontId="6" fillId="3" borderId="17" xfId="0" applyNumberFormat="1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2" fontId="6" fillId="3" borderId="16" xfId="0" applyNumberFormat="1" applyFont="1" applyFill="1" applyBorder="1" applyAlignment="1">
      <alignment horizontal="center" vertical="center" wrapText="1"/>
    </xf>
    <xf numFmtId="2" fontId="6" fillId="3" borderId="20" xfId="0" applyNumberFormat="1" applyFont="1" applyFill="1" applyBorder="1" applyAlignment="1">
      <alignment horizontal="center" vertical="center" wrapText="1"/>
    </xf>
    <xf numFmtId="2" fontId="6" fillId="3" borderId="21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center" vertical="center" wrapText="1"/>
    </xf>
    <xf numFmtId="2" fontId="6" fillId="3" borderId="19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 wrapText="1"/>
    </xf>
    <xf numFmtId="2" fontId="6" fillId="3" borderId="6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2" fontId="6" fillId="3" borderId="17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0" fontId="6" fillId="3" borderId="9" xfId="0" applyNumberFormat="1" applyFont="1" applyFill="1" applyBorder="1" applyAlignment="1">
      <alignment horizontal="center" vertical="center" wrapText="1"/>
    </xf>
    <xf numFmtId="4" fontId="6" fillId="3" borderId="5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2" fontId="6" fillId="3" borderId="34" xfId="0" applyNumberFormat="1" applyFont="1" applyFill="1" applyBorder="1" applyAlignment="1">
      <alignment horizontal="center" vertical="center"/>
    </xf>
    <xf numFmtId="2" fontId="6" fillId="3" borderId="35" xfId="0" applyNumberFormat="1" applyFont="1" applyFill="1" applyBorder="1" applyAlignment="1">
      <alignment horizontal="center" vertical="center"/>
    </xf>
    <xf numFmtId="0" fontId="6" fillId="3" borderId="37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5" xfId="0" applyNumberFormat="1" applyFont="1" applyFill="1" applyBorder="1" applyAlignment="1">
      <alignment horizontal="center" vertical="center" wrapText="1"/>
    </xf>
    <xf numFmtId="0" fontId="6" fillId="3" borderId="37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3" borderId="5" xfId="0" applyNumberFormat="1" applyFont="1" applyFill="1" applyBorder="1" applyAlignment="1">
      <alignment horizontal="left" vertical="center"/>
    </xf>
    <xf numFmtId="0" fontId="5" fillId="3" borderId="35" xfId="2" applyFont="1" applyFill="1" applyBorder="1" applyAlignment="1">
      <alignment horizontal="left" vertical="center"/>
    </xf>
    <xf numFmtId="2" fontId="5" fillId="3" borderId="50" xfId="2" applyNumberFormat="1" applyFont="1" applyFill="1" applyBorder="1" applyAlignment="1">
      <alignment horizontal="left" vertical="center"/>
    </xf>
    <xf numFmtId="2" fontId="5" fillId="3" borderId="49" xfId="2" applyNumberFormat="1" applyFont="1" applyFill="1" applyBorder="1" applyAlignment="1">
      <alignment horizontal="left" vertical="center"/>
    </xf>
    <xf numFmtId="2" fontId="5" fillId="3" borderId="9" xfId="0" applyNumberFormat="1" applyFont="1" applyFill="1" applyBorder="1" applyAlignment="1">
      <alignment horizontal="left" wrapText="1"/>
    </xf>
    <xf numFmtId="2" fontId="5" fillId="3" borderId="50" xfId="2" applyNumberFormat="1" applyFont="1" applyFill="1" applyBorder="1" applyAlignment="1">
      <alignment horizontal="left" vertical="center" wrapText="1"/>
    </xf>
    <xf numFmtId="2" fontId="5" fillId="3" borderId="49" xfId="2" applyNumberFormat="1" applyFont="1" applyFill="1" applyBorder="1" applyAlignment="1">
      <alignment horizontal="left" vertical="center" wrapText="1"/>
    </xf>
    <xf numFmtId="1" fontId="5" fillId="3" borderId="34" xfId="0" applyNumberFormat="1" applyFont="1" applyFill="1" applyBorder="1" applyAlignment="1">
      <alignment horizontal="center" vertical="center"/>
    </xf>
    <xf numFmtId="1" fontId="5" fillId="3" borderId="35" xfId="0" applyNumberFormat="1" applyFont="1" applyFill="1" applyBorder="1" applyAlignment="1">
      <alignment horizontal="center" vertical="center"/>
    </xf>
    <xf numFmtId="1" fontId="5" fillId="3" borderId="36" xfId="0" applyNumberFormat="1" applyFont="1" applyFill="1" applyBorder="1" applyAlignment="1">
      <alignment horizontal="center" vertical="center"/>
    </xf>
    <xf numFmtId="1" fontId="5" fillId="3" borderId="34" xfId="2" applyNumberFormat="1" applyFont="1" applyFill="1" applyBorder="1" applyAlignment="1">
      <alignment horizontal="center" vertical="center"/>
    </xf>
    <xf numFmtId="1" fontId="5" fillId="3" borderId="35" xfId="2" applyNumberFormat="1" applyFont="1" applyFill="1" applyBorder="1" applyAlignment="1">
      <alignment horizontal="center" vertical="center"/>
    </xf>
    <xf numFmtId="1" fontId="5" fillId="3" borderId="36" xfId="2" applyNumberFormat="1" applyFont="1" applyFill="1" applyBorder="1" applyAlignment="1">
      <alignment horizontal="center" vertical="center"/>
    </xf>
    <xf numFmtId="2" fontId="5" fillId="3" borderId="34" xfId="0" applyNumberFormat="1" applyFont="1" applyFill="1" applyBorder="1" applyAlignment="1">
      <alignment horizontal="center" vertical="center"/>
    </xf>
    <xf numFmtId="2" fontId="5" fillId="3" borderId="35" xfId="0" applyNumberFormat="1" applyFont="1" applyFill="1" applyBorder="1" applyAlignment="1">
      <alignment horizontal="center" vertical="center"/>
    </xf>
    <xf numFmtId="2" fontId="5" fillId="3" borderId="36" xfId="0" applyNumberFormat="1" applyFont="1" applyFill="1" applyBorder="1" applyAlignment="1">
      <alignment horizontal="center" vertical="center"/>
    </xf>
    <xf numFmtId="1" fontId="5" fillId="3" borderId="50" xfId="0" applyNumberFormat="1" applyFont="1" applyFill="1" applyBorder="1" applyAlignment="1">
      <alignment horizontal="left" vertical="center" wrapText="1"/>
    </xf>
    <xf numFmtId="1" fontId="5" fillId="3" borderId="49" xfId="0" applyNumberFormat="1" applyFont="1" applyFill="1" applyBorder="1" applyAlignment="1">
      <alignment horizontal="left" vertical="center" wrapText="1"/>
    </xf>
    <xf numFmtId="1" fontId="5" fillId="3" borderId="43" xfId="2" applyNumberFormat="1" applyFont="1" applyFill="1" applyBorder="1" applyAlignment="1">
      <alignment horizontal="center" vertical="center"/>
    </xf>
    <xf numFmtId="1" fontId="5" fillId="3" borderId="45" xfId="2" applyNumberFormat="1" applyFont="1" applyFill="1" applyBorder="1" applyAlignment="1">
      <alignment horizontal="center" vertical="center"/>
    </xf>
    <xf numFmtId="1" fontId="5" fillId="3" borderId="44" xfId="2" applyNumberFormat="1" applyFont="1" applyFill="1" applyBorder="1" applyAlignment="1">
      <alignment horizontal="center" vertical="center"/>
    </xf>
    <xf numFmtId="2" fontId="5" fillId="3" borderId="9" xfId="2" applyNumberFormat="1" applyFont="1" applyFill="1" applyBorder="1" applyAlignment="1">
      <alignment horizontal="left" vertical="center" wrapText="1"/>
    </xf>
    <xf numFmtId="2" fontId="5" fillId="3" borderId="9" xfId="0" applyNumberFormat="1" applyFont="1" applyFill="1" applyBorder="1" applyAlignment="1">
      <alignment horizontal="left"/>
    </xf>
    <xf numFmtId="2" fontId="5" fillId="3" borderId="50" xfId="0" applyNumberFormat="1" applyFont="1" applyFill="1" applyBorder="1" applyAlignment="1">
      <alignment horizontal="left" vertical="center" wrapText="1"/>
    </xf>
    <xf numFmtId="2" fontId="5" fillId="3" borderId="49" xfId="0" applyNumberFormat="1" applyFont="1" applyFill="1" applyBorder="1" applyAlignment="1">
      <alignment horizontal="left" vertical="center" wrapText="1"/>
    </xf>
    <xf numFmtId="4" fontId="6" fillId="3" borderId="16" xfId="0" applyNumberFormat="1" applyFont="1" applyFill="1" applyBorder="1" applyAlignment="1">
      <alignment horizontal="center" vertical="center" wrapText="1"/>
    </xf>
    <xf numFmtId="4" fontId="6" fillId="3" borderId="20" xfId="0" applyNumberFormat="1" applyFont="1" applyFill="1" applyBorder="1" applyAlignment="1">
      <alignment horizontal="center" vertical="center" wrapText="1"/>
    </xf>
    <xf numFmtId="4" fontId="6" fillId="3" borderId="21" xfId="0" applyNumberFormat="1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vertical="center"/>
    </xf>
    <xf numFmtId="0" fontId="0" fillId="3" borderId="9" xfId="0" applyFill="1" applyBorder="1" applyAlignment="1">
      <alignment vertical="center"/>
    </xf>
    <xf numFmtId="2" fontId="5" fillId="3" borderId="9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0" fontId="6" fillId="3" borderId="32" xfId="0" applyNumberFormat="1" applyFont="1" applyFill="1" applyBorder="1" applyAlignment="1">
      <alignment horizontal="center" vertical="center" wrapText="1"/>
    </xf>
    <xf numFmtId="4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4" fontId="6" fillId="3" borderId="3" xfId="0" applyNumberFormat="1" applyFont="1" applyFill="1" applyBorder="1" applyAlignment="1">
      <alignment horizontal="center" vertical="center" wrapText="1"/>
    </xf>
    <xf numFmtId="4" fontId="6" fillId="3" borderId="4" xfId="0" applyNumberFormat="1" applyFont="1" applyFill="1" applyBorder="1" applyAlignment="1">
      <alignment horizontal="center" vertical="center" wrapText="1"/>
    </xf>
    <xf numFmtId="4" fontId="6" fillId="3" borderId="6" xfId="0" applyNumberFormat="1" applyFont="1" applyFill="1" applyBorder="1" applyAlignment="1">
      <alignment horizontal="center" vertical="center" wrapText="1"/>
    </xf>
    <xf numFmtId="4" fontId="6" fillId="3" borderId="7" xfId="0" applyNumberFormat="1" applyFont="1" applyFill="1" applyBorder="1" applyAlignment="1">
      <alignment horizontal="center" vertical="center" wrapText="1"/>
    </xf>
    <xf numFmtId="2" fontId="5" fillId="3" borderId="50" xfId="0" applyNumberFormat="1" applyFont="1" applyFill="1" applyBorder="1" applyAlignment="1">
      <alignment horizontal="left" vertical="center"/>
    </xf>
    <xf numFmtId="2" fontId="5" fillId="3" borderId="49" xfId="0" applyNumberFormat="1" applyFont="1" applyFill="1" applyBorder="1" applyAlignment="1">
      <alignment horizontal="left" vertical="center"/>
    </xf>
    <xf numFmtId="1" fontId="5" fillId="3" borderId="43" xfId="0" applyNumberFormat="1" applyFont="1" applyFill="1" applyBorder="1" applyAlignment="1">
      <alignment horizontal="center" vertical="center"/>
    </xf>
    <xf numFmtId="1" fontId="5" fillId="3" borderId="45" xfId="0" applyNumberFormat="1" applyFont="1" applyFill="1" applyBorder="1" applyAlignment="1">
      <alignment horizontal="center" vertical="center"/>
    </xf>
    <xf numFmtId="1" fontId="5" fillId="3" borderId="44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5" fillId="3" borderId="51" xfId="0" applyFont="1" applyFill="1" applyBorder="1" applyAlignment="1">
      <alignment horizontal="left"/>
    </xf>
    <xf numFmtId="0" fontId="5" fillId="3" borderId="0" xfId="0" applyFont="1" applyFill="1" applyAlignment="1">
      <alignment horizontal="left" wrapText="1"/>
    </xf>
    <xf numFmtId="4" fontId="6" fillId="3" borderId="28" xfId="0" applyNumberFormat="1" applyFont="1" applyFill="1" applyBorder="1" applyAlignment="1">
      <alignment horizontal="center" vertical="center" wrapText="1"/>
    </xf>
    <xf numFmtId="0" fontId="6" fillId="3" borderId="28" xfId="0" applyNumberFormat="1" applyFont="1" applyFill="1" applyBorder="1" applyAlignment="1">
      <alignment horizontal="center" vertical="center" wrapText="1"/>
    </xf>
    <xf numFmtId="4" fontId="5" fillId="3" borderId="29" xfId="0" applyNumberFormat="1" applyFont="1" applyFill="1" applyBorder="1" applyAlignment="1">
      <alignment horizontal="center" vertical="center"/>
    </xf>
    <xf numFmtId="4" fontId="5" fillId="3" borderId="27" xfId="0" applyNumberFormat="1" applyFont="1" applyFill="1" applyBorder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/>
    </xf>
    <xf numFmtId="4" fontId="6" fillId="3" borderId="24" xfId="0" applyNumberFormat="1" applyFont="1" applyFill="1" applyBorder="1" applyAlignment="1">
      <alignment horizontal="center" vertical="center"/>
    </xf>
    <xf numFmtId="4" fontId="6" fillId="3" borderId="23" xfId="0" applyNumberFormat="1" applyFont="1" applyFill="1" applyBorder="1" applyAlignment="1">
      <alignment horizontal="center" vertical="center"/>
    </xf>
    <xf numFmtId="0" fontId="5" fillId="3" borderId="50" xfId="2" applyFont="1" applyFill="1" applyBorder="1" applyAlignment="1">
      <alignment horizontal="center" vertical="center" wrapText="1"/>
    </xf>
    <xf numFmtId="0" fontId="5" fillId="3" borderId="49" xfId="2" applyFont="1" applyFill="1" applyBorder="1" applyAlignment="1">
      <alignment horizontal="center" vertical="center" wrapText="1"/>
    </xf>
    <xf numFmtId="4" fontId="26" fillId="3" borderId="9" xfId="0" applyNumberFormat="1" applyFont="1" applyFill="1" applyBorder="1" applyAlignment="1">
      <alignment horizontal="center" vertical="center"/>
    </xf>
    <xf numFmtId="4" fontId="5" fillId="3" borderId="9" xfId="0" applyNumberFormat="1" applyFont="1" applyFill="1" applyBorder="1" applyAlignment="1">
      <alignment vertical="center"/>
    </xf>
    <xf numFmtId="4" fontId="26" fillId="3" borderId="9" xfId="0" applyNumberFormat="1" applyFont="1" applyFill="1" applyBorder="1" applyAlignment="1">
      <alignment vertical="center"/>
    </xf>
    <xf numFmtId="4" fontId="5" fillId="3" borderId="9" xfId="0" applyNumberFormat="1" applyFont="1" applyFill="1" applyBorder="1" applyAlignment="1">
      <alignment horizontal="center" vertical="center" wrapText="1"/>
    </xf>
    <xf numFmtId="0" fontId="5" fillId="3" borderId="50" xfId="2" applyFont="1" applyFill="1" applyBorder="1" applyAlignment="1">
      <alignment vertical="center" wrapText="1"/>
    </xf>
    <xf numFmtId="0" fontId="5" fillId="3" borderId="49" xfId="2" applyFont="1" applyFill="1" applyBorder="1" applyAlignment="1">
      <alignment vertical="center" wrapText="1"/>
    </xf>
    <xf numFmtId="4" fontId="5" fillId="3" borderId="50" xfId="0" applyNumberFormat="1" applyFont="1" applyFill="1" applyBorder="1" applyAlignment="1">
      <alignment horizontal="left" vertical="center" wrapText="1"/>
    </xf>
    <xf numFmtId="4" fontId="5" fillId="3" borderId="49" xfId="0" applyNumberFormat="1" applyFont="1" applyFill="1" applyBorder="1" applyAlignment="1">
      <alignment horizontal="left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left" vertical="center"/>
    </xf>
    <xf numFmtId="0" fontId="6" fillId="3" borderId="36" xfId="0" applyFont="1" applyFill="1" applyBorder="1" applyAlignment="1">
      <alignment horizontal="left" vertical="center"/>
    </xf>
    <xf numFmtId="4" fontId="5" fillId="3" borderId="12" xfId="0" applyNumberFormat="1" applyFont="1" applyFill="1" applyBorder="1" applyAlignment="1">
      <alignment horizontal="center" vertical="center"/>
    </xf>
    <xf numFmtId="4" fontId="5" fillId="3" borderId="14" xfId="0" applyNumberFormat="1" applyFont="1" applyFill="1" applyBorder="1" applyAlignment="1">
      <alignment horizontal="center" vertical="center"/>
    </xf>
    <xf numFmtId="0" fontId="5" fillId="3" borderId="34" xfId="2" applyFont="1" applyFill="1" applyBorder="1" applyAlignment="1">
      <alignment horizontal="center" vertical="center" wrapText="1"/>
    </xf>
    <xf numFmtId="0" fontId="5" fillId="3" borderId="35" xfId="2" applyFont="1" applyFill="1" applyBorder="1" applyAlignment="1">
      <alignment horizontal="center" vertical="center" wrapText="1"/>
    </xf>
    <xf numFmtId="0" fontId="5" fillId="3" borderId="36" xfId="2" applyFont="1" applyFill="1" applyBorder="1" applyAlignment="1">
      <alignment horizontal="center" vertical="center" wrapText="1"/>
    </xf>
    <xf numFmtId="4" fontId="5" fillId="3" borderId="48" xfId="0" applyNumberFormat="1" applyFont="1" applyFill="1" applyBorder="1" applyAlignment="1">
      <alignment horizontal="left" vertical="center" wrapText="1"/>
    </xf>
    <xf numFmtId="4" fontId="5" fillId="3" borderId="47" xfId="0" applyNumberFormat="1" applyFont="1" applyFill="1" applyBorder="1" applyAlignment="1">
      <alignment horizontal="left" vertical="center" wrapText="1"/>
    </xf>
  </cellXfs>
  <cellStyles count="32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Обычный" xfId="0" builtinId="0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 2" xfId="17"/>
    <cellStyle name="Финансовый 3" xfId="18"/>
  </cellStyles>
  <dxfs count="12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AppData/Local/Microsoft/Windows/INetCache/Content.Outlook/RG9DTHZ8/20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55">
          <cell r="J55">
            <v>10996685.039999997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84"/>
  <sheetViews>
    <sheetView tabSelected="1" zoomScale="70" zoomScaleNormal="70" zoomScaleSheetLayoutView="80" workbookViewId="0">
      <pane xSplit="2" topLeftCell="G1" activePane="topRight" state="frozen"/>
      <selection pane="topRight" activeCell="H15" sqref="H15"/>
    </sheetView>
  </sheetViews>
  <sheetFormatPr defaultColWidth="9.109375" defaultRowHeight="15.6" x14ac:dyDescent="0.3"/>
  <cols>
    <col min="1" max="1" width="7.6640625" style="68" customWidth="1"/>
    <col min="2" max="2" width="73.33203125" style="69" customWidth="1"/>
    <col min="3" max="4" width="9.109375" style="30" customWidth="1"/>
    <col min="5" max="5" width="25.5546875" style="30" customWidth="1"/>
    <col min="6" max="6" width="9.109375" style="30" customWidth="1"/>
    <col min="7" max="7" width="15.33203125" style="30" customWidth="1"/>
    <col min="8" max="8" width="10.88671875" style="178" customWidth="1"/>
    <col min="9" max="9" width="20.109375" style="35" customWidth="1"/>
    <col min="10" max="10" width="13.109375" style="30" customWidth="1"/>
    <col min="11" max="11" width="9.109375" style="30" customWidth="1"/>
    <col min="12" max="12" width="17.88671875" style="195" hidden="1" customWidth="1"/>
    <col min="13" max="13" width="19.33203125" style="195" customWidth="1"/>
    <col min="14" max="16384" width="9.109375" style="42"/>
  </cols>
  <sheetData>
    <row r="1" spans="1:14" x14ac:dyDescent="0.3">
      <c r="A1" s="49"/>
      <c r="B1" s="6"/>
      <c r="C1" s="2"/>
      <c r="D1" s="3"/>
      <c r="E1" s="3"/>
      <c r="F1" s="4"/>
      <c r="G1" s="3"/>
      <c r="H1" s="2"/>
      <c r="I1" s="269" t="s">
        <v>3532</v>
      </c>
      <c r="J1" s="3"/>
      <c r="K1" s="3"/>
    </row>
    <row r="2" spans="1:14" x14ac:dyDescent="0.3">
      <c r="A2" s="49"/>
      <c r="B2" s="6"/>
      <c r="C2" s="2"/>
      <c r="D2" s="3"/>
      <c r="E2" s="3"/>
      <c r="F2" s="4"/>
      <c r="G2" s="3"/>
      <c r="H2" s="2"/>
      <c r="I2" s="269" t="s">
        <v>3533</v>
      </c>
      <c r="J2" s="3"/>
      <c r="K2" s="3"/>
    </row>
    <row r="3" spans="1:14" x14ac:dyDescent="0.3">
      <c r="A3" s="49"/>
      <c r="B3" s="6"/>
      <c r="C3" s="2"/>
      <c r="D3" s="3"/>
      <c r="E3" s="3"/>
      <c r="F3" s="4"/>
      <c r="G3" s="3"/>
      <c r="H3" s="2"/>
      <c r="I3" s="269" t="s">
        <v>3600</v>
      </c>
      <c r="J3" s="3"/>
      <c r="K3" s="3"/>
    </row>
    <row r="4" spans="1:14" ht="31.5" customHeight="1" x14ac:dyDescent="0.3">
      <c r="A4" s="289" t="s">
        <v>3523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</row>
    <row r="5" spans="1:14" ht="33" customHeight="1" x14ac:dyDescent="0.3">
      <c r="A5" s="293" t="s">
        <v>3572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</row>
    <row r="6" spans="1:14" ht="24" customHeight="1" x14ac:dyDescent="0.3">
      <c r="A6" s="306" t="s">
        <v>1</v>
      </c>
      <c r="B6" s="307" t="s">
        <v>2</v>
      </c>
      <c r="C6" s="308" t="s">
        <v>3024</v>
      </c>
      <c r="D6" s="308"/>
      <c r="E6" s="309" t="s">
        <v>3025</v>
      </c>
      <c r="F6" s="310" t="s">
        <v>3026</v>
      </c>
      <c r="G6" s="311" t="s">
        <v>3027</v>
      </c>
      <c r="H6" s="312" t="s">
        <v>3028</v>
      </c>
      <c r="I6" s="290" t="s">
        <v>3576</v>
      </c>
      <c r="J6" s="311" t="s">
        <v>3029</v>
      </c>
      <c r="K6" s="311" t="s">
        <v>3030</v>
      </c>
    </row>
    <row r="7" spans="1:14" ht="15" customHeight="1" x14ac:dyDescent="0.3">
      <c r="A7" s="306"/>
      <c r="B7" s="307"/>
      <c r="C7" s="312" t="s">
        <v>3031</v>
      </c>
      <c r="D7" s="311" t="s">
        <v>3032</v>
      </c>
      <c r="E7" s="309"/>
      <c r="F7" s="310"/>
      <c r="G7" s="311"/>
      <c r="H7" s="312"/>
      <c r="I7" s="290"/>
      <c r="J7" s="311"/>
      <c r="K7" s="311"/>
    </row>
    <row r="8" spans="1:14" ht="91.5" customHeight="1" x14ac:dyDescent="0.3">
      <c r="A8" s="306"/>
      <c r="B8" s="307"/>
      <c r="C8" s="312"/>
      <c r="D8" s="311"/>
      <c r="E8" s="309"/>
      <c r="F8" s="310"/>
      <c r="G8" s="311"/>
      <c r="H8" s="312"/>
      <c r="I8" s="290"/>
      <c r="J8" s="311"/>
      <c r="K8" s="311"/>
    </row>
    <row r="9" spans="1:14" ht="18" customHeight="1" x14ac:dyDescent="0.3">
      <c r="A9" s="257"/>
      <c r="B9" s="258"/>
      <c r="C9" s="312"/>
      <c r="D9" s="311"/>
      <c r="E9" s="309"/>
      <c r="F9" s="310"/>
      <c r="G9" s="58" t="s">
        <v>3033</v>
      </c>
      <c r="H9" s="9" t="s">
        <v>3034</v>
      </c>
      <c r="I9" s="261" t="s">
        <v>29</v>
      </c>
      <c r="J9" s="311"/>
      <c r="K9" s="311"/>
    </row>
    <row r="10" spans="1:14" ht="15.75" x14ac:dyDescent="0.25">
      <c r="A10" s="210">
        <v>1</v>
      </c>
      <c r="B10" s="211">
        <v>2</v>
      </c>
      <c r="C10" s="10">
        <v>3</v>
      </c>
      <c r="D10" s="259">
        <v>4</v>
      </c>
      <c r="E10" s="259">
        <v>5</v>
      </c>
      <c r="F10" s="259">
        <v>6</v>
      </c>
      <c r="G10" s="259">
        <v>7</v>
      </c>
      <c r="H10" s="259">
        <v>8</v>
      </c>
      <c r="I10" s="259">
        <v>9</v>
      </c>
      <c r="J10" s="259">
        <v>10</v>
      </c>
      <c r="K10" s="259">
        <v>11</v>
      </c>
    </row>
    <row r="11" spans="1:14" ht="17.25" customHeight="1" x14ac:dyDescent="0.3">
      <c r="A11" s="303" t="s">
        <v>33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14"/>
      <c r="M11" s="314"/>
      <c r="N11" s="314"/>
    </row>
    <row r="12" spans="1:14" ht="17.25" customHeight="1" x14ac:dyDescent="0.3">
      <c r="A12" s="279" t="s">
        <v>34</v>
      </c>
      <c r="B12" s="212"/>
      <c r="C12" s="31"/>
      <c r="D12" s="31"/>
      <c r="E12" s="31"/>
      <c r="F12" s="31"/>
      <c r="G12" s="31"/>
      <c r="H12" s="173"/>
      <c r="I12" s="56"/>
      <c r="J12" s="31"/>
      <c r="K12" s="31"/>
    </row>
    <row r="13" spans="1:14" ht="17.25" customHeight="1" x14ac:dyDescent="0.3">
      <c r="A13" s="15">
        <v>1</v>
      </c>
      <c r="B13" s="20" t="s">
        <v>35</v>
      </c>
      <c r="C13" s="162">
        <v>1967</v>
      </c>
      <c r="D13" s="259"/>
      <c r="E13" s="259" t="s">
        <v>3035</v>
      </c>
      <c r="F13" s="259">
        <v>5</v>
      </c>
      <c r="G13" s="213">
        <v>6245.43</v>
      </c>
      <c r="H13" s="214" t="s">
        <v>3039</v>
      </c>
      <c r="I13" s="273">
        <f>SUMIF('2020'!B:B,B13,'2020'!C:C)+SUMIF('2021'!B:B,B13,'2021'!C:C)+SUMIF('2022'!B:B,B13,'2022'!C:C)</f>
        <v>1410533.58</v>
      </c>
      <c r="J13" s="59">
        <v>44925</v>
      </c>
      <c r="K13" s="213" t="s">
        <v>3118</v>
      </c>
    </row>
    <row r="14" spans="1:14" ht="17.25" customHeight="1" x14ac:dyDescent="0.3">
      <c r="A14" s="15">
        <f t="shared" ref="A14:A45" si="0">A13+1</f>
        <v>2</v>
      </c>
      <c r="B14" s="20" t="s">
        <v>36</v>
      </c>
      <c r="C14" s="162">
        <v>1967</v>
      </c>
      <c r="D14" s="259"/>
      <c r="E14" s="259" t="s">
        <v>3035</v>
      </c>
      <c r="F14" s="259">
        <v>5</v>
      </c>
      <c r="G14" s="213">
        <v>4773.8</v>
      </c>
      <c r="H14" s="214" t="s">
        <v>3040</v>
      </c>
      <c r="I14" s="273">
        <f>SUMIF('2020'!B:B,B14,'2020'!C:C)+SUMIF('2021'!B:B,B14,'2021'!C:C)+SUMIF('2022'!B:B,B14,'2022'!C:C)</f>
        <v>1191050.6599999999</v>
      </c>
      <c r="J14" s="59">
        <v>44925</v>
      </c>
      <c r="K14" s="213" t="s">
        <v>3118</v>
      </c>
    </row>
    <row r="15" spans="1:14" ht="17.25" customHeight="1" x14ac:dyDescent="0.3">
      <c r="A15" s="15">
        <f t="shared" si="0"/>
        <v>3</v>
      </c>
      <c r="B15" s="20" t="s">
        <v>37</v>
      </c>
      <c r="C15" s="162">
        <v>1961</v>
      </c>
      <c r="D15" s="259"/>
      <c r="E15" s="259" t="s">
        <v>3036</v>
      </c>
      <c r="F15" s="259">
        <v>3</v>
      </c>
      <c r="G15" s="213">
        <v>1275.21</v>
      </c>
      <c r="H15" s="214" t="s">
        <v>3041</v>
      </c>
      <c r="I15" s="273">
        <f>SUMIF('2020'!B:B,B15,'2020'!C:C)+SUMIF('2021'!B:B,B15,'2021'!C:C)+SUMIF('2022'!B:B,B15,'2022'!C:C)</f>
        <v>1219795.2</v>
      </c>
      <c r="J15" s="59">
        <v>44925</v>
      </c>
      <c r="K15" s="213" t="s">
        <v>3118</v>
      </c>
    </row>
    <row r="16" spans="1:14" ht="17.25" customHeight="1" x14ac:dyDescent="0.3">
      <c r="A16" s="15">
        <f t="shared" si="0"/>
        <v>4</v>
      </c>
      <c r="B16" s="20" t="s">
        <v>38</v>
      </c>
      <c r="C16" s="162">
        <v>1968</v>
      </c>
      <c r="D16" s="259"/>
      <c r="E16" s="259" t="s">
        <v>3035</v>
      </c>
      <c r="F16" s="259">
        <v>5</v>
      </c>
      <c r="G16" s="213">
        <v>4640.58</v>
      </c>
      <c r="H16" s="214" t="s">
        <v>3042</v>
      </c>
      <c r="I16" s="273">
        <f>SUMIF('2020'!B:B,B16,'2020'!C:C)+SUMIF('2021'!B:B,B16,'2021'!C:C)+SUMIF('2022'!B:B,B16,'2022'!C:C)</f>
        <v>381945.12</v>
      </c>
      <c r="J16" s="59">
        <v>44925</v>
      </c>
      <c r="K16" s="213" t="s">
        <v>3118</v>
      </c>
    </row>
    <row r="17" spans="1:11" ht="17.25" customHeight="1" x14ac:dyDescent="0.3">
      <c r="A17" s="15">
        <f t="shared" si="0"/>
        <v>5</v>
      </c>
      <c r="B17" s="20" t="s">
        <v>39</v>
      </c>
      <c r="C17" s="162">
        <v>1961</v>
      </c>
      <c r="D17" s="259"/>
      <c r="E17" s="259" t="s">
        <v>3036</v>
      </c>
      <c r="F17" s="259">
        <v>3</v>
      </c>
      <c r="G17" s="213">
        <v>1327.86</v>
      </c>
      <c r="H17" s="214" t="s">
        <v>3043</v>
      </c>
      <c r="I17" s="273">
        <f>SUMIF('2020'!B:B,B17,'2020'!C:C)+SUMIF('2021'!B:B,B17,'2021'!C:C)+SUMIF('2022'!B:B,B17,'2022'!C:C)</f>
        <v>892738.8</v>
      </c>
      <c r="J17" s="59">
        <v>44925</v>
      </c>
      <c r="K17" s="213" t="s">
        <v>3118</v>
      </c>
    </row>
    <row r="18" spans="1:11" ht="17.25" customHeight="1" x14ac:dyDescent="0.3">
      <c r="A18" s="15">
        <f t="shared" si="0"/>
        <v>6</v>
      </c>
      <c r="B18" s="20" t="s">
        <v>40</v>
      </c>
      <c r="C18" s="162">
        <v>1970</v>
      </c>
      <c r="D18" s="259"/>
      <c r="E18" s="259" t="s">
        <v>3035</v>
      </c>
      <c r="F18" s="259">
        <v>5</v>
      </c>
      <c r="G18" s="213">
        <v>6275.53</v>
      </c>
      <c r="H18" s="214" t="s">
        <v>3044</v>
      </c>
      <c r="I18" s="273">
        <f>SUMIF('2020'!B:B,B18,'2020'!C:C)+SUMIF('2021'!B:B,B18,'2021'!C:C)+SUMIF('2022'!B:B,B18,'2022'!C:C)</f>
        <v>1410011.58</v>
      </c>
      <c r="J18" s="59">
        <v>44925</v>
      </c>
      <c r="K18" s="213" t="s">
        <v>3118</v>
      </c>
    </row>
    <row r="19" spans="1:11" ht="17.25" customHeight="1" x14ac:dyDescent="0.3">
      <c r="A19" s="15">
        <f t="shared" si="0"/>
        <v>7</v>
      </c>
      <c r="B19" s="20" t="s">
        <v>41</v>
      </c>
      <c r="C19" s="162">
        <v>1971</v>
      </c>
      <c r="D19" s="259"/>
      <c r="E19" s="259" t="s">
        <v>3035</v>
      </c>
      <c r="F19" s="259">
        <v>5</v>
      </c>
      <c r="G19" s="213">
        <v>6319.37</v>
      </c>
      <c r="H19" s="214" t="s">
        <v>3045</v>
      </c>
      <c r="I19" s="273">
        <f>SUMIF('2020'!B:B,B19,'2020'!C:C)+SUMIF('2021'!B:B,B19,'2021'!C:C)+SUMIF('2022'!B:B,B19,'2022'!C:C)</f>
        <v>845175.97</v>
      </c>
      <c r="J19" s="59">
        <v>44925</v>
      </c>
      <c r="K19" s="213" t="s">
        <v>3118</v>
      </c>
    </row>
    <row r="20" spans="1:11" ht="17.25" customHeight="1" x14ac:dyDescent="0.3">
      <c r="A20" s="15">
        <f t="shared" si="0"/>
        <v>8</v>
      </c>
      <c r="B20" s="20" t="s">
        <v>42</v>
      </c>
      <c r="C20" s="162">
        <v>1940</v>
      </c>
      <c r="D20" s="259"/>
      <c r="E20" s="259" t="s">
        <v>3035</v>
      </c>
      <c r="F20" s="259">
        <v>4</v>
      </c>
      <c r="G20" s="213">
        <v>3813.2</v>
      </c>
      <c r="H20" s="214" t="s">
        <v>3046</v>
      </c>
      <c r="I20" s="273">
        <f>SUMIF('2020'!B:B,B20,'2020'!C:C)+SUMIF('2021'!B:B,B20,'2021'!C:C)+SUMIF('2022'!B:B,B20,'2022'!C:C)</f>
        <v>32437199.949999999</v>
      </c>
      <c r="J20" s="59">
        <v>44925</v>
      </c>
      <c r="K20" s="213" t="s">
        <v>3118</v>
      </c>
    </row>
    <row r="21" spans="1:11" ht="17.25" customHeight="1" x14ac:dyDescent="0.3">
      <c r="A21" s="15">
        <f t="shared" si="0"/>
        <v>9</v>
      </c>
      <c r="B21" s="20" t="s">
        <v>43</v>
      </c>
      <c r="C21" s="162">
        <v>1954</v>
      </c>
      <c r="D21" s="259"/>
      <c r="E21" s="259" t="s">
        <v>3036</v>
      </c>
      <c r="F21" s="259">
        <v>3</v>
      </c>
      <c r="G21" s="213">
        <v>7964.5</v>
      </c>
      <c r="H21" s="214" t="s">
        <v>3047</v>
      </c>
      <c r="I21" s="273">
        <f>SUMIF('2020'!B:B,B21,'2020'!C:C)+SUMIF('2021'!B:B,B21,'2021'!C:C)+SUMIF('2022'!B:B,B21,'2022'!C:C)</f>
        <v>6713952.0600000005</v>
      </c>
      <c r="J21" s="59">
        <v>44925</v>
      </c>
      <c r="K21" s="213" t="s">
        <v>3118</v>
      </c>
    </row>
    <row r="22" spans="1:11" ht="17.25" customHeight="1" x14ac:dyDescent="0.3">
      <c r="A22" s="15">
        <f t="shared" si="0"/>
        <v>10</v>
      </c>
      <c r="B22" s="20" t="s">
        <v>44</v>
      </c>
      <c r="C22" s="162">
        <v>1959</v>
      </c>
      <c r="D22" s="259"/>
      <c r="E22" s="259" t="s">
        <v>3036</v>
      </c>
      <c r="F22" s="67" t="s">
        <v>3038</v>
      </c>
      <c r="G22" s="213">
        <v>4251.54</v>
      </c>
      <c r="H22" s="214" t="s">
        <v>3048</v>
      </c>
      <c r="I22" s="273">
        <f>SUMIF('2020'!B:B,B22,'2020'!C:C)+SUMIF('2021'!B:B,B22,'2021'!C:C)+SUMIF('2022'!B:B,B22,'2022'!C:C)</f>
        <v>2176677.6</v>
      </c>
      <c r="J22" s="59">
        <v>44925</v>
      </c>
      <c r="K22" s="213" t="s">
        <v>3118</v>
      </c>
    </row>
    <row r="23" spans="1:11" ht="17.25" customHeight="1" x14ac:dyDescent="0.3">
      <c r="A23" s="15">
        <f t="shared" si="0"/>
        <v>11</v>
      </c>
      <c r="B23" s="20" t="s">
        <v>45</v>
      </c>
      <c r="C23" s="162">
        <v>1958</v>
      </c>
      <c r="D23" s="259"/>
      <c r="E23" s="259" t="s">
        <v>3036</v>
      </c>
      <c r="F23" s="259">
        <v>5</v>
      </c>
      <c r="G23" s="213">
        <v>1277.93</v>
      </c>
      <c r="H23" s="214" t="s">
        <v>3049</v>
      </c>
      <c r="I23" s="273">
        <f>SUMIF('2020'!B:B,B23,'2020'!C:C)+SUMIF('2021'!B:B,B23,'2021'!C:C)+SUMIF('2022'!B:B,B23,'2022'!C:C)</f>
        <v>164288.45000000001</v>
      </c>
      <c r="J23" s="59">
        <v>44925</v>
      </c>
      <c r="K23" s="213" t="s">
        <v>3118</v>
      </c>
    </row>
    <row r="24" spans="1:11" ht="17.25" customHeight="1" x14ac:dyDescent="0.3">
      <c r="A24" s="15">
        <f t="shared" si="0"/>
        <v>12</v>
      </c>
      <c r="B24" s="20" t="s">
        <v>46</v>
      </c>
      <c r="C24" s="162">
        <v>1967</v>
      </c>
      <c r="D24" s="259"/>
      <c r="E24" s="259" t="s">
        <v>3035</v>
      </c>
      <c r="F24" s="259">
        <v>4</v>
      </c>
      <c r="G24" s="213">
        <v>2820.7</v>
      </c>
      <c r="H24" s="214" t="s">
        <v>3050</v>
      </c>
      <c r="I24" s="273">
        <f>SUMIF('2020'!B:B,B24,'2020'!C:C)+SUMIF('2021'!B:B,B24,'2021'!C:C)+SUMIF('2022'!B:B,B24,'2022'!C:C)</f>
        <v>130000</v>
      </c>
      <c r="J24" s="59">
        <v>44925</v>
      </c>
      <c r="K24" s="213" t="s">
        <v>3118</v>
      </c>
    </row>
    <row r="25" spans="1:11" ht="17.25" customHeight="1" x14ac:dyDescent="0.3">
      <c r="A25" s="15">
        <f t="shared" si="0"/>
        <v>13</v>
      </c>
      <c r="B25" s="20" t="s">
        <v>47</v>
      </c>
      <c r="C25" s="162">
        <v>1955</v>
      </c>
      <c r="D25" s="259"/>
      <c r="E25" s="259" t="s">
        <v>3035</v>
      </c>
      <c r="F25" s="67" t="s">
        <v>3038</v>
      </c>
      <c r="G25" s="213">
        <v>4323.07</v>
      </c>
      <c r="H25" s="214" t="s">
        <v>3051</v>
      </c>
      <c r="I25" s="273">
        <f>SUMIF('2020'!B:B,B25,'2020'!C:C)+SUMIF('2021'!B:B,B25,'2021'!C:C)+SUMIF('2022'!B:B,B25,'2022'!C:C)</f>
        <v>1691902.8</v>
      </c>
      <c r="J25" s="59">
        <v>44925</v>
      </c>
      <c r="K25" s="213" t="s">
        <v>3118</v>
      </c>
    </row>
    <row r="26" spans="1:11" ht="17.25" customHeight="1" x14ac:dyDescent="0.3">
      <c r="A26" s="15">
        <f t="shared" si="0"/>
        <v>14</v>
      </c>
      <c r="B26" s="20" t="s">
        <v>48</v>
      </c>
      <c r="C26" s="162">
        <v>1953</v>
      </c>
      <c r="D26" s="259"/>
      <c r="E26" s="259" t="s">
        <v>3036</v>
      </c>
      <c r="F26" s="259">
        <v>2</v>
      </c>
      <c r="G26" s="213">
        <v>1036.8699999999999</v>
      </c>
      <c r="H26" s="214" t="s">
        <v>3043</v>
      </c>
      <c r="I26" s="273">
        <f>SUMIF('2020'!B:B,B26,'2020'!C:C)+SUMIF('2021'!B:B,B26,'2021'!C:C)+SUMIF('2022'!B:B,B26,'2022'!C:C)</f>
        <v>130000</v>
      </c>
      <c r="J26" s="59">
        <v>44925</v>
      </c>
      <c r="K26" s="213" t="s">
        <v>3118</v>
      </c>
    </row>
    <row r="27" spans="1:11" ht="17.25" customHeight="1" x14ac:dyDescent="0.3">
      <c r="A27" s="15">
        <f t="shared" si="0"/>
        <v>15</v>
      </c>
      <c r="B27" s="20" t="s">
        <v>49</v>
      </c>
      <c r="C27" s="162">
        <v>1958</v>
      </c>
      <c r="D27" s="259"/>
      <c r="E27" s="259" t="s">
        <v>3036</v>
      </c>
      <c r="F27" s="259">
        <v>3</v>
      </c>
      <c r="G27" s="213">
        <v>2291.92</v>
      </c>
      <c r="H27" s="214" t="s">
        <v>3052</v>
      </c>
      <c r="I27" s="273">
        <f>SUMIF('2020'!B:B,B27,'2020'!C:C)+SUMIF('2021'!B:B,B27,'2021'!C:C)+SUMIF('2022'!B:B,B27,'2022'!C:C)</f>
        <v>546894.39</v>
      </c>
      <c r="J27" s="59">
        <v>44925</v>
      </c>
      <c r="K27" s="213" t="s">
        <v>3118</v>
      </c>
    </row>
    <row r="28" spans="1:11" ht="17.25" customHeight="1" x14ac:dyDescent="0.3">
      <c r="A28" s="15">
        <f t="shared" si="0"/>
        <v>16</v>
      </c>
      <c r="B28" s="20" t="s">
        <v>50</v>
      </c>
      <c r="C28" s="162">
        <v>1958</v>
      </c>
      <c r="D28" s="259"/>
      <c r="E28" s="259" t="s">
        <v>3036</v>
      </c>
      <c r="F28" s="259">
        <v>3</v>
      </c>
      <c r="G28" s="213">
        <v>1480.34</v>
      </c>
      <c r="H28" s="214" t="s">
        <v>3053</v>
      </c>
      <c r="I28" s="273">
        <f>SUMIF('2020'!B:B,B28,'2020'!C:C)+SUMIF('2021'!B:B,B28,'2021'!C:C)+SUMIF('2022'!B:B,B28,'2022'!C:C)</f>
        <v>1060922.3999999999</v>
      </c>
      <c r="J28" s="59">
        <v>44925</v>
      </c>
      <c r="K28" s="213" t="s">
        <v>3118</v>
      </c>
    </row>
    <row r="29" spans="1:11" ht="17.25" customHeight="1" x14ac:dyDescent="0.3">
      <c r="A29" s="15">
        <f t="shared" si="0"/>
        <v>17</v>
      </c>
      <c r="B29" s="20" t="s">
        <v>51</v>
      </c>
      <c r="C29" s="162">
        <v>1958</v>
      </c>
      <c r="D29" s="259"/>
      <c r="E29" s="259" t="s">
        <v>3036</v>
      </c>
      <c r="F29" s="259">
        <v>3</v>
      </c>
      <c r="G29" s="213">
        <v>3128.07</v>
      </c>
      <c r="H29" s="214" t="s">
        <v>3054</v>
      </c>
      <c r="I29" s="273">
        <f>SUMIF('2020'!B:B,B29,'2020'!C:C)+SUMIF('2021'!B:B,B29,'2021'!C:C)+SUMIF('2022'!B:B,B29,'2022'!C:C)</f>
        <v>1599806.4</v>
      </c>
      <c r="J29" s="59">
        <v>44925</v>
      </c>
      <c r="K29" s="213" t="s">
        <v>3118</v>
      </c>
    </row>
    <row r="30" spans="1:11" ht="17.25" customHeight="1" x14ac:dyDescent="0.3">
      <c r="A30" s="15">
        <f t="shared" si="0"/>
        <v>18</v>
      </c>
      <c r="B30" s="20" t="s">
        <v>52</v>
      </c>
      <c r="C30" s="162">
        <v>1958</v>
      </c>
      <c r="D30" s="259"/>
      <c r="E30" s="259" t="s">
        <v>3036</v>
      </c>
      <c r="F30" s="259">
        <v>3</v>
      </c>
      <c r="G30" s="213">
        <v>1824</v>
      </c>
      <c r="H30" s="214" t="s">
        <v>3055</v>
      </c>
      <c r="I30" s="273">
        <f>SUMIF('2020'!B:B,B30,'2020'!C:C)+SUMIF('2021'!B:B,B30,'2021'!C:C)+SUMIF('2022'!B:B,B30,'2022'!C:C)</f>
        <v>5295959.0199999996</v>
      </c>
      <c r="J30" s="59">
        <v>44925</v>
      </c>
      <c r="K30" s="213" t="s">
        <v>3118</v>
      </c>
    </row>
    <row r="31" spans="1:11" ht="17.25" customHeight="1" x14ac:dyDescent="0.3">
      <c r="A31" s="15">
        <f t="shared" si="0"/>
        <v>19</v>
      </c>
      <c r="B31" s="20" t="s">
        <v>53</v>
      </c>
      <c r="C31" s="162">
        <v>1957</v>
      </c>
      <c r="D31" s="259"/>
      <c r="E31" s="259" t="s">
        <v>3036</v>
      </c>
      <c r="F31" s="259">
        <v>3</v>
      </c>
      <c r="G31" s="213">
        <v>2242.42</v>
      </c>
      <c r="H31" s="214" t="s">
        <v>3055</v>
      </c>
      <c r="I31" s="273">
        <f>SUMIF('2020'!B:B,B31,'2020'!C:C)+SUMIF('2021'!B:B,B31,'2021'!C:C)+SUMIF('2022'!B:B,B31,'2022'!C:C)</f>
        <v>1285725.53</v>
      </c>
      <c r="J31" s="59">
        <v>44925</v>
      </c>
      <c r="K31" s="213" t="s">
        <v>3118</v>
      </c>
    </row>
    <row r="32" spans="1:11" ht="17.25" customHeight="1" x14ac:dyDescent="0.3">
      <c r="A32" s="15">
        <f t="shared" si="0"/>
        <v>20</v>
      </c>
      <c r="B32" s="20" t="s">
        <v>54</v>
      </c>
      <c r="C32" s="162">
        <v>1957</v>
      </c>
      <c r="D32" s="259"/>
      <c r="E32" s="259" t="s">
        <v>3036</v>
      </c>
      <c r="F32" s="259">
        <v>3</v>
      </c>
      <c r="G32" s="213">
        <v>2134.85</v>
      </c>
      <c r="H32" s="214" t="s">
        <v>3056</v>
      </c>
      <c r="I32" s="273">
        <f>SUMIF('2020'!B:B,B32,'2020'!C:C)+SUMIF('2021'!B:B,B32,'2021'!C:C)+SUMIF('2022'!B:B,B32,'2022'!C:C)</f>
        <v>4934746.58</v>
      </c>
      <c r="J32" s="59">
        <v>44925</v>
      </c>
      <c r="K32" s="213" t="s">
        <v>3118</v>
      </c>
    </row>
    <row r="33" spans="1:11" ht="17.25" customHeight="1" x14ac:dyDescent="0.3">
      <c r="A33" s="15">
        <f t="shared" si="0"/>
        <v>21</v>
      </c>
      <c r="B33" s="20" t="s">
        <v>55</v>
      </c>
      <c r="C33" s="162">
        <v>1956</v>
      </c>
      <c r="D33" s="259"/>
      <c r="E33" s="259" t="s">
        <v>3036</v>
      </c>
      <c r="F33" s="259">
        <v>3</v>
      </c>
      <c r="G33" s="213">
        <v>2071.09</v>
      </c>
      <c r="H33" s="214" t="s">
        <v>3057</v>
      </c>
      <c r="I33" s="273">
        <f>SUMIF('2020'!B:B,B33,'2020'!C:C)+SUMIF('2021'!B:B,B33,'2021'!C:C)+SUMIF('2022'!B:B,B33,'2022'!C:C)</f>
        <v>3212533.48</v>
      </c>
      <c r="J33" s="59">
        <v>44925</v>
      </c>
      <c r="K33" s="213" t="s">
        <v>3118</v>
      </c>
    </row>
    <row r="34" spans="1:11" ht="17.25" customHeight="1" x14ac:dyDescent="0.3">
      <c r="A34" s="15">
        <f t="shared" si="0"/>
        <v>22</v>
      </c>
      <c r="B34" s="20" t="s">
        <v>56</v>
      </c>
      <c r="C34" s="162">
        <v>1957</v>
      </c>
      <c r="D34" s="259"/>
      <c r="E34" s="259" t="s">
        <v>3036</v>
      </c>
      <c r="F34" s="259">
        <v>3</v>
      </c>
      <c r="G34" s="213">
        <v>2454.8200000000002</v>
      </c>
      <c r="H34" s="214" t="s">
        <v>3058</v>
      </c>
      <c r="I34" s="273">
        <f>SUMIF('2020'!B:B,B34,'2020'!C:C)+SUMIF('2021'!B:B,B34,'2021'!C:C)+SUMIF('2022'!B:B,B34,'2022'!C:C)</f>
        <v>1439947.2</v>
      </c>
      <c r="J34" s="59">
        <v>44925</v>
      </c>
      <c r="K34" s="213" t="s">
        <v>3118</v>
      </c>
    </row>
    <row r="35" spans="1:11" ht="17.25" customHeight="1" x14ac:dyDescent="0.3">
      <c r="A35" s="15">
        <f t="shared" si="0"/>
        <v>23</v>
      </c>
      <c r="B35" s="20" t="s">
        <v>57</v>
      </c>
      <c r="C35" s="162">
        <v>1956</v>
      </c>
      <c r="D35" s="259"/>
      <c r="E35" s="259" t="s">
        <v>3036</v>
      </c>
      <c r="F35" s="259">
        <v>3</v>
      </c>
      <c r="G35" s="213">
        <v>1727.21</v>
      </c>
      <c r="H35" s="214" t="s">
        <v>3059</v>
      </c>
      <c r="I35" s="273">
        <f>SUMIF('2020'!B:B,B35,'2020'!C:C)+SUMIF('2021'!B:B,B35,'2021'!C:C)+SUMIF('2022'!B:B,B35,'2022'!C:C)</f>
        <v>216696.98</v>
      </c>
      <c r="J35" s="59">
        <v>44925</v>
      </c>
      <c r="K35" s="213" t="s">
        <v>3118</v>
      </c>
    </row>
    <row r="36" spans="1:11" ht="17.25" customHeight="1" x14ac:dyDescent="0.3">
      <c r="A36" s="15">
        <f t="shared" si="0"/>
        <v>24</v>
      </c>
      <c r="B36" s="20" t="s">
        <v>58</v>
      </c>
      <c r="C36" s="162">
        <v>1956</v>
      </c>
      <c r="D36" s="259"/>
      <c r="E36" s="259" t="s">
        <v>3036</v>
      </c>
      <c r="F36" s="259">
        <v>3</v>
      </c>
      <c r="G36" s="213">
        <v>1708.53</v>
      </c>
      <c r="H36" s="214" t="s">
        <v>3060</v>
      </c>
      <c r="I36" s="273">
        <f>SUMIF('2020'!B:B,B36,'2020'!C:C)+SUMIF('2021'!B:B,B36,'2021'!C:C)+SUMIF('2022'!B:B,B36,'2022'!C:C)</f>
        <v>858954</v>
      </c>
      <c r="J36" s="59">
        <v>44925</v>
      </c>
      <c r="K36" s="213" t="s">
        <v>3118</v>
      </c>
    </row>
    <row r="37" spans="1:11" ht="17.25" customHeight="1" x14ac:dyDescent="0.3">
      <c r="A37" s="15">
        <f t="shared" si="0"/>
        <v>25</v>
      </c>
      <c r="B37" s="20" t="s">
        <v>59</v>
      </c>
      <c r="C37" s="162">
        <v>1957</v>
      </c>
      <c r="D37" s="259"/>
      <c r="E37" s="259" t="s">
        <v>3036</v>
      </c>
      <c r="F37" s="259">
        <v>3</v>
      </c>
      <c r="G37" s="213">
        <v>2818.81</v>
      </c>
      <c r="H37" s="214" t="s">
        <v>3061</v>
      </c>
      <c r="I37" s="273">
        <f>SUMIF('2020'!B:B,B37,'2020'!C:C)+SUMIF('2021'!B:B,B37,'2021'!C:C)+SUMIF('2022'!B:B,B37,'2022'!C:C)</f>
        <v>140466.26</v>
      </c>
      <c r="J37" s="59">
        <v>44925</v>
      </c>
      <c r="K37" s="213" t="s">
        <v>3118</v>
      </c>
    </row>
    <row r="38" spans="1:11" ht="17.25" customHeight="1" x14ac:dyDescent="0.3">
      <c r="A38" s="15">
        <f t="shared" si="0"/>
        <v>26</v>
      </c>
      <c r="B38" s="20" t="s">
        <v>60</v>
      </c>
      <c r="C38" s="162">
        <v>1956</v>
      </c>
      <c r="D38" s="259"/>
      <c r="E38" s="259" t="s">
        <v>3036</v>
      </c>
      <c r="F38" s="259">
        <v>3</v>
      </c>
      <c r="G38" s="213">
        <v>1746.08</v>
      </c>
      <c r="H38" s="214" t="s">
        <v>3058</v>
      </c>
      <c r="I38" s="273">
        <f>SUMIF('2020'!B:B,B38,'2020'!C:C)+SUMIF('2021'!B:B,B38,'2021'!C:C)+SUMIF('2022'!B:B,B38,'2022'!C:C)</f>
        <v>119086.91</v>
      </c>
      <c r="J38" s="59">
        <v>44925</v>
      </c>
      <c r="K38" s="213" t="s">
        <v>3118</v>
      </c>
    </row>
    <row r="39" spans="1:11" ht="17.25" customHeight="1" x14ac:dyDescent="0.3">
      <c r="A39" s="15">
        <f t="shared" si="0"/>
        <v>27</v>
      </c>
      <c r="B39" s="20" t="s">
        <v>61</v>
      </c>
      <c r="C39" s="162">
        <v>1957</v>
      </c>
      <c r="D39" s="259"/>
      <c r="E39" s="259" t="s">
        <v>3036</v>
      </c>
      <c r="F39" s="259">
        <v>3</v>
      </c>
      <c r="G39" s="213">
        <v>9796.26</v>
      </c>
      <c r="H39" s="214" t="s">
        <v>3062</v>
      </c>
      <c r="I39" s="273">
        <f>SUMIF('2020'!B:B,B39,'2020'!C:C)+SUMIF('2021'!B:B,B39,'2021'!C:C)+SUMIF('2022'!B:B,B39,'2022'!C:C)</f>
        <v>499768.42</v>
      </c>
      <c r="J39" s="59">
        <v>44925</v>
      </c>
      <c r="K39" s="213" t="s">
        <v>3118</v>
      </c>
    </row>
    <row r="40" spans="1:11" ht="17.25" customHeight="1" x14ac:dyDescent="0.3">
      <c r="A40" s="15">
        <f t="shared" si="0"/>
        <v>28</v>
      </c>
      <c r="B40" s="20" t="s">
        <v>62</v>
      </c>
      <c r="C40" s="162">
        <v>1956</v>
      </c>
      <c r="D40" s="259"/>
      <c r="E40" s="259" t="s">
        <v>3036</v>
      </c>
      <c r="F40" s="259">
        <v>2</v>
      </c>
      <c r="G40" s="213">
        <v>705.07</v>
      </c>
      <c r="H40" s="214" t="s">
        <v>3043</v>
      </c>
      <c r="I40" s="273">
        <f>SUMIF('2020'!B:B,B40,'2020'!C:C)+SUMIF('2021'!B:B,B40,'2021'!C:C)+SUMIF('2022'!B:B,B40,'2022'!C:C)</f>
        <v>109846.5</v>
      </c>
      <c r="J40" s="59">
        <v>44925</v>
      </c>
      <c r="K40" s="213" t="s">
        <v>3118</v>
      </c>
    </row>
    <row r="41" spans="1:11" ht="17.25" customHeight="1" x14ac:dyDescent="0.3">
      <c r="A41" s="15">
        <f t="shared" si="0"/>
        <v>29</v>
      </c>
      <c r="B41" s="20" t="s">
        <v>63</v>
      </c>
      <c r="C41" s="162">
        <v>1956</v>
      </c>
      <c r="D41" s="259"/>
      <c r="E41" s="259" t="s">
        <v>3036</v>
      </c>
      <c r="F41" s="259">
        <v>3</v>
      </c>
      <c r="G41" s="213">
        <v>5639.8</v>
      </c>
      <c r="H41" s="214" t="s">
        <v>3063</v>
      </c>
      <c r="I41" s="273">
        <f>SUMIF('2020'!B:B,B41,'2020'!C:C)+SUMIF('2021'!B:B,B41,'2021'!C:C)+SUMIF('2022'!B:B,B41,'2022'!C:C)</f>
        <v>258196.85</v>
      </c>
      <c r="J41" s="59">
        <v>44925</v>
      </c>
      <c r="K41" s="213" t="s">
        <v>3118</v>
      </c>
    </row>
    <row r="42" spans="1:11" ht="17.25" customHeight="1" x14ac:dyDescent="0.3">
      <c r="A42" s="15">
        <f t="shared" si="0"/>
        <v>30</v>
      </c>
      <c r="B42" s="20" t="s">
        <v>64</v>
      </c>
      <c r="C42" s="162">
        <v>1956</v>
      </c>
      <c r="D42" s="259"/>
      <c r="E42" s="259" t="s">
        <v>3036</v>
      </c>
      <c r="F42" s="259">
        <v>2</v>
      </c>
      <c r="G42" s="213">
        <v>1120.5999999999999</v>
      </c>
      <c r="H42" s="214" t="s">
        <v>3064</v>
      </c>
      <c r="I42" s="273">
        <f>SUMIF('2020'!B:B,B42,'2020'!C:C)+SUMIF('2021'!B:B,B42,'2021'!C:C)+SUMIF('2022'!B:B,B42,'2022'!C:C)</f>
        <v>114554.52</v>
      </c>
      <c r="J42" s="59">
        <v>44925</v>
      </c>
      <c r="K42" s="213" t="s">
        <v>3118</v>
      </c>
    </row>
    <row r="43" spans="1:11" ht="17.25" customHeight="1" x14ac:dyDescent="0.3">
      <c r="A43" s="15">
        <f t="shared" si="0"/>
        <v>31</v>
      </c>
      <c r="B43" s="20" t="s">
        <v>65</v>
      </c>
      <c r="C43" s="162">
        <v>1975</v>
      </c>
      <c r="D43" s="259"/>
      <c r="E43" s="259" t="s">
        <v>3035</v>
      </c>
      <c r="F43" s="259">
        <v>5</v>
      </c>
      <c r="G43" s="213">
        <v>5363.56</v>
      </c>
      <c r="H43" s="214" t="s">
        <v>3065</v>
      </c>
      <c r="I43" s="273">
        <f>SUMIF('2020'!B:B,B43,'2020'!C:C)+SUMIF('2021'!B:B,B43,'2021'!C:C)+SUMIF('2022'!B:B,B43,'2022'!C:C)</f>
        <v>130000</v>
      </c>
      <c r="J43" s="59">
        <v>44925</v>
      </c>
      <c r="K43" s="213" t="s">
        <v>3118</v>
      </c>
    </row>
    <row r="44" spans="1:11" ht="17.25" customHeight="1" x14ac:dyDescent="0.3">
      <c r="A44" s="15">
        <f t="shared" si="0"/>
        <v>32</v>
      </c>
      <c r="B44" s="20" t="s">
        <v>66</v>
      </c>
      <c r="C44" s="162">
        <v>1974</v>
      </c>
      <c r="D44" s="259"/>
      <c r="E44" s="259" t="s">
        <v>3035</v>
      </c>
      <c r="F44" s="259">
        <v>5</v>
      </c>
      <c r="G44" s="213">
        <v>6066.74</v>
      </c>
      <c r="H44" s="214" t="s">
        <v>3066</v>
      </c>
      <c r="I44" s="273">
        <f>SUMIF('2020'!B:B,B44,'2020'!C:C)+SUMIF('2021'!B:B,B44,'2021'!C:C)+SUMIF('2022'!B:B,B44,'2022'!C:C)</f>
        <v>562550.81000000006</v>
      </c>
      <c r="J44" s="59">
        <v>44925</v>
      </c>
      <c r="K44" s="213" t="s">
        <v>3118</v>
      </c>
    </row>
    <row r="45" spans="1:11" ht="17.25" customHeight="1" x14ac:dyDescent="0.3">
      <c r="A45" s="15">
        <f t="shared" si="0"/>
        <v>33</v>
      </c>
      <c r="B45" s="20" t="s">
        <v>67</v>
      </c>
      <c r="C45" s="162">
        <v>1977</v>
      </c>
      <c r="D45" s="259"/>
      <c r="E45" s="259" t="s">
        <v>3035</v>
      </c>
      <c r="F45" s="259">
        <v>5</v>
      </c>
      <c r="G45" s="213">
        <v>6174.18</v>
      </c>
      <c r="H45" s="214" t="s">
        <v>3067</v>
      </c>
      <c r="I45" s="273">
        <f>SUMIF('2020'!B:B,B45,'2020'!C:C)+SUMIF('2021'!B:B,B45,'2021'!C:C)+SUMIF('2022'!B:B,B45,'2022'!C:C)</f>
        <v>449891.2</v>
      </c>
      <c r="J45" s="59">
        <v>44925</v>
      </c>
      <c r="K45" s="213" t="s">
        <v>3118</v>
      </c>
    </row>
    <row r="46" spans="1:11" ht="17.25" customHeight="1" x14ac:dyDescent="0.3">
      <c r="A46" s="15">
        <f t="shared" ref="A46:A77" si="1">A45+1</f>
        <v>34</v>
      </c>
      <c r="B46" s="20" t="s">
        <v>68</v>
      </c>
      <c r="C46" s="162">
        <v>1976</v>
      </c>
      <c r="D46" s="259"/>
      <c r="E46" s="259" t="s">
        <v>3035</v>
      </c>
      <c r="F46" s="259">
        <v>5</v>
      </c>
      <c r="G46" s="213">
        <v>6323.96</v>
      </c>
      <c r="H46" s="214" t="s">
        <v>3068</v>
      </c>
      <c r="I46" s="273">
        <f>SUMIF('2020'!B:B,B46,'2020'!C:C)+SUMIF('2021'!B:B,B46,'2021'!C:C)+SUMIF('2022'!B:B,B46,'2022'!C:C)</f>
        <v>130000</v>
      </c>
      <c r="J46" s="59">
        <v>44925</v>
      </c>
      <c r="K46" s="213" t="s">
        <v>3118</v>
      </c>
    </row>
    <row r="47" spans="1:11" ht="17.25" customHeight="1" x14ac:dyDescent="0.3">
      <c r="A47" s="15">
        <f t="shared" si="1"/>
        <v>35</v>
      </c>
      <c r="B47" s="20" t="s">
        <v>69</v>
      </c>
      <c r="C47" s="162">
        <v>1955</v>
      </c>
      <c r="D47" s="259"/>
      <c r="E47" s="259" t="s">
        <v>3036</v>
      </c>
      <c r="F47" s="259">
        <v>3</v>
      </c>
      <c r="G47" s="213">
        <v>1793.23</v>
      </c>
      <c r="H47" s="214" t="s">
        <v>3069</v>
      </c>
      <c r="I47" s="273">
        <f>SUMIF('2020'!B:B,B47,'2020'!C:C)+SUMIF('2021'!B:B,B47,'2021'!C:C)+SUMIF('2022'!B:B,B47,'2022'!C:C)</f>
        <v>233078.25</v>
      </c>
      <c r="J47" s="59">
        <v>44925</v>
      </c>
      <c r="K47" s="213" t="s">
        <v>3118</v>
      </c>
    </row>
    <row r="48" spans="1:11" ht="17.25" customHeight="1" x14ac:dyDescent="0.3">
      <c r="A48" s="15">
        <f t="shared" si="1"/>
        <v>36</v>
      </c>
      <c r="B48" s="20" t="s">
        <v>70</v>
      </c>
      <c r="C48" s="162">
        <v>1955</v>
      </c>
      <c r="D48" s="259"/>
      <c r="E48" s="259" t="s">
        <v>3036</v>
      </c>
      <c r="F48" s="259">
        <v>3</v>
      </c>
      <c r="G48" s="213">
        <v>1753.35</v>
      </c>
      <c r="H48" s="214" t="s">
        <v>3070</v>
      </c>
      <c r="I48" s="273">
        <f>SUMIF('2020'!B:B,B48,'2020'!C:C)+SUMIF('2021'!B:B,B48,'2021'!C:C)+SUMIF('2022'!B:B,B48,'2022'!C:C)</f>
        <v>115039.02</v>
      </c>
      <c r="J48" s="59">
        <v>44925</v>
      </c>
      <c r="K48" s="213" t="s">
        <v>3118</v>
      </c>
    </row>
    <row r="49" spans="1:11" ht="17.25" customHeight="1" x14ac:dyDescent="0.3">
      <c r="A49" s="15">
        <f t="shared" si="1"/>
        <v>37</v>
      </c>
      <c r="B49" s="20" t="s">
        <v>71</v>
      </c>
      <c r="C49" s="162">
        <v>1955</v>
      </c>
      <c r="D49" s="259"/>
      <c r="E49" s="259" t="s">
        <v>3036</v>
      </c>
      <c r="F49" s="259">
        <v>2</v>
      </c>
      <c r="G49" s="213">
        <v>1035.71</v>
      </c>
      <c r="H49" s="214" t="s">
        <v>3071</v>
      </c>
      <c r="I49" s="273">
        <f>SUMIF('2020'!B:B,B49,'2020'!C:C)+SUMIF('2021'!B:B,B49,'2021'!C:C)+SUMIF('2022'!B:B,B49,'2022'!C:C)</f>
        <v>250963.03</v>
      </c>
      <c r="J49" s="59">
        <v>44925</v>
      </c>
      <c r="K49" s="213" t="s">
        <v>3118</v>
      </c>
    </row>
    <row r="50" spans="1:11" ht="17.25" customHeight="1" x14ac:dyDescent="0.3">
      <c r="A50" s="15">
        <f t="shared" si="1"/>
        <v>38</v>
      </c>
      <c r="B50" s="20" t="s">
        <v>72</v>
      </c>
      <c r="C50" s="162">
        <v>1958</v>
      </c>
      <c r="D50" s="259"/>
      <c r="E50" s="259" t="s">
        <v>3036</v>
      </c>
      <c r="F50" s="259">
        <v>2</v>
      </c>
      <c r="G50" s="213">
        <v>1849.42</v>
      </c>
      <c r="H50" s="214" t="s">
        <v>3072</v>
      </c>
      <c r="I50" s="273">
        <f>SUMIF('2020'!B:B,B50,'2020'!C:C)+SUMIF('2021'!B:B,B50,'2021'!C:C)+SUMIF('2022'!B:B,B50,'2022'!C:C)</f>
        <v>1064914.8</v>
      </c>
      <c r="J50" s="59">
        <v>44925</v>
      </c>
      <c r="K50" s="213" t="s">
        <v>3118</v>
      </c>
    </row>
    <row r="51" spans="1:11" ht="17.25" customHeight="1" x14ac:dyDescent="0.3">
      <c r="A51" s="15">
        <f t="shared" si="1"/>
        <v>39</v>
      </c>
      <c r="B51" s="20" t="s">
        <v>73</v>
      </c>
      <c r="C51" s="162">
        <v>1958</v>
      </c>
      <c r="D51" s="259"/>
      <c r="E51" s="259" t="s">
        <v>3036</v>
      </c>
      <c r="F51" s="259">
        <v>3</v>
      </c>
      <c r="G51" s="213">
        <v>8582.7000000000007</v>
      </c>
      <c r="H51" s="214" t="s">
        <v>3073</v>
      </c>
      <c r="I51" s="273">
        <f>SUMIF('2020'!B:B,B51,'2020'!C:C)+SUMIF('2021'!B:B,B51,'2021'!C:C)+SUMIF('2022'!B:B,B51,'2022'!C:C)</f>
        <v>1071628.8</v>
      </c>
      <c r="J51" s="59">
        <v>44925</v>
      </c>
      <c r="K51" s="213" t="s">
        <v>3118</v>
      </c>
    </row>
    <row r="52" spans="1:11" ht="17.25" customHeight="1" x14ac:dyDescent="0.3">
      <c r="A52" s="15">
        <f t="shared" si="1"/>
        <v>40</v>
      </c>
      <c r="B52" s="20" t="s">
        <v>74</v>
      </c>
      <c r="C52" s="162">
        <v>2009</v>
      </c>
      <c r="D52" s="259"/>
      <c r="E52" s="259" t="s">
        <v>3037</v>
      </c>
      <c r="F52" s="259">
        <v>3</v>
      </c>
      <c r="G52" s="213">
        <v>2738.1</v>
      </c>
      <c r="H52" s="214" t="s">
        <v>3074</v>
      </c>
      <c r="I52" s="273">
        <f>SUMIF('2020'!B:B,B52,'2020'!C:C)+SUMIF('2021'!B:B,B52,'2021'!C:C)+SUMIF('2022'!B:B,B52,'2022'!C:C)</f>
        <v>130000</v>
      </c>
      <c r="J52" s="59">
        <v>44925</v>
      </c>
      <c r="K52" s="213" t="s">
        <v>3118</v>
      </c>
    </row>
    <row r="53" spans="1:11" ht="17.25" customHeight="1" x14ac:dyDescent="0.3">
      <c r="A53" s="15">
        <f t="shared" si="1"/>
        <v>41</v>
      </c>
      <c r="B53" s="20" t="s">
        <v>75</v>
      </c>
      <c r="C53" s="162">
        <v>1959</v>
      </c>
      <c r="D53" s="259"/>
      <c r="E53" s="259" t="s">
        <v>3036</v>
      </c>
      <c r="F53" s="259">
        <v>3</v>
      </c>
      <c r="G53" s="213">
        <v>1482.55</v>
      </c>
      <c r="H53" s="214" t="s">
        <v>3075</v>
      </c>
      <c r="I53" s="273">
        <f>SUMIF('2020'!B:B,B53,'2020'!C:C)+SUMIF('2021'!B:B,B53,'2021'!C:C)+SUMIF('2022'!B:B,B53,'2022'!C:C)</f>
        <v>885310.8</v>
      </c>
      <c r="J53" s="59">
        <v>44925</v>
      </c>
      <c r="K53" s="213" t="s">
        <v>3118</v>
      </c>
    </row>
    <row r="54" spans="1:11" ht="17.25" customHeight="1" x14ac:dyDescent="0.3">
      <c r="A54" s="15">
        <f t="shared" si="1"/>
        <v>42</v>
      </c>
      <c r="B54" s="20" t="s">
        <v>76</v>
      </c>
      <c r="C54" s="162">
        <v>1973</v>
      </c>
      <c r="D54" s="259"/>
      <c r="E54" s="259" t="s">
        <v>3035</v>
      </c>
      <c r="F54" s="259">
        <v>5</v>
      </c>
      <c r="G54" s="213">
        <v>6456.57</v>
      </c>
      <c r="H54" s="214" t="s">
        <v>3076</v>
      </c>
      <c r="I54" s="273">
        <f>SUMIF('2020'!B:B,B54,'2020'!C:C)+SUMIF('2021'!B:B,B54,'2021'!C:C)+SUMIF('2022'!B:B,B54,'2022'!C:C)</f>
        <v>482361.74</v>
      </c>
      <c r="J54" s="59">
        <v>44925</v>
      </c>
      <c r="K54" s="213" t="s">
        <v>3118</v>
      </c>
    </row>
    <row r="55" spans="1:11" ht="17.25" customHeight="1" x14ac:dyDescent="0.3">
      <c r="A55" s="15">
        <f t="shared" si="1"/>
        <v>43</v>
      </c>
      <c r="B55" s="20" t="s">
        <v>77</v>
      </c>
      <c r="C55" s="162">
        <v>1973</v>
      </c>
      <c r="D55" s="259"/>
      <c r="E55" s="259" t="s">
        <v>3035</v>
      </c>
      <c r="F55" s="259">
        <v>5</v>
      </c>
      <c r="G55" s="213">
        <v>4653.6899999999996</v>
      </c>
      <c r="H55" s="214" t="s">
        <v>3077</v>
      </c>
      <c r="I55" s="273">
        <f>SUMIF('2020'!B:B,B55,'2020'!C:C)+SUMIF('2021'!B:B,B55,'2021'!C:C)+SUMIF('2022'!B:B,B55,'2022'!C:C)</f>
        <v>405555.41</v>
      </c>
      <c r="J55" s="59">
        <v>44925</v>
      </c>
      <c r="K55" s="213" t="s">
        <v>3118</v>
      </c>
    </row>
    <row r="56" spans="1:11" ht="17.25" customHeight="1" x14ac:dyDescent="0.3">
      <c r="A56" s="15">
        <f t="shared" si="1"/>
        <v>44</v>
      </c>
      <c r="B56" s="20" t="s">
        <v>78</v>
      </c>
      <c r="C56" s="162">
        <v>1974</v>
      </c>
      <c r="D56" s="259"/>
      <c r="E56" s="259" t="s">
        <v>3035</v>
      </c>
      <c r="F56" s="259">
        <v>5</v>
      </c>
      <c r="G56" s="213">
        <v>6262.92</v>
      </c>
      <c r="H56" s="214" t="s">
        <v>3078</v>
      </c>
      <c r="I56" s="273">
        <f>SUMIF('2020'!B:B,B56,'2020'!C:C)+SUMIF('2021'!B:B,B56,'2021'!C:C)+SUMIF('2022'!B:B,B56,'2022'!C:C)</f>
        <v>450372</v>
      </c>
      <c r="J56" s="59">
        <v>44925</v>
      </c>
      <c r="K56" s="213" t="s">
        <v>3118</v>
      </c>
    </row>
    <row r="57" spans="1:11" ht="17.25" customHeight="1" x14ac:dyDescent="0.3">
      <c r="A57" s="15">
        <f t="shared" si="1"/>
        <v>45</v>
      </c>
      <c r="B57" s="20" t="s">
        <v>79</v>
      </c>
      <c r="C57" s="162">
        <v>1964</v>
      </c>
      <c r="D57" s="259"/>
      <c r="E57" s="259" t="s">
        <v>3035</v>
      </c>
      <c r="F57" s="259">
        <v>5</v>
      </c>
      <c r="G57" s="213">
        <v>3428.43</v>
      </c>
      <c r="H57" s="214" t="s">
        <v>3079</v>
      </c>
      <c r="I57" s="273">
        <f>SUMIF('2020'!B:B,B57,'2020'!C:C)+SUMIF('2021'!B:B,B57,'2021'!C:C)+SUMIF('2022'!B:B,B57,'2022'!C:C)</f>
        <v>10045183.970000001</v>
      </c>
      <c r="J57" s="59">
        <v>44925</v>
      </c>
      <c r="K57" s="213" t="s">
        <v>3118</v>
      </c>
    </row>
    <row r="58" spans="1:11" ht="17.25" customHeight="1" x14ac:dyDescent="0.3">
      <c r="A58" s="15">
        <f t="shared" si="1"/>
        <v>46</v>
      </c>
      <c r="B58" s="20" t="s">
        <v>80</v>
      </c>
      <c r="C58" s="162">
        <v>1957</v>
      </c>
      <c r="D58" s="259"/>
      <c r="E58" s="259" t="s">
        <v>3036</v>
      </c>
      <c r="F58" s="259">
        <v>3</v>
      </c>
      <c r="G58" s="213">
        <v>4667.03</v>
      </c>
      <c r="H58" s="214" t="s">
        <v>3080</v>
      </c>
      <c r="I58" s="273">
        <f>SUMIF('2020'!B:B,B58,'2020'!C:C)+SUMIF('2021'!B:B,B58,'2021'!C:C)+SUMIF('2022'!B:B,B58,'2022'!C:C)</f>
        <v>228108.68</v>
      </c>
      <c r="J58" s="59">
        <v>44925</v>
      </c>
      <c r="K58" s="213" t="s">
        <v>3118</v>
      </c>
    </row>
    <row r="59" spans="1:11" ht="17.25" customHeight="1" x14ac:dyDescent="0.3">
      <c r="A59" s="15">
        <f t="shared" si="1"/>
        <v>47</v>
      </c>
      <c r="B59" s="20" t="s">
        <v>81</v>
      </c>
      <c r="C59" s="162">
        <v>1966</v>
      </c>
      <c r="D59" s="259"/>
      <c r="E59" s="259" t="s">
        <v>3035</v>
      </c>
      <c r="F59" s="259">
        <v>5</v>
      </c>
      <c r="G59" s="213">
        <v>6376.42</v>
      </c>
      <c r="H59" s="214" t="s">
        <v>3081</v>
      </c>
      <c r="I59" s="273">
        <f>SUMIF('2020'!B:B,B59,'2020'!C:C)+SUMIF('2021'!B:B,B59,'2021'!C:C)+SUMIF('2022'!B:B,B59,'2022'!C:C)</f>
        <v>130000</v>
      </c>
      <c r="J59" s="59">
        <v>44925</v>
      </c>
      <c r="K59" s="213" t="s">
        <v>3118</v>
      </c>
    </row>
    <row r="60" spans="1:11" ht="17.25" customHeight="1" x14ac:dyDescent="0.3">
      <c r="A60" s="15">
        <f t="shared" si="1"/>
        <v>48</v>
      </c>
      <c r="B60" s="20" t="s">
        <v>82</v>
      </c>
      <c r="C60" s="162">
        <v>1956</v>
      </c>
      <c r="D60" s="259"/>
      <c r="E60" s="259" t="s">
        <v>3036</v>
      </c>
      <c r="F60" s="259">
        <v>3</v>
      </c>
      <c r="G60" s="213">
        <v>1537.94</v>
      </c>
      <c r="H60" s="214" t="s">
        <v>3082</v>
      </c>
      <c r="I60" s="273">
        <f>SUMIF('2020'!B:B,B60,'2020'!C:C)+SUMIF('2021'!B:B,B60,'2021'!C:C)+SUMIF('2022'!B:B,B60,'2022'!C:C)</f>
        <v>2654460.84</v>
      </c>
      <c r="J60" s="59">
        <v>44925</v>
      </c>
      <c r="K60" s="213" t="s">
        <v>3118</v>
      </c>
    </row>
    <row r="61" spans="1:11" ht="17.25" customHeight="1" x14ac:dyDescent="0.3">
      <c r="A61" s="15">
        <f t="shared" si="1"/>
        <v>49</v>
      </c>
      <c r="B61" s="20" t="s">
        <v>83</v>
      </c>
      <c r="C61" s="162">
        <v>1966</v>
      </c>
      <c r="D61" s="259"/>
      <c r="E61" s="259" t="s">
        <v>3035</v>
      </c>
      <c r="F61" s="259">
        <v>4</v>
      </c>
      <c r="G61" s="213">
        <v>3005.43</v>
      </c>
      <c r="H61" s="214" t="s">
        <v>3083</v>
      </c>
      <c r="I61" s="273">
        <f>SUMIF('2020'!B:B,B61,'2020'!C:C)+SUMIF('2021'!B:B,B61,'2021'!C:C)+SUMIF('2022'!B:B,B61,'2022'!C:C)</f>
        <v>130000</v>
      </c>
      <c r="J61" s="59">
        <v>44925</v>
      </c>
      <c r="K61" s="213" t="s">
        <v>3118</v>
      </c>
    </row>
    <row r="62" spans="1:11" ht="17.25" customHeight="1" x14ac:dyDescent="0.3">
      <c r="A62" s="15">
        <f t="shared" si="1"/>
        <v>50</v>
      </c>
      <c r="B62" s="20" t="s">
        <v>84</v>
      </c>
      <c r="C62" s="162">
        <v>1956</v>
      </c>
      <c r="D62" s="259"/>
      <c r="E62" s="259" t="s">
        <v>3036</v>
      </c>
      <c r="F62" s="259">
        <v>3</v>
      </c>
      <c r="G62" s="213">
        <v>2697.82</v>
      </c>
      <c r="H62" s="214" t="s">
        <v>3084</v>
      </c>
      <c r="I62" s="273">
        <f>SUMIF('2020'!B:B,B62,'2020'!C:C)+SUMIF('2021'!B:B,B62,'2021'!C:C)+SUMIF('2022'!B:B,B62,'2022'!C:C)</f>
        <v>130000</v>
      </c>
      <c r="J62" s="59">
        <v>44925</v>
      </c>
      <c r="K62" s="213" t="s">
        <v>3118</v>
      </c>
    </row>
    <row r="63" spans="1:11" ht="17.25" customHeight="1" x14ac:dyDescent="0.3">
      <c r="A63" s="15">
        <f t="shared" si="1"/>
        <v>51</v>
      </c>
      <c r="B63" s="20" t="s">
        <v>85</v>
      </c>
      <c r="C63" s="162">
        <v>1959</v>
      </c>
      <c r="D63" s="259"/>
      <c r="E63" s="259" t="s">
        <v>3036</v>
      </c>
      <c r="F63" s="259">
        <v>3</v>
      </c>
      <c r="G63" s="213">
        <v>1953.81</v>
      </c>
      <c r="H63" s="214" t="s">
        <v>3085</v>
      </c>
      <c r="I63" s="273">
        <f>SUMIF('2020'!B:B,B63,'2020'!C:C)+SUMIF('2021'!B:B,B63,'2021'!C:C)+SUMIF('2022'!B:B,B63,'2022'!C:C)</f>
        <v>113548.45</v>
      </c>
      <c r="J63" s="59">
        <v>44925</v>
      </c>
      <c r="K63" s="213" t="s">
        <v>3118</v>
      </c>
    </row>
    <row r="64" spans="1:11" ht="17.25" customHeight="1" x14ac:dyDescent="0.3">
      <c r="A64" s="15">
        <f t="shared" si="1"/>
        <v>52</v>
      </c>
      <c r="B64" s="20" t="s">
        <v>86</v>
      </c>
      <c r="C64" s="162">
        <v>1961</v>
      </c>
      <c r="D64" s="259"/>
      <c r="E64" s="259" t="s">
        <v>3036</v>
      </c>
      <c r="F64" s="259">
        <v>3</v>
      </c>
      <c r="G64" s="213">
        <v>1980.37</v>
      </c>
      <c r="H64" s="214" t="s">
        <v>3086</v>
      </c>
      <c r="I64" s="273">
        <f>SUMIF('2020'!B:B,B64,'2020'!C:C)+SUMIF('2021'!B:B,B64,'2021'!C:C)+SUMIF('2022'!B:B,B64,'2022'!C:C)</f>
        <v>115069.38</v>
      </c>
      <c r="J64" s="59">
        <v>44925</v>
      </c>
      <c r="K64" s="213" t="s">
        <v>3118</v>
      </c>
    </row>
    <row r="65" spans="1:11" ht="17.25" customHeight="1" x14ac:dyDescent="0.3">
      <c r="A65" s="15">
        <f t="shared" si="1"/>
        <v>53</v>
      </c>
      <c r="B65" s="20" t="s">
        <v>87</v>
      </c>
      <c r="C65" s="162">
        <v>1959</v>
      </c>
      <c r="D65" s="259"/>
      <c r="E65" s="259" t="s">
        <v>3036</v>
      </c>
      <c r="F65" s="259">
        <v>3</v>
      </c>
      <c r="G65" s="213">
        <v>1960.05</v>
      </c>
      <c r="H65" s="214" t="s">
        <v>3086</v>
      </c>
      <c r="I65" s="273">
        <f>SUMIF('2020'!B:B,B65,'2020'!C:C)+SUMIF('2021'!B:B,B65,'2021'!C:C)+SUMIF('2022'!B:B,B65,'2022'!C:C)</f>
        <v>109946.22</v>
      </c>
      <c r="J65" s="59">
        <v>44925</v>
      </c>
      <c r="K65" s="213" t="s">
        <v>3118</v>
      </c>
    </row>
    <row r="66" spans="1:11" ht="17.25" customHeight="1" x14ac:dyDescent="0.3">
      <c r="A66" s="15">
        <f t="shared" si="1"/>
        <v>54</v>
      </c>
      <c r="B66" s="20" t="s">
        <v>88</v>
      </c>
      <c r="C66" s="162">
        <v>1961</v>
      </c>
      <c r="D66" s="259"/>
      <c r="E66" s="259" t="s">
        <v>3036</v>
      </c>
      <c r="F66" s="259">
        <v>3</v>
      </c>
      <c r="G66" s="213">
        <v>1940</v>
      </c>
      <c r="H66" s="214" t="s">
        <v>3087</v>
      </c>
      <c r="I66" s="273">
        <f>SUMIF('2020'!B:B,B66,'2020'!C:C)+SUMIF('2021'!B:B,B66,'2021'!C:C)+SUMIF('2022'!B:B,B66,'2022'!C:C)</f>
        <v>105599.27</v>
      </c>
      <c r="J66" s="59">
        <v>44925</v>
      </c>
      <c r="K66" s="213" t="s">
        <v>3118</v>
      </c>
    </row>
    <row r="67" spans="1:11" ht="17.25" customHeight="1" x14ac:dyDescent="0.3">
      <c r="A67" s="15">
        <f t="shared" si="1"/>
        <v>55</v>
      </c>
      <c r="B67" s="20" t="s">
        <v>89</v>
      </c>
      <c r="C67" s="162">
        <v>1961</v>
      </c>
      <c r="D67" s="259"/>
      <c r="E67" s="259" t="s">
        <v>3035</v>
      </c>
      <c r="F67" s="259">
        <v>5</v>
      </c>
      <c r="G67" s="213">
        <v>3268.91</v>
      </c>
      <c r="H67" s="214" t="s">
        <v>3088</v>
      </c>
      <c r="I67" s="273">
        <f>SUMIF('2020'!B:B,B67,'2020'!C:C)+SUMIF('2021'!B:B,B67,'2021'!C:C)+SUMIF('2022'!B:B,B67,'2022'!C:C)</f>
        <v>149171.45000000001</v>
      </c>
      <c r="J67" s="59">
        <v>44925</v>
      </c>
      <c r="K67" s="213" t="s">
        <v>3118</v>
      </c>
    </row>
    <row r="68" spans="1:11" ht="17.25" customHeight="1" x14ac:dyDescent="0.3">
      <c r="A68" s="15">
        <f t="shared" si="1"/>
        <v>56</v>
      </c>
      <c r="B68" s="20" t="s">
        <v>90</v>
      </c>
      <c r="C68" s="162">
        <v>1963</v>
      </c>
      <c r="D68" s="259"/>
      <c r="E68" s="259" t="s">
        <v>3035</v>
      </c>
      <c r="F68" s="259">
        <v>5</v>
      </c>
      <c r="G68" s="213">
        <v>2686.21</v>
      </c>
      <c r="H68" s="214" t="s">
        <v>3086</v>
      </c>
      <c r="I68" s="273">
        <f>SUMIF('2020'!B:B,B68,'2020'!C:C)+SUMIF('2021'!B:B,B68,'2021'!C:C)+SUMIF('2022'!B:B,B68,'2022'!C:C)</f>
        <v>144708.68</v>
      </c>
      <c r="J68" s="59">
        <v>44925</v>
      </c>
      <c r="K68" s="213" t="s">
        <v>3118</v>
      </c>
    </row>
    <row r="69" spans="1:11" ht="17.25" customHeight="1" x14ac:dyDescent="0.3">
      <c r="A69" s="15">
        <f t="shared" si="1"/>
        <v>57</v>
      </c>
      <c r="B69" s="20" t="s">
        <v>91</v>
      </c>
      <c r="C69" s="162">
        <v>1968</v>
      </c>
      <c r="D69" s="259"/>
      <c r="E69" s="259" t="s">
        <v>3035</v>
      </c>
      <c r="F69" s="259">
        <v>5</v>
      </c>
      <c r="G69" s="213">
        <v>7990.58</v>
      </c>
      <c r="H69" s="214" t="s">
        <v>3089</v>
      </c>
      <c r="I69" s="273">
        <f>SUMIF('2020'!B:B,B69,'2020'!C:C)+SUMIF('2021'!B:B,B69,'2021'!C:C)+SUMIF('2022'!B:B,B69,'2022'!C:C)</f>
        <v>318502.09999999998</v>
      </c>
      <c r="J69" s="59">
        <v>44925</v>
      </c>
      <c r="K69" s="213" t="s">
        <v>3118</v>
      </c>
    </row>
    <row r="70" spans="1:11" ht="17.25" customHeight="1" x14ac:dyDescent="0.3">
      <c r="A70" s="15">
        <f t="shared" si="1"/>
        <v>58</v>
      </c>
      <c r="B70" s="20" t="s">
        <v>92</v>
      </c>
      <c r="C70" s="162">
        <v>1965</v>
      </c>
      <c r="D70" s="259"/>
      <c r="E70" s="259" t="s">
        <v>3035</v>
      </c>
      <c r="F70" s="259">
        <v>4</v>
      </c>
      <c r="G70" s="213">
        <v>2943.54</v>
      </c>
      <c r="H70" s="214" t="s">
        <v>3056</v>
      </c>
      <c r="I70" s="273">
        <f>SUMIF('2020'!B:B,B70,'2020'!C:C)+SUMIF('2021'!B:B,B70,'2021'!C:C)+SUMIF('2022'!B:B,B70,'2022'!C:C)</f>
        <v>6028364.5999999996</v>
      </c>
      <c r="J70" s="59">
        <v>44925</v>
      </c>
      <c r="K70" s="213" t="s">
        <v>3118</v>
      </c>
    </row>
    <row r="71" spans="1:11" ht="17.25" customHeight="1" x14ac:dyDescent="0.3">
      <c r="A71" s="15">
        <f t="shared" si="1"/>
        <v>59</v>
      </c>
      <c r="B71" s="20" t="s">
        <v>93</v>
      </c>
      <c r="C71" s="162">
        <v>1963</v>
      </c>
      <c r="D71" s="259"/>
      <c r="E71" s="259" t="s">
        <v>3035</v>
      </c>
      <c r="F71" s="259">
        <v>5</v>
      </c>
      <c r="G71" s="213">
        <v>3579.49</v>
      </c>
      <c r="H71" s="214" t="s">
        <v>3090</v>
      </c>
      <c r="I71" s="273">
        <f>SUMIF('2020'!B:B,B71,'2020'!C:C)+SUMIF('2021'!B:B,B71,'2021'!C:C)+SUMIF('2022'!B:B,B71,'2022'!C:C)</f>
        <v>1569486</v>
      </c>
      <c r="J71" s="59">
        <v>44925</v>
      </c>
      <c r="K71" s="213" t="s">
        <v>3118</v>
      </c>
    </row>
    <row r="72" spans="1:11" ht="17.25" customHeight="1" x14ac:dyDescent="0.3">
      <c r="A72" s="15">
        <f t="shared" si="1"/>
        <v>60</v>
      </c>
      <c r="B72" s="20" t="s">
        <v>94</v>
      </c>
      <c r="C72" s="162">
        <v>1953</v>
      </c>
      <c r="D72" s="259"/>
      <c r="E72" s="259" t="s">
        <v>3036</v>
      </c>
      <c r="F72" s="259">
        <v>2</v>
      </c>
      <c r="G72" s="213">
        <v>905.93</v>
      </c>
      <c r="H72" s="214" t="s">
        <v>3053</v>
      </c>
      <c r="I72" s="273">
        <f>SUMIF('2020'!B:B,B72,'2020'!C:C)+SUMIF('2021'!B:B,B72,'2021'!C:C)+SUMIF('2022'!B:B,B72,'2022'!C:C)</f>
        <v>796387.2</v>
      </c>
      <c r="J72" s="59">
        <v>44925</v>
      </c>
      <c r="K72" s="213" t="s">
        <v>3118</v>
      </c>
    </row>
    <row r="73" spans="1:11" ht="17.25" customHeight="1" x14ac:dyDescent="0.3">
      <c r="A73" s="15">
        <f t="shared" si="1"/>
        <v>61</v>
      </c>
      <c r="B73" s="20" t="s">
        <v>95</v>
      </c>
      <c r="C73" s="162">
        <v>1952</v>
      </c>
      <c r="D73" s="259"/>
      <c r="E73" s="259" t="s">
        <v>3036</v>
      </c>
      <c r="F73" s="259">
        <v>2</v>
      </c>
      <c r="G73" s="213">
        <v>406.6</v>
      </c>
      <c r="H73" s="214" t="s">
        <v>3091</v>
      </c>
      <c r="I73" s="273">
        <f>SUMIF('2020'!B:B,B73,'2020'!C:C)+SUMIF('2021'!B:B,B73,'2021'!C:C)+SUMIF('2022'!B:B,B73,'2022'!C:C)</f>
        <v>131945.98000000001</v>
      </c>
      <c r="J73" s="59">
        <v>44925</v>
      </c>
      <c r="K73" s="213" t="s">
        <v>3118</v>
      </c>
    </row>
    <row r="74" spans="1:11" ht="17.25" customHeight="1" x14ac:dyDescent="0.3">
      <c r="A74" s="15">
        <f t="shared" si="1"/>
        <v>62</v>
      </c>
      <c r="B74" s="20" t="s">
        <v>96</v>
      </c>
      <c r="C74" s="162">
        <v>1952</v>
      </c>
      <c r="D74" s="259"/>
      <c r="E74" s="259" t="s">
        <v>3036</v>
      </c>
      <c r="F74" s="259">
        <v>2</v>
      </c>
      <c r="G74" s="213">
        <v>772.78</v>
      </c>
      <c r="H74" s="214" t="s">
        <v>3049</v>
      </c>
      <c r="I74" s="273">
        <f>SUMIF('2020'!B:B,B74,'2020'!C:C)+SUMIF('2021'!B:B,B74,'2021'!C:C)+SUMIF('2022'!B:B,B74,'2022'!C:C)</f>
        <v>130938.74</v>
      </c>
      <c r="J74" s="59">
        <v>44925</v>
      </c>
      <c r="K74" s="213" t="s">
        <v>3118</v>
      </c>
    </row>
    <row r="75" spans="1:11" ht="17.25" customHeight="1" x14ac:dyDescent="0.3">
      <c r="A75" s="15">
        <f t="shared" si="1"/>
        <v>63</v>
      </c>
      <c r="B75" s="20" t="s">
        <v>97</v>
      </c>
      <c r="C75" s="162">
        <v>1953</v>
      </c>
      <c r="D75" s="259"/>
      <c r="E75" s="259" t="s">
        <v>3036</v>
      </c>
      <c r="F75" s="259">
        <v>2</v>
      </c>
      <c r="G75" s="213">
        <v>830</v>
      </c>
      <c r="H75" s="214" t="s">
        <v>3082</v>
      </c>
      <c r="I75" s="273">
        <f>SUMIF('2020'!B:B,B75,'2020'!C:C)+SUMIF('2021'!B:B,B75,'2021'!C:C)+SUMIF('2022'!B:B,B75,'2022'!C:C)</f>
        <v>883249.55</v>
      </c>
      <c r="J75" s="59">
        <v>44925</v>
      </c>
      <c r="K75" s="213" t="s">
        <v>3118</v>
      </c>
    </row>
    <row r="76" spans="1:11" ht="17.25" customHeight="1" x14ac:dyDescent="0.3">
      <c r="A76" s="15">
        <f t="shared" si="1"/>
        <v>64</v>
      </c>
      <c r="B76" s="20" t="s">
        <v>98</v>
      </c>
      <c r="C76" s="162">
        <v>1955</v>
      </c>
      <c r="D76" s="259"/>
      <c r="E76" s="259" t="s">
        <v>3036</v>
      </c>
      <c r="F76" s="259">
        <v>2</v>
      </c>
      <c r="G76" s="213">
        <v>706.26</v>
      </c>
      <c r="H76" s="214" t="s">
        <v>3059</v>
      </c>
      <c r="I76" s="273">
        <f>SUMIF('2020'!B:B,B76,'2020'!C:C)+SUMIF('2021'!B:B,B76,'2021'!C:C)+SUMIF('2022'!B:B,B76,'2022'!C:C)</f>
        <v>208314.16</v>
      </c>
      <c r="J76" s="59">
        <v>44925</v>
      </c>
      <c r="K76" s="213" t="s">
        <v>3118</v>
      </c>
    </row>
    <row r="77" spans="1:11" ht="17.25" customHeight="1" x14ac:dyDescent="0.3">
      <c r="A77" s="15">
        <f t="shared" si="1"/>
        <v>65</v>
      </c>
      <c r="B77" s="20" t="s">
        <v>99</v>
      </c>
      <c r="C77" s="162">
        <v>1939</v>
      </c>
      <c r="D77" s="259"/>
      <c r="E77" s="259" t="s">
        <v>3035</v>
      </c>
      <c r="F77" s="259">
        <v>3</v>
      </c>
      <c r="G77" s="213">
        <v>6105.89</v>
      </c>
      <c r="H77" s="214" t="s">
        <v>3051</v>
      </c>
      <c r="I77" s="273">
        <f>SUMIF('2020'!B:B,B77,'2020'!C:C)+SUMIF('2021'!B:B,B77,'2021'!C:C)+SUMIF('2022'!B:B,B77,'2022'!C:C)</f>
        <v>130000</v>
      </c>
      <c r="J77" s="59">
        <v>44925</v>
      </c>
      <c r="K77" s="213" t="s">
        <v>3118</v>
      </c>
    </row>
    <row r="78" spans="1:11" ht="17.25" customHeight="1" x14ac:dyDescent="0.3">
      <c r="A78" s="15">
        <f t="shared" ref="A78:A109" si="2">A77+1</f>
        <v>66</v>
      </c>
      <c r="B78" s="20" t="s">
        <v>100</v>
      </c>
      <c r="C78" s="162">
        <v>1951</v>
      </c>
      <c r="D78" s="259"/>
      <c r="E78" s="259" t="s">
        <v>3036</v>
      </c>
      <c r="F78" s="259">
        <v>2</v>
      </c>
      <c r="G78" s="213">
        <v>1343.6</v>
      </c>
      <c r="H78" s="214" t="s">
        <v>3073</v>
      </c>
      <c r="I78" s="273">
        <f>SUMIF('2020'!B:B,B78,'2020'!C:C)+SUMIF('2021'!B:B,B78,'2021'!C:C)+SUMIF('2022'!B:B,B78,'2022'!C:C)</f>
        <v>4332713.53</v>
      </c>
      <c r="J78" s="59">
        <v>44925</v>
      </c>
      <c r="K78" s="213" t="s">
        <v>3118</v>
      </c>
    </row>
    <row r="79" spans="1:11" ht="17.25" customHeight="1" x14ac:dyDescent="0.3">
      <c r="A79" s="15">
        <f t="shared" si="2"/>
        <v>67</v>
      </c>
      <c r="B79" s="20" t="s">
        <v>101</v>
      </c>
      <c r="C79" s="162">
        <v>1951</v>
      </c>
      <c r="D79" s="259"/>
      <c r="E79" s="259" t="s">
        <v>3036</v>
      </c>
      <c r="F79" s="259">
        <v>2</v>
      </c>
      <c r="G79" s="213">
        <v>941.03</v>
      </c>
      <c r="H79" s="214" t="s">
        <v>3092</v>
      </c>
      <c r="I79" s="273">
        <f>SUMIF('2020'!B:B,B79,'2020'!C:C)+SUMIF('2021'!B:B,B79,'2021'!C:C)+SUMIF('2022'!B:B,B79,'2022'!C:C)</f>
        <v>1671340.06</v>
      </c>
      <c r="J79" s="59">
        <v>44925</v>
      </c>
      <c r="K79" s="213" t="s">
        <v>3118</v>
      </c>
    </row>
    <row r="80" spans="1:11" ht="17.25" customHeight="1" x14ac:dyDescent="0.3">
      <c r="A80" s="15">
        <f t="shared" si="2"/>
        <v>68</v>
      </c>
      <c r="B80" s="20" t="s">
        <v>102</v>
      </c>
      <c r="C80" s="162">
        <v>1952</v>
      </c>
      <c r="D80" s="259"/>
      <c r="E80" s="259" t="s">
        <v>3036</v>
      </c>
      <c r="F80" s="259">
        <v>2</v>
      </c>
      <c r="G80" s="213">
        <v>565.88</v>
      </c>
      <c r="H80" s="214" t="s">
        <v>3093</v>
      </c>
      <c r="I80" s="273">
        <f>SUMIF('2020'!B:B,B80,'2020'!C:C)+SUMIF('2021'!B:B,B80,'2021'!C:C)+SUMIF('2022'!B:B,B80,'2022'!C:C)</f>
        <v>101912.05</v>
      </c>
      <c r="J80" s="59">
        <v>44925</v>
      </c>
      <c r="K80" s="213" t="s">
        <v>3118</v>
      </c>
    </row>
    <row r="81" spans="1:11" ht="17.25" customHeight="1" x14ac:dyDescent="0.3">
      <c r="A81" s="15">
        <f t="shared" si="2"/>
        <v>69</v>
      </c>
      <c r="B81" s="20" t="s">
        <v>103</v>
      </c>
      <c r="C81" s="162">
        <v>1952</v>
      </c>
      <c r="D81" s="259"/>
      <c r="E81" s="259" t="s">
        <v>3036</v>
      </c>
      <c r="F81" s="259">
        <v>2</v>
      </c>
      <c r="G81" s="213">
        <v>2260.35</v>
      </c>
      <c r="H81" s="214" t="s">
        <v>3094</v>
      </c>
      <c r="I81" s="273">
        <f>SUMIF('2020'!B:B,B81,'2020'!C:C)+SUMIF('2021'!B:B,B81,'2021'!C:C)+SUMIF('2022'!B:B,B81,'2022'!C:C)</f>
        <v>439023.55000000005</v>
      </c>
      <c r="J81" s="59">
        <v>44925</v>
      </c>
      <c r="K81" s="213" t="s">
        <v>3118</v>
      </c>
    </row>
    <row r="82" spans="1:11" ht="17.25" customHeight="1" x14ac:dyDescent="0.3">
      <c r="A82" s="15">
        <f t="shared" si="2"/>
        <v>70</v>
      </c>
      <c r="B82" s="20" t="s">
        <v>104</v>
      </c>
      <c r="C82" s="162">
        <v>1956</v>
      </c>
      <c r="D82" s="259"/>
      <c r="E82" s="259" t="s">
        <v>3036</v>
      </c>
      <c r="F82" s="259">
        <v>3</v>
      </c>
      <c r="G82" s="213">
        <v>1853.61</v>
      </c>
      <c r="H82" s="214" t="s">
        <v>3095</v>
      </c>
      <c r="I82" s="273">
        <f>SUMIF('2020'!B:B,B82,'2020'!C:C)+SUMIF('2021'!B:B,B82,'2021'!C:C)+SUMIF('2022'!B:B,B82,'2022'!C:C)</f>
        <v>130000</v>
      </c>
      <c r="J82" s="59">
        <v>44925</v>
      </c>
      <c r="K82" s="213" t="s">
        <v>3118</v>
      </c>
    </row>
    <row r="83" spans="1:11" ht="17.25" customHeight="1" x14ac:dyDescent="0.3">
      <c r="A83" s="15">
        <f t="shared" si="2"/>
        <v>71</v>
      </c>
      <c r="B83" s="20" t="s">
        <v>105</v>
      </c>
      <c r="C83" s="162">
        <v>1952</v>
      </c>
      <c r="D83" s="259"/>
      <c r="E83" s="259" t="s">
        <v>3036</v>
      </c>
      <c r="F83" s="259">
        <v>2</v>
      </c>
      <c r="G83" s="213">
        <v>2203.15</v>
      </c>
      <c r="H83" s="214" t="s">
        <v>3052</v>
      </c>
      <c r="I83" s="273">
        <f>SUMIF('2020'!B:B,B83,'2020'!C:C)+SUMIF('2021'!B:B,B83,'2021'!C:C)+SUMIF('2022'!B:B,B83,'2022'!C:C)</f>
        <v>10252815.77</v>
      </c>
      <c r="J83" s="59">
        <v>44925</v>
      </c>
      <c r="K83" s="213" t="s">
        <v>3118</v>
      </c>
    </row>
    <row r="84" spans="1:11" ht="17.25" customHeight="1" x14ac:dyDescent="0.3">
      <c r="A84" s="15">
        <f t="shared" si="2"/>
        <v>72</v>
      </c>
      <c r="B84" s="20" t="s">
        <v>106</v>
      </c>
      <c r="C84" s="162">
        <v>1956</v>
      </c>
      <c r="D84" s="259"/>
      <c r="E84" s="259" t="s">
        <v>3036</v>
      </c>
      <c r="F84" s="259">
        <v>3</v>
      </c>
      <c r="G84" s="213">
        <v>2131.84</v>
      </c>
      <c r="H84" s="214" t="s">
        <v>3069</v>
      </c>
      <c r="I84" s="273">
        <f>SUMIF('2020'!B:B,B84,'2020'!C:C)+SUMIF('2021'!B:B,B84,'2021'!C:C)+SUMIF('2022'!B:B,B84,'2022'!C:C)</f>
        <v>911985.5</v>
      </c>
      <c r="J84" s="59">
        <v>44925</v>
      </c>
      <c r="K84" s="213" t="s">
        <v>3118</v>
      </c>
    </row>
    <row r="85" spans="1:11" ht="17.25" customHeight="1" x14ac:dyDescent="0.3">
      <c r="A85" s="15">
        <f t="shared" si="2"/>
        <v>73</v>
      </c>
      <c r="B85" s="20" t="s">
        <v>107</v>
      </c>
      <c r="C85" s="162">
        <v>1953</v>
      </c>
      <c r="D85" s="259"/>
      <c r="E85" s="259" t="s">
        <v>3036</v>
      </c>
      <c r="F85" s="259">
        <v>2</v>
      </c>
      <c r="G85" s="213">
        <v>934.41</v>
      </c>
      <c r="H85" s="214" t="s">
        <v>3096</v>
      </c>
      <c r="I85" s="273">
        <f>SUMIF('2020'!B:B,B85,'2020'!C:C)+SUMIF('2021'!B:B,B85,'2021'!C:C)+SUMIF('2022'!B:B,B85,'2022'!C:C)</f>
        <v>320369.7</v>
      </c>
      <c r="J85" s="59">
        <v>44925</v>
      </c>
      <c r="K85" s="213" t="s">
        <v>3118</v>
      </c>
    </row>
    <row r="86" spans="1:11" ht="17.25" customHeight="1" x14ac:dyDescent="0.3">
      <c r="A86" s="15">
        <f t="shared" si="2"/>
        <v>74</v>
      </c>
      <c r="B86" s="20" t="s">
        <v>108</v>
      </c>
      <c r="C86" s="162">
        <v>1956</v>
      </c>
      <c r="D86" s="259"/>
      <c r="E86" s="259" t="s">
        <v>3036</v>
      </c>
      <c r="F86" s="259">
        <v>23</v>
      </c>
      <c r="G86" s="213">
        <v>2101.9499999999998</v>
      </c>
      <c r="H86" s="214" t="s">
        <v>3097</v>
      </c>
      <c r="I86" s="273">
        <f>SUMIF('2020'!B:B,B86,'2020'!C:C)+SUMIF('2021'!B:B,B86,'2021'!C:C)+SUMIF('2022'!B:B,B86,'2022'!C:C)</f>
        <v>982300.8</v>
      </c>
      <c r="J86" s="59">
        <v>44925</v>
      </c>
      <c r="K86" s="213" t="s">
        <v>3118</v>
      </c>
    </row>
    <row r="87" spans="1:11" ht="17.25" customHeight="1" x14ac:dyDescent="0.3">
      <c r="A87" s="15">
        <f t="shared" si="2"/>
        <v>75</v>
      </c>
      <c r="B87" s="20" t="s">
        <v>109</v>
      </c>
      <c r="C87" s="162">
        <v>1963</v>
      </c>
      <c r="D87" s="259"/>
      <c r="E87" s="259" t="s">
        <v>3036</v>
      </c>
      <c r="F87" s="259">
        <v>3</v>
      </c>
      <c r="G87" s="213">
        <v>2167.3000000000002</v>
      </c>
      <c r="H87" s="214" t="s">
        <v>3098</v>
      </c>
      <c r="I87" s="273">
        <f>SUMIF('2020'!B:B,B87,'2020'!C:C)+SUMIF('2021'!B:B,B87,'2021'!C:C)+SUMIF('2022'!B:B,B87,'2022'!C:C)</f>
        <v>130000</v>
      </c>
      <c r="J87" s="59">
        <v>44925</v>
      </c>
      <c r="K87" s="213" t="s">
        <v>3118</v>
      </c>
    </row>
    <row r="88" spans="1:11" ht="17.25" customHeight="1" x14ac:dyDescent="0.3">
      <c r="A88" s="15">
        <f t="shared" si="2"/>
        <v>76</v>
      </c>
      <c r="B88" s="20" t="s">
        <v>110</v>
      </c>
      <c r="C88" s="162">
        <v>1954</v>
      </c>
      <c r="D88" s="259"/>
      <c r="E88" s="259" t="s">
        <v>3036</v>
      </c>
      <c r="F88" s="259">
        <v>3</v>
      </c>
      <c r="G88" s="213">
        <v>2699.75</v>
      </c>
      <c r="H88" s="214" t="s">
        <v>3099</v>
      </c>
      <c r="I88" s="273">
        <f>SUMIF('2020'!B:B,B88,'2020'!C:C)+SUMIF('2021'!B:B,B88,'2021'!C:C)+SUMIF('2022'!B:B,B88,'2022'!C:C)</f>
        <v>5737460.9199999999</v>
      </c>
      <c r="J88" s="59">
        <v>44925</v>
      </c>
      <c r="K88" s="213" t="s">
        <v>3118</v>
      </c>
    </row>
    <row r="89" spans="1:11" ht="17.25" customHeight="1" x14ac:dyDescent="0.3">
      <c r="A89" s="15">
        <f t="shared" si="2"/>
        <v>77</v>
      </c>
      <c r="B89" s="20" t="s">
        <v>111</v>
      </c>
      <c r="C89" s="162">
        <v>1952</v>
      </c>
      <c r="D89" s="259"/>
      <c r="E89" s="259" t="s">
        <v>3036</v>
      </c>
      <c r="F89" s="259">
        <v>2</v>
      </c>
      <c r="G89" s="213">
        <v>928.74</v>
      </c>
      <c r="H89" s="214" t="s">
        <v>3096</v>
      </c>
      <c r="I89" s="273">
        <f>SUMIF('2020'!B:B,B89,'2020'!C:C)+SUMIF('2021'!B:B,B89,'2021'!C:C)+SUMIF('2022'!B:B,B89,'2022'!C:C)</f>
        <v>100487.1</v>
      </c>
      <c r="J89" s="59">
        <v>44925</v>
      </c>
      <c r="K89" s="213" t="s">
        <v>3118</v>
      </c>
    </row>
    <row r="90" spans="1:11" ht="17.25" customHeight="1" x14ac:dyDescent="0.3">
      <c r="A90" s="15">
        <f t="shared" si="2"/>
        <v>78</v>
      </c>
      <c r="B90" s="20" t="s">
        <v>112</v>
      </c>
      <c r="C90" s="162">
        <v>1962</v>
      </c>
      <c r="D90" s="259"/>
      <c r="E90" s="259" t="s">
        <v>3035</v>
      </c>
      <c r="F90" s="259">
        <v>2</v>
      </c>
      <c r="G90" s="213">
        <v>3384.18</v>
      </c>
      <c r="H90" s="214" t="s">
        <v>3100</v>
      </c>
      <c r="I90" s="273">
        <f>SUMIF('2020'!B:B,B90,'2020'!C:C)+SUMIF('2021'!B:B,B90,'2021'!C:C)+SUMIF('2022'!B:B,B90,'2022'!C:C)</f>
        <v>6527521.3399999999</v>
      </c>
      <c r="J90" s="59">
        <v>44925</v>
      </c>
      <c r="K90" s="213" t="s">
        <v>3118</v>
      </c>
    </row>
    <row r="91" spans="1:11" ht="17.25" customHeight="1" x14ac:dyDescent="0.3">
      <c r="A91" s="15">
        <f t="shared" si="2"/>
        <v>79</v>
      </c>
      <c r="B91" s="20" t="s">
        <v>113</v>
      </c>
      <c r="C91" s="162">
        <v>1962</v>
      </c>
      <c r="D91" s="259"/>
      <c r="E91" s="259" t="s">
        <v>3035</v>
      </c>
      <c r="F91" s="259">
        <v>4</v>
      </c>
      <c r="G91" s="213">
        <v>2856.87</v>
      </c>
      <c r="H91" s="214" t="s">
        <v>3101</v>
      </c>
      <c r="I91" s="273">
        <f>SUMIF('2020'!B:B,B91,'2020'!C:C)+SUMIF('2021'!B:B,B91,'2021'!C:C)+SUMIF('2022'!B:B,B91,'2022'!C:C)</f>
        <v>328803.66000000003</v>
      </c>
      <c r="J91" s="59">
        <v>44925</v>
      </c>
      <c r="K91" s="213" t="s">
        <v>3118</v>
      </c>
    </row>
    <row r="92" spans="1:11" ht="17.25" customHeight="1" x14ac:dyDescent="0.3">
      <c r="A92" s="15">
        <f t="shared" si="2"/>
        <v>80</v>
      </c>
      <c r="B92" s="20" t="s">
        <v>114</v>
      </c>
      <c r="C92" s="162">
        <v>1962</v>
      </c>
      <c r="D92" s="259"/>
      <c r="E92" s="259" t="s">
        <v>3035</v>
      </c>
      <c r="F92" s="259">
        <v>4</v>
      </c>
      <c r="G92" s="213">
        <v>2785.24</v>
      </c>
      <c r="H92" s="214" t="s">
        <v>3102</v>
      </c>
      <c r="I92" s="273">
        <f>SUMIF('2020'!B:B,B92,'2020'!C:C)+SUMIF('2021'!B:B,B92,'2021'!C:C)+SUMIF('2022'!B:B,B92,'2022'!C:C)</f>
        <v>3407465.8</v>
      </c>
      <c r="J92" s="59">
        <v>44925</v>
      </c>
      <c r="K92" s="213" t="s">
        <v>3118</v>
      </c>
    </row>
    <row r="93" spans="1:11" ht="17.25" customHeight="1" x14ac:dyDescent="0.3">
      <c r="A93" s="15">
        <f t="shared" si="2"/>
        <v>81</v>
      </c>
      <c r="B93" s="20" t="s">
        <v>115</v>
      </c>
      <c r="C93" s="162">
        <v>1977</v>
      </c>
      <c r="D93" s="259"/>
      <c r="E93" s="259" t="s">
        <v>3035</v>
      </c>
      <c r="F93" s="259">
        <v>5</v>
      </c>
      <c r="G93" s="213">
        <v>6044.39</v>
      </c>
      <c r="H93" s="214" t="s">
        <v>3103</v>
      </c>
      <c r="I93" s="273">
        <f>SUMIF('2020'!B:B,B93,'2020'!C:C)+SUMIF('2021'!B:B,B93,'2021'!C:C)+SUMIF('2022'!B:B,B93,'2022'!C:C)</f>
        <v>477055.88</v>
      </c>
      <c r="J93" s="59">
        <v>44925</v>
      </c>
      <c r="K93" s="213" t="s">
        <v>3118</v>
      </c>
    </row>
    <row r="94" spans="1:11" ht="17.25" customHeight="1" x14ac:dyDescent="0.3">
      <c r="A94" s="15">
        <f t="shared" si="2"/>
        <v>82</v>
      </c>
      <c r="B94" s="20" t="s">
        <v>116</v>
      </c>
      <c r="C94" s="162">
        <v>1951</v>
      </c>
      <c r="D94" s="259"/>
      <c r="E94" s="259" t="s">
        <v>3036</v>
      </c>
      <c r="F94" s="259">
        <v>2</v>
      </c>
      <c r="G94" s="213">
        <v>935.4</v>
      </c>
      <c r="H94" s="214" t="s">
        <v>3059</v>
      </c>
      <c r="I94" s="273">
        <f>SUMIF('2020'!B:B,B94,'2020'!C:C)+SUMIF('2021'!B:B,B94,'2021'!C:C)+SUMIF('2022'!B:B,B94,'2022'!C:C)</f>
        <v>132751.97</v>
      </c>
      <c r="J94" s="59">
        <v>44925</v>
      </c>
      <c r="K94" s="213" t="s">
        <v>3118</v>
      </c>
    </row>
    <row r="95" spans="1:11" ht="17.25" customHeight="1" x14ac:dyDescent="0.3">
      <c r="A95" s="15">
        <f t="shared" si="2"/>
        <v>83</v>
      </c>
      <c r="B95" s="20" t="s">
        <v>117</v>
      </c>
      <c r="C95" s="162">
        <v>1952</v>
      </c>
      <c r="D95" s="259"/>
      <c r="E95" s="259" t="s">
        <v>3036</v>
      </c>
      <c r="F95" s="259">
        <v>2</v>
      </c>
      <c r="G95" s="213">
        <v>574.70000000000005</v>
      </c>
      <c r="H95" s="214" t="s">
        <v>3093</v>
      </c>
      <c r="I95" s="273">
        <f>SUMIF('2020'!B:B,B95,'2020'!C:C)+SUMIF('2021'!B:B,B95,'2021'!C:C)+SUMIF('2022'!B:B,B95,'2022'!C:C)</f>
        <v>129661.55</v>
      </c>
      <c r="J95" s="59">
        <v>44925</v>
      </c>
      <c r="K95" s="213" t="s">
        <v>3118</v>
      </c>
    </row>
    <row r="96" spans="1:11" ht="17.25" customHeight="1" x14ac:dyDescent="0.3">
      <c r="A96" s="15">
        <f t="shared" si="2"/>
        <v>84</v>
      </c>
      <c r="B96" s="20" t="s">
        <v>118</v>
      </c>
      <c r="C96" s="162">
        <v>1951</v>
      </c>
      <c r="D96" s="259"/>
      <c r="E96" s="259" t="s">
        <v>3036</v>
      </c>
      <c r="F96" s="259">
        <v>2</v>
      </c>
      <c r="G96" s="213">
        <v>950</v>
      </c>
      <c r="H96" s="214" t="s">
        <v>3104</v>
      </c>
      <c r="I96" s="273">
        <f>SUMIF('2020'!B:B,B96,'2020'!C:C)+SUMIF('2021'!B:B,B96,'2021'!C:C)+SUMIF('2022'!B:B,B96,'2022'!C:C)</f>
        <v>201101.02</v>
      </c>
      <c r="J96" s="59">
        <v>44925</v>
      </c>
      <c r="K96" s="213" t="s">
        <v>3118</v>
      </c>
    </row>
    <row r="97" spans="1:11" ht="17.25" customHeight="1" x14ac:dyDescent="0.3">
      <c r="A97" s="15">
        <f t="shared" si="2"/>
        <v>85</v>
      </c>
      <c r="B97" s="20" t="s">
        <v>119</v>
      </c>
      <c r="C97" s="162">
        <v>1953</v>
      </c>
      <c r="D97" s="259"/>
      <c r="E97" s="259" t="s">
        <v>3036</v>
      </c>
      <c r="F97" s="259">
        <v>2</v>
      </c>
      <c r="G97" s="213">
        <v>943.07</v>
      </c>
      <c r="H97" s="214" t="s">
        <v>3075</v>
      </c>
      <c r="I97" s="273">
        <f>SUMIF('2020'!B:B,B97,'2020'!C:C)+SUMIF('2021'!B:B,B97,'2021'!C:C)+SUMIF('2022'!B:B,B97,'2022'!C:C)</f>
        <v>107775.26</v>
      </c>
      <c r="J97" s="59">
        <v>44925</v>
      </c>
      <c r="K97" s="213" t="s">
        <v>3118</v>
      </c>
    </row>
    <row r="98" spans="1:11" ht="17.25" customHeight="1" x14ac:dyDescent="0.3">
      <c r="A98" s="15">
        <f t="shared" si="2"/>
        <v>86</v>
      </c>
      <c r="B98" s="20" t="s">
        <v>120</v>
      </c>
      <c r="C98" s="162">
        <v>1969</v>
      </c>
      <c r="D98" s="259"/>
      <c r="E98" s="259" t="s">
        <v>3035</v>
      </c>
      <c r="F98" s="259">
        <v>5</v>
      </c>
      <c r="G98" s="213">
        <v>2859.4</v>
      </c>
      <c r="H98" s="214" t="s">
        <v>3105</v>
      </c>
      <c r="I98" s="273">
        <f>SUMIF('2020'!B:B,B98,'2020'!C:C)+SUMIF('2021'!B:B,B98,'2021'!C:C)+SUMIF('2022'!B:B,B98,'2022'!C:C)</f>
        <v>188370.3</v>
      </c>
      <c r="J98" s="59">
        <v>44925</v>
      </c>
      <c r="K98" s="213" t="s">
        <v>3118</v>
      </c>
    </row>
    <row r="99" spans="1:11" ht="17.25" customHeight="1" x14ac:dyDescent="0.3">
      <c r="A99" s="15">
        <f t="shared" si="2"/>
        <v>87</v>
      </c>
      <c r="B99" s="20" t="s">
        <v>121</v>
      </c>
      <c r="C99" s="162">
        <v>1972</v>
      </c>
      <c r="D99" s="259"/>
      <c r="E99" s="259" t="s">
        <v>3035</v>
      </c>
      <c r="F99" s="259">
        <v>5</v>
      </c>
      <c r="G99" s="213">
        <v>4650.12</v>
      </c>
      <c r="H99" s="214" t="s">
        <v>3106</v>
      </c>
      <c r="I99" s="273">
        <f>SUMIF('2020'!B:B,B99,'2020'!C:C)+SUMIF('2021'!B:B,B99,'2021'!C:C)+SUMIF('2022'!B:B,B99,'2022'!C:C)</f>
        <v>130000</v>
      </c>
      <c r="J99" s="59">
        <v>44925</v>
      </c>
      <c r="K99" s="213" t="s">
        <v>3118</v>
      </c>
    </row>
    <row r="100" spans="1:11" ht="17.25" customHeight="1" x14ac:dyDescent="0.3">
      <c r="A100" s="15">
        <f t="shared" si="2"/>
        <v>88</v>
      </c>
      <c r="B100" s="20" t="s">
        <v>122</v>
      </c>
      <c r="C100" s="162">
        <v>1970</v>
      </c>
      <c r="D100" s="259"/>
      <c r="E100" s="259" t="s">
        <v>3035</v>
      </c>
      <c r="F100" s="259">
        <v>5</v>
      </c>
      <c r="G100" s="213">
        <v>3848.32</v>
      </c>
      <c r="H100" s="214" t="s">
        <v>3107</v>
      </c>
      <c r="I100" s="273">
        <f>SUMIF('2020'!B:B,B100,'2020'!C:C)+SUMIF('2021'!B:B,B100,'2021'!C:C)+SUMIF('2022'!B:B,B100,'2022'!C:C)</f>
        <v>130000</v>
      </c>
      <c r="J100" s="59">
        <v>44925</v>
      </c>
      <c r="K100" s="213" t="s">
        <v>3118</v>
      </c>
    </row>
    <row r="101" spans="1:11" ht="17.25" customHeight="1" x14ac:dyDescent="0.3">
      <c r="A101" s="15">
        <f t="shared" si="2"/>
        <v>89</v>
      </c>
      <c r="B101" s="20" t="s">
        <v>123</v>
      </c>
      <c r="C101" s="162">
        <v>1958</v>
      </c>
      <c r="D101" s="259"/>
      <c r="E101" s="259" t="s">
        <v>3035</v>
      </c>
      <c r="F101" s="259">
        <v>3</v>
      </c>
      <c r="G101" s="213">
        <v>1459.5</v>
      </c>
      <c r="H101" s="214" t="s">
        <v>3063</v>
      </c>
      <c r="I101" s="273">
        <f>SUMIF('2020'!B:B,B101,'2020'!C:C)+SUMIF('2021'!B:B,B101,'2021'!C:C)+SUMIF('2022'!B:B,B101,'2022'!C:C)</f>
        <v>130000</v>
      </c>
      <c r="J101" s="59">
        <v>44925</v>
      </c>
      <c r="K101" s="213" t="s">
        <v>3118</v>
      </c>
    </row>
    <row r="102" spans="1:11" ht="17.25" customHeight="1" x14ac:dyDescent="0.3">
      <c r="A102" s="15">
        <f t="shared" si="2"/>
        <v>90</v>
      </c>
      <c r="B102" s="20" t="s">
        <v>124</v>
      </c>
      <c r="C102" s="162">
        <v>1955</v>
      </c>
      <c r="D102" s="259"/>
      <c r="E102" s="259" t="s">
        <v>3036</v>
      </c>
      <c r="F102" s="259">
        <v>3</v>
      </c>
      <c r="G102" s="213">
        <v>1718.55</v>
      </c>
      <c r="H102" s="214" t="s">
        <v>3108</v>
      </c>
      <c r="I102" s="273">
        <f>SUMIF('2020'!B:B,B102,'2020'!C:C)+SUMIF('2021'!B:B,B102,'2021'!C:C)+SUMIF('2022'!B:B,B102,'2022'!C:C)</f>
        <v>130001.84</v>
      </c>
      <c r="J102" s="59">
        <v>44925</v>
      </c>
      <c r="K102" s="213" t="s">
        <v>3118</v>
      </c>
    </row>
    <row r="103" spans="1:11" ht="17.25" customHeight="1" x14ac:dyDescent="0.3">
      <c r="A103" s="15">
        <f t="shared" si="2"/>
        <v>91</v>
      </c>
      <c r="B103" s="20" t="s">
        <v>125</v>
      </c>
      <c r="C103" s="162">
        <v>1952</v>
      </c>
      <c r="D103" s="259"/>
      <c r="E103" s="259" t="s">
        <v>3036</v>
      </c>
      <c r="F103" s="259">
        <v>2</v>
      </c>
      <c r="G103" s="213">
        <v>724.7</v>
      </c>
      <c r="H103" s="214" t="s">
        <v>3043</v>
      </c>
      <c r="I103" s="273">
        <f>SUMIF('2020'!B:B,B103,'2020'!C:C)+SUMIF('2021'!B:B,B103,'2021'!C:C)+SUMIF('2022'!B:B,B103,'2022'!C:C)</f>
        <v>139311.88</v>
      </c>
      <c r="J103" s="59">
        <v>44925</v>
      </c>
      <c r="K103" s="213" t="s">
        <v>3118</v>
      </c>
    </row>
    <row r="104" spans="1:11" ht="17.25" customHeight="1" x14ac:dyDescent="0.3">
      <c r="A104" s="15">
        <f t="shared" si="2"/>
        <v>92</v>
      </c>
      <c r="B104" s="20" t="s">
        <v>126</v>
      </c>
      <c r="C104" s="162">
        <v>1954</v>
      </c>
      <c r="D104" s="259"/>
      <c r="E104" s="259" t="s">
        <v>3036</v>
      </c>
      <c r="F104" s="259">
        <v>2</v>
      </c>
      <c r="G104" s="213">
        <v>1022.78</v>
      </c>
      <c r="H104" s="214" t="s">
        <v>3043</v>
      </c>
      <c r="I104" s="273">
        <f>SUMIF('2020'!B:B,B104,'2020'!C:C)+SUMIF('2021'!B:B,B104,'2021'!C:C)+SUMIF('2022'!B:B,B104,'2022'!C:C)</f>
        <v>2189264.62</v>
      </c>
      <c r="J104" s="59">
        <v>44925</v>
      </c>
      <c r="K104" s="213" t="s">
        <v>3118</v>
      </c>
    </row>
    <row r="105" spans="1:11" ht="17.25" customHeight="1" x14ac:dyDescent="0.3">
      <c r="A105" s="15">
        <f t="shared" si="2"/>
        <v>93</v>
      </c>
      <c r="B105" s="20" t="s">
        <v>127</v>
      </c>
      <c r="C105" s="162">
        <v>1954</v>
      </c>
      <c r="D105" s="259"/>
      <c r="E105" s="259" t="s">
        <v>3036</v>
      </c>
      <c r="F105" s="259">
        <v>2</v>
      </c>
      <c r="G105" s="213">
        <v>932.3</v>
      </c>
      <c r="H105" s="214" t="s">
        <v>3060</v>
      </c>
      <c r="I105" s="273">
        <f>SUMIF('2020'!B:B,B105,'2020'!C:C)+SUMIF('2021'!B:B,B105,'2021'!C:C)+SUMIF('2022'!B:B,B105,'2022'!C:C)</f>
        <v>772518</v>
      </c>
      <c r="J105" s="59">
        <v>44925</v>
      </c>
      <c r="K105" s="213" t="s">
        <v>3118</v>
      </c>
    </row>
    <row r="106" spans="1:11" ht="17.25" customHeight="1" x14ac:dyDescent="0.3">
      <c r="A106" s="15">
        <f t="shared" si="2"/>
        <v>94</v>
      </c>
      <c r="B106" s="20" t="s">
        <v>128</v>
      </c>
      <c r="C106" s="162">
        <v>1941</v>
      </c>
      <c r="D106" s="259"/>
      <c r="E106" s="259" t="s">
        <v>3036</v>
      </c>
      <c r="F106" s="259">
        <v>4</v>
      </c>
      <c r="G106" s="213">
        <v>3953</v>
      </c>
      <c r="H106" s="214" t="s">
        <v>3084</v>
      </c>
      <c r="I106" s="273">
        <f>SUMIF('2020'!B:B,B106,'2020'!C:C)+SUMIF('2021'!B:B,B106,'2021'!C:C)+SUMIF('2022'!B:B,B106,'2022'!C:C)</f>
        <v>526839.39</v>
      </c>
      <c r="J106" s="59">
        <v>44925</v>
      </c>
      <c r="K106" s="213" t="s">
        <v>3118</v>
      </c>
    </row>
    <row r="107" spans="1:11" ht="17.25" customHeight="1" x14ac:dyDescent="0.3">
      <c r="A107" s="15">
        <f t="shared" si="2"/>
        <v>95</v>
      </c>
      <c r="B107" s="20" t="s">
        <v>129</v>
      </c>
      <c r="C107" s="162">
        <v>1953</v>
      </c>
      <c r="D107" s="259"/>
      <c r="E107" s="259" t="s">
        <v>3036</v>
      </c>
      <c r="F107" s="259">
        <v>2</v>
      </c>
      <c r="G107" s="213">
        <v>614.79999999999995</v>
      </c>
      <c r="H107" s="214" t="s">
        <v>3109</v>
      </c>
      <c r="I107" s="273">
        <f>SUMIF('2020'!B:B,B107,'2020'!C:C)+SUMIF('2021'!B:B,B107,'2021'!C:C)+SUMIF('2022'!B:B,B107,'2022'!C:C)</f>
        <v>984151.58</v>
      </c>
      <c r="J107" s="59">
        <v>44925</v>
      </c>
      <c r="K107" s="213" t="s">
        <v>3118</v>
      </c>
    </row>
    <row r="108" spans="1:11" ht="17.25" customHeight="1" x14ac:dyDescent="0.3">
      <c r="A108" s="15">
        <f t="shared" si="2"/>
        <v>96</v>
      </c>
      <c r="B108" s="20" t="s">
        <v>130</v>
      </c>
      <c r="C108" s="162">
        <v>1953</v>
      </c>
      <c r="D108" s="259"/>
      <c r="E108" s="259" t="s">
        <v>3036</v>
      </c>
      <c r="F108" s="259">
        <v>2</v>
      </c>
      <c r="G108" s="213">
        <v>715.4</v>
      </c>
      <c r="H108" s="214" t="s">
        <v>3092</v>
      </c>
      <c r="I108" s="273">
        <f>SUMIF('2020'!B:B,B108,'2020'!C:C)+SUMIF('2021'!B:B,B108,'2021'!C:C)+SUMIF('2022'!B:B,B108,'2022'!C:C)</f>
        <v>132122.23999999999</v>
      </c>
      <c r="J108" s="59">
        <v>44925</v>
      </c>
      <c r="K108" s="213" t="s">
        <v>3118</v>
      </c>
    </row>
    <row r="109" spans="1:11" ht="17.25" customHeight="1" x14ac:dyDescent="0.3">
      <c r="A109" s="15">
        <f t="shared" si="2"/>
        <v>97</v>
      </c>
      <c r="B109" s="20" t="s">
        <v>131</v>
      </c>
      <c r="C109" s="162">
        <v>1954</v>
      </c>
      <c r="D109" s="259"/>
      <c r="E109" s="259" t="s">
        <v>3036</v>
      </c>
      <c r="F109" s="259">
        <v>2</v>
      </c>
      <c r="G109" s="213">
        <v>405.6</v>
      </c>
      <c r="H109" s="214" t="s">
        <v>3110</v>
      </c>
      <c r="I109" s="273">
        <f>SUMIF('2020'!B:B,B109,'2020'!C:C)+SUMIF('2021'!B:B,B109,'2021'!C:C)+SUMIF('2022'!B:B,B109,'2022'!C:C)</f>
        <v>971233.3</v>
      </c>
      <c r="J109" s="59">
        <v>44925</v>
      </c>
      <c r="K109" s="213" t="s">
        <v>3118</v>
      </c>
    </row>
    <row r="110" spans="1:11" ht="17.25" customHeight="1" x14ac:dyDescent="0.3">
      <c r="A110" s="15">
        <f t="shared" ref="A110:A120" si="3">A109+1</f>
        <v>98</v>
      </c>
      <c r="B110" s="20" t="s">
        <v>132</v>
      </c>
      <c r="C110" s="162">
        <v>1953</v>
      </c>
      <c r="D110" s="259"/>
      <c r="E110" s="259" t="s">
        <v>3036</v>
      </c>
      <c r="F110" s="259">
        <v>2</v>
      </c>
      <c r="G110" s="213">
        <v>1025.0999999999999</v>
      </c>
      <c r="H110" s="214" t="s">
        <v>3111</v>
      </c>
      <c r="I110" s="273">
        <f>SUMIF('2020'!B:B,B110,'2020'!C:C)+SUMIF('2021'!B:B,B110,'2021'!C:C)+SUMIF('2022'!B:B,B110,'2022'!C:C)</f>
        <v>253321.02999999997</v>
      </c>
      <c r="J110" s="59">
        <v>44925</v>
      </c>
      <c r="K110" s="213" t="s">
        <v>3118</v>
      </c>
    </row>
    <row r="111" spans="1:11" ht="17.25" customHeight="1" x14ac:dyDescent="0.3">
      <c r="A111" s="15">
        <f t="shared" si="3"/>
        <v>99</v>
      </c>
      <c r="B111" s="20" t="s">
        <v>133</v>
      </c>
      <c r="C111" s="162">
        <v>1953</v>
      </c>
      <c r="D111" s="259"/>
      <c r="E111" s="259" t="s">
        <v>3036</v>
      </c>
      <c r="F111" s="259">
        <v>2</v>
      </c>
      <c r="G111" s="213">
        <v>722.72</v>
      </c>
      <c r="H111" s="214" t="s">
        <v>3112</v>
      </c>
      <c r="I111" s="273">
        <f>SUMIF('2020'!B:B,B111,'2020'!C:C)+SUMIF('2021'!B:B,B111,'2021'!C:C)+SUMIF('2022'!B:B,B111,'2022'!C:C)</f>
        <v>1400276.33</v>
      </c>
      <c r="J111" s="59">
        <v>44925</v>
      </c>
      <c r="K111" s="213" t="s">
        <v>3118</v>
      </c>
    </row>
    <row r="112" spans="1:11" ht="17.25" customHeight="1" x14ac:dyDescent="0.3">
      <c r="A112" s="15">
        <f t="shared" si="3"/>
        <v>100</v>
      </c>
      <c r="B112" s="20" t="s">
        <v>134</v>
      </c>
      <c r="C112" s="162">
        <v>1974</v>
      </c>
      <c r="D112" s="259"/>
      <c r="E112" s="259" t="s">
        <v>3035</v>
      </c>
      <c r="F112" s="259">
        <v>5</v>
      </c>
      <c r="G112" s="213">
        <v>6135.33</v>
      </c>
      <c r="H112" s="214" t="s">
        <v>3113</v>
      </c>
      <c r="I112" s="273">
        <f>SUMIF('2020'!B:B,B112,'2020'!C:C)+SUMIF('2021'!B:B,B112,'2021'!C:C)+SUMIF('2022'!B:B,B112,'2022'!C:C)</f>
        <v>130000</v>
      </c>
      <c r="J112" s="59">
        <v>44925</v>
      </c>
      <c r="K112" s="213" t="s">
        <v>3118</v>
      </c>
    </row>
    <row r="113" spans="1:11" ht="17.25" customHeight="1" x14ac:dyDescent="0.3">
      <c r="A113" s="15">
        <f t="shared" si="3"/>
        <v>101</v>
      </c>
      <c r="B113" s="20" t="s">
        <v>135</v>
      </c>
      <c r="C113" s="162">
        <v>1971</v>
      </c>
      <c r="D113" s="259"/>
      <c r="E113" s="259" t="s">
        <v>3035</v>
      </c>
      <c r="F113" s="259">
        <v>5</v>
      </c>
      <c r="G113" s="213">
        <v>6256.57</v>
      </c>
      <c r="H113" s="214" t="s">
        <v>3081</v>
      </c>
      <c r="I113" s="273">
        <f>SUMIF('2020'!B:B,B113,'2020'!C:C)+SUMIF('2021'!B:B,B113,'2021'!C:C)+SUMIF('2022'!B:B,B113,'2022'!C:C)</f>
        <v>182039</v>
      </c>
      <c r="J113" s="59">
        <v>44925</v>
      </c>
      <c r="K113" s="213" t="s">
        <v>3118</v>
      </c>
    </row>
    <row r="114" spans="1:11" ht="17.25" customHeight="1" x14ac:dyDescent="0.3">
      <c r="A114" s="15">
        <f t="shared" si="3"/>
        <v>102</v>
      </c>
      <c r="B114" s="20" t="s">
        <v>136</v>
      </c>
      <c r="C114" s="162">
        <v>1975</v>
      </c>
      <c r="D114" s="259"/>
      <c r="E114" s="259" t="s">
        <v>3035</v>
      </c>
      <c r="F114" s="259">
        <v>5</v>
      </c>
      <c r="G114" s="213">
        <v>6194.14</v>
      </c>
      <c r="H114" s="214" t="s">
        <v>3114</v>
      </c>
      <c r="I114" s="273">
        <f>SUMIF('2020'!B:B,B114,'2020'!C:C)+SUMIF('2021'!B:B,B114,'2021'!C:C)+SUMIF('2022'!B:B,B114,'2022'!C:C)</f>
        <v>130000</v>
      </c>
      <c r="J114" s="59">
        <v>44925</v>
      </c>
      <c r="K114" s="213" t="s">
        <v>3118</v>
      </c>
    </row>
    <row r="115" spans="1:11" ht="17.25" customHeight="1" x14ac:dyDescent="0.3">
      <c r="A115" s="15">
        <f t="shared" si="3"/>
        <v>103</v>
      </c>
      <c r="B115" s="20" t="s">
        <v>137</v>
      </c>
      <c r="C115" s="162">
        <v>1973</v>
      </c>
      <c r="D115" s="259"/>
      <c r="E115" s="259" t="s">
        <v>3035</v>
      </c>
      <c r="F115" s="259">
        <v>5</v>
      </c>
      <c r="G115" s="213">
        <v>5551.79</v>
      </c>
      <c r="H115" s="214" t="s">
        <v>3115</v>
      </c>
      <c r="I115" s="273">
        <f>SUMIF('2020'!B:B,B115,'2020'!C:C)+SUMIF('2021'!B:B,B115,'2021'!C:C)+SUMIF('2022'!B:B,B115,'2022'!C:C)</f>
        <v>130000</v>
      </c>
      <c r="J115" s="59">
        <v>44925</v>
      </c>
      <c r="K115" s="213" t="s">
        <v>3118</v>
      </c>
    </row>
    <row r="116" spans="1:11" ht="17.25" customHeight="1" x14ac:dyDescent="0.3">
      <c r="A116" s="15">
        <f t="shared" si="3"/>
        <v>104</v>
      </c>
      <c r="B116" s="20" t="s">
        <v>138</v>
      </c>
      <c r="C116" s="162">
        <v>1972</v>
      </c>
      <c r="D116" s="259"/>
      <c r="E116" s="259" t="s">
        <v>3035</v>
      </c>
      <c r="F116" s="259">
        <v>5</v>
      </c>
      <c r="G116" s="213">
        <v>4500.0600000000004</v>
      </c>
      <c r="H116" s="214" t="s">
        <v>3116</v>
      </c>
      <c r="I116" s="273">
        <f>SUMIF('2020'!B:B,B116,'2020'!C:C)+SUMIF('2021'!B:B,B116,'2021'!C:C)+SUMIF('2022'!B:B,B116,'2022'!C:C)</f>
        <v>130000</v>
      </c>
      <c r="J116" s="59">
        <v>44925</v>
      </c>
      <c r="K116" s="213" t="s">
        <v>3118</v>
      </c>
    </row>
    <row r="117" spans="1:11" ht="17.25" customHeight="1" x14ac:dyDescent="0.3">
      <c r="A117" s="15">
        <f t="shared" si="3"/>
        <v>105</v>
      </c>
      <c r="B117" s="20" t="s">
        <v>139</v>
      </c>
      <c r="C117" s="162">
        <v>1969</v>
      </c>
      <c r="D117" s="259"/>
      <c r="E117" s="259" t="s">
        <v>3035</v>
      </c>
      <c r="F117" s="259">
        <v>2</v>
      </c>
      <c r="G117" s="213">
        <v>1299.3</v>
      </c>
      <c r="H117" s="214" t="s">
        <v>3059</v>
      </c>
      <c r="I117" s="273">
        <f>SUMIF('2020'!B:B,B117,'2020'!C:C)+SUMIF('2021'!B:B,B117,'2021'!C:C)+SUMIF('2022'!B:B,B117,'2022'!C:C)</f>
        <v>400264.63</v>
      </c>
      <c r="J117" s="59">
        <v>44925</v>
      </c>
      <c r="K117" s="213" t="s">
        <v>3118</v>
      </c>
    </row>
    <row r="118" spans="1:11" ht="17.25" customHeight="1" x14ac:dyDescent="0.3">
      <c r="A118" s="15">
        <f t="shared" si="3"/>
        <v>106</v>
      </c>
      <c r="B118" s="20" t="s">
        <v>140</v>
      </c>
      <c r="C118" s="162">
        <v>1951</v>
      </c>
      <c r="D118" s="259"/>
      <c r="E118" s="259" t="s">
        <v>3036</v>
      </c>
      <c r="F118" s="259">
        <v>2</v>
      </c>
      <c r="G118" s="213">
        <v>454.32</v>
      </c>
      <c r="H118" s="214" t="s">
        <v>3064</v>
      </c>
      <c r="I118" s="273">
        <f>SUMIF('2020'!B:B,B118,'2020'!C:C)+SUMIF('2021'!B:B,B118,'2021'!C:C)+SUMIF('2022'!B:B,B118,'2022'!C:C)</f>
        <v>6192389.4400000004</v>
      </c>
      <c r="J118" s="59">
        <v>44925</v>
      </c>
      <c r="K118" s="213" t="s">
        <v>3118</v>
      </c>
    </row>
    <row r="119" spans="1:11" ht="17.25" customHeight="1" x14ac:dyDescent="0.3">
      <c r="A119" s="15">
        <f t="shared" si="3"/>
        <v>107</v>
      </c>
      <c r="B119" s="20" t="s">
        <v>141</v>
      </c>
      <c r="C119" s="162">
        <v>1939</v>
      </c>
      <c r="D119" s="259"/>
      <c r="E119" s="259" t="s">
        <v>3035</v>
      </c>
      <c r="F119" s="259">
        <v>3</v>
      </c>
      <c r="G119" s="213">
        <v>2483.96</v>
      </c>
      <c r="H119" s="214" t="s">
        <v>3099</v>
      </c>
      <c r="I119" s="273">
        <f>SUMIF('2020'!B:B,B119,'2020'!C:C)+SUMIF('2021'!B:B,B119,'2021'!C:C)+SUMIF('2022'!B:B,B119,'2022'!C:C)</f>
        <v>5161614.8599999994</v>
      </c>
      <c r="J119" s="59">
        <v>44925</v>
      </c>
      <c r="K119" s="213" t="s">
        <v>3118</v>
      </c>
    </row>
    <row r="120" spans="1:11" ht="17.25" customHeight="1" x14ac:dyDescent="0.3">
      <c r="A120" s="15">
        <f t="shared" si="3"/>
        <v>108</v>
      </c>
      <c r="B120" s="20" t="s">
        <v>142</v>
      </c>
      <c r="C120" s="162">
        <v>1959</v>
      </c>
      <c r="D120" s="259"/>
      <c r="E120" s="259" t="s">
        <v>3035</v>
      </c>
      <c r="F120" s="259">
        <v>3</v>
      </c>
      <c r="G120" s="213">
        <v>3765.88</v>
      </c>
      <c r="H120" s="214" t="s">
        <v>3117</v>
      </c>
      <c r="I120" s="273">
        <f>SUMIF('2020'!B:B,B120,'2020'!C:C)+SUMIF('2021'!B:B,B120,'2021'!C:C)+SUMIF('2022'!B:B,B120,'2022'!C:C)</f>
        <v>130000</v>
      </c>
      <c r="J120" s="59">
        <v>44925</v>
      </c>
      <c r="K120" s="213" t="s">
        <v>3118</v>
      </c>
    </row>
    <row r="121" spans="1:11" ht="17.25" customHeight="1" x14ac:dyDescent="0.3">
      <c r="A121" s="17" t="s">
        <v>143</v>
      </c>
      <c r="B121" s="20"/>
      <c r="C121" s="31" t="s">
        <v>3558</v>
      </c>
      <c r="D121" s="31" t="s">
        <v>3558</v>
      </c>
      <c r="E121" s="31" t="s">
        <v>3558</v>
      </c>
      <c r="F121" s="31" t="s">
        <v>3558</v>
      </c>
      <c r="G121" s="215">
        <f>SUM(G13:G120)</f>
        <v>319414.73000000004</v>
      </c>
      <c r="H121" s="173">
        <f>SUM(H13:H120)</f>
        <v>0</v>
      </c>
      <c r="I121" s="56">
        <f>SUM(I13:I120)</f>
        <v>160190292.24000001</v>
      </c>
      <c r="J121" s="31" t="s">
        <v>3558</v>
      </c>
      <c r="K121" s="31" t="s">
        <v>3558</v>
      </c>
    </row>
    <row r="122" spans="1:11" ht="17.25" customHeight="1" x14ac:dyDescent="0.3">
      <c r="A122" s="279" t="s">
        <v>144</v>
      </c>
      <c r="B122" s="20"/>
      <c r="C122" s="31"/>
      <c r="D122" s="31"/>
      <c r="E122" s="31"/>
      <c r="F122" s="31"/>
      <c r="G122" s="31"/>
      <c r="H122" s="173"/>
      <c r="I122" s="56"/>
      <c r="J122" s="31"/>
      <c r="K122" s="31"/>
    </row>
    <row r="123" spans="1:11" ht="17.25" customHeight="1" x14ac:dyDescent="0.3">
      <c r="A123" s="15">
        <f>A120+1</f>
        <v>109</v>
      </c>
      <c r="B123" s="20" t="s">
        <v>145</v>
      </c>
      <c r="C123" s="162">
        <v>1966</v>
      </c>
      <c r="D123" s="162"/>
      <c r="E123" s="259" t="s">
        <v>3035</v>
      </c>
      <c r="F123" s="162">
        <v>2</v>
      </c>
      <c r="G123" s="162">
        <v>382.9</v>
      </c>
      <c r="H123" s="48">
        <v>20</v>
      </c>
      <c r="I123" s="22">
        <f>'2021'!C94</f>
        <v>130000</v>
      </c>
      <c r="J123" s="59">
        <v>44925</v>
      </c>
      <c r="K123" s="162" t="s">
        <v>3118</v>
      </c>
    </row>
    <row r="124" spans="1:11" ht="17.25" customHeight="1" x14ac:dyDescent="0.3">
      <c r="A124" s="15">
        <f t="shared" ref="A124" si="4">A123+1</f>
        <v>110</v>
      </c>
      <c r="B124" s="20" t="s">
        <v>3594</v>
      </c>
      <c r="C124" s="162"/>
      <c r="D124" s="162"/>
      <c r="E124" s="259"/>
      <c r="F124" s="162"/>
      <c r="G124" s="162"/>
      <c r="H124" s="48"/>
      <c r="I124" s="273">
        <f>SUMIF('2020'!B:B,B124,'2020'!C:C)+SUMIF('2021'!B:B,B124,'2021'!C:C)+SUMIF('2022'!B:B,B124,'2022'!C:C)</f>
        <v>130000</v>
      </c>
      <c r="J124" s="59">
        <v>44925</v>
      </c>
      <c r="K124" s="162" t="s">
        <v>3118</v>
      </c>
    </row>
    <row r="125" spans="1:11" ht="17.25" customHeight="1" x14ac:dyDescent="0.3">
      <c r="A125" s="17" t="s">
        <v>143</v>
      </c>
      <c r="B125" s="20"/>
      <c r="C125" s="31" t="s">
        <v>3558</v>
      </c>
      <c r="D125" s="31" t="s">
        <v>3558</v>
      </c>
      <c r="E125" s="31" t="s">
        <v>3558</v>
      </c>
      <c r="F125" s="31" t="s">
        <v>3558</v>
      </c>
      <c r="G125" s="31">
        <f>G123</f>
        <v>382.9</v>
      </c>
      <c r="H125" s="173">
        <f>H123</f>
        <v>20</v>
      </c>
      <c r="I125" s="56">
        <f>I123</f>
        <v>130000</v>
      </c>
      <c r="J125" s="31" t="s">
        <v>3558</v>
      </c>
      <c r="K125" s="31" t="s">
        <v>3558</v>
      </c>
    </row>
    <row r="126" spans="1:11" ht="17.25" customHeight="1" x14ac:dyDescent="0.3">
      <c r="A126" s="279" t="s">
        <v>146</v>
      </c>
      <c r="B126" s="20"/>
      <c r="C126" s="31"/>
      <c r="D126" s="31"/>
      <c r="E126" s="31"/>
      <c r="F126" s="31"/>
      <c r="G126" s="31"/>
      <c r="H126" s="173"/>
      <c r="I126" s="56"/>
      <c r="J126" s="31"/>
      <c r="K126" s="31"/>
    </row>
    <row r="127" spans="1:11" ht="17.25" customHeight="1" x14ac:dyDescent="0.3">
      <c r="A127" s="15">
        <f>A124+1</f>
        <v>111</v>
      </c>
      <c r="B127" s="20" t="s">
        <v>147</v>
      </c>
      <c r="C127" s="162">
        <v>1969</v>
      </c>
      <c r="D127" s="31"/>
      <c r="E127" s="31" t="s">
        <v>3119</v>
      </c>
      <c r="F127" s="31">
        <v>5</v>
      </c>
      <c r="G127" s="31">
        <v>5579.8</v>
      </c>
      <c r="H127" s="173">
        <v>144</v>
      </c>
      <c r="I127" s="273">
        <f>SUMIF('2020'!B:B,B127,'2020'!C:C)+SUMIF('2021'!B:B,B127,'2021'!C:C)+SUMIF('2022'!B:B,B127,'2022'!C:C)</f>
        <v>130000</v>
      </c>
      <c r="J127" s="59">
        <v>44925</v>
      </c>
      <c r="K127" s="162" t="s">
        <v>3118</v>
      </c>
    </row>
    <row r="128" spans="1:11" ht="17.25" customHeight="1" x14ac:dyDescent="0.3">
      <c r="A128" s="15">
        <f t="shared" ref="A128:A144" si="5">A127+1</f>
        <v>112</v>
      </c>
      <c r="B128" s="20" t="s">
        <v>148</v>
      </c>
      <c r="C128" s="162">
        <v>1968</v>
      </c>
      <c r="D128" s="31"/>
      <c r="E128" s="31" t="s">
        <v>3119</v>
      </c>
      <c r="F128" s="31">
        <v>5</v>
      </c>
      <c r="G128" s="31">
        <v>5105.2</v>
      </c>
      <c r="H128" s="173">
        <v>147</v>
      </c>
      <c r="I128" s="273">
        <f>SUMIF('2020'!B:B,B128,'2020'!C:C)+SUMIF('2021'!B:B,B128,'2021'!C:C)+SUMIF('2022'!B:B,B128,'2022'!C:C)</f>
        <v>130000</v>
      </c>
      <c r="J128" s="59">
        <v>44925</v>
      </c>
      <c r="K128" s="162" t="s">
        <v>3118</v>
      </c>
    </row>
    <row r="129" spans="1:11" ht="17.25" customHeight="1" x14ac:dyDescent="0.3">
      <c r="A129" s="15">
        <f t="shared" si="5"/>
        <v>113</v>
      </c>
      <c r="B129" s="20" t="s">
        <v>149</v>
      </c>
      <c r="C129" s="162">
        <v>1951</v>
      </c>
      <c r="D129" s="31"/>
      <c r="E129" s="259" t="s">
        <v>3035</v>
      </c>
      <c r="F129" s="31">
        <v>2</v>
      </c>
      <c r="G129" s="31">
        <v>1028.2</v>
      </c>
      <c r="H129" s="173">
        <v>11</v>
      </c>
      <c r="I129" s="273">
        <f>SUMIF('2020'!B:B,B129,'2020'!C:C)+SUMIF('2021'!B:B,B129,'2021'!C:C)+SUMIF('2022'!B:B,B129,'2022'!C:C)</f>
        <v>86668.69</v>
      </c>
      <c r="J129" s="59">
        <v>44925</v>
      </c>
      <c r="K129" s="162" t="s">
        <v>3118</v>
      </c>
    </row>
    <row r="130" spans="1:11" ht="17.25" customHeight="1" x14ac:dyDescent="0.3">
      <c r="A130" s="15">
        <f t="shared" si="5"/>
        <v>114</v>
      </c>
      <c r="B130" s="20" t="s">
        <v>150</v>
      </c>
      <c r="C130" s="162">
        <v>1952</v>
      </c>
      <c r="D130" s="31"/>
      <c r="E130" s="259" t="s">
        <v>3035</v>
      </c>
      <c r="F130" s="31">
        <v>2</v>
      </c>
      <c r="G130" s="31">
        <v>462.4</v>
      </c>
      <c r="H130" s="173">
        <v>19</v>
      </c>
      <c r="I130" s="273">
        <f>SUMIF('2020'!B:B,B130,'2020'!C:C)+SUMIF('2021'!B:B,B130,'2021'!C:C)+SUMIF('2022'!B:B,B130,'2022'!C:C)</f>
        <v>214580.6</v>
      </c>
      <c r="J130" s="59">
        <v>44925</v>
      </c>
      <c r="K130" s="162" t="s">
        <v>3118</v>
      </c>
    </row>
    <row r="131" spans="1:11" ht="17.25" customHeight="1" x14ac:dyDescent="0.3">
      <c r="A131" s="15">
        <f t="shared" si="5"/>
        <v>115</v>
      </c>
      <c r="B131" s="20" t="s">
        <v>151</v>
      </c>
      <c r="C131" s="162">
        <v>1952</v>
      </c>
      <c r="D131" s="31"/>
      <c r="E131" s="259" t="s">
        <v>3035</v>
      </c>
      <c r="F131" s="31">
        <v>2</v>
      </c>
      <c r="G131" s="31">
        <v>463.1</v>
      </c>
      <c r="H131" s="173">
        <v>21</v>
      </c>
      <c r="I131" s="273">
        <f>SUMIF('2020'!B:B,B131,'2020'!C:C)+SUMIF('2021'!B:B,B131,'2021'!C:C)+SUMIF('2022'!B:B,B131,'2022'!C:C)</f>
        <v>213887.41</v>
      </c>
      <c r="J131" s="59">
        <v>44925</v>
      </c>
      <c r="K131" s="162" t="s">
        <v>3118</v>
      </c>
    </row>
    <row r="132" spans="1:11" ht="17.25" customHeight="1" x14ac:dyDescent="0.3">
      <c r="A132" s="15">
        <f t="shared" si="5"/>
        <v>116</v>
      </c>
      <c r="B132" s="20" t="s">
        <v>152</v>
      </c>
      <c r="C132" s="162">
        <v>1980</v>
      </c>
      <c r="D132" s="31"/>
      <c r="E132" s="259" t="s">
        <v>3035</v>
      </c>
      <c r="F132" s="31">
        <v>5</v>
      </c>
      <c r="G132" s="31">
        <v>7475.8</v>
      </c>
      <c r="H132" s="173">
        <v>210</v>
      </c>
      <c r="I132" s="273">
        <f>SUMIF('2020'!B:B,B132,'2020'!C:C)+SUMIF('2021'!B:B,B132,'2021'!C:C)+SUMIF('2022'!B:B,B132,'2022'!C:C)</f>
        <v>130000</v>
      </c>
      <c r="J132" s="59">
        <v>44925</v>
      </c>
      <c r="K132" s="162" t="s">
        <v>3118</v>
      </c>
    </row>
    <row r="133" spans="1:11" ht="17.25" customHeight="1" x14ac:dyDescent="0.3">
      <c r="A133" s="15">
        <f t="shared" si="5"/>
        <v>117</v>
      </c>
      <c r="B133" s="20" t="s">
        <v>153</v>
      </c>
      <c r="C133" s="162">
        <v>1952</v>
      </c>
      <c r="D133" s="31"/>
      <c r="E133" s="259" t="s">
        <v>3035</v>
      </c>
      <c r="F133" s="31">
        <v>2</v>
      </c>
      <c r="G133" s="31">
        <v>789.4</v>
      </c>
      <c r="H133" s="173">
        <v>38</v>
      </c>
      <c r="I133" s="273">
        <f>SUMIF('2020'!B:B,B133,'2020'!C:C)+SUMIF('2021'!B:B,B133,'2021'!C:C)+SUMIF('2022'!B:B,B133,'2022'!C:C)</f>
        <v>206467.06</v>
      </c>
      <c r="J133" s="59">
        <v>44925</v>
      </c>
      <c r="K133" s="162" t="s">
        <v>3118</v>
      </c>
    </row>
    <row r="134" spans="1:11" ht="17.25" customHeight="1" x14ac:dyDescent="0.3">
      <c r="A134" s="15">
        <f t="shared" si="5"/>
        <v>118</v>
      </c>
      <c r="B134" s="20" t="s">
        <v>154</v>
      </c>
      <c r="C134" s="162">
        <v>1952</v>
      </c>
      <c r="D134" s="31"/>
      <c r="E134" s="259" t="s">
        <v>3035</v>
      </c>
      <c r="F134" s="31">
        <v>2</v>
      </c>
      <c r="G134" s="31">
        <v>788.1</v>
      </c>
      <c r="H134" s="173">
        <v>29</v>
      </c>
      <c r="I134" s="273">
        <f>SUMIF('2020'!B:B,B134,'2020'!C:C)+SUMIF('2021'!B:B,B134,'2021'!C:C)+SUMIF('2022'!B:B,B134,'2022'!C:C)</f>
        <v>206853.66</v>
      </c>
      <c r="J134" s="59">
        <v>44925</v>
      </c>
      <c r="K134" s="162" t="s">
        <v>3118</v>
      </c>
    </row>
    <row r="135" spans="1:11" ht="17.25" customHeight="1" x14ac:dyDescent="0.3">
      <c r="A135" s="15">
        <f t="shared" si="5"/>
        <v>119</v>
      </c>
      <c r="B135" s="20" t="s">
        <v>155</v>
      </c>
      <c r="C135" s="162">
        <v>1952</v>
      </c>
      <c r="D135" s="31"/>
      <c r="E135" s="259" t="s">
        <v>3035</v>
      </c>
      <c r="F135" s="31">
        <v>2</v>
      </c>
      <c r="G135" s="31">
        <v>572.4</v>
      </c>
      <c r="H135" s="173">
        <v>23</v>
      </c>
      <c r="I135" s="273">
        <f>SUMIF('2020'!B:B,B135,'2020'!C:C)+SUMIF('2021'!B:B,B135,'2021'!C:C)+SUMIF('2022'!B:B,B135,'2022'!C:C)</f>
        <v>191165.9</v>
      </c>
      <c r="J135" s="59">
        <v>44925</v>
      </c>
      <c r="K135" s="162" t="s">
        <v>3118</v>
      </c>
    </row>
    <row r="136" spans="1:11" ht="17.25" customHeight="1" x14ac:dyDescent="0.3">
      <c r="A136" s="15">
        <f t="shared" si="5"/>
        <v>120</v>
      </c>
      <c r="B136" s="20" t="s">
        <v>156</v>
      </c>
      <c r="C136" s="162">
        <v>1952</v>
      </c>
      <c r="D136" s="31"/>
      <c r="E136" s="259" t="s">
        <v>3035</v>
      </c>
      <c r="F136" s="31">
        <v>2</v>
      </c>
      <c r="G136" s="31">
        <v>584.79999999999995</v>
      </c>
      <c r="H136" s="173">
        <v>21</v>
      </c>
      <c r="I136" s="273">
        <f>SUMIF('2020'!B:B,B136,'2020'!C:C)+SUMIF('2021'!B:B,B136,'2021'!C:C)+SUMIF('2022'!B:B,B136,'2022'!C:C)</f>
        <v>192695.06</v>
      </c>
      <c r="J136" s="59">
        <v>44925</v>
      </c>
      <c r="K136" s="162" t="s">
        <v>3118</v>
      </c>
    </row>
    <row r="137" spans="1:11" ht="17.25" customHeight="1" x14ac:dyDescent="0.3">
      <c r="A137" s="15">
        <f t="shared" si="5"/>
        <v>121</v>
      </c>
      <c r="B137" s="20" t="s">
        <v>157</v>
      </c>
      <c r="C137" s="162">
        <v>1952</v>
      </c>
      <c r="D137" s="31"/>
      <c r="E137" s="259" t="s">
        <v>3035</v>
      </c>
      <c r="F137" s="31">
        <v>2</v>
      </c>
      <c r="G137" s="31">
        <v>1106.3</v>
      </c>
      <c r="H137" s="173">
        <v>38</v>
      </c>
      <c r="I137" s="273">
        <f>SUMIF('2020'!B:B,B137,'2020'!C:C)+SUMIF('2021'!B:B,B137,'2021'!C:C)+SUMIF('2022'!B:B,B137,'2022'!C:C)</f>
        <v>217866.32</v>
      </c>
      <c r="J137" s="59">
        <v>44925</v>
      </c>
      <c r="K137" s="162" t="s">
        <v>3118</v>
      </c>
    </row>
    <row r="138" spans="1:11" ht="17.25" customHeight="1" x14ac:dyDescent="0.3">
      <c r="A138" s="15">
        <f t="shared" si="5"/>
        <v>122</v>
      </c>
      <c r="B138" s="20" t="s">
        <v>158</v>
      </c>
      <c r="C138" s="162">
        <v>1989</v>
      </c>
      <c r="D138" s="31"/>
      <c r="E138" s="31" t="s">
        <v>3119</v>
      </c>
      <c r="F138" s="31">
        <v>9</v>
      </c>
      <c r="G138" s="31">
        <v>5845.5</v>
      </c>
      <c r="H138" s="173">
        <v>175</v>
      </c>
      <c r="I138" s="273">
        <f>SUMIF('2020'!B:B,B138,'2020'!C:C)+SUMIF('2021'!B:B,B138,'2021'!C:C)+SUMIF('2022'!B:B,B138,'2022'!C:C)</f>
        <v>13630144.390000001</v>
      </c>
      <c r="J138" s="59">
        <v>44925</v>
      </c>
      <c r="K138" s="162" t="s">
        <v>3118</v>
      </c>
    </row>
    <row r="139" spans="1:11" ht="17.25" customHeight="1" x14ac:dyDescent="0.3">
      <c r="A139" s="15">
        <f t="shared" si="5"/>
        <v>123</v>
      </c>
      <c r="B139" s="20" t="s">
        <v>159</v>
      </c>
      <c r="C139" s="162">
        <v>1958</v>
      </c>
      <c r="D139" s="31"/>
      <c r="E139" s="259" t="s">
        <v>3035</v>
      </c>
      <c r="F139" s="31">
        <v>3</v>
      </c>
      <c r="G139" s="31">
        <v>943.2</v>
      </c>
      <c r="H139" s="173">
        <v>35</v>
      </c>
      <c r="I139" s="273">
        <f>SUMIF('2020'!B:B,B139,'2020'!C:C)+SUMIF('2021'!B:B,B139,'2021'!C:C)+SUMIF('2022'!B:B,B139,'2022'!C:C)</f>
        <v>3169645.2</v>
      </c>
      <c r="J139" s="59">
        <v>44925</v>
      </c>
      <c r="K139" s="162" t="s">
        <v>3118</v>
      </c>
    </row>
    <row r="140" spans="1:11" ht="17.25" customHeight="1" x14ac:dyDescent="0.3">
      <c r="A140" s="15">
        <f t="shared" si="5"/>
        <v>124</v>
      </c>
      <c r="B140" s="20" t="s">
        <v>160</v>
      </c>
      <c r="C140" s="162">
        <v>1951</v>
      </c>
      <c r="D140" s="31"/>
      <c r="E140" s="259" t="s">
        <v>3035</v>
      </c>
      <c r="F140" s="31">
        <v>2</v>
      </c>
      <c r="G140" s="31">
        <v>1680.2</v>
      </c>
      <c r="H140" s="173">
        <v>16</v>
      </c>
      <c r="I140" s="273">
        <f>SUMIF('2020'!B:B,B140,'2020'!C:C)+SUMIF('2021'!B:B,B140,'2021'!C:C)+SUMIF('2022'!B:B,B140,'2022'!C:C)</f>
        <v>130000</v>
      </c>
      <c r="J140" s="59">
        <v>44925</v>
      </c>
      <c r="K140" s="162" t="s">
        <v>3118</v>
      </c>
    </row>
    <row r="141" spans="1:11" ht="17.25" customHeight="1" x14ac:dyDescent="0.3">
      <c r="A141" s="15">
        <f t="shared" si="5"/>
        <v>125</v>
      </c>
      <c r="B141" s="20" t="s">
        <v>161</v>
      </c>
      <c r="C141" s="162">
        <v>1952</v>
      </c>
      <c r="D141" s="31"/>
      <c r="E141" s="259" t="s">
        <v>3035</v>
      </c>
      <c r="F141" s="31">
        <v>2</v>
      </c>
      <c r="G141" s="31">
        <v>572.29999999999995</v>
      </c>
      <c r="H141" s="173">
        <v>20</v>
      </c>
      <c r="I141" s="273">
        <f>SUMIF('2020'!B:B,B141,'2020'!C:C)+SUMIF('2021'!B:B,B141,'2021'!C:C)+SUMIF('2022'!B:B,B141,'2022'!C:C)</f>
        <v>187546.98</v>
      </c>
      <c r="J141" s="59">
        <v>44925</v>
      </c>
      <c r="K141" s="162" t="s">
        <v>3118</v>
      </c>
    </row>
    <row r="142" spans="1:11" ht="17.25" customHeight="1" x14ac:dyDescent="0.3">
      <c r="A142" s="15">
        <f t="shared" si="5"/>
        <v>126</v>
      </c>
      <c r="B142" s="20" t="s">
        <v>162</v>
      </c>
      <c r="C142" s="162">
        <v>1952</v>
      </c>
      <c r="D142" s="31"/>
      <c r="E142" s="259" t="s">
        <v>3035</v>
      </c>
      <c r="F142" s="31">
        <v>2</v>
      </c>
      <c r="G142" s="31">
        <v>651.29999999999995</v>
      </c>
      <c r="H142" s="173">
        <v>22</v>
      </c>
      <c r="I142" s="273">
        <f>SUMIF('2020'!B:B,B142,'2020'!C:C)+SUMIF('2021'!B:B,B142,'2021'!C:C)+SUMIF('2022'!B:B,B142,'2022'!C:C)</f>
        <v>130507.14</v>
      </c>
      <c r="J142" s="59">
        <v>44925</v>
      </c>
      <c r="K142" s="162" t="s">
        <v>3118</v>
      </c>
    </row>
    <row r="143" spans="1:11" ht="17.25" customHeight="1" x14ac:dyDescent="0.3">
      <c r="A143" s="15">
        <f t="shared" si="5"/>
        <v>127</v>
      </c>
      <c r="B143" s="20" t="s">
        <v>163</v>
      </c>
      <c r="C143" s="162">
        <v>1979</v>
      </c>
      <c r="D143" s="31"/>
      <c r="E143" s="259" t="s">
        <v>3035</v>
      </c>
      <c r="F143" s="31">
        <v>5</v>
      </c>
      <c r="G143" s="31">
        <v>6182</v>
      </c>
      <c r="H143" s="173">
        <v>124</v>
      </c>
      <c r="I143" s="273">
        <f>SUMIF('2020'!B:B,B143,'2020'!C:C)+SUMIF('2021'!B:B,B143,'2021'!C:C)+SUMIF('2022'!B:B,B143,'2022'!C:C)</f>
        <v>4529871.5999999996</v>
      </c>
      <c r="J143" s="59">
        <v>44925</v>
      </c>
      <c r="K143" s="162" t="s">
        <v>3118</v>
      </c>
    </row>
    <row r="144" spans="1:11" ht="17.25" customHeight="1" x14ac:dyDescent="0.3">
      <c r="A144" s="15">
        <f t="shared" si="5"/>
        <v>128</v>
      </c>
      <c r="B144" s="20" t="s">
        <v>164</v>
      </c>
      <c r="C144" s="162">
        <v>1993</v>
      </c>
      <c r="D144" s="31"/>
      <c r="E144" s="259" t="s">
        <v>3035</v>
      </c>
      <c r="F144" s="31">
        <v>5.6</v>
      </c>
      <c r="G144" s="31">
        <v>3487.1</v>
      </c>
      <c r="H144" s="173">
        <v>149</v>
      </c>
      <c r="I144" s="273">
        <f>SUMIF('2020'!B:B,B144,'2020'!C:C)+SUMIF('2021'!B:B,B144,'2021'!C:C)+SUMIF('2022'!B:B,B144,'2022'!C:C)</f>
        <v>15816529.789999999</v>
      </c>
      <c r="J144" s="59">
        <v>44925</v>
      </c>
      <c r="K144" s="162" t="s">
        <v>3118</v>
      </c>
    </row>
    <row r="145" spans="1:11" ht="17.25" customHeight="1" x14ac:dyDescent="0.3">
      <c r="A145" s="17" t="s">
        <v>143</v>
      </c>
      <c r="B145" s="20"/>
      <c r="C145" s="31" t="s">
        <v>3558</v>
      </c>
      <c r="D145" s="31" t="s">
        <v>3558</v>
      </c>
      <c r="E145" s="31" t="s">
        <v>3558</v>
      </c>
      <c r="F145" s="31" t="s">
        <v>3558</v>
      </c>
      <c r="G145" s="31">
        <f>SUM(G127:G144)</f>
        <v>43317.100000000006</v>
      </c>
      <c r="H145" s="173">
        <f>SUM(H127:H144)</f>
        <v>1242</v>
      </c>
      <c r="I145" s="56">
        <f>SUM(I127:I144)</f>
        <v>39514429.799999997</v>
      </c>
      <c r="J145" s="31" t="s">
        <v>3558</v>
      </c>
      <c r="K145" s="31" t="s">
        <v>3558</v>
      </c>
    </row>
    <row r="146" spans="1:11" ht="17.25" customHeight="1" x14ac:dyDescent="0.3">
      <c r="A146" s="19" t="s">
        <v>165</v>
      </c>
      <c r="B146" s="253"/>
      <c r="C146" s="31"/>
      <c r="D146" s="31"/>
      <c r="E146" s="31"/>
      <c r="F146" s="31"/>
      <c r="G146" s="31"/>
      <c r="H146" s="173"/>
      <c r="I146" s="56"/>
      <c r="J146" s="31"/>
      <c r="K146" s="31"/>
    </row>
    <row r="147" spans="1:11" ht="17.25" customHeight="1" x14ac:dyDescent="0.3">
      <c r="A147" s="15">
        <f>A144+1</f>
        <v>129</v>
      </c>
      <c r="B147" s="20" t="s">
        <v>166</v>
      </c>
      <c r="C147" s="162">
        <v>1985</v>
      </c>
      <c r="D147" s="31"/>
      <c r="E147" s="31" t="s">
        <v>3119</v>
      </c>
      <c r="F147" s="31">
        <v>5</v>
      </c>
      <c r="G147" s="31">
        <v>2985.2</v>
      </c>
      <c r="H147" s="173">
        <v>139</v>
      </c>
      <c r="I147" s="273">
        <f>SUMIF('2020'!B:B,B147,'2020'!C:C)+SUMIF('2021'!B:B,B147,'2021'!C:C)+SUMIF('2022'!B:B,B147,'2022'!C:C)</f>
        <v>10184713.199999999</v>
      </c>
      <c r="J147" s="59">
        <v>44925</v>
      </c>
      <c r="K147" s="162" t="s">
        <v>3118</v>
      </c>
    </row>
    <row r="148" spans="1:11" ht="17.25" customHeight="1" x14ac:dyDescent="0.3">
      <c r="A148" s="15">
        <f>A147+1</f>
        <v>130</v>
      </c>
      <c r="B148" s="20" t="s">
        <v>167</v>
      </c>
      <c r="C148" s="162">
        <v>1981</v>
      </c>
      <c r="D148" s="31"/>
      <c r="E148" s="31" t="s">
        <v>3119</v>
      </c>
      <c r="F148" s="31">
        <v>5</v>
      </c>
      <c r="G148" s="31">
        <v>4271.2</v>
      </c>
      <c r="H148" s="173">
        <v>160</v>
      </c>
      <c r="I148" s="273">
        <f>SUMIF('2020'!B:B,B148,'2020'!C:C)+SUMIF('2021'!B:B,B148,'2021'!C:C)+SUMIF('2022'!B:B,B148,'2022'!C:C)</f>
        <v>14431983.799999999</v>
      </c>
      <c r="J148" s="59">
        <v>44925</v>
      </c>
      <c r="K148" s="162" t="s">
        <v>3118</v>
      </c>
    </row>
    <row r="149" spans="1:11" ht="17.25" customHeight="1" x14ac:dyDescent="0.3">
      <c r="A149" s="15">
        <f>A148+1</f>
        <v>131</v>
      </c>
      <c r="B149" s="20" t="s">
        <v>168</v>
      </c>
      <c r="C149" s="162">
        <v>1917</v>
      </c>
      <c r="D149" s="31"/>
      <c r="E149" s="31" t="s">
        <v>3120</v>
      </c>
      <c r="F149" s="31">
        <v>2</v>
      </c>
      <c r="G149" s="31">
        <v>121.9</v>
      </c>
      <c r="H149" s="173">
        <v>4</v>
      </c>
      <c r="I149" s="273">
        <f>SUMIF('2020'!B:B,B149,'2020'!C:C)+SUMIF('2021'!B:B,B149,'2021'!C:C)+SUMIF('2022'!B:B,B149,'2022'!C:C)</f>
        <v>130000</v>
      </c>
      <c r="J149" s="59">
        <v>44925</v>
      </c>
      <c r="K149" s="162" t="s">
        <v>3118</v>
      </c>
    </row>
    <row r="150" spans="1:11" ht="17.25" customHeight="1" x14ac:dyDescent="0.3">
      <c r="A150" s="17" t="s">
        <v>143</v>
      </c>
      <c r="B150" s="20"/>
      <c r="C150" s="31" t="s">
        <v>3558</v>
      </c>
      <c r="D150" s="31" t="s">
        <v>3558</v>
      </c>
      <c r="E150" s="31" t="s">
        <v>3558</v>
      </c>
      <c r="F150" s="31" t="s">
        <v>3558</v>
      </c>
      <c r="G150" s="31">
        <f>SUM(G147:G149)</f>
        <v>7378.2999999999993</v>
      </c>
      <c r="H150" s="173">
        <f>SUM(H147:H149)</f>
        <v>303</v>
      </c>
      <c r="I150" s="56">
        <f>SUM(I147:I149)</f>
        <v>24746697</v>
      </c>
      <c r="J150" s="31" t="s">
        <v>3558</v>
      </c>
      <c r="K150" s="31" t="s">
        <v>3558</v>
      </c>
    </row>
    <row r="151" spans="1:11" ht="17.25" customHeight="1" x14ac:dyDescent="0.3">
      <c r="A151" s="19" t="s">
        <v>169</v>
      </c>
      <c r="B151" s="20"/>
      <c r="C151" s="31"/>
      <c r="D151" s="31"/>
      <c r="E151" s="31"/>
      <c r="F151" s="31"/>
      <c r="G151" s="31"/>
      <c r="H151" s="173"/>
      <c r="I151" s="56"/>
      <c r="J151" s="31"/>
      <c r="K151" s="31"/>
    </row>
    <row r="152" spans="1:11" ht="17.25" customHeight="1" x14ac:dyDescent="0.3">
      <c r="A152" s="15">
        <f>A149+1</f>
        <v>132</v>
      </c>
      <c r="B152" s="20" t="s">
        <v>170</v>
      </c>
      <c r="C152" s="162">
        <v>1970</v>
      </c>
      <c r="D152" s="31"/>
      <c r="E152" s="259" t="s">
        <v>3035</v>
      </c>
      <c r="F152" s="31">
        <v>2</v>
      </c>
      <c r="G152" s="31">
        <v>585</v>
      </c>
      <c r="H152" s="173">
        <v>19</v>
      </c>
      <c r="I152" s="273">
        <f>SUMIF('2020'!B:B,B152,'2020'!C:C)+SUMIF('2021'!B:B,B152,'2021'!C:C)+SUMIF('2022'!B:B,B152,'2022'!C:C)</f>
        <v>1792869.25</v>
      </c>
      <c r="J152" s="59">
        <v>44925</v>
      </c>
      <c r="K152" s="162" t="s">
        <v>3118</v>
      </c>
    </row>
    <row r="153" spans="1:11" ht="17.25" customHeight="1" x14ac:dyDescent="0.3">
      <c r="A153" s="15">
        <f t="shared" ref="A153:A162" si="6">A152+1</f>
        <v>133</v>
      </c>
      <c r="B153" s="20" t="s">
        <v>171</v>
      </c>
      <c r="C153" s="162">
        <v>1984</v>
      </c>
      <c r="D153" s="31"/>
      <c r="E153" s="259" t="s">
        <v>3035</v>
      </c>
      <c r="F153" s="31">
        <v>3</v>
      </c>
      <c r="G153" s="31">
        <v>1457</v>
      </c>
      <c r="H153" s="173">
        <v>54</v>
      </c>
      <c r="I153" s="273">
        <f>SUMIF('2020'!B:B,B153,'2020'!C:C)+SUMIF('2021'!B:B,B153,'2021'!C:C)+SUMIF('2022'!B:B,B153,'2022'!C:C)</f>
        <v>3330748.8</v>
      </c>
      <c r="J153" s="59">
        <v>44925</v>
      </c>
      <c r="K153" s="162" t="s">
        <v>3118</v>
      </c>
    </row>
    <row r="154" spans="1:11" ht="17.25" customHeight="1" x14ac:dyDescent="0.3">
      <c r="A154" s="15">
        <f t="shared" si="6"/>
        <v>134</v>
      </c>
      <c r="B154" s="20" t="s">
        <v>172</v>
      </c>
      <c r="C154" s="162">
        <v>1985</v>
      </c>
      <c r="D154" s="31"/>
      <c r="E154" s="259" t="s">
        <v>3035</v>
      </c>
      <c r="F154" s="31">
        <v>3</v>
      </c>
      <c r="G154" s="31">
        <v>1457</v>
      </c>
      <c r="H154" s="173">
        <v>56</v>
      </c>
      <c r="I154" s="273">
        <f>SUMIF('2020'!B:B,B154,'2020'!C:C)+SUMIF('2021'!B:B,B154,'2021'!C:C)+SUMIF('2022'!B:B,B154,'2022'!C:C)</f>
        <v>2507434.79</v>
      </c>
      <c r="J154" s="59">
        <v>44925</v>
      </c>
      <c r="K154" s="162" t="s">
        <v>3118</v>
      </c>
    </row>
    <row r="155" spans="1:11" ht="17.25" customHeight="1" x14ac:dyDescent="0.3">
      <c r="A155" s="15">
        <f t="shared" si="6"/>
        <v>135</v>
      </c>
      <c r="B155" s="20" t="s">
        <v>173</v>
      </c>
      <c r="C155" s="162">
        <v>1985</v>
      </c>
      <c r="D155" s="31"/>
      <c r="E155" s="31" t="s">
        <v>3121</v>
      </c>
      <c r="F155" s="31">
        <v>3</v>
      </c>
      <c r="G155" s="31">
        <v>1950</v>
      </c>
      <c r="H155" s="173">
        <v>64</v>
      </c>
      <c r="I155" s="273">
        <f>SUMIF('2020'!B:B,B155,'2020'!C:C)+SUMIF('2021'!B:B,B155,'2021'!C:C)+SUMIF('2022'!B:B,B155,'2022'!C:C)</f>
        <v>349933.39</v>
      </c>
      <c r="J155" s="59">
        <v>44925</v>
      </c>
      <c r="K155" s="162" t="s">
        <v>3118</v>
      </c>
    </row>
    <row r="156" spans="1:11" ht="17.25" customHeight="1" x14ac:dyDescent="0.3">
      <c r="A156" s="15">
        <f t="shared" si="6"/>
        <v>136</v>
      </c>
      <c r="B156" s="20" t="s">
        <v>174</v>
      </c>
      <c r="C156" s="162">
        <v>1969</v>
      </c>
      <c r="D156" s="31"/>
      <c r="E156" s="259" t="s">
        <v>3035</v>
      </c>
      <c r="F156" s="31">
        <v>2</v>
      </c>
      <c r="G156" s="31">
        <v>580</v>
      </c>
      <c r="H156" s="173">
        <v>20</v>
      </c>
      <c r="I156" s="273">
        <f>SUMIF('2020'!B:B,B156,'2020'!C:C)+SUMIF('2021'!B:B,B156,'2021'!C:C)+SUMIF('2022'!B:B,B156,'2022'!C:C)</f>
        <v>3018539.5300000003</v>
      </c>
      <c r="J156" s="59">
        <v>44925</v>
      </c>
      <c r="K156" s="162" t="s">
        <v>3118</v>
      </c>
    </row>
    <row r="157" spans="1:11" ht="17.25" customHeight="1" x14ac:dyDescent="0.3">
      <c r="A157" s="15">
        <f t="shared" si="6"/>
        <v>137</v>
      </c>
      <c r="B157" s="20" t="s">
        <v>175</v>
      </c>
      <c r="C157" s="162">
        <v>1973</v>
      </c>
      <c r="D157" s="31"/>
      <c r="E157" s="259" t="s">
        <v>3035</v>
      </c>
      <c r="F157" s="31">
        <v>2</v>
      </c>
      <c r="G157" s="31">
        <v>962</v>
      </c>
      <c r="H157" s="173">
        <v>36</v>
      </c>
      <c r="I157" s="273">
        <f>SUMIF('2020'!B:B,B157,'2020'!C:C)+SUMIF('2021'!B:B,B157,'2021'!C:C)+SUMIF('2022'!B:B,B157,'2022'!C:C)</f>
        <v>5294536.63</v>
      </c>
      <c r="J157" s="59">
        <v>44925</v>
      </c>
      <c r="K157" s="162" t="s">
        <v>3118</v>
      </c>
    </row>
    <row r="158" spans="1:11" ht="17.25" customHeight="1" x14ac:dyDescent="0.3">
      <c r="A158" s="15">
        <f t="shared" si="6"/>
        <v>138</v>
      </c>
      <c r="B158" s="20" t="s">
        <v>176</v>
      </c>
      <c r="C158" s="162">
        <v>1977</v>
      </c>
      <c r="D158" s="31"/>
      <c r="E158" s="259" t="s">
        <v>3035</v>
      </c>
      <c r="F158" s="31">
        <v>3</v>
      </c>
      <c r="G158" s="31">
        <v>1470</v>
      </c>
      <c r="H158" s="173">
        <v>51</v>
      </c>
      <c r="I158" s="273">
        <f>SUMIF('2020'!B:B,B158,'2020'!C:C)+SUMIF('2021'!B:B,B158,'2021'!C:C)+SUMIF('2022'!B:B,B158,'2022'!C:C)</f>
        <v>3332014.21</v>
      </c>
      <c r="J158" s="59">
        <v>44925</v>
      </c>
      <c r="K158" s="162" t="s">
        <v>3118</v>
      </c>
    </row>
    <row r="159" spans="1:11" ht="17.25" customHeight="1" x14ac:dyDescent="0.3">
      <c r="A159" s="15">
        <f t="shared" si="6"/>
        <v>139</v>
      </c>
      <c r="B159" s="20" t="s">
        <v>177</v>
      </c>
      <c r="C159" s="162">
        <v>1977</v>
      </c>
      <c r="D159" s="31"/>
      <c r="E159" s="259" t="s">
        <v>3035</v>
      </c>
      <c r="F159" s="31">
        <v>3</v>
      </c>
      <c r="G159" s="31">
        <v>1457</v>
      </c>
      <c r="H159" s="173">
        <v>41</v>
      </c>
      <c r="I159" s="273">
        <f>SUMIF('2020'!B:B,B159,'2020'!C:C)+SUMIF('2021'!B:B,B159,'2021'!C:C)+SUMIF('2022'!B:B,B159,'2022'!C:C)</f>
        <v>3183964.81</v>
      </c>
      <c r="J159" s="59">
        <v>44925</v>
      </c>
      <c r="K159" s="162" t="s">
        <v>3118</v>
      </c>
    </row>
    <row r="160" spans="1:11" ht="17.25" customHeight="1" x14ac:dyDescent="0.3">
      <c r="A160" s="15">
        <f t="shared" si="6"/>
        <v>140</v>
      </c>
      <c r="B160" s="20" t="s">
        <v>178</v>
      </c>
      <c r="C160" s="162">
        <v>1978</v>
      </c>
      <c r="D160" s="31"/>
      <c r="E160" s="259" t="s">
        <v>3035</v>
      </c>
      <c r="F160" s="31">
        <v>3</v>
      </c>
      <c r="G160" s="31">
        <v>1455</v>
      </c>
      <c r="H160" s="173">
        <v>37</v>
      </c>
      <c r="I160" s="273">
        <f>SUMIF('2020'!B:B,B160,'2020'!C:C)+SUMIF('2021'!B:B,B160,'2021'!C:C)+SUMIF('2022'!B:B,B160,'2022'!C:C)</f>
        <v>3183964.81</v>
      </c>
      <c r="J160" s="59">
        <v>44925</v>
      </c>
      <c r="K160" s="162" t="s">
        <v>3118</v>
      </c>
    </row>
    <row r="161" spans="1:13" ht="17.25" customHeight="1" x14ac:dyDescent="0.3">
      <c r="A161" s="15">
        <f t="shared" si="6"/>
        <v>141</v>
      </c>
      <c r="B161" s="20" t="s">
        <v>179</v>
      </c>
      <c r="C161" s="162">
        <v>1978</v>
      </c>
      <c r="D161" s="31"/>
      <c r="E161" s="259" t="s">
        <v>3035</v>
      </c>
      <c r="F161" s="31">
        <v>3</v>
      </c>
      <c r="G161" s="31">
        <v>1457</v>
      </c>
      <c r="H161" s="173">
        <v>62</v>
      </c>
      <c r="I161" s="273">
        <f>SUMIF('2020'!B:B,B161,'2020'!C:C)+SUMIF('2021'!B:B,B161,'2021'!C:C)+SUMIF('2022'!B:B,B161,'2022'!C:C)</f>
        <v>8445064.8100000005</v>
      </c>
      <c r="J161" s="59">
        <v>44925</v>
      </c>
      <c r="K161" s="162" t="s">
        <v>3118</v>
      </c>
    </row>
    <row r="162" spans="1:13" ht="17.25" customHeight="1" x14ac:dyDescent="0.3">
      <c r="A162" s="15">
        <f t="shared" si="6"/>
        <v>142</v>
      </c>
      <c r="B162" s="20" t="s">
        <v>180</v>
      </c>
      <c r="C162" s="162">
        <v>1980</v>
      </c>
      <c r="D162" s="31"/>
      <c r="E162" s="259" t="s">
        <v>3035</v>
      </c>
      <c r="F162" s="31">
        <v>3</v>
      </c>
      <c r="G162" s="31">
        <v>1457</v>
      </c>
      <c r="H162" s="173">
        <v>38</v>
      </c>
      <c r="I162" s="273">
        <f>SUMIF('2020'!B:B,B162,'2020'!C:C)+SUMIF('2021'!B:B,B162,'2021'!C:C)+SUMIF('2022'!B:B,B162,'2022'!C:C)</f>
        <v>8445064.8100000005</v>
      </c>
      <c r="J162" s="59">
        <v>44925</v>
      </c>
      <c r="K162" s="162" t="s">
        <v>3118</v>
      </c>
    </row>
    <row r="163" spans="1:13" ht="17.25" customHeight="1" x14ac:dyDescent="0.3">
      <c r="A163" s="17" t="s">
        <v>143</v>
      </c>
      <c r="B163" s="20"/>
      <c r="C163" s="31" t="s">
        <v>3558</v>
      </c>
      <c r="D163" s="31" t="s">
        <v>3558</v>
      </c>
      <c r="E163" s="31" t="s">
        <v>3558</v>
      </c>
      <c r="F163" s="31" t="s">
        <v>3558</v>
      </c>
      <c r="G163" s="31">
        <f>SUM(G152:G162)</f>
        <v>14287</v>
      </c>
      <c r="H163" s="173">
        <f>SUM(H152:H162)</f>
        <v>478</v>
      </c>
      <c r="I163" s="56">
        <f>SUM(I152:I162)</f>
        <v>42884135.840000004</v>
      </c>
      <c r="J163" s="31" t="s">
        <v>3558</v>
      </c>
      <c r="K163" s="31" t="s">
        <v>3558</v>
      </c>
    </row>
    <row r="164" spans="1:13" ht="17.25" customHeight="1" x14ac:dyDescent="0.3">
      <c r="A164" s="19" t="s">
        <v>181</v>
      </c>
      <c r="B164" s="250"/>
      <c r="C164" s="31"/>
      <c r="D164" s="31"/>
      <c r="E164" s="31"/>
      <c r="F164" s="31"/>
      <c r="G164" s="31"/>
      <c r="H164" s="173"/>
      <c r="I164" s="56"/>
      <c r="J164" s="31"/>
      <c r="K164" s="31"/>
    </row>
    <row r="165" spans="1:13" ht="17.25" customHeight="1" x14ac:dyDescent="0.3">
      <c r="A165" s="15">
        <f>A162+1</f>
        <v>143</v>
      </c>
      <c r="B165" s="20" t="s">
        <v>182</v>
      </c>
      <c r="C165" s="162">
        <v>1970</v>
      </c>
      <c r="D165" s="31"/>
      <c r="E165" s="259" t="s">
        <v>3035</v>
      </c>
      <c r="F165" s="31">
        <v>2</v>
      </c>
      <c r="G165" s="31">
        <v>574</v>
      </c>
      <c r="H165" s="173">
        <v>7</v>
      </c>
      <c r="I165" s="273">
        <f>SUMIF('2020'!B:B,B165,'2020'!C:C)+SUMIF('2021'!B:B,B165,'2021'!C:C)+SUMIF('2022'!B:B,B165,'2022'!C:C)</f>
        <v>3139575.36</v>
      </c>
      <c r="J165" s="59">
        <v>44925</v>
      </c>
      <c r="K165" s="162" t="s">
        <v>3118</v>
      </c>
    </row>
    <row r="166" spans="1:13" ht="17.25" customHeight="1" x14ac:dyDescent="0.3">
      <c r="A166" s="15">
        <f t="shared" ref="A166:A174" si="7">A165+1</f>
        <v>144</v>
      </c>
      <c r="B166" s="20" t="s">
        <v>183</v>
      </c>
      <c r="C166" s="162">
        <v>1970</v>
      </c>
      <c r="D166" s="31"/>
      <c r="E166" s="259" t="s">
        <v>3035</v>
      </c>
      <c r="F166" s="31">
        <v>2</v>
      </c>
      <c r="G166" s="31">
        <v>573.9</v>
      </c>
      <c r="H166" s="173">
        <v>27</v>
      </c>
      <c r="I166" s="273">
        <f>SUMIF('2020'!B:B,B166,'2020'!C:C)+SUMIF('2021'!B:B,B166,'2021'!C:C)+SUMIF('2022'!B:B,B166,'2022'!C:C)</f>
        <v>104325.36</v>
      </c>
      <c r="J166" s="59">
        <v>44925</v>
      </c>
      <c r="K166" s="162" t="s">
        <v>3118</v>
      </c>
    </row>
    <row r="167" spans="1:13" ht="17.25" customHeight="1" x14ac:dyDescent="0.3">
      <c r="A167" s="15">
        <f t="shared" si="7"/>
        <v>145</v>
      </c>
      <c r="B167" s="20" t="s">
        <v>184</v>
      </c>
      <c r="C167" s="162">
        <v>1974</v>
      </c>
      <c r="D167" s="31"/>
      <c r="E167" s="259" t="s">
        <v>3035</v>
      </c>
      <c r="F167" s="31">
        <v>2</v>
      </c>
      <c r="G167" s="31">
        <v>953.7</v>
      </c>
      <c r="H167" s="173">
        <v>34</v>
      </c>
      <c r="I167" s="273">
        <f>SUMIF('2020'!B:B,B167,'2020'!C:C)+SUMIF('2021'!B:B,B167,'2021'!C:C)+SUMIF('2022'!B:B,B167,'2022'!C:C)</f>
        <v>199820.6</v>
      </c>
      <c r="J167" s="59">
        <v>44925</v>
      </c>
      <c r="K167" s="162" t="s">
        <v>3118</v>
      </c>
    </row>
    <row r="168" spans="1:13" ht="17.25" customHeight="1" x14ac:dyDescent="0.3">
      <c r="A168" s="15">
        <f t="shared" si="7"/>
        <v>146</v>
      </c>
      <c r="B168" s="20" t="s">
        <v>185</v>
      </c>
      <c r="C168" s="162">
        <v>1977</v>
      </c>
      <c r="D168" s="31"/>
      <c r="E168" s="259" t="s">
        <v>3035</v>
      </c>
      <c r="F168" s="31">
        <v>3</v>
      </c>
      <c r="G168" s="31">
        <v>1942.6</v>
      </c>
      <c r="H168" s="173">
        <v>51</v>
      </c>
      <c r="I168" s="273">
        <f>SUMIF('2020'!B:B,B168,'2020'!C:C)+SUMIF('2021'!B:B,B168,'2021'!C:C)+SUMIF('2022'!B:B,B168,'2022'!C:C)</f>
        <v>123074.36</v>
      </c>
      <c r="J168" s="59">
        <v>44925</v>
      </c>
      <c r="K168" s="162" t="s">
        <v>3118</v>
      </c>
    </row>
    <row r="169" spans="1:13" ht="17.25" customHeight="1" x14ac:dyDescent="0.3">
      <c r="A169" s="15">
        <f t="shared" si="7"/>
        <v>147</v>
      </c>
      <c r="B169" s="20" t="s">
        <v>186</v>
      </c>
      <c r="C169" s="162">
        <v>1968</v>
      </c>
      <c r="D169" s="31"/>
      <c r="E169" s="259" t="s">
        <v>3035</v>
      </c>
      <c r="F169" s="31">
        <v>2</v>
      </c>
      <c r="G169" s="31">
        <v>506.6</v>
      </c>
      <c r="H169" s="173">
        <v>27</v>
      </c>
      <c r="I169" s="273">
        <f>SUMIF('2020'!B:B,B169,'2020'!C:C)+SUMIF('2021'!B:B,B169,'2021'!C:C)+SUMIF('2022'!B:B,B169,'2022'!C:C)</f>
        <v>130000</v>
      </c>
      <c r="J169" s="59">
        <v>44925</v>
      </c>
      <c r="K169" s="162" t="s">
        <v>3118</v>
      </c>
    </row>
    <row r="170" spans="1:13" ht="17.25" customHeight="1" x14ac:dyDescent="0.3">
      <c r="A170" s="15">
        <f t="shared" si="7"/>
        <v>148</v>
      </c>
      <c r="B170" s="20" t="s">
        <v>187</v>
      </c>
      <c r="C170" s="162">
        <v>1968</v>
      </c>
      <c r="D170" s="31"/>
      <c r="E170" s="259" t="s">
        <v>3035</v>
      </c>
      <c r="F170" s="31">
        <v>2</v>
      </c>
      <c r="G170" s="31">
        <v>512.6</v>
      </c>
      <c r="H170" s="173">
        <v>30</v>
      </c>
      <c r="I170" s="273">
        <f>SUMIF('2020'!B:B,B170,'2020'!C:C)+SUMIF('2021'!B:B,B170,'2021'!C:C)+SUMIF('2022'!B:B,B170,'2022'!C:C)</f>
        <v>199858.07</v>
      </c>
      <c r="J170" s="59">
        <v>44925</v>
      </c>
      <c r="K170" s="162" t="s">
        <v>3118</v>
      </c>
    </row>
    <row r="171" spans="1:13" ht="17.25" customHeight="1" x14ac:dyDescent="0.3">
      <c r="A171" s="15">
        <f t="shared" si="7"/>
        <v>149</v>
      </c>
      <c r="B171" s="20" t="s">
        <v>188</v>
      </c>
      <c r="C171" s="162">
        <v>1973</v>
      </c>
      <c r="D171" s="31"/>
      <c r="E171" s="259" t="s">
        <v>3035</v>
      </c>
      <c r="F171" s="31">
        <v>2</v>
      </c>
      <c r="G171" s="31">
        <v>746</v>
      </c>
      <c r="H171" s="173">
        <v>31</v>
      </c>
      <c r="I171" s="273">
        <f>SUMIF('2020'!B:B,B171,'2020'!C:C)+SUMIF('2021'!B:B,B171,'2021'!C:C)+SUMIF('2022'!B:B,B171,'2022'!C:C)</f>
        <v>15864769.800000001</v>
      </c>
      <c r="J171" s="59">
        <v>44925</v>
      </c>
      <c r="K171" s="162" t="s">
        <v>3118</v>
      </c>
    </row>
    <row r="172" spans="1:13" ht="17.25" customHeight="1" x14ac:dyDescent="0.3">
      <c r="A172" s="15">
        <f t="shared" si="7"/>
        <v>150</v>
      </c>
      <c r="B172" s="20" t="s">
        <v>189</v>
      </c>
      <c r="C172" s="162">
        <v>1973</v>
      </c>
      <c r="D172" s="31"/>
      <c r="E172" s="259" t="s">
        <v>3035</v>
      </c>
      <c r="F172" s="31">
        <v>2</v>
      </c>
      <c r="G172" s="31">
        <v>739.5</v>
      </c>
      <c r="H172" s="173">
        <v>30</v>
      </c>
      <c r="I172" s="273">
        <f>SUMIF('2020'!B:B,B172,'2020'!C:C)+SUMIF('2021'!B:B,B172,'2021'!C:C)+SUMIF('2022'!B:B,B172,'2022'!C:C)</f>
        <v>102667.42</v>
      </c>
      <c r="J172" s="59">
        <v>44925</v>
      </c>
      <c r="K172" s="162" t="s">
        <v>3118</v>
      </c>
    </row>
    <row r="173" spans="1:13" ht="17.25" customHeight="1" x14ac:dyDescent="0.3">
      <c r="A173" s="15">
        <f t="shared" si="7"/>
        <v>151</v>
      </c>
      <c r="B173" s="20" t="s">
        <v>190</v>
      </c>
      <c r="C173" s="162">
        <v>1974</v>
      </c>
      <c r="D173" s="31"/>
      <c r="E173" s="31" t="s">
        <v>3119</v>
      </c>
      <c r="F173" s="31">
        <v>3</v>
      </c>
      <c r="G173" s="31">
        <v>1233</v>
      </c>
      <c r="H173" s="173">
        <v>42</v>
      </c>
      <c r="I173" s="273">
        <f>SUMIF('2020'!B:B,B173,'2020'!C:C)+SUMIF('2021'!B:B,B173,'2021'!C:C)+SUMIF('2022'!B:B,B173,'2022'!C:C)</f>
        <v>207272</v>
      </c>
      <c r="J173" s="59">
        <v>44925</v>
      </c>
      <c r="K173" s="162" t="s">
        <v>3118</v>
      </c>
    </row>
    <row r="174" spans="1:13" ht="17.25" customHeight="1" x14ac:dyDescent="0.3">
      <c r="A174" s="15">
        <f t="shared" si="7"/>
        <v>152</v>
      </c>
      <c r="B174" s="20" t="s">
        <v>191</v>
      </c>
      <c r="C174" s="162">
        <v>1974</v>
      </c>
      <c r="D174" s="31"/>
      <c r="E174" s="31" t="s">
        <v>3119</v>
      </c>
      <c r="F174" s="31">
        <v>3</v>
      </c>
      <c r="G174" s="31">
        <v>1230.9000000000001</v>
      </c>
      <c r="H174" s="173">
        <v>59</v>
      </c>
      <c r="I174" s="273">
        <f>SUMIF('2020'!B:B,B174,'2020'!C:C)+SUMIF('2021'!B:B,B174,'2021'!C:C)+SUMIF('2022'!B:B,B174,'2022'!C:C)</f>
        <v>207272</v>
      </c>
      <c r="J174" s="59">
        <v>44925</v>
      </c>
      <c r="K174" s="162" t="s">
        <v>3118</v>
      </c>
    </row>
    <row r="175" spans="1:13" ht="17.25" customHeight="1" x14ac:dyDescent="0.3">
      <c r="A175" s="17" t="s">
        <v>143</v>
      </c>
      <c r="B175" s="140"/>
      <c r="C175" s="31" t="s">
        <v>3558</v>
      </c>
      <c r="D175" s="31" t="s">
        <v>3558</v>
      </c>
      <c r="E175" s="31" t="s">
        <v>3558</v>
      </c>
      <c r="F175" s="31" t="s">
        <v>3558</v>
      </c>
      <c r="G175" s="56">
        <f>SUM(G165:G174)</f>
        <v>9012.8000000000011</v>
      </c>
      <c r="H175" s="173">
        <f>SUM(H165:H174)</f>
        <v>338</v>
      </c>
      <c r="I175" s="56">
        <f>SUM(I165:I174)</f>
        <v>20278634.970000003</v>
      </c>
      <c r="J175" s="31" t="s">
        <v>3558</v>
      </c>
      <c r="K175" s="31" t="s">
        <v>3558</v>
      </c>
    </row>
    <row r="176" spans="1:13" s="43" customFormat="1" ht="17.25" customHeight="1" x14ac:dyDescent="0.3">
      <c r="A176" s="279" t="s">
        <v>192</v>
      </c>
      <c r="B176" s="253"/>
      <c r="C176" s="165" t="s">
        <v>3558</v>
      </c>
      <c r="D176" s="165" t="s">
        <v>3558</v>
      </c>
      <c r="E176" s="165" t="s">
        <v>3558</v>
      </c>
      <c r="F176" s="165" t="s">
        <v>3558</v>
      </c>
      <c r="G176" s="164">
        <f>G175+G163+G150+G145+G125+G121</f>
        <v>393792.83000000007</v>
      </c>
      <c r="H176" s="177">
        <f>H175+H163+H150+H145+H125+H121</f>
        <v>2381</v>
      </c>
      <c r="I176" s="164">
        <f>I175+I163+I150+I145+I125+I121</f>
        <v>287744189.85000002</v>
      </c>
      <c r="J176" s="165" t="s">
        <v>3558</v>
      </c>
      <c r="K176" s="165" t="s">
        <v>3558</v>
      </c>
      <c r="L176" s="196">
        <f>I176-'2020'!C66-'2021'!C135-'2022'!C31</f>
        <v>0</v>
      </c>
      <c r="M176" s="196"/>
    </row>
    <row r="177" spans="1:12" ht="17.25" customHeight="1" x14ac:dyDescent="0.3">
      <c r="A177" s="303" t="s">
        <v>193</v>
      </c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</row>
    <row r="178" spans="1:12" ht="17.25" customHeight="1" x14ac:dyDescent="0.3">
      <c r="A178" s="279" t="s">
        <v>195</v>
      </c>
      <c r="B178" s="39"/>
      <c r="C178" s="31"/>
      <c r="D178" s="31"/>
      <c r="E178" s="31"/>
      <c r="F178" s="31"/>
      <c r="G178" s="31"/>
      <c r="H178" s="173"/>
      <c r="I178" s="56"/>
      <c r="J178" s="31"/>
      <c r="K178" s="31"/>
    </row>
    <row r="179" spans="1:12" ht="17.25" customHeight="1" x14ac:dyDescent="0.3">
      <c r="A179" s="15">
        <f>A174+1</f>
        <v>153</v>
      </c>
      <c r="B179" s="20" t="s">
        <v>196</v>
      </c>
      <c r="C179" s="162">
        <v>1977</v>
      </c>
      <c r="D179" s="31"/>
      <c r="E179" s="31" t="s">
        <v>3122</v>
      </c>
      <c r="F179" s="28">
        <v>5</v>
      </c>
      <c r="G179" s="46">
        <v>3729.3</v>
      </c>
      <c r="H179" s="173">
        <v>187</v>
      </c>
      <c r="I179" s="273">
        <f>SUMIF('2020'!B:B,B179,'2020'!C:C)+SUMIF('2021'!B:B,B179,'2021'!C:C)+SUMIF('2022'!B:B,B179,'2022'!C:C)</f>
        <v>323449.03000000003</v>
      </c>
      <c r="J179" s="59">
        <v>44925</v>
      </c>
      <c r="K179" s="162" t="s">
        <v>3118</v>
      </c>
    </row>
    <row r="180" spans="1:12" ht="17.25" customHeight="1" x14ac:dyDescent="0.3">
      <c r="A180" s="15">
        <f t="shared" ref="A180:A189" si="8">A179+1</f>
        <v>154</v>
      </c>
      <c r="B180" s="20" t="s">
        <v>197</v>
      </c>
      <c r="C180" s="162">
        <v>1974</v>
      </c>
      <c r="D180" s="31"/>
      <c r="E180" s="31" t="s">
        <v>3122</v>
      </c>
      <c r="F180" s="28">
        <v>5</v>
      </c>
      <c r="G180" s="46">
        <v>3745.5</v>
      </c>
      <c r="H180" s="173">
        <v>228</v>
      </c>
      <c r="I180" s="273">
        <f>SUMIF('2020'!B:B,B180,'2020'!C:C)+SUMIF('2021'!B:B,B180,'2021'!C:C)+SUMIF('2022'!B:B,B180,'2022'!C:C)</f>
        <v>544270.62</v>
      </c>
      <c r="J180" s="59">
        <v>44925</v>
      </c>
      <c r="K180" s="162" t="s">
        <v>3118</v>
      </c>
    </row>
    <row r="181" spans="1:12" ht="17.25" customHeight="1" x14ac:dyDescent="0.3">
      <c r="A181" s="15">
        <f t="shared" si="8"/>
        <v>155</v>
      </c>
      <c r="B181" s="20" t="s">
        <v>199</v>
      </c>
      <c r="C181" s="162">
        <v>1976</v>
      </c>
      <c r="D181" s="31"/>
      <c r="E181" s="31" t="s">
        <v>3122</v>
      </c>
      <c r="F181" s="28">
        <v>5</v>
      </c>
      <c r="G181" s="46">
        <v>3737.5</v>
      </c>
      <c r="H181" s="173">
        <v>184</v>
      </c>
      <c r="I181" s="273">
        <f>SUMIF('2020'!B:B,B181,'2020'!C:C)+SUMIF('2021'!B:B,B181,'2021'!C:C)+SUMIF('2022'!B:B,B181,'2022'!C:C)</f>
        <v>388830.73</v>
      </c>
      <c r="J181" s="59">
        <v>44925</v>
      </c>
      <c r="K181" s="162" t="s">
        <v>3118</v>
      </c>
    </row>
    <row r="182" spans="1:12" ht="17.25" customHeight="1" x14ac:dyDescent="0.3">
      <c r="A182" s="15">
        <f t="shared" si="8"/>
        <v>156</v>
      </c>
      <c r="B182" s="20" t="s">
        <v>200</v>
      </c>
      <c r="C182" s="162">
        <v>1973</v>
      </c>
      <c r="D182" s="31"/>
      <c r="E182" s="31" t="s">
        <v>3122</v>
      </c>
      <c r="F182" s="28">
        <v>2</v>
      </c>
      <c r="G182" s="46">
        <v>1678.01</v>
      </c>
      <c r="H182" s="173">
        <v>46</v>
      </c>
      <c r="I182" s="273">
        <f>SUMIF('2020'!B:B,B182,'2020'!C:C)+SUMIF('2021'!B:B,B182,'2021'!C:C)+SUMIF('2022'!B:B,B182,'2022'!C:C)</f>
        <v>379877.89</v>
      </c>
      <c r="J182" s="59">
        <v>44925</v>
      </c>
      <c r="K182" s="162" t="s">
        <v>3118</v>
      </c>
    </row>
    <row r="183" spans="1:12" ht="17.25" customHeight="1" x14ac:dyDescent="0.3">
      <c r="A183" s="15">
        <f t="shared" si="8"/>
        <v>157</v>
      </c>
      <c r="B183" s="20" t="s">
        <v>201</v>
      </c>
      <c r="C183" s="162">
        <v>1964</v>
      </c>
      <c r="D183" s="31"/>
      <c r="E183" s="31" t="s">
        <v>3122</v>
      </c>
      <c r="F183" s="28">
        <v>5</v>
      </c>
      <c r="G183" s="46">
        <v>3488.7</v>
      </c>
      <c r="H183" s="173">
        <v>138</v>
      </c>
      <c r="I183" s="273">
        <f>SUMIF('2020'!B:B,B183,'2020'!C:C)+SUMIF('2021'!B:B,B183,'2021'!C:C)+SUMIF('2022'!B:B,B183,'2022'!C:C)</f>
        <v>167523.44</v>
      </c>
      <c r="J183" s="59">
        <v>44925</v>
      </c>
      <c r="K183" s="162" t="s">
        <v>3118</v>
      </c>
    </row>
    <row r="184" spans="1:12" ht="17.25" customHeight="1" x14ac:dyDescent="0.3">
      <c r="A184" s="15">
        <f t="shared" si="8"/>
        <v>158</v>
      </c>
      <c r="B184" s="20" t="s">
        <v>202</v>
      </c>
      <c r="C184" s="162">
        <v>1964</v>
      </c>
      <c r="D184" s="31"/>
      <c r="E184" s="31" t="s">
        <v>3122</v>
      </c>
      <c r="F184" s="28">
        <v>5</v>
      </c>
      <c r="G184" s="46">
        <v>4092</v>
      </c>
      <c r="H184" s="173">
        <v>132</v>
      </c>
      <c r="I184" s="273">
        <f>SUMIF('2020'!B:B,B184,'2020'!C:C)+SUMIF('2021'!B:B,B184,'2021'!C:C)+SUMIF('2022'!B:B,B184,'2022'!C:C)</f>
        <v>190315.28</v>
      </c>
      <c r="J184" s="59">
        <v>44925</v>
      </c>
      <c r="K184" s="162" t="s">
        <v>3118</v>
      </c>
    </row>
    <row r="185" spans="1:12" ht="17.25" customHeight="1" x14ac:dyDescent="0.3">
      <c r="A185" s="15">
        <f t="shared" si="8"/>
        <v>159</v>
      </c>
      <c r="B185" s="20" t="s">
        <v>203</v>
      </c>
      <c r="C185" s="162">
        <v>1965</v>
      </c>
      <c r="D185" s="31"/>
      <c r="E185" s="31" t="s">
        <v>3122</v>
      </c>
      <c r="F185" s="28">
        <v>5</v>
      </c>
      <c r="G185" s="46">
        <v>3105</v>
      </c>
      <c r="H185" s="173">
        <v>163</v>
      </c>
      <c r="I185" s="273">
        <f>SUMIF('2020'!B:B,B185,'2020'!C:C)+SUMIF('2021'!B:B,B185,'2021'!C:C)+SUMIF('2022'!B:B,B185,'2022'!C:C)</f>
        <v>158679.60999999999</v>
      </c>
      <c r="J185" s="59">
        <v>44925</v>
      </c>
      <c r="K185" s="162" t="s">
        <v>3118</v>
      </c>
    </row>
    <row r="186" spans="1:12" ht="17.25" customHeight="1" x14ac:dyDescent="0.3">
      <c r="A186" s="15">
        <f t="shared" si="8"/>
        <v>160</v>
      </c>
      <c r="B186" s="20" t="s">
        <v>204</v>
      </c>
      <c r="C186" s="162">
        <v>1970</v>
      </c>
      <c r="D186" s="31"/>
      <c r="E186" s="31" t="s">
        <v>3122</v>
      </c>
      <c r="F186" s="28">
        <v>5</v>
      </c>
      <c r="G186" s="46">
        <v>3240.9</v>
      </c>
      <c r="H186" s="173">
        <v>211</v>
      </c>
      <c r="I186" s="273">
        <f>SUMIF('2020'!B:B,B186,'2020'!C:C)+SUMIF('2021'!B:B,B186,'2021'!C:C)+SUMIF('2022'!B:B,B186,'2022'!C:C)</f>
        <v>184802.71</v>
      </c>
      <c r="J186" s="59">
        <v>44925</v>
      </c>
      <c r="K186" s="162" t="s">
        <v>3118</v>
      </c>
    </row>
    <row r="187" spans="1:12" ht="17.25" customHeight="1" x14ac:dyDescent="0.3">
      <c r="A187" s="15">
        <f t="shared" si="8"/>
        <v>161</v>
      </c>
      <c r="B187" s="20" t="s">
        <v>205</v>
      </c>
      <c r="C187" s="162">
        <v>1971</v>
      </c>
      <c r="D187" s="31"/>
      <c r="E187" s="31" t="s">
        <v>3122</v>
      </c>
      <c r="F187" s="28">
        <v>5</v>
      </c>
      <c r="G187" s="46">
        <v>3540.3</v>
      </c>
      <c r="H187" s="173">
        <v>214</v>
      </c>
      <c r="I187" s="273">
        <f>SUMIF('2020'!B:B,B187,'2020'!C:C)+SUMIF('2021'!B:B,B187,'2021'!C:C)+SUMIF('2022'!B:B,B187,'2022'!C:C)</f>
        <v>203543.23</v>
      </c>
      <c r="J187" s="59">
        <v>44925</v>
      </c>
      <c r="K187" s="162" t="s">
        <v>3118</v>
      </c>
    </row>
    <row r="188" spans="1:12" ht="17.25" customHeight="1" x14ac:dyDescent="0.3">
      <c r="A188" s="15">
        <f t="shared" si="8"/>
        <v>162</v>
      </c>
      <c r="B188" s="20" t="s">
        <v>206</v>
      </c>
      <c r="C188" s="162">
        <v>1972</v>
      </c>
      <c r="D188" s="31"/>
      <c r="E188" s="31" t="s">
        <v>3122</v>
      </c>
      <c r="F188" s="28">
        <v>5</v>
      </c>
      <c r="G188" s="46">
        <v>3597</v>
      </c>
      <c r="H188" s="173">
        <v>206</v>
      </c>
      <c r="I188" s="273">
        <f>SUMIF('2020'!B:B,B188,'2020'!C:C)+SUMIF('2021'!B:B,B188,'2021'!C:C)+SUMIF('2022'!B:B,B188,'2022'!C:C)</f>
        <v>205950.28</v>
      </c>
      <c r="J188" s="59">
        <v>44925</v>
      </c>
      <c r="K188" s="162" t="s">
        <v>3118</v>
      </c>
    </row>
    <row r="189" spans="1:12" ht="17.25" customHeight="1" x14ac:dyDescent="0.3">
      <c r="A189" s="15">
        <f t="shared" si="8"/>
        <v>163</v>
      </c>
      <c r="B189" s="20" t="s">
        <v>207</v>
      </c>
      <c r="C189" s="162">
        <v>1973</v>
      </c>
      <c r="D189" s="31"/>
      <c r="E189" s="259" t="s">
        <v>3035</v>
      </c>
      <c r="F189" s="28">
        <v>5</v>
      </c>
      <c r="G189" s="46">
        <v>3855.5</v>
      </c>
      <c r="H189" s="173">
        <v>191</v>
      </c>
      <c r="I189" s="273">
        <f>SUMIF('2020'!B:B,B189,'2020'!C:C)+SUMIF('2021'!B:B,B189,'2021'!C:C)+SUMIF('2022'!B:B,B189,'2022'!C:C)</f>
        <v>241443.9</v>
      </c>
      <c r="J189" s="59">
        <v>44925</v>
      </c>
      <c r="K189" s="162" t="s">
        <v>3118</v>
      </c>
    </row>
    <row r="190" spans="1:12" ht="17.25" customHeight="1" x14ac:dyDescent="0.3">
      <c r="A190" s="15" t="s">
        <v>208</v>
      </c>
      <c r="B190" s="20"/>
      <c r="C190" s="31" t="s">
        <v>3558</v>
      </c>
      <c r="D190" s="31" t="s">
        <v>3558</v>
      </c>
      <c r="E190" s="31" t="s">
        <v>3558</v>
      </c>
      <c r="F190" s="31" t="s">
        <v>3558</v>
      </c>
      <c r="G190" s="56">
        <f>SUM(G179:G189)</f>
        <v>37809.71</v>
      </c>
      <c r="H190" s="173">
        <f>SUM(H179:H189)</f>
        <v>1900</v>
      </c>
      <c r="I190" s="56">
        <f>SUM(I179:I189)</f>
        <v>2988686.7199999997</v>
      </c>
      <c r="J190" s="31" t="s">
        <v>3558</v>
      </c>
      <c r="K190" s="31" t="s">
        <v>3558</v>
      </c>
      <c r="L190" s="197">
        <f>I190-'2021'!C149</f>
        <v>0</v>
      </c>
    </row>
    <row r="191" spans="1:12" ht="17.25" customHeight="1" x14ac:dyDescent="0.3">
      <c r="A191" s="19" t="s">
        <v>209</v>
      </c>
      <c r="B191" s="20"/>
      <c r="C191" s="31"/>
      <c r="D191" s="31"/>
      <c r="E191" s="31"/>
      <c r="F191" s="31"/>
      <c r="G191" s="31"/>
      <c r="H191" s="173"/>
      <c r="I191" s="56"/>
      <c r="J191" s="31"/>
      <c r="K191" s="31"/>
    </row>
    <row r="192" spans="1:12" ht="17.25" customHeight="1" x14ac:dyDescent="0.3">
      <c r="A192" s="15">
        <f>A189+1</f>
        <v>164</v>
      </c>
      <c r="B192" s="20" t="s">
        <v>210</v>
      </c>
      <c r="C192" s="162">
        <v>1965</v>
      </c>
      <c r="D192" s="31"/>
      <c r="E192" s="31" t="s">
        <v>3122</v>
      </c>
      <c r="F192" s="31">
        <v>4</v>
      </c>
      <c r="G192" s="31">
        <v>2143</v>
      </c>
      <c r="H192" s="173">
        <v>147</v>
      </c>
      <c r="I192" s="273">
        <f>SUMIF('2020'!B:B,B192,'2020'!C:C)+SUMIF('2021'!B:B,B192,'2021'!C:C)+SUMIF('2022'!B:B,B192,'2022'!C:C)</f>
        <v>230974.14</v>
      </c>
      <c r="J192" s="59">
        <v>44925</v>
      </c>
      <c r="K192" s="162" t="s">
        <v>3118</v>
      </c>
    </row>
    <row r="193" spans="1:12" ht="17.25" customHeight="1" x14ac:dyDescent="0.3">
      <c r="A193" s="15">
        <f>A192+1</f>
        <v>165</v>
      </c>
      <c r="B193" s="20" t="s">
        <v>211</v>
      </c>
      <c r="C193" s="162">
        <v>1974</v>
      </c>
      <c r="D193" s="31"/>
      <c r="E193" s="31" t="s">
        <v>3122</v>
      </c>
      <c r="F193" s="31">
        <v>5</v>
      </c>
      <c r="G193" s="31">
        <v>2710</v>
      </c>
      <c r="H193" s="173">
        <v>193</v>
      </c>
      <c r="I193" s="273">
        <f>SUMIF('2020'!B:B,B193,'2020'!C:C)+SUMIF('2021'!B:B,B193,'2021'!C:C)+SUMIF('2022'!B:B,B193,'2022'!C:C)</f>
        <v>4265616</v>
      </c>
      <c r="J193" s="59">
        <v>44925</v>
      </c>
      <c r="K193" s="162" t="s">
        <v>3118</v>
      </c>
    </row>
    <row r="194" spans="1:12" ht="17.25" customHeight="1" x14ac:dyDescent="0.3">
      <c r="A194" s="15">
        <f t="shared" ref="A194:A200" si="9">A193+1</f>
        <v>166</v>
      </c>
      <c r="B194" s="20" t="s">
        <v>232</v>
      </c>
      <c r="C194" s="162">
        <v>1976</v>
      </c>
      <c r="D194" s="31"/>
      <c r="E194" s="31" t="s">
        <v>3123</v>
      </c>
      <c r="F194" s="31">
        <v>2</v>
      </c>
      <c r="G194" s="46">
        <v>1006</v>
      </c>
      <c r="H194" s="173">
        <v>39</v>
      </c>
      <c r="I194" s="273">
        <f>SUMIF('2020'!B:B,B194,'2020'!C:C)+SUMIF('2021'!B:B,B194,'2021'!C:C)+SUMIF('2022'!B:B,B194,'2022'!C:C)</f>
        <v>112444.81</v>
      </c>
      <c r="J194" s="59">
        <v>44925</v>
      </c>
      <c r="K194" s="162" t="s">
        <v>3118</v>
      </c>
    </row>
    <row r="195" spans="1:12" ht="17.25" customHeight="1" x14ac:dyDescent="0.3">
      <c r="A195" s="15">
        <f t="shared" si="9"/>
        <v>167</v>
      </c>
      <c r="B195" s="20" t="s">
        <v>233</v>
      </c>
      <c r="C195" s="162">
        <v>1975</v>
      </c>
      <c r="D195" s="31"/>
      <c r="E195" s="31" t="s">
        <v>3123</v>
      </c>
      <c r="F195" s="31">
        <v>2</v>
      </c>
      <c r="G195" s="46">
        <v>1229.7</v>
      </c>
      <c r="H195" s="173">
        <v>48</v>
      </c>
      <c r="I195" s="273">
        <f>SUMIF('2020'!B:B,B195,'2020'!C:C)+SUMIF('2021'!B:B,B195,'2021'!C:C)+SUMIF('2022'!B:B,B195,'2022'!C:C)</f>
        <v>114551</v>
      </c>
      <c r="J195" s="59">
        <v>44925</v>
      </c>
      <c r="K195" s="162" t="s">
        <v>3118</v>
      </c>
    </row>
    <row r="196" spans="1:12" ht="17.25" customHeight="1" x14ac:dyDescent="0.3">
      <c r="A196" s="15">
        <f t="shared" si="9"/>
        <v>168</v>
      </c>
      <c r="B196" s="20" t="s">
        <v>234</v>
      </c>
      <c r="C196" s="162">
        <v>1975</v>
      </c>
      <c r="D196" s="31"/>
      <c r="E196" s="31" t="s">
        <v>3123</v>
      </c>
      <c r="F196" s="31">
        <v>2</v>
      </c>
      <c r="G196" s="46">
        <v>1200.4000000000001</v>
      </c>
      <c r="H196" s="173">
        <v>51</v>
      </c>
      <c r="I196" s="273">
        <f>SUMIF('2020'!B:B,B196,'2020'!C:C)+SUMIF('2021'!B:B,B196,'2021'!C:C)+SUMIF('2022'!B:B,B196,'2022'!C:C)</f>
        <v>4332057.08</v>
      </c>
      <c r="J196" s="59">
        <v>44925</v>
      </c>
      <c r="K196" s="162" t="s">
        <v>3118</v>
      </c>
    </row>
    <row r="197" spans="1:12" ht="17.25" customHeight="1" x14ac:dyDescent="0.3">
      <c r="A197" s="15">
        <f t="shared" si="9"/>
        <v>169</v>
      </c>
      <c r="B197" s="20" t="s">
        <v>235</v>
      </c>
      <c r="C197" s="162">
        <v>1968</v>
      </c>
      <c r="D197" s="31"/>
      <c r="E197" s="31" t="s">
        <v>3123</v>
      </c>
      <c r="F197" s="31">
        <v>2</v>
      </c>
      <c r="G197" s="46">
        <v>610</v>
      </c>
      <c r="H197" s="173">
        <v>19</v>
      </c>
      <c r="I197" s="273">
        <f>SUMIF('2020'!B:B,B197,'2020'!C:C)+SUMIF('2021'!B:B,B197,'2021'!C:C)+SUMIF('2022'!B:B,B197,'2022'!C:C)</f>
        <v>3005372.17</v>
      </c>
      <c r="J197" s="59">
        <v>44925</v>
      </c>
      <c r="K197" s="162" t="s">
        <v>3118</v>
      </c>
    </row>
    <row r="198" spans="1:12" ht="17.25" customHeight="1" x14ac:dyDescent="0.3">
      <c r="A198" s="15">
        <f t="shared" si="9"/>
        <v>170</v>
      </c>
      <c r="B198" s="20" t="s">
        <v>236</v>
      </c>
      <c r="C198" s="162">
        <v>1981</v>
      </c>
      <c r="D198" s="31"/>
      <c r="E198" s="31" t="s">
        <v>3122</v>
      </c>
      <c r="F198" s="31">
        <v>3</v>
      </c>
      <c r="G198" s="46">
        <v>2176.3000000000002</v>
      </c>
      <c r="H198" s="173">
        <v>75</v>
      </c>
      <c r="I198" s="273">
        <f>SUMIF('2020'!B:B,B198,'2020'!C:C)+SUMIF('2021'!B:B,B198,'2021'!C:C)+SUMIF('2022'!B:B,B198,'2022'!C:C)</f>
        <v>222299.51</v>
      </c>
      <c r="J198" s="59">
        <v>44925</v>
      </c>
      <c r="K198" s="162" t="s">
        <v>3118</v>
      </c>
    </row>
    <row r="199" spans="1:12" ht="17.25" customHeight="1" x14ac:dyDescent="0.3">
      <c r="A199" s="15">
        <f t="shared" si="9"/>
        <v>171</v>
      </c>
      <c r="B199" s="20" t="s">
        <v>248</v>
      </c>
      <c r="C199" s="162">
        <v>1983</v>
      </c>
      <c r="D199" s="31"/>
      <c r="E199" s="31" t="s">
        <v>3122</v>
      </c>
      <c r="F199" s="31">
        <v>5</v>
      </c>
      <c r="G199" s="31">
        <v>3219.5</v>
      </c>
      <c r="H199" s="173">
        <v>179</v>
      </c>
      <c r="I199" s="273">
        <f>SUMIF('2020'!B:B,B199,'2020'!C:C)+SUMIF('2021'!B:B,B199,'2021'!C:C)+SUMIF('2022'!B:B,B199,'2022'!C:C)</f>
        <v>4387600.8</v>
      </c>
      <c r="J199" s="59">
        <v>44925</v>
      </c>
      <c r="K199" s="162" t="s">
        <v>3118</v>
      </c>
    </row>
    <row r="200" spans="1:12" ht="17.25" customHeight="1" x14ac:dyDescent="0.3">
      <c r="A200" s="15">
        <f t="shared" si="9"/>
        <v>172</v>
      </c>
      <c r="B200" s="20" t="s">
        <v>237</v>
      </c>
      <c r="C200" s="162">
        <v>1978</v>
      </c>
      <c r="D200" s="31"/>
      <c r="E200" s="31" t="s">
        <v>3123</v>
      </c>
      <c r="F200" s="31">
        <v>2</v>
      </c>
      <c r="G200" s="46">
        <v>1384.4</v>
      </c>
      <c r="H200" s="173">
        <v>38</v>
      </c>
      <c r="I200" s="273">
        <f>SUMIF('2020'!B:B,B200,'2020'!C:C)+SUMIF('2021'!B:B,B200,'2021'!C:C)+SUMIF('2022'!B:B,B200,'2022'!C:C)</f>
        <v>364501.45</v>
      </c>
      <c r="J200" s="59">
        <v>44925</v>
      </c>
      <c r="K200" s="162" t="s">
        <v>3118</v>
      </c>
    </row>
    <row r="201" spans="1:12" ht="17.25" customHeight="1" x14ac:dyDescent="0.3">
      <c r="A201" s="15" t="s">
        <v>208</v>
      </c>
      <c r="B201" s="20"/>
      <c r="C201" s="31" t="s">
        <v>3558</v>
      </c>
      <c r="D201" s="31" t="s">
        <v>3558</v>
      </c>
      <c r="E201" s="31" t="s">
        <v>3558</v>
      </c>
      <c r="F201" s="31" t="s">
        <v>3558</v>
      </c>
      <c r="G201" s="56">
        <f t="shared" ref="G201:H201" si="10">SUM(G192:G200)</f>
        <v>15679.300000000001</v>
      </c>
      <c r="H201" s="56">
        <f t="shared" si="10"/>
        <v>789</v>
      </c>
      <c r="I201" s="56">
        <f>SUM(I192:I200)</f>
        <v>17035416.959999997</v>
      </c>
      <c r="J201" s="31" t="s">
        <v>3558</v>
      </c>
      <c r="K201" s="31" t="s">
        <v>3558</v>
      </c>
      <c r="L201" s="197">
        <f>I201-'2020'!C72-'2021'!C157-'2022'!C36</f>
        <v>0</v>
      </c>
    </row>
    <row r="202" spans="1:12" ht="17.25" customHeight="1" x14ac:dyDescent="0.3">
      <c r="A202" s="19" t="s">
        <v>212</v>
      </c>
      <c r="B202" s="20"/>
      <c r="C202" s="31"/>
      <c r="D202" s="31"/>
      <c r="E202" s="31"/>
      <c r="F202" s="31"/>
      <c r="G202" s="31"/>
      <c r="H202" s="173"/>
      <c r="I202" s="56"/>
      <c r="J202" s="31"/>
      <c r="K202" s="31"/>
    </row>
    <row r="203" spans="1:12" ht="17.25" customHeight="1" x14ac:dyDescent="0.3">
      <c r="A203" s="15">
        <f>A200+1</f>
        <v>173</v>
      </c>
      <c r="B203" s="20" t="s">
        <v>213</v>
      </c>
      <c r="C203" s="162">
        <v>1985</v>
      </c>
      <c r="D203" s="31"/>
      <c r="E203" s="31" t="s">
        <v>3122</v>
      </c>
      <c r="F203" s="31">
        <v>5</v>
      </c>
      <c r="G203" s="31">
        <v>3246.2</v>
      </c>
      <c r="H203" s="173">
        <v>106</v>
      </c>
      <c r="I203" s="273">
        <f>SUMIF('2020'!B:B,B203,'2020'!C:C)+SUMIF('2021'!B:B,B203,'2021'!C:C)+SUMIF('2022'!B:B,B203,'2022'!C:C)</f>
        <v>12467706.970000001</v>
      </c>
      <c r="J203" s="59">
        <v>44925</v>
      </c>
      <c r="K203" s="162" t="s">
        <v>3118</v>
      </c>
    </row>
    <row r="204" spans="1:12" ht="17.25" customHeight="1" x14ac:dyDescent="0.3">
      <c r="A204" s="15">
        <f>A203+1</f>
        <v>174</v>
      </c>
      <c r="B204" s="20" t="s">
        <v>214</v>
      </c>
      <c r="C204" s="162">
        <v>1990</v>
      </c>
      <c r="D204" s="31"/>
      <c r="E204" s="31" t="s">
        <v>3122</v>
      </c>
      <c r="F204" s="31">
        <v>5</v>
      </c>
      <c r="G204" s="31">
        <v>5662.5</v>
      </c>
      <c r="H204" s="173">
        <v>135</v>
      </c>
      <c r="I204" s="273">
        <f>SUMIF('2020'!B:B,B204,'2020'!C:C)+SUMIF('2021'!B:B,B204,'2021'!C:C)+SUMIF('2022'!B:B,B204,'2022'!C:C)</f>
        <v>21460908.649999999</v>
      </c>
      <c r="J204" s="59">
        <v>44925</v>
      </c>
      <c r="K204" s="162" t="s">
        <v>3118</v>
      </c>
    </row>
    <row r="205" spans="1:12" ht="17.25" customHeight="1" x14ac:dyDescent="0.3">
      <c r="A205" s="15">
        <f>A204+1</f>
        <v>175</v>
      </c>
      <c r="B205" s="20" t="s">
        <v>215</v>
      </c>
      <c r="C205" s="162">
        <v>1989</v>
      </c>
      <c r="D205" s="31"/>
      <c r="E205" s="31" t="s">
        <v>3122</v>
      </c>
      <c r="F205" s="31">
        <v>5</v>
      </c>
      <c r="G205" s="31">
        <v>7044.4</v>
      </c>
      <c r="H205" s="173">
        <v>181</v>
      </c>
      <c r="I205" s="273">
        <f>SUMIF('2020'!B:B,B205,'2020'!C:C)+SUMIF('2021'!B:B,B205,'2021'!C:C)+SUMIF('2022'!B:B,B205,'2022'!C:C)</f>
        <v>18239284.800000001</v>
      </c>
      <c r="J205" s="59">
        <v>44925</v>
      </c>
      <c r="K205" s="162" t="s">
        <v>3118</v>
      </c>
    </row>
    <row r="206" spans="1:12" ht="17.25" customHeight="1" x14ac:dyDescent="0.3">
      <c r="A206" s="15">
        <f>A205+1</f>
        <v>176</v>
      </c>
      <c r="B206" s="20" t="s">
        <v>216</v>
      </c>
      <c r="C206" s="162">
        <v>1989</v>
      </c>
      <c r="D206" s="31"/>
      <c r="E206" s="259" t="s">
        <v>3035</v>
      </c>
      <c r="F206" s="31">
        <v>5</v>
      </c>
      <c r="G206" s="31">
        <v>6576.6</v>
      </c>
      <c r="H206" s="173">
        <v>248</v>
      </c>
      <c r="I206" s="273">
        <f>SUMIF('2020'!B:B,B206,'2020'!C:C)+SUMIF('2021'!B:B,B206,'2021'!C:C)+SUMIF('2022'!B:B,B206,'2022'!C:C)</f>
        <v>19319673.030000001</v>
      </c>
      <c r="J206" s="59">
        <v>44925</v>
      </c>
      <c r="K206" s="162" t="s">
        <v>3118</v>
      </c>
    </row>
    <row r="207" spans="1:12" ht="17.25" customHeight="1" x14ac:dyDescent="0.3">
      <c r="A207" s="15">
        <f>A206+1</f>
        <v>177</v>
      </c>
      <c r="B207" s="20" t="s">
        <v>217</v>
      </c>
      <c r="C207" s="162">
        <v>1987</v>
      </c>
      <c r="D207" s="31"/>
      <c r="E207" s="31" t="s">
        <v>3122</v>
      </c>
      <c r="F207" s="31">
        <v>5</v>
      </c>
      <c r="G207" s="31">
        <v>4399.3999999999996</v>
      </c>
      <c r="H207" s="173">
        <v>123</v>
      </c>
      <c r="I207" s="273">
        <f>SUMIF('2020'!B:B,B207,'2020'!C:C)+SUMIF('2021'!B:B,B207,'2021'!C:C)+SUMIF('2022'!B:B,B207,'2022'!C:C)</f>
        <v>18203399.690000001</v>
      </c>
      <c r="J207" s="59">
        <v>44925</v>
      </c>
      <c r="K207" s="162" t="s">
        <v>3118</v>
      </c>
    </row>
    <row r="208" spans="1:12" ht="17.25" customHeight="1" x14ac:dyDescent="0.3">
      <c r="A208" s="15">
        <f>A207+1</f>
        <v>178</v>
      </c>
      <c r="B208" s="20" t="s">
        <v>218</v>
      </c>
      <c r="C208" s="162">
        <v>1991</v>
      </c>
      <c r="D208" s="31"/>
      <c r="E208" s="31" t="s">
        <v>3122</v>
      </c>
      <c r="F208" s="31">
        <v>5</v>
      </c>
      <c r="G208" s="31">
        <v>7520.2</v>
      </c>
      <c r="H208" s="173">
        <v>265</v>
      </c>
      <c r="I208" s="273">
        <f>SUMIF('2020'!B:B,B208,'2020'!C:C)+SUMIF('2021'!B:B,B208,'2021'!C:C)+SUMIF('2022'!B:B,B208,'2022'!C:C)</f>
        <v>7196652.0000000009</v>
      </c>
      <c r="J208" s="59">
        <v>44925</v>
      </c>
      <c r="K208" s="162" t="s">
        <v>3118</v>
      </c>
    </row>
    <row r="209" spans="1:12" ht="17.25" customHeight="1" x14ac:dyDescent="0.3">
      <c r="A209" s="15" t="s">
        <v>208</v>
      </c>
      <c r="B209" s="20"/>
      <c r="C209" s="31" t="s">
        <v>3558</v>
      </c>
      <c r="D209" s="31" t="s">
        <v>3558</v>
      </c>
      <c r="E209" s="31" t="s">
        <v>3558</v>
      </c>
      <c r="F209" s="31" t="s">
        <v>3558</v>
      </c>
      <c r="G209" s="56">
        <f>SUM(G203:G208)</f>
        <v>34449.299999999996</v>
      </c>
      <c r="H209" s="173">
        <f>SUM(H203:H208)</f>
        <v>1058</v>
      </c>
      <c r="I209" s="56">
        <f>SUM(I203:I208)</f>
        <v>96887625.140000001</v>
      </c>
      <c r="J209" s="31" t="s">
        <v>3558</v>
      </c>
      <c r="K209" s="31" t="s">
        <v>3558</v>
      </c>
      <c r="L209" s="197">
        <f>I209-'2020'!C76-'2022'!C42</f>
        <v>0</v>
      </c>
    </row>
    <row r="210" spans="1:12" ht="17.25" customHeight="1" x14ac:dyDescent="0.3">
      <c r="A210" s="216" t="s">
        <v>3596</v>
      </c>
      <c r="B210" s="20"/>
      <c r="C210" s="31"/>
      <c r="D210" s="31"/>
      <c r="E210" s="31"/>
      <c r="F210" s="31"/>
      <c r="G210" s="31"/>
      <c r="H210" s="173"/>
      <c r="I210" s="56"/>
      <c r="J210" s="31"/>
      <c r="K210" s="31"/>
    </row>
    <row r="211" spans="1:12" ht="17.25" customHeight="1" x14ac:dyDescent="0.3">
      <c r="A211" s="15">
        <f>A208+1</f>
        <v>179</v>
      </c>
      <c r="B211" s="20" t="s">
        <v>230</v>
      </c>
      <c r="C211" s="162">
        <v>1965</v>
      </c>
      <c r="D211" s="31"/>
      <c r="E211" s="31" t="s">
        <v>3123</v>
      </c>
      <c r="F211" s="31">
        <v>2</v>
      </c>
      <c r="G211" s="46">
        <v>634.1</v>
      </c>
      <c r="H211" s="173">
        <v>24</v>
      </c>
      <c r="I211" s="273">
        <f>SUMIF('2020'!B:B,B211,'2020'!C:C)+SUMIF('2021'!B:B,B211,'2021'!C:C)+SUMIF('2022'!B:B,B211,'2022'!C:C)</f>
        <v>236799.47999999998</v>
      </c>
      <c r="J211" s="59">
        <v>44925</v>
      </c>
      <c r="K211" s="162" t="s">
        <v>3118</v>
      </c>
    </row>
    <row r="212" spans="1:12" ht="17.25" customHeight="1" x14ac:dyDescent="0.3">
      <c r="A212" s="15">
        <f>A211+1</f>
        <v>180</v>
      </c>
      <c r="B212" s="20" t="s">
        <v>231</v>
      </c>
      <c r="C212" s="162">
        <v>1982</v>
      </c>
      <c r="D212" s="31"/>
      <c r="E212" s="31" t="s">
        <v>3122</v>
      </c>
      <c r="F212" s="31">
        <v>4</v>
      </c>
      <c r="G212" s="46">
        <v>3240</v>
      </c>
      <c r="H212" s="173">
        <v>122</v>
      </c>
      <c r="I212" s="273">
        <f>SUMIF('2020'!B:B,B212,'2020'!C:C)+SUMIF('2021'!B:B,B212,'2021'!C:C)+SUMIF('2022'!B:B,B212,'2022'!C:C)</f>
        <v>320444.21999999997</v>
      </c>
      <c r="J212" s="59">
        <v>44925</v>
      </c>
      <c r="K212" s="162" t="s">
        <v>3118</v>
      </c>
    </row>
    <row r="213" spans="1:12" ht="17.25" customHeight="1" x14ac:dyDescent="0.3">
      <c r="A213" s="15">
        <f t="shared" ref="A213:A215" si="11">A212+1</f>
        <v>181</v>
      </c>
      <c r="B213" s="20" t="s">
        <v>239</v>
      </c>
      <c r="C213" s="162">
        <v>1952</v>
      </c>
      <c r="D213" s="31"/>
      <c r="E213" s="31" t="s">
        <v>3123</v>
      </c>
      <c r="F213" s="31">
        <v>2</v>
      </c>
      <c r="G213" s="31">
        <v>362.7</v>
      </c>
      <c r="H213" s="173">
        <v>10</v>
      </c>
      <c r="I213" s="273">
        <f>SUMIF('2020'!B:B,B213,'2020'!C:C)+SUMIF('2021'!B:B,B213,'2021'!C:C)+SUMIF('2022'!B:B,B213,'2022'!C:C)</f>
        <v>165341.65</v>
      </c>
      <c r="J213" s="59">
        <v>44925</v>
      </c>
      <c r="K213" s="162" t="s">
        <v>3118</v>
      </c>
    </row>
    <row r="214" spans="1:12" ht="17.25" customHeight="1" x14ac:dyDescent="0.3">
      <c r="A214" s="15">
        <f t="shared" si="11"/>
        <v>182</v>
      </c>
      <c r="B214" s="20" t="s">
        <v>240</v>
      </c>
      <c r="C214" s="162">
        <v>1963</v>
      </c>
      <c r="D214" s="31"/>
      <c r="E214" s="31" t="s">
        <v>3123</v>
      </c>
      <c r="F214" s="31">
        <v>2</v>
      </c>
      <c r="G214" s="31">
        <v>443.5</v>
      </c>
      <c r="H214" s="173">
        <v>14</v>
      </c>
      <c r="I214" s="273">
        <f>SUMIF('2020'!B:B,B214,'2020'!C:C)+SUMIF('2021'!B:B,B214,'2021'!C:C)+SUMIF('2022'!B:B,B214,'2022'!C:C)</f>
        <v>4309683.5999999996</v>
      </c>
      <c r="J214" s="59">
        <v>44925</v>
      </c>
      <c r="K214" s="162" t="s">
        <v>3118</v>
      </c>
    </row>
    <row r="215" spans="1:12" ht="17.25" customHeight="1" x14ac:dyDescent="0.3">
      <c r="A215" s="15">
        <f t="shared" si="11"/>
        <v>183</v>
      </c>
      <c r="B215" s="20" t="s">
        <v>241</v>
      </c>
      <c r="C215" s="162">
        <v>1963</v>
      </c>
      <c r="D215" s="31"/>
      <c r="E215" s="31" t="s">
        <v>3123</v>
      </c>
      <c r="F215" s="31">
        <v>2</v>
      </c>
      <c r="G215" s="31">
        <v>448.7</v>
      </c>
      <c r="H215" s="173">
        <v>13</v>
      </c>
      <c r="I215" s="273">
        <f>SUMIF('2020'!B:B,B215,'2020'!C:C)+SUMIF('2021'!B:B,B215,'2021'!C:C)+SUMIF('2022'!B:B,B215,'2022'!C:C)</f>
        <v>4539283.2</v>
      </c>
      <c r="J215" s="59">
        <v>44925</v>
      </c>
      <c r="K215" s="162" t="s">
        <v>3118</v>
      </c>
    </row>
    <row r="216" spans="1:12" ht="17.25" customHeight="1" x14ac:dyDescent="0.3">
      <c r="A216" s="15">
        <f t="shared" ref="A216:A219" si="12">A215+1</f>
        <v>184</v>
      </c>
      <c r="B216" s="20" t="s">
        <v>242</v>
      </c>
      <c r="C216" s="162">
        <v>1952</v>
      </c>
      <c r="D216" s="31"/>
      <c r="E216" s="31" t="s">
        <v>3123</v>
      </c>
      <c r="F216" s="31">
        <v>2</v>
      </c>
      <c r="G216" s="31">
        <v>378.3</v>
      </c>
      <c r="H216" s="173">
        <v>10</v>
      </c>
      <c r="I216" s="273">
        <f>SUMIF('2020'!B:B,B216,'2020'!C:C)+SUMIF('2021'!B:B,B216,'2021'!C:C)+SUMIF('2022'!B:B,B216,'2022'!C:C)</f>
        <v>154455.76999999999</v>
      </c>
      <c r="J216" s="59">
        <v>44925</v>
      </c>
      <c r="K216" s="162" t="s">
        <v>3118</v>
      </c>
    </row>
    <row r="217" spans="1:12" ht="17.25" customHeight="1" x14ac:dyDescent="0.3">
      <c r="A217" s="15">
        <f t="shared" si="12"/>
        <v>185</v>
      </c>
      <c r="B217" s="20" t="s">
        <v>243</v>
      </c>
      <c r="C217" s="162">
        <v>1952</v>
      </c>
      <c r="D217" s="31"/>
      <c r="E217" s="31" t="s">
        <v>3123</v>
      </c>
      <c r="F217" s="31">
        <v>2</v>
      </c>
      <c r="G217" s="31">
        <v>365.5</v>
      </c>
      <c r="H217" s="173">
        <v>14</v>
      </c>
      <c r="I217" s="273">
        <f>SUMIF('2020'!B:B,B217,'2020'!C:C)+SUMIF('2021'!B:B,B217,'2021'!C:C)+SUMIF('2022'!B:B,B217,'2022'!C:C)</f>
        <v>161975.95000000001</v>
      </c>
      <c r="J217" s="59">
        <v>44925</v>
      </c>
      <c r="K217" s="162" t="s">
        <v>3118</v>
      </c>
    </row>
    <row r="218" spans="1:12" ht="17.25" customHeight="1" x14ac:dyDescent="0.3">
      <c r="A218" s="15">
        <f t="shared" si="12"/>
        <v>186</v>
      </c>
      <c r="B218" s="20" t="s">
        <v>238</v>
      </c>
      <c r="C218" s="162"/>
      <c r="D218" s="31"/>
      <c r="E218" s="31" t="s">
        <v>3123</v>
      </c>
      <c r="F218" s="31">
        <v>2</v>
      </c>
      <c r="G218" s="31">
        <v>365.5</v>
      </c>
      <c r="H218" s="173">
        <v>14</v>
      </c>
      <c r="I218" s="273">
        <f>SUMIF('2020'!B:B,B218,'2020'!C:C)+SUMIF('2021'!B:B,B218,'2021'!C:C)+SUMIF('2022'!B:B,B218,'2022'!C:C)</f>
        <v>9756309.9899999984</v>
      </c>
      <c r="J218" s="59">
        <v>44925</v>
      </c>
      <c r="K218" s="162" t="s">
        <v>3118</v>
      </c>
    </row>
    <row r="219" spans="1:12" ht="17.25" customHeight="1" x14ac:dyDescent="0.3">
      <c r="A219" s="15">
        <f t="shared" si="12"/>
        <v>187</v>
      </c>
      <c r="B219" s="20" t="s">
        <v>244</v>
      </c>
      <c r="C219" s="162">
        <v>1950</v>
      </c>
      <c r="D219" s="31"/>
      <c r="E219" s="31" t="s">
        <v>3123</v>
      </c>
      <c r="F219" s="31">
        <v>2</v>
      </c>
      <c r="G219" s="31">
        <v>402.3</v>
      </c>
      <c r="H219" s="173">
        <v>14</v>
      </c>
      <c r="I219" s="273">
        <f>SUMIF('2020'!B:B,B219,'2020'!C:C)+SUMIF('2021'!B:B,B219,'2021'!C:C)+SUMIF('2022'!B:B,B219,'2022'!C:C)</f>
        <v>130000</v>
      </c>
      <c r="J219" s="59">
        <v>44925</v>
      </c>
      <c r="K219" s="162" t="s">
        <v>3118</v>
      </c>
    </row>
    <row r="220" spans="1:12" ht="17.25" customHeight="1" x14ac:dyDescent="0.3">
      <c r="A220" s="15" t="s">
        <v>208</v>
      </c>
      <c r="B220" s="20"/>
      <c r="C220" s="31" t="s">
        <v>3558</v>
      </c>
      <c r="D220" s="31" t="s">
        <v>3558</v>
      </c>
      <c r="E220" s="31" t="s">
        <v>3558</v>
      </c>
      <c r="F220" s="31" t="s">
        <v>3558</v>
      </c>
      <c r="G220" s="56">
        <f t="shared" ref="G220" si="13">SUM(G211:G219)</f>
        <v>6640.6</v>
      </c>
      <c r="H220" s="56">
        <f>SUM(H211:H219)</f>
        <v>235</v>
      </c>
      <c r="I220" s="56">
        <f>SUM(I211:I219)</f>
        <v>19774293.859999996</v>
      </c>
      <c r="J220" s="31" t="s">
        <v>3558</v>
      </c>
      <c r="K220" s="31" t="s">
        <v>3558</v>
      </c>
      <c r="L220" s="197">
        <f>I220-'2020'!C79-'2021'!C165-'2022'!C46</f>
        <v>0</v>
      </c>
    </row>
    <row r="221" spans="1:12" ht="17.25" customHeight="1" x14ac:dyDescent="0.3">
      <c r="A221" s="19" t="s">
        <v>245</v>
      </c>
      <c r="B221" s="20"/>
      <c r="C221" s="31"/>
      <c r="D221" s="31"/>
      <c r="E221" s="31"/>
      <c r="F221" s="31"/>
      <c r="G221" s="31"/>
      <c r="H221" s="173"/>
      <c r="I221" s="56"/>
      <c r="J221" s="31"/>
      <c r="K221" s="31"/>
    </row>
    <row r="222" spans="1:12" ht="17.25" customHeight="1" x14ac:dyDescent="0.3">
      <c r="A222" s="15">
        <f>A219+1</f>
        <v>188</v>
      </c>
      <c r="B222" s="20" t="s">
        <v>246</v>
      </c>
      <c r="C222" s="162">
        <v>1983</v>
      </c>
      <c r="D222" s="31"/>
      <c r="E222" s="31" t="s">
        <v>3122</v>
      </c>
      <c r="F222" s="31">
        <v>5</v>
      </c>
      <c r="G222" s="31">
        <v>2875.4</v>
      </c>
      <c r="H222" s="173">
        <v>249</v>
      </c>
      <c r="I222" s="273">
        <f>SUMIF('2020'!B:B,B222,'2020'!C:C)+SUMIF('2021'!B:B,B222,'2021'!C:C)+SUMIF('2022'!B:B,B222,'2022'!C:C)</f>
        <v>15436560</v>
      </c>
      <c r="J222" s="59">
        <v>44925</v>
      </c>
      <c r="K222" s="162" t="s">
        <v>3118</v>
      </c>
    </row>
    <row r="223" spans="1:12" ht="17.25" customHeight="1" x14ac:dyDescent="0.3">
      <c r="A223" s="15">
        <f>A222+1</f>
        <v>189</v>
      </c>
      <c r="B223" s="20" t="s">
        <v>247</v>
      </c>
      <c r="C223" s="162">
        <v>1984</v>
      </c>
      <c r="D223" s="31"/>
      <c r="E223" s="31" t="s">
        <v>3122</v>
      </c>
      <c r="F223" s="31">
        <v>3</v>
      </c>
      <c r="G223" s="31">
        <v>875.4</v>
      </c>
      <c r="H223" s="173">
        <v>45</v>
      </c>
      <c r="I223" s="273">
        <f>SUMIF('2020'!B:B,B223,'2020'!C:C)+SUMIF('2021'!B:B,B223,'2021'!C:C)+SUMIF('2022'!B:B,B223,'2022'!C:C)</f>
        <v>771887.16999999993</v>
      </c>
      <c r="J223" s="59">
        <v>44925</v>
      </c>
      <c r="K223" s="162" t="s">
        <v>3118</v>
      </c>
    </row>
    <row r="224" spans="1:12" ht="17.25" customHeight="1" x14ac:dyDescent="0.3">
      <c r="A224" s="15">
        <f t="shared" ref="A224:A227" si="14">A223+1</f>
        <v>190</v>
      </c>
      <c r="B224" s="20" t="s">
        <v>256</v>
      </c>
      <c r="C224" s="162">
        <v>1963</v>
      </c>
      <c r="D224" s="31"/>
      <c r="E224" s="31" t="s">
        <v>3122</v>
      </c>
      <c r="F224" s="31">
        <v>4</v>
      </c>
      <c r="G224" s="31">
        <v>2839</v>
      </c>
      <c r="H224" s="173">
        <v>133</v>
      </c>
      <c r="I224" s="273">
        <f>SUMIF('2020'!B:B,B224,'2020'!C:C)+SUMIF('2021'!B:B,B224,'2021'!C:C)+SUMIF('2022'!B:B,B224,'2022'!C:C)</f>
        <v>2030762.31</v>
      </c>
      <c r="J224" s="59">
        <v>44925</v>
      </c>
      <c r="K224" s="162" t="s">
        <v>3118</v>
      </c>
    </row>
    <row r="225" spans="1:12" ht="17.25" customHeight="1" x14ac:dyDescent="0.3">
      <c r="A225" s="15">
        <f t="shared" si="14"/>
        <v>191</v>
      </c>
      <c r="B225" s="20" t="s">
        <v>258</v>
      </c>
      <c r="C225" s="162">
        <v>1963</v>
      </c>
      <c r="D225" s="31"/>
      <c r="E225" s="31" t="s">
        <v>3122</v>
      </c>
      <c r="F225" s="31">
        <v>4</v>
      </c>
      <c r="G225" s="31">
        <v>2839.7</v>
      </c>
      <c r="H225" s="173">
        <v>149</v>
      </c>
      <c r="I225" s="273">
        <f>'2020'!C84+'2022'!C49</f>
        <v>2030171.45</v>
      </c>
      <c r="J225" s="59">
        <v>44925</v>
      </c>
      <c r="K225" s="162" t="s">
        <v>3118</v>
      </c>
    </row>
    <row r="226" spans="1:12" ht="17.25" customHeight="1" x14ac:dyDescent="0.3">
      <c r="A226" s="15">
        <f t="shared" si="14"/>
        <v>192</v>
      </c>
      <c r="B226" s="20" t="s">
        <v>259</v>
      </c>
      <c r="C226" s="162">
        <v>1963</v>
      </c>
      <c r="D226" s="31"/>
      <c r="E226" s="31" t="s">
        <v>3122</v>
      </c>
      <c r="F226" s="31">
        <v>4</v>
      </c>
      <c r="G226" s="31">
        <v>2840</v>
      </c>
      <c r="H226" s="173">
        <v>110</v>
      </c>
      <c r="I226" s="273">
        <f>SUMIF('2020'!B:B,B226,'2020'!C:C)+SUMIF('2021'!B:B,B226,'2021'!C:C)+SUMIF('2022'!B:B,B226,'2022'!C:C)</f>
        <v>2032408.79</v>
      </c>
      <c r="J226" s="59">
        <v>44925</v>
      </c>
      <c r="K226" s="162" t="s">
        <v>3118</v>
      </c>
    </row>
    <row r="227" spans="1:12" ht="17.25" customHeight="1" x14ac:dyDescent="0.3">
      <c r="A227" s="15">
        <f t="shared" si="14"/>
        <v>193</v>
      </c>
      <c r="B227" s="20" t="s">
        <v>219</v>
      </c>
      <c r="C227" s="162">
        <v>1977</v>
      </c>
      <c r="D227" s="31"/>
      <c r="E227" s="31" t="s">
        <v>3122</v>
      </c>
      <c r="F227" s="31">
        <v>5</v>
      </c>
      <c r="G227" s="31">
        <v>6876.7</v>
      </c>
      <c r="H227" s="173">
        <v>231</v>
      </c>
      <c r="I227" s="273">
        <f>SUMIF('2020'!B:B,B227,'2020'!C:C)+SUMIF('2021'!B:B,B227,'2021'!C:C)+SUMIF('2022'!B:B,B227,'2022'!C:C)</f>
        <v>5726066.7999999998</v>
      </c>
      <c r="J227" s="59">
        <v>44925</v>
      </c>
      <c r="K227" s="162" t="s">
        <v>3118</v>
      </c>
    </row>
    <row r="228" spans="1:12" ht="17.25" customHeight="1" x14ac:dyDescent="0.3">
      <c r="A228" s="15" t="s">
        <v>208</v>
      </c>
      <c r="B228" s="20"/>
      <c r="C228" s="31" t="s">
        <v>3558</v>
      </c>
      <c r="D228" s="31" t="s">
        <v>3558</v>
      </c>
      <c r="E228" s="31" t="s">
        <v>3558</v>
      </c>
      <c r="F228" s="31" t="s">
        <v>3558</v>
      </c>
      <c r="G228" s="56">
        <f>SUM(G222:G227)</f>
        <v>19146.2</v>
      </c>
      <c r="H228" s="56">
        <f>SUM(H222:H227)</f>
        <v>917</v>
      </c>
      <c r="I228" s="56">
        <f>SUM(I222:I227)</f>
        <v>28027856.52</v>
      </c>
      <c r="J228" s="31" t="s">
        <v>3558</v>
      </c>
      <c r="K228" s="31" t="s">
        <v>3558</v>
      </c>
      <c r="L228" s="197">
        <f>I228-'2020'!C86-'2021'!C169-'2022'!C51</f>
        <v>0</v>
      </c>
    </row>
    <row r="229" spans="1:12" ht="17.25" customHeight="1" x14ac:dyDescent="0.3">
      <c r="A229" s="19" t="s">
        <v>3597</v>
      </c>
      <c r="B229" s="20"/>
      <c r="C229" s="31"/>
      <c r="D229" s="31"/>
      <c r="E229" s="31"/>
      <c r="F229" s="31"/>
      <c r="G229" s="31"/>
      <c r="H229" s="173"/>
      <c r="I229" s="56"/>
      <c r="J229" s="31"/>
      <c r="K229" s="31"/>
    </row>
    <row r="230" spans="1:12" ht="17.25" customHeight="1" x14ac:dyDescent="0.3">
      <c r="A230" s="15">
        <f>A227+1</f>
        <v>194</v>
      </c>
      <c r="B230" s="20" t="s">
        <v>249</v>
      </c>
      <c r="C230" s="162">
        <v>1979</v>
      </c>
      <c r="D230" s="31"/>
      <c r="E230" s="31" t="s">
        <v>3122</v>
      </c>
      <c r="F230" s="31">
        <v>5</v>
      </c>
      <c r="G230" s="31">
        <v>2839.5</v>
      </c>
      <c r="H230" s="173">
        <v>156</v>
      </c>
      <c r="I230" s="273">
        <f>SUMIF('2020'!B:B,B230,'2020'!C:C)+SUMIF('2021'!B:B,B230,'2021'!C:C)+SUMIF('2022'!B:B,B230,'2022'!C:C)</f>
        <v>3227594.4</v>
      </c>
      <c r="J230" s="59">
        <v>44925</v>
      </c>
      <c r="K230" s="162" t="s">
        <v>3118</v>
      </c>
    </row>
    <row r="231" spans="1:12" ht="17.25" customHeight="1" x14ac:dyDescent="0.3">
      <c r="A231" s="15">
        <f>A230+1</f>
        <v>195</v>
      </c>
      <c r="B231" s="20" t="s">
        <v>220</v>
      </c>
      <c r="C231" s="162">
        <v>1971</v>
      </c>
      <c r="D231" s="31"/>
      <c r="E231" s="31" t="s">
        <v>3122</v>
      </c>
      <c r="F231" s="31">
        <v>5</v>
      </c>
      <c r="G231" s="46">
        <v>5010</v>
      </c>
      <c r="H231" s="173">
        <v>213</v>
      </c>
      <c r="I231" s="273">
        <f>SUMIF('2020'!B:B,B231,'2020'!C:C)+SUMIF('2021'!B:B,B231,'2021'!C:C)+SUMIF('2022'!B:B,B231,'2022'!C:C)</f>
        <v>224691.16</v>
      </c>
      <c r="J231" s="59">
        <v>44925</v>
      </c>
      <c r="K231" s="162" t="s">
        <v>3118</v>
      </c>
    </row>
    <row r="232" spans="1:12" ht="17.25" customHeight="1" x14ac:dyDescent="0.3">
      <c r="A232" s="15">
        <f t="shared" ref="A232:A240" si="15">A231+1</f>
        <v>196</v>
      </c>
      <c r="B232" s="20" t="s">
        <v>221</v>
      </c>
      <c r="C232" s="162">
        <v>1972</v>
      </c>
      <c r="D232" s="31"/>
      <c r="E232" s="31" t="s">
        <v>3122</v>
      </c>
      <c r="F232" s="31">
        <v>5</v>
      </c>
      <c r="G232" s="46">
        <v>4999</v>
      </c>
      <c r="H232" s="173">
        <v>224</v>
      </c>
      <c r="I232" s="273">
        <f>SUMIF('2020'!B:B,B232,'2020'!C:C)+SUMIF('2021'!B:B,B232,'2021'!C:C)+SUMIF('2022'!B:B,B232,'2022'!C:C)</f>
        <v>228866.42</v>
      </c>
      <c r="J232" s="59">
        <v>44925</v>
      </c>
      <c r="K232" s="162" t="s">
        <v>3118</v>
      </c>
    </row>
    <row r="233" spans="1:12" ht="17.25" customHeight="1" x14ac:dyDescent="0.3">
      <c r="A233" s="15">
        <f t="shared" si="15"/>
        <v>197</v>
      </c>
      <c r="B233" s="20" t="s">
        <v>222</v>
      </c>
      <c r="C233" s="162">
        <v>1969</v>
      </c>
      <c r="D233" s="31"/>
      <c r="E233" s="31" t="s">
        <v>3122</v>
      </c>
      <c r="F233" s="31">
        <v>5</v>
      </c>
      <c r="G233" s="46">
        <v>3617</v>
      </c>
      <c r="H233" s="173">
        <v>116</v>
      </c>
      <c r="I233" s="273">
        <f>SUMIF('2020'!B:B,B233,'2020'!C:C)+SUMIF('2021'!B:B,B233,'2021'!C:C)+SUMIF('2022'!B:B,B233,'2022'!C:C)</f>
        <v>163740.57999999999</v>
      </c>
      <c r="J233" s="59">
        <v>44925</v>
      </c>
      <c r="K233" s="162" t="s">
        <v>3118</v>
      </c>
    </row>
    <row r="234" spans="1:12" ht="17.25" customHeight="1" x14ac:dyDescent="0.3">
      <c r="A234" s="15">
        <f t="shared" si="15"/>
        <v>198</v>
      </c>
      <c r="B234" s="20" t="s">
        <v>223</v>
      </c>
      <c r="C234" s="162">
        <v>1982</v>
      </c>
      <c r="D234" s="31"/>
      <c r="E234" s="31" t="s">
        <v>3122</v>
      </c>
      <c r="F234" s="31">
        <v>5</v>
      </c>
      <c r="G234" s="46">
        <v>4688.1000000000004</v>
      </c>
      <c r="H234" s="173">
        <v>242</v>
      </c>
      <c r="I234" s="273">
        <f>SUMIF('2020'!B:B,B234,'2020'!C:C)+SUMIF('2021'!B:B,B234,'2021'!C:C)+SUMIF('2022'!B:B,B234,'2022'!C:C)</f>
        <v>459953.46</v>
      </c>
      <c r="J234" s="59">
        <v>44925</v>
      </c>
      <c r="K234" s="162" t="s">
        <v>3118</v>
      </c>
    </row>
    <row r="235" spans="1:12" ht="17.25" customHeight="1" x14ac:dyDescent="0.3">
      <c r="A235" s="15">
        <f t="shared" si="15"/>
        <v>199</v>
      </c>
      <c r="B235" s="20" t="s">
        <v>224</v>
      </c>
      <c r="C235" s="162">
        <v>1971</v>
      </c>
      <c r="D235" s="31"/>
      <c r="E235" s="31" t="s">
        <v>3122</v>
      </c>
      <c r="F235" s="31">
        <v>5</v>
      </c>
      <c r="G235" s="46">
        <v>2608.0700000000002</v>
      </c>
      <c r="H235" s="173">
        <v>128</v>
      </c>
      <c r="I235" s="273">
        <f>SUMIF('2020'!B:B,B235,'2020'!C:C)+SUMIF('2021'!B:B,B235,'2021'!C:C)+SUMIF('2022'!B:B,B235,'2022'!C:C)</f>
        <v>168125.21</v>
      </c>
      <c r="J235" s="59">
        <v>44925</v>
      </c>
      <c r="K235" s="162" t="s">
        <v>3118</v>
      </c>
    </row>
    <row r="236" spans="1:12" ht="17.25" customHeight="1" x14ac:dyDescent="0.3">
      <c r="A236" s="15">
        <f t="shared" si="15"/>
        <v>200</v>
      </c>
      <c r="B236" s="20" t="s">
        <v>225</v>
      </c>
      <c r="C236" s="162">
        <v>1978</v>
      </c>
      <c r="D236" s="31"/>
      <c r="E236" s="31" t="s">
        <v>3122</v>
      </c>
      <c r="F236" s="31">
        <v>5</v>
      </c>
      <c r="G236" s="46">
        <v>2710.9</v>
      </c>
      <c r="H236" s="173">
        <v>157</v>
      </c>
      <c r="I236" s="273">
        <f>SUMIF('2020'!B:B,B236,'2020'!C:C)+SUMIF('2021'!B:B,B236,'2021'!C:C)+SUMIF('2022'!B:B,B236,'2022'!C:C)</f>
        <v>489000.70999999996</v>
      </c>
      <c r="J236" s="59">
        <v>44925</v>
      </c>
      <c r="K236" s="162" t="s">
        <v>3118</v>
      </c>
    </row>
    <row r="237" spans="1:12" ht="17.25" customHeight="1" x14ac:dyDescent="0.3">
      <c r="A237" s="15">
        <f t="shared" si="15"/>
        <v>201</v>
      </c>
      <c r="B237" s="20" t="s">
        <v>226</v>
      </c>
      <c r="C237" s="162">
        <v>1976</v>
      </c>
      <c r="D237" s="31"/>
      <c r="E237" s="31" t="s">
        <v>3122</v>
      </c>
      <c r="F237" s="31">
        <v>5</v>
      </c>
      <c r="G237" s="46">
        <v>3765.86</v>
      </c>
      <c r="H237" s="173">
        <v>150</v>
      </c>
      <c r="I237" s="273">
        <f>SUMIF('2020'!B:B,B237,'2020'!C:C)+SUMIF('2021'!B:B,B237,'2021'!C:C)+SUMIF('2022'!B:B,B237,'2022'!C:C)</f>
        <v>155036.81</v>
      </c>
      <c r="J237" s="59">
        <v>44925</v>
      </c>
      <c r="K237" s="162" t="s">
        <v>3118</v>
      </c>
    </row>
    <row r="238" spans="1:12" ht="17.25" customHeight="1" x14ac:dyDescent="0.3">
      <c r="A238" s="15">
        <f t="shared" si="15"/>
        <v>202</v>
      </c>
      <c r="B238" s="20" t="s">
        <v>227</v>
      </c>
      <c r="C238" s="162">
        <v>1974</v>
      </c>
      <c r="D238" s="31"/>
      <c r="E238" s="31" t="s">
        <v>3122</v>
      </c>
      <c r="F238" s="31">
        <v>5</v>
      </c>
      <c r="G238" s="46">
        <v>4248.38</v>
      </c>
      <c r="H238" s="173">
        <v>238</v>
      </c>
      <c r="I238" s="273">
        <f>SUMIF('2020'!B:B,B238,'2020'!C:C)+SUMIF('2021'!B:B,B238,'2021'!C:C)+SUMIF('2022'!B:B,B238,'2022'!C:C)</f>
        <v>223399.03</v>
      </c>
      <c r="J238" s="59">
        <v>44925</v>
      </c>
      <c r="K238" s="162" t="s">
        <v>3118</v>
      </c>
    </row>
    <row r="239" spans="1:12" ht="17.25" customHeight="1" x14ac:dyDescent="0.3">
      <c r="A239" s="15">
        <f t="shared" si="15"/>
        <v>203</v>
      </c>
      <c r="B239" s="20" t="s">
        <v>228</v>
      </c>
      <c r="C239" s="162">
        <v>1957</v>
      </c>
      <c r="D239" s="31"/>
      <c r="E239" s="31" t="s">
        <v>3123</v>
      </c>
      <c r="F239" s="31">
        <v>2</v>
      </c>
      <c r="G239" s="46">
        <v>329.4</v>
      </c>
      <c r="H239" s="173">
        <v>25</v>
      </c>
      <c r="I239" s="273">
        <f>SUMIF('2020'!B:B,B239,'2020'!C:C)+SUMIF('2021'!B:B,B239,'2021'!C:C)+SUMIF('2022'!B:B,B239,'2022'!C:C)</f>
        <v>306659.08</v>
      </c>
      <c r="J239" s="59">
        <v>44925</v>
      </c>
      <c r="K239" s="162" t="s">
        <v>3118</v>
      </c>
    </row>
    <row r="240" spans="1:12" ht="17.25" customHeight="1" x14ac:dyDescent="0.3">
      <c r="A240" s="15">
        <f t="shared" si="15"/>
        <v>204</v>
      </c>
      <c r="B240" s="20" t="s">
        <v>229</v>
      </c>
      <c r="C240" s="162">
        <v>1958</v>
      </c>
      <c r="D240" s="31"/>
      <c r="E240" s="31" t="s">
        <v>3123</v>
      </c>
      <c r="F240" s="31">
        <v>2</v>
      </c>
      <c r="G240" s="46">
        <v>311.10000000000002</v>
      </c>
      <c r="H240" s="173">
        <v>28</v>
      </c>
      <c r="I240" s="273">
        <f>SUMIF('2020'!B:B,B240,'2020'!C:C)+SUMIF('2021'!B:B,B240,'2021'!C:C)+SUMIF('2022'!B:B,B240,'2022'!C:C)</f>
        <v>318652.55</v>
      </c>
      <c r="J240" s="59">
        <v>44925</v>
      </c>
      <c r="K240" s="162" t="s">
        <v>3118</v>
      </c>
    </row>
    <row r="241" spans="1:13" ht="17.25" customHeight="1" x14ac:dyDescent="0.3">
      <c r="A241" s="15" t="s">
        <v>208</v>
      </c>
      <c r="B241" s="20"/>
      <c r="C241" s="31" t="s">
        <v>3558</v>
      </c>
      <c r="D241" s="31" t="s">
        <v>3558</v>
      </c>
      <c r="E241" s="31" t="s">
        <v>3558</v>
      </c>
      <c r="F241" s="31" t="s">
        <v>3558</v>
      </c>
      <c r="G241" s="56">
        <f>SUM(G199:G230)</f>
        <v>143594.9</v>
      </c>
      <c r="H241" s="173">
        <f>SUM(H199:H230)</f>
        <v>5582</v>
      </c>
      <c r="I241" s="56">
        <f>SUM(I230:I240)</f>
        <v>5965719.4100000001</v>
      </c>
      <c r="J241" s="31" t="s">
        <v>3558</v>
      </c>
      <c r="K241" s="31" t="s">
        <v>3558</v>
      </c>
      <c r="L241" s="197">
        <f>I241-'2020'!C89-'2021'!C181</f>
        <v>0</v>
      </c>
    </row>
    <row r="242" spans="1:13" ht="17.25" customHeight="1" x14ac:dyDescent="0.3">
      <c r="A242" s="19" t="s">
        <v>250</v>
      </c>
      <c r="B242" s="20"/>
      <c r="C242" s="31"/>
      <c r="D242" s="31"/>
      <c r="E242" s="31"/>
      <c r="F242" s="31"/>
      <c r="G242" s="31"/>
      <c r="H242" s="173"/>
      <c r="I242" s="56"/>
      <c r="J242" s="31"/>
      <c r="K242" s="31"/>
    </row>
    <row r="243" spans="1:13" ht="17.25" customHeight="1" x14ac:dyDescent="0.3">
      <c r="A243" s="15">
        <f>A240+1</f>
        <v>205</v>
      </c>
      <c r="B243" s="20" t="s">
        <v>251</v>
      </c>
      <c r="C243" s="162">
        <v>1964</v>
      </c>
      <c r="D243" s="31"/>
      <c r="E243" s="31" t="s">
        <v>3123</v>
      </c>
      <c r="F243" s="31">
        <v>2</v>
      </c>
      <c r="G243" s="31">
        <v>695</v>
      </c>
      <c r="H243" s="173">
        <v>32</v>
      </c>
      <c r="I243" s="273">
        <f>SUMIF('2020'!B:B,B243,'2020'!C:C)+SUMIF('2021'!B:B,B243,'2021'!C:C)+SUMIF('2022'!B:B,B243,'2022'!C:C)</f>
        <v>3987590.89</v>
      </c>
      <c r="J243" s="59">
        <v>44925</v>
      </c>
      <c r="K243" s="162" t="s">
        <v>3118</v>
      </c>
    </row>
    <row r="244" spans="1:13" ht="17.25" customHeight="1" x14ac:dyDescent="0.3">
      <c r="A244" s="15">
        <f>A243+1</f>
        <v>206</v>
      </c>
      <c r="B244" s="20" t="s">
        <v>252</v>
      </c>
      <c r="C244" s="162">
        <v>1978</v>
      </c>
      <c r="D244" s="31"/>
      <c r="E244" s="31" t="s">
        <v>3122</v>
      </c>
      <c r="F244" s="31">
        <v>5</v>
      </c>
      <c r="G244" s="31">
        <v>4409</v>
      </c>
      <c r="H244" s="173">
        <v>138</v>
      </c>
      <c r="I244" s="273">
        <f>SUMIF('2020'!B:B,B244,'2020'!C:C)+SUMIF('2021'!B:B,B244,'2021'!C:C)+SUMIF('2022'!B:B,B244,'2022'!C:C)</f>
        <v>618176.26</v>
      </c>
      <c r="J244" s="59">
        <v>44925</v>
      </c>
      <c r="K244" s="162" t="s">
        <v>3118</v>
      </c>
    </row>
    <row r="245" spans="1:13" ht="17.25" customHeight="1" x14ac:dyDescent="0.3">
      <c r="A245" s="15">
        <f>A244+1</f>
        <v>207</v>
      </c>
      <c r="B245" s="20" t="s">
        <v>253</v>
      </c>
      <c r="C245" s="162">
        <v>1977</v>
      </c>
      <c r="D245" s="31"/>
      <c r="E245" s="31" t="s">
        <v>3122</v>
      </c>
      <c r="F245" s="31">
        <v>5</v>
      </c>
      <c r="G245" s="31">
        <v>4650</v>
      </c>
      <c r="H245" s="173">
        <v>223</v>
      </c>
      <c r="I245" s="273">
        <f>SUMIF('2020'!B:B,B245,'2020'!C:C)+SUMIF('2021'!B:B,B245,'2021'!C:C)+SUMIF('2022'!B:B,B245,'2022'!C:C)</f>
        <v>840900.07000000007</v>
      </c>
      <c r="J245" s="59">
        <v>44925</v>
      </c>
      <c r="K245" s="162" t="s">
        <v>3118</v>
      </c>
    </row>
    <row r="246" spans="1:13" ht="17.25" customHeight="1" x14ac:dyDescent="0.3">
      <c r="A246" s="15">
        <f>A245+1</f>
        <v>208</v>
      </c>
      <c r="B246" s="20" t="s">
        <v>254</v>
      </c>
      <c r="C246" s="162">
        <v>1963</v>
      </c>
      <c r="D246" s="31"/>
      <c r="E246" s="31" t="s">
        <v>3123</v>
      </c>
      <c r="F246" s="31">
        <v>2</v>
      </c>
      <c r="G246" s="31">
        <v>674</v>
      </c>
      <c r="H246" s="173">
        <v>33</v>
      </c>
      <c r="I246" s="273">
        <f>SUMIF('2020'!B:B,B246,'2020'!C:C)+SUMIF('2021'!B:B,B246,'2021'!C:C)+SUMIF('2022'!B:B,B246,'2022'!C:C)</f>
        <v>11080372.17</v>
      </c>
      <c r="J246" s="59">
        <v>44925</v>
      </c>
      <c r="K246" s="162" t="s">
        <v>3118</v>
      </c>
    </row>
    <row r="247" spans="1:13" ht="17.25" customHeight="1" x14ac:dyDescent="0.3">
      <c r="A247" s="15">
        <f>A246+1</f>
        <v>209</v>
      </c>
      <c r="B247" s="20" t="s">
        <v>255</v>
      </c>
      <c r="C247" s="162">
        <v>1960</v>
      </c>
      <c r="D247" s="31"/>
      <c r="E247" s="31" t="s">
        <v>3123</v>
      </c>
      <c r="F247" s="31">
        <v>2</v>
      </c>
      <c r="G247" s="31">
        <v>650</v>
      </c>
      <c r="H247" s="173">
        <v>31</v>
      </c>
      <c r="I247" s="273">
        <f>SUMIF('2020'!B:B,B247,'2020'!C:C)+SUMIF('2021'!B:B,B247,'2021'!C:C)+SUMIF('2022'!B:B,B247,'2022'!C:C)</f>
        <v>195422.39</v>
      </c>
      <c r="J247" s="59">
        <v>44925</v>
      </c>
      <c r="K247" s="162" t="s">
        <v>3118</v>
      </c>
    </row>
    <row r="248" spans="1:13" ht="17.25" customHeight="1" x14ac:dyDescent="0.3">
      <c r="A248" s="15" t="s">
        <v>208</v>
      </c>
      <c r="B248" s="20"/>
      <c r="C248" s="31" t="s">
        <v>3558</v>
      </c>
      <c r="D248" s="31" t="s">
        <v>3558</v>
      </c>
      <c r="E248" s="31" t="s">
        <v>3558</v>
      </c>
      <c r="F248" s="31" t="s">
        <v>3558</v>
      </c>
      <c r="G248" s="56">
        <f>SUM(G243:G247)</f>
        <v>11078</v>
      </c>
      <c r="H248" s="173">
        <f>SUM(H243:H247)</f>
        <v>457</v>
      </c>
      <c r="I248" s="56">
        <f>SUM(I243:I247)</f>
        <v>16722461.780000001</v>
      </c>
      <c r="J248" s="31" t="s">
        <v>3558</v>
      </c>
      <c r="K248" s="31" t="s">
        <v>3558</v>
      </c>
    </row>
    <row r="249" spans="1:13" s="43" customFormat="1" ht="17.25" customHeight="1" x14ac:dyDescent="0.3">
      <c r="A249" s="279" t="s">
        <v>260</v>
      </c>
      <c r="B249" s="262"/>
      <c r="C249" s="165" t="s">
        <v>3558</v>
      </c>
      <c r="D249" s="165" t="s">
        <v>3558</v>
      </c>
      <c r="E249" s="165" t="s">
        <v>3558</v>
      </c>
      <c r="F249" s="165" t="s">
        <v>3558</v>
      </c>
      <c r="G249" s="164">
        <f>G248+G241+G228+G220+G209+G201+G190</f>
        <v>268398.01</v>
      </c>
      <c r="H249" s="164">
        <f>H248+H241+H228+H220+H209+H201+H190</f>
        <v>10938</v>
      </c>
      <c r="I249" s="164">
        <f>I248+I241+I228+I220+I209+I201+I190</f>
        <v>187402060.38999999</v>
      </c>
      <c r="J249" s="165" t="s">
        <v>3558</v>
      </c>
      <c r="K249" s="165" t="s">
        <v>3558</v>
      </c>
      <c r="L249" s="196">
        <f>I249-'2020'!C90-'2021'!C189-'2022'!C55</f>
        <v>0</v>
      </c>
      <c r="M249" s="196"/>
    </row>
    <row r="250" spans="1:13" ht="17.25" customHeight="1" x14ac:dyDescent="0.3">
      <c r="A250" s="303" t="s">
        <v>3124</v>
      </c>
      <c r="B250" s="303"/>
      <c r="C250" s="303"/>
      <c r="D250" s="303"/>
      <c r="E250" s="303"/>
      <c r="F250" s="303"/>
      <c r="G250" s="303"/>
      <c r="H250" s="303"/>
      <c r="I250" s="303"/>
      <c r="J250" s="303"/>
      <c r="K250" s="303"/>
    </row>
    <row r="251" spans="1:13" ht="17.25" customHeight="1" x14ac:dyDescent="0.3">
      <c r="A251" s="19" t="s">
        <v>261</v>
      </c>
      <c r="B251" s="20"/>
      <c r="C251" s="31"/>
      <c r="D251" s="31"/>
      <c r="E251" s="31"/>
      <c r="F251" s="31"/>
      <c r="G251" s="31"/>
      <c r="H251" s="173"/>
      <c r="I251" s="56"/>
      <c r="J251" s="31"/>
      <c r="K251" s="31"/>
    </row>
    <row r="252" spans="1:13" ht="17.25" customHeight="1" x14ac:dyDescent="0.3">
      <c r="A252" s="15">
        <f>A247+1</f>
        <v>210</v>
      </c>
      <c r="B252" s="20" t="s">
        <v>262</v>
      </c>
      <c r="C252" s="162">
        <v>1979</v>
      </c>
      <c r="D252" s="31"/>
      <c r="E252" s="200" t="s">
        <v>3126</v>
      </c>
      <c r="F252" s="200">
        <v>5</v>
      </c>
      <c r="G252" s="200">
        <v>3126.7</v>
      </c>
      <c r="H252" s="201">
        <v>128</v>
      </c>
      <c r="I252" s="273">
        <f>SUMIF('2020'!B:B,B252,'2020'!C:C)+SUMIF('2021'!B:B,B252,'2021'!C:C)+SUMIF('2022'!B:B,B252,'2022'!C:C)</f>
        <v>381893.62</v>
      </c>
      <c r="J252" s="59">
        <v>44925</v>
      </c>
      <c r="K252" s="162" t="s">
        <v>3118</v>
      </c>
    </row>
    <row r="253" spans="1:13" ht="17.25" customHeight="1" x14ac:dyDescent="0.3">
      <c r="A253" s="15">
        <f>A252+1</f>
        <v>211</v>
      </c>
      <c r="B253" s="20" t="s">
        <v>263</v>
      </c>
      <c r="C253" s="162">
        <v>1978</v>
      </c>
      <c r="D253" s="31"/>
      <c r="E253" s="200" t="s">
        <v>3119</v>
      </c>
      <c r="F253" s="200">
        <v>5</v>
      </c>
      <c r="G253" s="200">
        <v>3050.2</v>
      </c>
      <c r="H253" s="201">
        <v>135</v>
      </c>
      <c r="I253" s="273">
        <f>SUMIF('2020'!B:B,B253,'2020'!C:C)+SUMIF('2021'!B:B,B253,'2021'!C:C)+SUMIF('2022'!B:B,B253,'2022'!C:C)</f>
        <v>381893.62</v>
      </c>
      <c r="J253" s="59">
        <v>44925</v>
      </c>
      <c r="K253" s="162" t="s">
        <v>3118</v>
      </c>
    </row>
    <row r="254" spans="1:13" ht="17.25" customHeight="1" x14ac:dyDescent="0.3">
      <c r="A254" s="15">
        <f>A253+1</f>
        <v>212</v>
      </c>
      <c r="B254" s="20" t="s">
        <v>264</v>
      </c>
      <c r="C254" s="162">
        <v>1966</v>
      </c>
      <c r="D254" s="31"/>
      <c r="E254" s="31" t="s">
        <v>3035</v>
      </c>
      <c r="F254" s="31">
        <v>2</v>
      </c>
      <c r="G254" s="31">
        <v>634.1</v>
      </c>
      <c r="H254" s="173">
        <v>20</v>
      </c>
      <c r="I254" s="273">
        <f>SUMIF('2020'!B:B,B254,'2020'!C:C)+SUMIF('2021'!B:B,B254,'2021'!C:C)+SUMIF('2022'!B:B,B254,'2022'!C:C)</f>
        <v>195449.24</v>
      </c>
      <c r="J254" s="59">
        <v>44925</v>
      </c>
      <c r="K254" s="162" t="s">
        <v>3118</v>
      </c>
    </row>
    <row r="255" spans="1:13" ht="17.25" customHeight="1" x14ac:dyDescent="0.3">
      <c r="A255" s="15">
        <f>A254+1</f>
        <v>213</v>
      </c>
      <c r="B255" s="20" t="s">
        <v>265</v>
      </c>
      <c r="C255" s="162">
        <v>1981</v>
      </c>
      <c r="D255" s="31"/>
      <c r="E255" s="200" t="s">
        <v>3126</v>
      </c>
      <c r="F255" s="200">
        <v>5</v>
      </c>
      <c r="G255" s="200">
        <v>3056.1</v>
      </c>
      <c r="H255" s="201">
        <v>131</v>
      </c>
      <c r="I255" s="273">
        <f>SUMIF('2020'!B:B,B255,'2020'!C:C)+SUMIF('2021'!B:B,B255,'2021'!C:C)+SUMIF('2022'!B:B,B255,'2022'!C:C)</f>
        <v>381893.62</v>
      </c>
      <c r="J255" s="59">
        <v>44925</v>
      </c>
      <c r="K255" s="162" t="s">
        <v>3118</v>
      </c>
    </row>
    <row r="256" spans="1:13" ht="17.25" customHeight="1" x14ac:dyDescent="0.3">
      <c r="A256" s="15">
        <f>A255+1</f>
        <v>214</v>
      </c>
      <c r="B256" s="20" t="s">
        <v>266</v>
      </c>
      <c r="C256" s="162">
        <v>1984</v>
      </c>
      <c r="D256" s="31"/>
      <c r="E256" s="200" t="s">
        <v>3126</v>
      </c>
      <c r="F256" s="200">
        <v>5</v>
      </c>
      <c r="G256" s="200">
        <v>3058.7</v>
      </c>
      <c r="H256" s="201">
        <v>136</v>
      </c>
      <c r="I256" s="273">
        <f>SUMIF('2020'!B:B,B256,'2020'!C:C)+SUMIF('2021'!B:B,B256,'2021'!C:C)+SUMIF('2022'!B:B,B256,'2022'!C:C)</f>
        <v>381893.62</v>
      </c>
      <c r="J256" s="59">
        <v>44925</v>
      </c>
      <c r="K256" s="162" t="s">
        <v>3118</v>
      </c>
    </row>
    <row r="257" spans="1:12" ht="17.25" customHeight="1" x14ac:dyDescent="0.3">
      <c r="A257" s="15" t="s">
        <v>208</v>
      </c>
      <c r="B257" s="250"/>
      <c r="C257" s="31" t="s">
        <v>3558</v>
      </c>
      <c r="D257" s="31" t="s">
        <v>3558</v>
      </c>
      <c r="E257" s="31" t="s">
        <v>3558</v>
      </c>
      <c r="F257" s="31" t="s">
        <v>3558</v>
      </c>
      <c r="G257" s="56">
        <f>SUM(G252:G256)</f>
        <v>12925.8</v>
      </c>
      <c r="H257" s="173">
        <f>SUM(H252:H256)</f>
        <v>550</v>
      </c>
      <c r="I257" s="56">
        <f>SUM(I252:I256)</f>
        <v>1723023.7200000002</v>
      </c>
      <c r="J257" s="59" t="s">
        <v>3558</v>
      </c>
      <c r="K257" s="162" t="s">
        <v>3558</v>
      </c>
      <c r="L257" s="197">
        <f>I257-'2020'!C98</f>
        <v>0</v>
      </c>
    </row>
    <row r="258" spans="1:12" ht="17.25" customHeight="1" x14ac:dyDescent="0.3">
      <c r="A258" s="19" t="s">
        <v>267</v>
      </c>
      <c r="B258" s="20"/>
      <c r="C258" s="31"/>
      <c r="D258" s="31"/>
      <c r="E258" s="31"/>
      <c r="F258" s="31"/>
      <c r="G258" s="31"/>
      <c r="H258" s="173"/>
      <c r="I258" s="56"/>
      <c r="J258" s="31"/>
      <c r="K258" s="31"/>
    </row>
    <row r="259" spans="1:12" ht="17.25" customHeight="1" x14ac:dyDescent="0.3">
      <c r="A259" s="15">
        <f>A256+1</f>
        <v>215</v>
      </c>
      <c r="B259" s="20" t="s">
        <v>268</v>
      </c>
      <c r="C259" s="162">
        <v>1966</v>
      </c>
      <c r="D259" s="31"/>
      <c r="E259" s="217" t="s">
        <v>3123</v>
      </c>
      <c r="F259" s="217">
        <v>2</v>
      </c>
      <c r="G259" s="217">
        <v>533.72</v>
      </c>
      <c r="H259" s="218">
        <v>33</v>
      </c>
      <c r="I259" s="273">
        <f>SUMIF('2020'!B:B,B259,'2020'!C:C)+SUMIF('2021'!B:B,B259,'2021'!C:C)+SUMIF('2022'!B:B,B259,'2022'!C:C)</f>
        <v>2151285.3600000003</v>
      </c>
      <c r="J259" s="59">
        <v>44925</v>
      </c>
      <c r="K259" s="162" t="s">
        <v>3118</v>
      </c>
    </row>
    <row r="260" spans="1:12" ht="17.25" customHeight="1" x14ac:dyDescent="0.3">
      <c r="A260" s="15">
        <f t="shared" ref="A260:A267" si="16">A259+1</f>
        <v>216</v>
      </c>
      <c r="B260" s="20" t="s">
        <v>269</v>
      </c>
      <c r="C260" s="162">
        <v>1966</v>
      </c>
      <c r="D260" s="31"/>
      <c r="E260" s="217" t="s">
        <v>3123</v>
      </c>
      <c r="F260" s="217">
        <v>2</v>
      </c>
      <c r="G260" s="217">
        <v>538.62</v>
      </c>
      <c r="H260" s="218">
        <v>21</v>
      </c>
      <c r="I260" s="273">
        <f>SUMIF('2020'!B:B,B260,'2020'!C:C)+SUMIF('2021'!B:B,B260,'2021'!C:C)+SUMIF('2022'!B:B,B260,'2022'!C:C)</f>
        <v>89136.18</v>
      </c>
      <c r="J260" s="59">
        <v>44925</v>
      </c>
      <c r="K260" s="162" t="s">
        <v>3118</v>
      </c>
    </row>
    <row r="261" spans="1:12" ht="17.25" customHeight="1" x14ac:dyDescent="0.3">
      <c r="A261" s="15">
        <f t="shared" si="16"/>
        <v>217</v>
      </c>
      <c r="B261" s="20" t="s">
        <v>270</v>
      </c>
      <c r="C261" s="162">
        <v>1966</v>
      </c>
      <c r="D261" s="31"/>
      <c r="E261" s="217" t="s">
        <v>3123</v>
      </c>
      <c r="F261" s="217">
        <v>2</v>
      </c>
      <c r="G261" s="217">
        <v>545.11</v>
      </c>
      <c r="H261" s="218">
        <v>34</v>
      </c>
      <c r="I261" s="273">
        <f>SUMIF('2020'!B:B,B261,'2020'!C:C)+SUMIF('2021'!B:B,B261,'2021'!C:C)+SUMIF('2022'!B:B,B261,'2022'!C:C)</f>
        <v>90352.56</v>
      </c>
      <c r="J261" s="59">
        <v>44925</v>
      </c>
      <c r="K261" s="162" t="s">
        <v>3118</v>
      </c>
    </row>
    <row r="262" spans="1:12" ht="17.25" customHeight="1" x14ac:dyDescent="0.3">
      <c r="A262" s="15">
        <f t="shared" si="16"/>
        <v>218</v>
      </c>
      <c r="B262" s="20" t="s">
        <v>271</v>
      </c>
      <c r="C262" s="162">
        <v>1968</v>
      </c>
      <c r="D262" s="31"/>
      <c r="E262" s="217" t="s">
        <v>3123</v>
      </c>
      <c r="F262" s="217">
        <v>2</v>
      </c>
      <c r="G262" s="217">
        <v>546.04</v>
      </c>
      <c r="H262" s="218">
        <v>31</v>
      </c>
      <c r="I262" s="273">
        <f>SUMIF('2020'!B:B,B262,'2020'!C:C)+SUMIF('2021'!B:B,B262,'2021'!C:C)+SUMIF('2022'!B:B,B262,'2022'!C:C)</f>
        <v>2184401.52</v>
      </c>
      <c r="J262" s="59">
        <v>44925</v>
      </c>
      <c r="K262" s="162" t="s">
        <v>3118</v>
      </c>
    </row>
    <row r="263" spans="1:12" ht="17.25" customHeight="1" x14ac:dyDescent="0.3">
      <c r="A263" s="15">
        <f t="shared" si="16"/>
        <v>219</v>
      </c>
      <c r="B263" s="20" t="s">
        <v>272</v>
      </c>
      <c r="C263" s="162">
        <v>1970</v>
      </c>
      <c r="D263" s="31"/>
      <c r="E263" s="219" t="s">
        <v>3123</v>
      </c>
      <c r="F263" s="219">
        <v>2</v>
      </c>
      <c r="G263" s="219">
        <v>543.57000000000005</v>
      </c>
      <c r="H263" s="220">
        <v>43</v>
      </c>
      <c r="I263" s="273">
        <f>SUMIF('2020'!B:B,B263,'2020'!C:C)+SUMIF('2021'!B:B,B263,'2021'!C:C)+SUMIF('2022'!B:B,B263,'2022'!C:C)</f>
        <v>120030.51999999999</v>
      </c>
      <c r="J263" s="59">
        <v>44925</v>
      </c>
      <c r="K263" s="162" t="s">
        <v>3118</v>
      </c>
    </row>
    <row r="264" spans="1:12" ht="17.25" customHeight="1" x14ac:dyDescent="0.3">
      <c r="A264" s="15">
        <f t="shared" si="16"/>
        <v>220</v>
      </c>
      <c r="B264" s="20" t="s">
        <v>273</v>
      </c>
      <c r="C264" s="162">
        <v>1971</v>
      </c>
      <c r="D264" s="31"/>
      <c r="E264" s="217" t="s">
        <v>3123</v>
      </c>
      <c r="F264" s="217">
        <v>2</v>
      </c>
      <c r="G264" s="217">
        <v>537.41</v>
      </c>
      <c r="H264" s="218">
        <v>22</v>
      </c>
      <c r="I264" s="273">
        <f>SUMIF('2020'!B:B,B264,'2020'!C:C)+SUMIF('2021'!B:B,B264,'2021'!C:C)+SUMIF('2022'!B:B,B264,'2022'!C:C)</f>
        <v>2893994.3600000003</v>
      </c>
      <c r="J264" s="59">
        <v>44925</v>
      </c>
      <c r="K264" s="162" t="s">
        <v>3118</v>
      </c>
    </row>
    <row r="265" spans="1:12" ht="17.25" customHeight="1" x14ac:dyDescent="0.3">
      <c r="A265" s="15">
        <f t="shared" si="16"/>
        <v>221</v>
      </c>
      <c r="B265" s="20" t="s">
        <v>274</v>
      </c>
      <c r="C265" s="162">
        <v>1978</v>
      </c>
      <c r="D265" s="31"/>
      <c r="E265" s="31" t="s">
        <v>3127</v>
      </c>
      <c r="F265" s="31">
        <v>3</v>
      </c>
      <c r="G265" s="31">
        <v>1392.07</v>
      </c>
      <c r="H265" s="173">
        <v>73</v>
      </c>
      <c r="I265" s="273">
        <f>SUMIF('2020'!B:B,B265,'2020'!C:C)+SUMIF('2021'!B:B,B265,'2021'!C:C)+SUMIF('2022'!B:B,B265,'2022'!C:C)</f>
        <v>130000</v>
      </c>
      <c r="J265" s="59">
        <v>44925</v>
      </c>
      <c r="K265" s="162" t="s">
        <v>3118</v>
      </c>
    </row>
    <row r="266" spans="1:12" ht="17.25" customHeight="1" x14ac:dyDescent="0.3">
      <c r="A266" s="15">
        <f t="shared" si="16"/>
        <v>222</v>
      </c>
      <c r="B266" s="20" t="s">
        <v>275</v>
      </c>
      <c r="C266" s="162">
        <v>1977</v>
      </c>
      <c r="D266" s="31"/>
      <c r="E266" s="200" t="s">
        <v>3127</v>
      </c>
      <c r="F266" s="200">
        <v>3</v>
      </c>
      <c r="G266" s="200">
        <v>1382.34</v>
      </c>
      <c r="H266" s="201">
        <v>58</v>
      </c>
      <c r="I266" s="273">
        <f>SUMIF('2020'!B:B,B266,'2020'!C:C)+SUMIF('2021'!B:B,B266,'2021'!C:C)+SUMIF('2022'!B:B,B266,'2022'!C:C)</f>
        <v>6859472</v>
      </c>
      <c r="J266" s="59">
        <v>44925</v>
      </c>
      <c r="K266" s="162" t="s">
        <v>3118</v>
      </c>
    </row>
    <row r="267" spans="1:12" ht="17.25" customHeight="1" x14ac:dyDescent="0.3">
      <c r="A267" s="15">
        <f t="shared" si="16"/>
        <v>223</v>
      </c>
      <c r="B267" s="20" t="s">
        <v>276</v>
      </c>
      <c r="C267" s="162">
        <v>1977</v>
      </c>
      <c r="D267" s="31"/>
      <c r="E267" s="31" t="s">
        <v>3127</v>
      </c>
      <c r="F267" s="31">
        <v>3</v>
      </c>
      <c r="G267" s="31">
        <v>1386.48</v>
      </c>
      <c r="H267" s="173">
        <v>46</v>
      </c>
      <c r="I267" s="273">
        <f>SUMIF('2020'!B:B,B267,'2020'!C:C)+SUMIF('2021'!B:B,B267,'2021'!C:C)+SUMIF('2022'!B:B,B267,'2022'!C:C)</f>
        <v>175897.27</v>
      </c>
      <c r="J267" s="59">
        <v>44925</v>
      </c>
      <c r="K267" s="162" t="s">
        <v>3118</v>
      </c>
    </row>
    <row r="268" spans="1:12" ht="17.25" customHeight="1" x14ac:dyDescent="0.3">
      <c r="A268" s="15" t="s">
        <v>208</v>
      </c>
      <c r="B268" s="250"/>
      <c r="C268" s="31" t="s">
        <v>3558</v>
      </c>
      <c r="D268" s="31" t="s">
        <v>3558</v>
      </c>
      <c r="E268" s="31" t="s">
        <v>3558</v>
      </c>
      <c r="F268" s="31" t="s">
        <v>3558</v>
      </c>
      <c r="G268" s="56">
        <f>SUM(G259:G267)</f>
        <v>7405.3600000000006</v>
      </c>
      <c r="H268" s="173">
        <f>SUM(H259:H267)</f>
        <v>361</v>
      </c>
      <c r="I268" s="56">
        <f>SUM(I259:I267)</f>
        <v>14694569.77</v>
      </c>
      <c r="J268" s="31" t="s">
        <v>3558</v>
      </c>
      <c r="K268" s="31" t="s">
        <v>3558</v>
      </c>
      <c r="L268" s="197">
        <f>I268-'2021'!C196-'2022'!C63</f>
        <v>0</v>
      </c>
    </row>
    <row r="269" spans="1:12" ht="17.25" customHeight="1" x14ac:dyDescent="0.3">
      <c r="A269" s="19" t="s">
        <v>277</v>
      </c>
      <c r="B269" s="20"/>
      <c r="C269" s="31"/>
      <c r="D269" s="31"/>
      <c r="E269" s="31"/>
      <c r="F269" s="31"/>
      <c r="G269" s="31"/>
      <c r="H269" s="173"/>
      <c r="I269" s="56"/>
      <c r="J269" s="31"/>
      <c r="K269" s="31"/>
    </row>
    <row r="270" spans="1:12" ht="17.25" customHeight="1" x14ac:dyDescent="0.3">
      <c r="A270" s="15">
        <f>A267+1</f>
        <v>224</v>
      </c>
      <c r="B270" s="20" t="s">
        <v>278</v>
      </c>
      <c r="C270" s="162">
        <v>1930</v>
      </c>
      <c r="D270" s="31"/>
      <c r="E270" s="200" t="s">
        <v>3123</v>
      </c>
      <c r="F270" s="200">
        <v>4.5</v>
      </c>
      <c r="G270" s="200">
        <v>2496.3000000000002</v>
      </c>
      <c r="H270" s="201">
        <v>62</v>
      </c>
      <c r="I270" s="273">
        <f>SUMIF('2020'!B:B,B270,'2020'!C:C)+SUMIF('2021'!B:B,B270,'2021'!C:C)+SUMIF('2022'!B:B,B270,'2022'!C:C)</f>
        <v>559692.15</v>
      </c>
      <c r="J270" s="59">
        <v>44925</v>
      </c>
      <c r="K270" s="162" t="s">
        <v>3118</v>
      </c>
    </row>
    <row r="271" spans="1:12" ht="17.25" customHeight="1" x14ac:dyDescent="0.3">
      <c r="A271" s="15">
        <f t="shared" ref="A271:A283" si="17">A270+1</f>
        <v>225</v>
      </c>
      <c r="B271" s="20" t="s">
        <v>279</v>
      </c>
      <c r="C271" s="162">
        <v>1952</v>
      </c>
      <c r="D271" s="31"/>
      <c r="E271" s="200" t="s">
        <v>3123</v>
      </c>
      <c r="F271" s="200">
        <v>2</v>
      </c>
      <c r="G271" s="200">
        <v>424.7</v>
      </c>
      <c r="H271" s="201">
        <v>8</v>
      </c>
      <c r="I271" s="273">
        <f>SUMIF('2020'!B:B,B271,'2020'!C:C)+SUMIF('2021'!B:B,B271,'2021'!C:C)+SUMIF('2022'!B:B,B271,'2022'!C:C)</f>
        <v>200018.81</v>
      </c>
      <c r="J271" s="59">
        <v>44925</v>
      </c>
      <c r="K271" s="162" t="s">
        <v>3118</v>
      </c>
    </row>
    <row r="272" spans="1:12" ht="17.25" customHeight="1" x14ac:dyDescent="0.3">
      <c r="A272" s="15">
        <f t="shared" si="17"/>
        <v>226</v>
      </c>
      <c r="B272" s="20" t="s">
        <v>280</v>
      </c>
      <c r="C272" s="162">
        <v>1952</v>
      </c>
      <c r="D272" s="31"/>
      <c r="E272" s="200" t="s">
        <v>3121</v>
      </c>
      <c r="F272" s="200">
        <v>3</v>
      </c>
      <c r="G272" s="200">
        <v>1991.6</v>
      </c>
      <c r="H272" s="201">
        <v>64</v>
      </c>
      <c r="I272" s="273">
        <f>SUMIF('2020'!B:B,B272,'2020'!C:C)+SUMIF('2021'!B:B,B272,'2021'!C:C)+SUMIF('2022'!B:B,B272,'2022'!C:C)</f>
        <v>309644.56</v>
      </c>
      <c r="J272" s="59">
        <v>44925</v>
      </c>
      <c r="K272" s="162" t="s">
        <v>3118</v>
      </c>
    </row>
    <row r="273" spans="1:12" ht="17.25" customHeight="1" x14ac:dyDescent="0.3">
      <c r="A273" s="15">
        <f t="shared" si="17"/>
        <v>227</v>
      </c>
      <c r="B273" s="20" t="s">
        <v>281</v>
      </c>
      <c r="C273" s="162">
        <v>1978</v>
      </c>
      <c r="D273" s="31"/>
      <c r="E273" s="31" t="s">
        <v>3121</v>
      </c>
      <c r="F273" s="31">
        <v>5</v>
      </c>
      <c r="G273" s="31">
        <v>4521.5</v>
      </c>
      <c r="H273" s="173">
        <v>190</v>
      </c>
      <c r="I273" s="273">
        <f>SUMIF('2020'!B:B,B273,'2020'!C:C)+SUMIF('2021'!B:B,B273,'2021'!C:C)+SUMIF('2022'!B:B,B273,'2022'!C:C)</f>
        <v>13007439.199999999</v>
      </c>
      <c r="J273" s="59">
        <v>44925</v>
      </c>
      <c r="K273" s="162" t="s">
        <v>3118</v>
      </c>
    </row>
    <row r="274" spans="1:12" ht="17.25" customHeight="1" x14ac:dyDescent="0.3">
      <c r="A274" s="15">
        <f t="shared" si="17"/>
        <v>228</v>
      </c>
      <c r="B274" s="20" t="s">
        <v>282</v>
      </c>
      <c r="C274" s="162">
        <v>1961</v>
      </c>
      <c r="D274" s="31"/>
      <c r="E274" s="31" t="s">
        <v>3121</v>
      </c>
      <c r="F274" s="31">
        <v>4</v>
      </c>
      <c r="G274" s="31">
        <v>2910.2</v>
      </c>
      <c r="H274" s="173">
        <v>111</v>
      </c>
      <c r="I274" s="273">
        <f>SUMIF('2020'!B:B,B274,'2020'!C:C)+SUMIF('2021'!B:B,B274,'2021'!C:C)+SUMIF('2022'!B:B,B274,'2022'!C:C)</f>
        <v>6712929.5999999996</v>
      </c>
      <c r="J274" s="59">
        <v>44925</v>
      </c>
      <c r="K274" s="162" t="s">
        <v>3118</v>
      </c>
    </row>
    <row r="275" spans="1:12" ht="17.25" customHeight="1" x14ac:dyDescent="0.3">
      <c r="A275" s="15">
        <f t="shared" si="17"/>
        <v>229</v>
      </c>
      <c r="B275" s="20" t="s">
        <v>283</v>
      </c>
      <c r="C275" s="162">
        <v>1975</v>
      </c>
      <c r="D275" s="31"/>
      <c r="E275" s="31" t="s">
        <v>3128</v>
      </c>
      <c r="F275" s="31">
        <v>5</v>
      </c>
      <c r="G275" s="31">
        <v>4874.8</v>
      </c>
      <c r="H275" s="173">
        <v>216</v>
      </c>
      <c r="I275" s="273">
        <f>SUMIF('2020'!B:B,B275,'2020'!C:C)+SUMIF('2021'!B:B,B275,'2021'!C:C)+SUMIF('2022'!B:B,B275,'2022'!C:C)</f>
        <v>985320</v>
      </c>
      <c r="J275" s="59">
        <v>44925</v>
      </c>
      <c r="K275" s="162" t="s">
        <v>3118</v>
      </c>
    </row>
    <row r="276" spans="1:12" ht="17.25" customHeight="1" x14ac:dyDescent="0.3">
      <c r="A276" s="15">
        <f t="shared" si="17"/>
        <v>230</v>
      </c>
      <c r="B276" s="20" t="s">
        <v>284</v>
      </c>
      <c r="C276" s="162">
        <v>1961</v>
      </c>
      <c r="D276" s="31"/>
      <c r="E276" s="31" t="s">
        <v>3123</v>
      </c>
      <c r="F276" s="31">
        <v>4</v>
      </c>
      <c r="G276" s="31">
        <v>2275.94</v>
      </c>
      <c r="H276" s="173">
        <v>69</v>
      </c>
      <c r="I276" s="273">
        <f>SUMIF('2020'!B:B,B276,'2020'!C:C)+SUMIF('2021'!B:B,B276,'2021'!C:C)+SUMIF('2022'!B:B,B276,'2022'!C:C)</f>
        <v>21004500</v>
      </c>
      <c r="J276" s="59">
        <v>44925</v>
      </c>
      <c r="K276" s="162" t="s">
        <v>3118</v>
      </c>
    </row>
    <row r="277" spans="1:12" ht="17.25" customHeight="1" x14ac:dyDescent="0.3">
      <c r="A277" s="15">
        <f t="shared" si="17"/>
        <v>231</v>
      </c>
      <c r="B277" s="20" t="s">
        <v>285</v>
      </c>
      <c r="C277" s="162">
        <v>1978</v>
      </c>
      <c r="D277" s="31"/>
      <c r="E277" s="221" t="s">
        <v>3119</v>
      </c>
      <c r="F277" s="31">
        <v>5</v>
      </c>
      <c r="G277" s="31">
        <v>5024.3500000000004</v>
      </c>
      <c r="H277" s="173">
        <v>245</v>
      </c>
      <c r="I277" s="273">
        <f>SUMIF('2020'!B:B,B277,'2020'!C:C)+SUMIF('2021'!B:B,B277,'2021'!C:C)+SUMIF('2022'!B:B,B277,'2022'!C:C)</f>
        <v>2592330</v>
      </c>
      <c r="J277" s="59">
        <v>44925</v>
      </c>
      <c r="K277" s="162" t="s">
        <v>3118</v>
      </c>
    </row>
    <row r="278" spans="1:12" ht="17.25" customHeight="1" x14ac:dyDescent="0.3">
      <c r="A278" s="15">
        <f t="shared" si="17"/>
        <v>232</v>
      </c>
      <c r="B278" s="20" t="s">
        <v>286</v>
      </c>
      <c r="C278" s="162">
        <v>1962</v>
      </c>
      <c r="D278" s="31"/>
      <c r="E278" s="31" t="s">
        <v>3123</v>
      </c>
      <c r="F278" s="31">
        <v>4</v>
      </c>
      <c r="G278" s="31">
        <v>1280.8</v>
      </c>
      <c r="H278" s="173">
        <v>68</v>
      </c>
      <c r="I278" s="273">
        <f>SUMIF('2020'!B:B,B278,'2020'!C:C)+SUMIF('2021'!B:B,B278,'2021'!C:C)+SUMIF('2022'!B:B,B278,'2022'!C:C)</f>
        <v>326234.58</v>
      </c>
      <c r="J278" s="59">
        <v>44925</v>
      </c>
      <c r="K278" s="162" t="s">
        <v>3118</v>
      </c>
    </row>
    <row r="279" spans="1:12" ht="17.25" customHeight="1" x14ac:dyDescent="0.3">
      <c r="A279" s="15">
        <f t="shared" si="17"/>
        <v>233</v>
      </c>
      <c r="B279" s="20" t="s">
        <v>287</v>
      </c>
      <c r="C279" s="162">
        <v>1934</v>
      </c>
      <c r="D279" s="31"/>
      <c r="E279" s="31" t="s">
        <v>3123</v>
      </c>
      <c r="F279" s="31">
        <v>4</v>
      </c>
      <c r="G279" s="31">
        <v>3427.8</v>
      </c>
      <c r="H279" s="173">
        <v>154</v>
      </c>
      <c r="I279" s="273">
        <f>SUMIF('2020'!B:B,B279,'2020'!C:C)+SUMIF('2021'!B:B,B279,'2021'!C:C)+SUMIF('2022'!B:B,B279,'2022'!C:C)</f>
        <v>948582.07</v>
      </c>
      <c r="J279" s="59">
        <v>44925</v>
      </c>
      <c r="K279" s="162" t="s">
        <v>3118</v>
      </c>
    </row>
    <row r="280" spans="1:12" ht="17.25" customHeight="1" x14ac:dyDescent="0.3">
      <c r="A280" s="15">
        <f t="shared" si="17"/>
        <v>234</v>
      </c>
      <c r="B280" s="20" t="s">
        <v>288</v>
      </c>
      <c r="C280" s="162">
        <v>1949</v>
      </c>
      <c r="D280" s="31"/>
      <c r="E280" s="31" t="s">
        <v>3123</v>
      </c>
      <c r="F280" s="31">
        <v>2</v>
      </c>
      <c r="G280" s="31">
        <v>528</v>
      </c>
      <c r="H280" s="173">
        <v>19</v>
      </c>
      <c r="I280" s="273">
        <f>SUMIF('2020'!B:B,B280,'2020'!C:C)+SUMIF('2021'!B:B,B280,'2021'!C:C)+SUMIF('2022'!B:B,B280,'2022'!C:C)</f>
        <v>188322.9</v>
      </c>
      <c r="J280" s="59">
        <v>44925</v>
      </c>
      <c r="K280" s="162" t="s">
        <v>3118</v>
      </c>
    </row>
    <row r="281" spans="1:12" ht="17.25" customHeight="1" x14ac:dyDescent="0.3">
      <c r="A281" s="15">
        <f t="shared" si="17"/>
        <v>235</v>
      </c>
      <c r="B281" s="20" t="s">
        <v>289</v>
      </c>
      <c r="C281" s="162">
        <v>1992</v>
      </c>
      <c r="D281" s="31"/>
      <c r="E281" s="31" t="s">
        <v>3128</v>
      </c>
      <c r="F281" s="31">
        <v>5</v>
      </c>
      <c r="G281" s="31">
        <v>6078.5</v>
      </c>
      <c r="H281" s="173">
        <v>213</v>
      </c>
      <c r="I281" s="273">
        <f>SUMIF('2020'!B:B,B281,'2020'!C:C)+SUMIF('2021'!B:B,B281,'2021'!C:C)+SUMIF('2022'!B:B,B281,'2022'!C:C)</f>
        <v>11725384</v>
      </c>
      <c r="J281" s="59">
        <v>44925</v>
      </c>
      <c r="K281" s="162" t="s">
        <v>3118</v>
      </c>
    </row>
    <row r="282" spans="1:12" ht="17.25" customHeight="1" x14ac:dyDescent="0.3">
      <c r="A282" s="15">
        <f t="shared" si="17"/>
        <v>236</v>
      </c>
      <c r="B282" s="20" t="s">
        <v>290</v>
      </c>
      <c r="C282" s="162">
        <v>1935</v>
      </c>
      <c r="D282" s="31"/>
      <c r="E282" s="31" t="s">
        <v>3123</v>
      </c>
      <c r="F282" s="31">
        <v>3</v>
      </c>
      <c r="G282" s="31">
        <v>1224.8</v>
      </c>
      <c r="H282" s="173">
        <v>41</v>
      </c>
      <c r="I282" s="273">
        <f>SUMIF('2020'!B:B,B282,'2020'!C:C)+SUMIF('2021'!B:B,B282,'2021'!C:C)+SUMIF('2022'!B:B,B282,'2022'!C:C)</f>
        <v>367499.3</v>
      </c>
      <c r="J282" s="59">
        <v>44925</v>
      </c>
      <c r="K282" s="162" t="s">
        <v>3118</v>
      </c>
    </row>
    <row r="283" spans="1:12" ht="17.25" customHeight="1" x14ac:dyDescent="0.3">
      <c r="A283" s="15">
        <f t="shared" si="17"/>
        <v>237</v>
      </c>
      <c r="B283" s="20" t="s">
        <v>291</v>
      </c>
      <c r="C283" s="162">
        <v>1928</v>
      </c>
      <c r="D283" s="31"/>
      <c r="E283" s="31" t="s">
        <v>3123</v>
      </c>
      <c r="F283" s="31">
        <v>2</v>
      </c>
      <c r="G283" s="31">
        <v>148.4</v>
      </c>
      <c r="H283" s="173">
        <v>20</v>
      </c>
      <c r="I283" s="273">
        <f>SUMIF('2020'!B:B,B283,'2020'!C:C)+SUMIF('2021'!B:B,B283,'2021'!C:C)+SUMIF('2022'!B:B,B283,'2022'!C:C)</f>
        <v>78188.820000000007</v>
      </c>
      <c r="J283" s="59">
        <v>44925</v>
      </c>
      <c r="K283" s="162" t="s">
        <v>3118</v>
      </c>
    </row>
    <row r="284" spans="1:12" ht="17.25" customHeight="1" x14ac:dyDescent="0.3">
      <c r="A284" s="15" t="s">
        <v>208</v>
      </c>
      <c r="B284" s="250"/>
      <c r="C284" s="31" t="s">
        <v>3558</v>
      </c>
      <c r="D284" s="31" t="s">
        <v>3558</v>
      </c>
      <c r="E284" s="31" t="s">
        <v>3558</v>
      </c>
      <c r="F284" s="31" t="s">
        <v>3558</v>
      </c>
      <c r="G284" s="56">
        <f>SUM(G270:G283)</f>
        <v>37207.69</v>
      </c>
      <c r="H284" s="173">
        <f>SUM(H270:H283)</f>
        <v>1480</v>
      </c>
      <c r="I284" s="56">
        <f>SUM(I270:I283)</f>
        <v>59006085.989999995</v>
      </c>
      <c r="J284" s="31" t="s">
        <v>3558</v>
      </c>
      <c r="K284" s="31" t="s">
        <v>3558</v>
      </c>
      <c r="L284" s="197">
        <f>I284-'2020'!C101-'2021'!C209-'2022'!C68</f>
        <v>0</v>
      </c>
    </row>
    <row r="285" spans="1:12" ht="17.25" customHeight="1" x14ac:dyDescent="0.3">
      <c r="A285" s="19" t="s">
        <v>292</v>
      </c>
      <c r="B285" s="20"/>
      <c r="C285" s="31"/>
      <c r="D285" s="31"/>
      <c r="E285" s="31"/>
      <c r="F285" s="31"/>
      <c r="G285" s="31"/>
      <c r="H285" s="173"/>
      <c r="I285" s="56"/>
      <c r="J285" s="31"/>
      <c r="K285" s="31"/>
    </row>
    <row r="286" spans="1:12" ht="17.25" customHeight="1" x14ac:dyDescent="0.3">
      <c r="A286" s="15">
        <f>A283+1</f>
        <v>238</v>
      </c>
      <c r="B286" s="20" t="s">
        <v>293</v>
      </c>
      <c r="C286" s="162">
        <v>1985</v>
      </c>
      <c r="D286" s="31"/>
      <c r="E286" s="200" t="s">
        <v>3129</v>
      </c>
      <c r="F286" s="200">
        <v>3</v>
      </c>
      <c r="G286" s="200">
        <v>1370.8</v>
      </c>
      <c r="H286" s="201">
        <v>77</v>
      </c>
      <c r="I286" s="273">
        <f>SUMIF('2020'!B:B,B286,'2020'!C:C)+SUMIF('2021'!B:B,B286,'2021'!C:C)+SUMIF('2022'!B:B,B286,'2022'!C:C)</f>
        <v>150000</v>
      </c>
      <c r="J286" s="59">
        <v>44925</v>
      </c>
      <c r="K286" s="162" t="s">
        <v>3118</v>
      </c>
    </row>
    <row r="287" spans="1:12" ht="17.25" customHeight="1" x14ac:dyDescent="0.3">
      <c r="A287" s="15">
        <f>A286+1</f>
        <v>239</v>
      </c>
      <c r="B287" s="20" t="s">
        <v>294</v>
      </c>
      <c r="C287" s="162">
        <v>1988</v>
      </c>
      <c r="D287" s="31"/>
      <c r="E287" s="200" t="s">
        <v>3129</v>
      </c>
      <c r="F287" s="200">
        <v>3</v>
      </c>
      <c r="G287" s="200">
        <v>1397.7</v>
      </c>
      <c r="H287" s="201">
        <v>84</v>
      </c>
      <c r="I287" s="273">
        <f>SUMIF('2020'!B:B,B287,'2020'!C:C)+SUMIF('2021'!B:B,B287,'2021'!C:C)+SUMIF('2022'!B:B,B287,'2022'!C:C)</f>
        <v>11993080.800000001</v>
      </c>
      <c r="J287" s="59">
        <v>44925</v>
      </c>
      <c r="K287" s="162" t="s">
        <v>3118</v>
      </c>
    </row>
    <row r="288" spans="1:12" ht="17.25" customHeight="1" x14ac:dyDescent="0.3">
      <c r="A288" s="15">
        <f>A287+1</f>
        <v>240</v>
      </c>
      <c r="B288" s="20" t="s">
        <v>295</v>
      </c>
      <c r="C288" s="162">
        <v>1983</v>
      </c>
      <c r="D288" s="31"/>
      <c r="E288" s="200" t="s">
        <v>3129</v>
      </c>
      <c r="F288" s="200">
        <v>3</v>
      </c>
      <c r="G288" s="200">
        <v>1358.7</v>
      </c>
      <c r="H288" s="201">
        <v>68</v>
      </c>
      <c r="I288" s="273">
        <f>SUMIF('2020'!B:B,B288,'2020'!C:C)+SUMIF('2021'!B:B,B288,'2021'!C:C)+SUMIF('2022'!B:B,B288,'2022'!C:C)</f>
        <v>14997213</v>
      </c>
      <c r="J288" s="59">
        <v>44925</v>
      </c>
      <c r="K288" s="162" t="s">
        <v>3118</v>
      </c>
    </row>
    <row r="289" spans="1:12" ht="17.25" customHeight="1" x14ac:dyDescent="0.3">
      <c r="A289" s="15" t="s">
        <v>208</v>
      </c>
      <c r="B289" s="250"/>
      <c r="C289" s="31" t="s">
        <v>3558</v>
      </c>
      <c r="D289" s="31" t="s">
        <v>3558</v>
      </c>
      <c r="E289" s="31" t="s">
        <v>3558</v>
      </c>
      <c r="F289" s="31" t="s">
        <v>3558</v>
      </c>
      <c r="G289" s="56">
        <f>SUM(G286:G288)</f>
        <v>4127.2</v>
      </c>
      <c r="H289" s="173">
        <f>SUM(H286:H288)</f>
        <v>229</v>
      </c>
      <c r="I289" s="56">
        <f>SUM(I286:I288)</f>
        <v>27140293.800000001</v>
      </c>
      <c r="J289" s="31" t="s">
        <v>3558</v>
      </c>
      <c r="K289" s="31" t="s">
        <v>3558</v>
      </c>
      <c r="L289" s="197">
        <f>I289-'2022'!C73</f>
        <v>0</v>
      </c>
    </row>
    <row r="290" spans="1:12" ht="17.25" customHeight="1" x14ac:dyDescent="0.3">
      <c r="A290" s="19" t="s">
        <v>296</v>
      </c>
      <c r="B290" s="20"/>
      <c r="C290" s="31"/>
      <c r="D290" s="31"/>
      <c r="E290" s="31"/>
      <c r="F290" s="31"/>
      <c r="G290" s="31"/>
      <c r="H290" s="173"/>
      <c r="I290" s="56"/>
      <c r="J290" s="31"/>
      <c r="K290" s="31"/>
    </row>
    <row r="291" spans="1:12" ht="17.25" customHeight="1" x14ac:dyDescent="0.3">
      <c r="A291" s="15">
        <f>A288+1</f>
        <v>241</v>
      </c>
      <c r="B291" s="20" t="s">
        <v>297</v>
      </c>
      <c r="C291" s="162">
        <v>1963</v>
      </c>
      <c r="D291" s="31"/>
      <c r="E291" s="162" t="s">
        <v>3035</v>
      </c>
      <c r="F291" s="28">
        <v>2</v>
      </c>
      <c r="G291" s="46">
        <v>987.3</v>
      </c>
      <c r="H291" s="48">
        <v>49</v>
      </c>
      <c r="I291" s="273">
        <f>SUMIF('2020'!B:B,B291,'2020'!C:C)+SUMIF('2021'!B:B,B291,'2021'!C:C)+SUMIF('2022'!B:B,B291,'2022'!C:C)</f>
        <v>358310.62</v>
      </c>
      <c r="J291" s="59">
        <v>44925</v>
      </c>
      <c r="K291" s="162" t="s">
        <v>3118</v>
      </c>
    </row>
    <row r="292" spans="1:12" ht="17.25" customHeight="1" x14ac:dyDescent="0.3">
      <c r="A292" s="15">
        <f t="shared" ref="A292:A306" si="18">A291+1</f>
        <v>242</v>
      </c>
      <c r="B292" s="20" t="s">
        <v>298</v>
      </c>
      <c r="C292" s="162">
        <v>1976</v>
      </c>
      <c r="D292" s="31"/>
      <c r="E292" s="162" t="s">
        <v>3119</v>
      </c>
      <c r="F292" s="28">
        <v>5</v>
      </c>
      <c r="G292" s="46">
        <v>6014.6</v>
      </c>
      <c r="H292" s="48">
        <v>206</v>
      </c>
      <c r="I292" s="273">
        <f>SUMIF('2020'!B:B,B292,'2020'!C:C)+SUMIF('2021'!B:B,B292,'2021'!C:C)+SUMIF('2022'!B:B,B292,'2022'!C:C)</f>
        <v>409692.41</v>
      </c>
      <c r="J292" s="59">
        <v>44925</v>
      </c>
      <c r="K292" s="162" t="s">
        <v>3118</v>
      </c>
    </row>
    <row r="293" spans="1:12" ht="17.25" customHeight="1" x14ac:dyDescent="0.3">
      <c r="A293" s="15">
        <f t="shared" si="18"/>
        <v>243</v>
      </c>
      <c r="B293" s="20" t="s">
        <v>299</v>
      </c>
      <c r="C293" s="162">
        <v>1977</v>
      </c>
      <c r="D293" s="31"/>
      <c r="E293" s="162" t="s">
        <v>3119</v>
      </c>
      <c r="F293" s="28">
        <v>5</v>
      </c>
      <c r="G293" s="46">
        <v>3910.7</v>
      </c>
      <c r="H293" s="48">
        <v>153</v>
      </c>
      <c r="I293" s="273">
        <f>SUMIF('2020'!B:B,B293,'2020'!C:C)+SUMIF('2021'!B:B,B293,'2021'!C:C)+SUMIF('2022'!B:B,B293,'2022'!C:C)</f>
        <v>344465.33</v>
      </c>
      <c r="J293" s="59">
        <v>44925</v>
      </c>
      <c r="K293" s="162" t="s">
        <v>3118</v>
      </c>
    </row>
    <row r="294" spans="1:12" ht="17.25" customHeight="1" x14ac:dyDescent="0.3">
      <c r="A294" s="15">
        <f t="shared" si="18"/>
        <v>244</v>
      </c>
      <c r="B294" s="20" t="s">
        <v>300</v>
      </c>
      <c r="C294" s="162">
        <v>1977</v>
      </c>
      <c r="D294" s="31"/>
      <c r="E294" s="162" t="s">
        <v>3119</v>
      </c>
      <c r="F294" s="28">
        <v>5</v>
      </c>
      <c r="G294" s="46">
        <v>3899.1</v>
      </c>
      <c r="H294" s="48">
        <v>158</v>
      </c>
      <c r="I294" s="273">
        <f>SUMIF('2020'!B:B,B294,'2020'!C:C)+SUMIF('2021'!B:B,B294,'2021'!C:C)+SUMIF('2022'!B:B,B294,'2022'!C:C)</f>
        <v>343788</v>
      </c>
      <c r="J294" s="59">
        <v>44925</v>
      </c>
      <c r="K294" s="162" t="s">
        <v>3118</v>
      </c>
    </row>
    <row r="295" spans="1:12" ht="17.25" customHeight="1" x14ac:dyDescent="0.3">
      <c r="A295" s="15">
        <f t="shared" si="18"/>
        <v>245</v>
      </c>
      <c r="B295" s="20" t="s">
        <v>301</v>
      </c>
      <c r="C295" s="162">
        <v>1963</v>
      </c>
      <c r="D295" s="31"/>
      <c r="E295" s="162" t="s">
        <v>3035</v>
      </c>
      <c r="F295" s="28">
        <v>2</v>
      </c>
      <c r="G295" s="46">
        <v>681.3</v>
      </c>
      <c r="H295" s="48">
        <v>28</v>
      </c>
      <c r="I295" s="273">
        <f>SUMIF('2020'!B:B,B295,'2020'!C:C)+SUMIF('2021'!B:B,B295,'2021'!C:C)+SUMIF('2022'!B:B,B295,'2022'!C:C)</f>
        <v>195670.45</v>
      </c>
      <c r="J295" s="59">
        <v>44925</v>
      </c>
      <c r="K295" s="162" t="s">
        <v>3118</v>
      </c>
    </row>
    <row r="296" spans="1:12" ht="17.25" customHeight="1" x14ac:dyDescent="0.3">
      <c r="A296" s="15">
        <f t="shared" si="18"/>
        <v>246</v>
      </c>
      <c r="B296" s="20" t="s">
        <v>302</v>
      </c>
      <c r="C296" s="162">
        <v>1964</v>
      </c>
      <c r="D296" s="31"/>
      <c r="E296" s="162" t="s">
        <v>3035</v>
      </c>
      <c r="F296" s="28">
        <v>2</v>
      </c>
      <c r="G296" s="46">
        <v>689.57</v>
      </c>
      <c r="H296" s="48">
        <v>39</v>
      </c>
      <c r="I296" s="273">
        <f>SUMIF('2020'!B:B,B296,'2020'!C:C)+SUMIF('2021'!B:B,B296,'2021'!C:C)+SUMIF('2022'!B:B,B296,'2022'!C:C)</f>
        <v>4089234.5800000005</v>
      </c>
      <c r="J296" s="59">
        <v>44925</v>
      </c>
      <c r="K296" s="162" t="s">
        <v>3118</v>
      </c>
    </row>
    <row r="297" spans="1:12" ht="17.25" customHeight="1" x14ac:dyDescent="0.3">
      <c r="A297" s="15">
        <f t="shared" si="18"/>
        <v>247</v>
      </c>
      <c r="B297" s="20" t="s">
        <v>303</v>
      </c>
      <c r="C297" s="162">
        <v>1965</v>
      </c>
      <c r="D297" s="31"/>
      <c r="E297" s="162" t="s">
        <v>3035</v>
      </c>
      <c r="F297" s="28">
        <v>2</v>
      </c>
      <c r="G297" s="46">
        <v>699.51</v>
      </c>
      <c r="H297" s="48">
        <v>31</v>
      </c>
      <c r="I297" s="273">
        <f>SUMIF('2020'!B:B,B297,'2020'!C:C)+SUMIF('2021'!B:B,B297,'2021'!C:C)+SUMIF('2022'!B:B,B297,'2022'!C:C)</f>
        <v>4048129.08</v>
      </c>
      <c r="J297" s="59">
        <v>44925</v>
      </c>
      <c r="K297" s="162" t="s">
        <v>3118</v>
      </c>
    </row>
    <row r="298" spans="1:12" ht="17.25" customHeight="1" x14ac:dyDescent="0.3">
      <c r="A298" s="15">
        <f t="shared" si="18"/>
        <v>248</v>
      </c>
      <c r="B298" s="20" t="s">
        <v>304</v>
      </c>
      <c r="C298" s="162">
        <v>1969</v>
      </c>
      <c r="D298" s="31"/>
      <c r="E298" s="162" t="s">
        <v>3035</v>
      </c>
      <c r="F298" s="28">
        <v>2</v>
      </c>
      <c r="G298" s="46">
        <v>993.42</v>
      </c>
      <c r="H298" s="48">
        <v>70</v>
      </c>
      <c r="I298" s="273">
        <f>SUMIF('2020'!B:B,B298,'2020'!C:C)+SUMIF('2021'!B:B,B298,'2021'!C:C)+SUMIF('2022'!B:B,B298,'2022'!C:C)</f>
        <v>178789.16</v>
      </c>
      <c r="J298" s="59">
        <v>44925</v>
      </c>
      <c r="K298" s="162" t="s">
        <v>3118</v>
      </c>
    </row>
    <row r="299" spans="1:12" ht="17.25" customHeight="1" x14ac:dyDescent="0.3">
      <c r="A299" s="15">
        <f t="shared" si="18"/>
        <v>249</v>
      </c>
      <c r="B299" s="20" t="s">
        <v>305</v>
      </c>
      <c r="C299" s="162">
        <v>1970</v>
      </c>
      <c r="D299" s="31"/>
      <c r="E299" s="162" t="s">
        <v>3035</v>
      </c>
      <c r="F299" s="28">
        <v>2</v>
      </c>
      <c r="G299" s="46">
        <v>689.3</v>
      </c>
      <c r="H299" s="173">
        <v>30</v>
      </c>
      <c r="I299" s="273">
        <f>SUMIF('2020'!B:B,B299,'2020'!C:C)+SUMIF('2021'!B:B,B299,'2021'!C:C)+SUMIF('2022'!B:B,B299,'2022'!C:C)</f>
        <v>25376.18</v>
      </c>
      <c r="J299" s="59">
        <v>44925</v>
      </c>
      <c r="K299" s="162" t="s">
        <v>3118</v>
      </c>
    </row>
    <row r="300" spans="1:12" ht="17.25" customHeight="1" x14ac:dyDescent="0.3">
      <c r="A300" s="15">
        <f t="shared" si="18"/>
        <v>250</v>
      </c>
      <c r="B300" s="20" t="s">
        <v>306</v>
      </c>
      <c r="C300" s="162">
        <v>1971</v>
      </c>
      <c r="D300" s="31"/>
      <c r="E300" s="162" t="s">
        <v>3035</v>
      </c>
      <c r="F300" s="28">
        <v>2</v>
      </c>
      <c r="G300" s="46">
        <v>794.7</v>
      </c>
      <c r="H300" s="48">
        <v>33</v>
      </c>
      <c r="I300" s="273">
        <f>SUMIF('2020'!B:B,B300,'2020'!C:C)+SUMIF('2021'!B:B,B300,'2021'!C:C)+SUMIF('2022'!B:B,B300,'2022'!C:C)</f>
        <v>9166455.0999999996</v>
      </c>
      <c r="J300" s="59">
        <v>44925</v>
      </c>
      <c r="K300" s="162" t="s">
        <v>3118</v>
      </c>
    </row>
    <row r="301" spans="1:12" ht="17.25" customHeight="1" x14ac:dyDescent="0.3">
      <c r="A301" s="15">
        <f t="shared" si="18"/>
        <v>251</v>
      </c>
      <c r="B301" s="20" t="s">
        <v>307</v>
      </c>
      <c r="C301" s="162">
        <v>1972</v>
      </c>
      <c r="D301" s="31"/>
      <c r="E301" s="162" t="s">
        <v>3035</v>
      </c>
      <c r="F301" s="28">
        <v>2</v>
      </c>
      <c r="G301" s="46">
        <v>989.8</v>
      </c>
      <c r="H301" s="48">
        <v>37</v>
      </c>
      <c r="I301" s="273">
        <f>SUMIF('2020'!B:B,B301,'2020'!C:C)+SUMIF('2021'!B:B,B301,'2021'!C:C)+SUMIF('2022'!B:B,B301,'2022'!C:C)</f>
        <v>9048365.8199999984</v>
      </c>
      <c r="J301" s="59">
        <v>44925</v>
      </c>
      <c r="K301" s="162" t="s">
        <v>3118</v>
      </c>
    </row>
    <row r="302" spans="1:12" ht="17.25" customHeight="1" x14ac:dyDescent="0.3">
      <c r="A302" s="15">
        <f t="shared" si="18"/>
        <v>252</v>
      </c>
      <c r="B302" s="20" t="s">
        <v>308</v>
      </c>
      <c r="C302" s="162">
        <v>1973</v>
      </c>
      <c r="D302" s="31"/>
      <c r="E302" s="162" t="s">
        <v>3035</v>
      </c>
      <c r="F302" s="28">
        <v>2</v>
      </c>
      <c r="G302" s="46">
        <v>1159.8</v>
      </c>
      <c r="H302" s="48">
        <v>30</v>
      </c>
      <c r="I302" s="273">
        <f>SUMIF('2020'!B:B,B302,'2020'!C:C)+SUMIF('2021'!B:B,B302,'2021'!C:C)+SUMIF('2022'!B:B,B302,'2022'!C:C)</f>
        <v>182053.31</v>
      </c>
      <c r="J302" s="59">
        <v>44925</v>
      </c>
      <c r="K302" s="162" t="s">
        <v>3118</v>
      </c>
    </row>
    <row r="303" spans="1:12" ht="17.25" customHeight="1" x14ac:dyDescent="0.3">
      <c r="A303" s="15">
        <f t="shared" si="18"/>
        <v>253</v>
      </c>
      <c r="B303" s="20" t="s">
        <v>309</v>
      </c>
      <c r="C303" s="162">
        <v>1971</v>
      </c>
      <c r="D303" s="31"/>
      <c r="E303" s="162" t="s">
        <v>3035</v>
      </c>
      <c r="F303" s="28">
        <v>2</v>
      </c>
      <c r="G303" s="46">
        <v>711.93</v>
      </c>
      <c r="H303" s="48">
        <v>29</v>
      </c>
      <c r="I303" s="273">
        <f>SUMIF('2020'!B:B,B303,'2020'!C:C)+SUMIF('2021'!B:B,B303,'2021'!C:C)+SUMIF('2022'!B:B,B303,'2022'!C:C)</f>
        <v>8881488</v>
      </c>
      <c r="J303" s="59">
        <v>44925</v>
      </c>
      <c r="K303" s="162" t="s">
        <v>3118</v>
      </c>
    </row>
    <row r="304" spans="1:12" ht="17.25" customHeight="1" x14ac:dyDescent="0.3">
      <c r="A304" s="15">
        <f t="shared" si="18"/>
        <v>254</v>
      </c>
      <c r="B304" s="20" t="s">
        <v>310</v>
      </c>
      <c r="C304" s="162">
        <v>1971</v>
      </c>
      <c r="D304" s="31"/>
      <c r="E304" s="162" t="s">
        <v>3035</v>
      </c>
      <c r="F304" s="28">
        <v>2</v>
      </c>
      <c r="G304" s="46">
        <v>711.93</v>
      </c>
      <c r="H304" s="48">
        <v>28</v>
      </c>
      <c r="I304" s="273">
        <f>SUMIF('2020'!B:B,B304,'2020'!C:C)+SUMIF('2021'!B:B,B304,'2021'!C:C)+SUMIF('2022'!B:B,B304,'2022'!C:C)</f>
        <v>61010.45</v>
      </c>
      <c r="J304" s="59">
        <v>44925</v>
      </c>
      <c r="K304" s="162" t="s">
        <v>3118</v>
      </c>
    </row>
    <row r="305" spans="1:12" ht="17.25" customHeight="1" x14ac:dyDescent="0.3">
      <c r="A305" s="15">
        <f t="shared" si="18"/>
        <v>255</v>
      </c>
      <c r="B305" s="20" t="s">
        <v>311</v>
      </c>
      <c r="C305" s="162">
        <v>1971</v>
      </c>
      <c r="D305" s="31"/>
      <c r="E305" s="162" t="s">
        <v>3035</v>
      </c>
      <c r="F305" s="28">
        <v>2</v>
      </c>
      <c r="G305" s="46">
        <v>711.93</v>
      </c>
      <c r="H305" s="48">
        <v>17</v>
      </c>
      <c r="I305" s="273">
        <f>SUMIF('2020'!B:B,B305,'2020'!C:C)+SUMIF('2021'!B:B,B305,'2021'!C:C)+SUMIF('2022'!B:B,B305,'2022'!C:C)</f>
        <v>61010.45</v>
      </c>
      <c r="J305" s="59">
        <v>44925</v>
      </c>
      <c r="K305" s="162" t="s">
        <v>3118</v>
      </c>
    </row>
    <row r="306" spans="1:12" ht="17.25" customHeight="1" x14ac:dyDescent="0.3">
      <c r="A306" s="15">
        <f t="shared" si="18"/>
        <v>256</v>
      </c>
      <c r="B306" s="20" t="s">
        <v>312</v>
      </c>
      <c r="C306" s="162">
        <v>1967</v>
      </c>
      <c r="D306" s="31"/>
      <c r="E306" s="162" t="s">
        <v>3035</v>
      </c>
      <c r="F306" s="28">
        <v>2</v>
      </c>
      <c r="G306" s="46">
        <v>597.66999999999996</v>
      </c>
      <c r="H306" s="48">
        <v>12</v>
      </c>
      <c r="I306" s="273">
        <f>SUMIF('2020'!B:B,B306,'2020'!C:C)+SUMIF('2021'!B:B,B306,'2021'!C:C)+SUMIF('2022'!B:B,B306,'2022'!C:C)</f>
        <v>63657.58</v>
      </c>
      <c r="J306" s="59">
        <v>44925</v>
      </c>
      <c r="K306" s="162" t="s">
        <v>3118</v>
      </c>
    </row>
    <row r="307" spans="1:12" ht="17.25" customHeight="1" x14ac:dyDescent="0.3">
      <c r="A307" s="15" t="s">
        <v>208</v>
      </c>
      <c r="B307" s="250"/>
      <c r="C307" s="31" t="s">
        <v>3558</v>
      </c>
      <c r="D307" s="31" t="s">
        <v>3558</v>
      </c>
      <c r="E307" s="31" t="s">
        <v>3558</v>
      </c>
      <c r="F307" s="31" t="s">
        <v>3558</v>
      </c>
      <c r="G307" s="56">
        <f>SUM(G291:G306)</f>
        <v>24242.559999999994</v>
      </c>
      <c r="H307" s="173">
        <f>SUM(H291:H306)</f>
        <v>950</v>
      </c>
      <c r="I307" s="56">
        <f>SUM(I291:I306)</f>
        <v>37457496.519999996</v>
      </c>
      <c r="J307" s="31" t="s">
        <v>3558</v>
      </c>
      <c r="K307" s="31" t="s">
        <v>3558</v>
      </c>
      <c r="L307" s="197">
        <f>I307-'2021'!C227-'2022'!C77</f>
        <v>0</v>
      </c>
    </row>
    <row r="308" spans="1:12" ht="17.25" customHeight="1" x14ac:dyDescent="0.3">
      <c r="A308" s="19" t="s">
        <v>313</v>
      </c>
      <c r="B308" s="20"/>
      <c r="C308" s="31"/>
      <c r="D308" s="31"/>
      <c r="E308" s="31"/>
      <c r="F308" s="31"/>
      <c r="G308" s="31"/>
      <c r="H308" s="173"/>
      <c r="I308" s="56"/>
      <c r="J308" s="31"/>
      <c r="K308" s="31"/>
    </row>
    <row r="309" spans="1:12" ht="17.25" customHeight="1" x14ac:dyDescent="0.3">
      <c r="A309" s="15">
        <f>A306+1</f>
        <v>257</v>
      </c>
      <c r="B309" s="20" t="s">
        <v>314</v>
      </c>
      <c r="C309" s="162">
        <v>1972</v>
      </c>
      <c r="D309" s="31"/>
      <c r="E309" s="162" t="s">
        <v>3035</v>
      </c>
      <c r="F309" s="28">
        <v>5</v>
      </c>
      <c r="G309" s="46">
        <v>3479.44</v>
      </c>
      <c r="H309" s="173">
        <v>200</v>
      </c>
      <c r="I309" s="273">
        <f>SUMIF('2020'!B:B,B309,'2020'!C:C)+SUMIF('2021'!B:B,B309,'2021'!C:C)+SUMIF('2022'!B:B,B309,'2022'!C:C)</f>
        <v>226603.88</v>
      </c>
      <c r="J309" s="59">
        <v>44925</v>
      </c>
      <c r="K309" s="162" t="s">
        <v>3118</v>
      </c>
    </row>
    <row r="310" spans="1:12" ht="17.25" customHeight="1" x14ac:dyDescent="0.3">
      <c r="A310" s="15">
        <f>A309+1</f>
        <v>258</v>
      </c>
      <c r="B310" s="20" t="s">
        <v>315</v>
      </c>
      <c r="C310" s="162">
        <v>1985</v>
      </c>
      <c r="D310" s="31"/>
      <c r="E310" s="162" t="s">
        <v>3035</v>
      </c>
      <c r="F310" s="28">
        <v>5</v>
      </c>
      <c r="G310" s="46">
        <v>4221.3</v>
      </c>
      <c r="H310" s="48" t="s">
        <v>3132</v>
      </c>
      <c r="I310" s="273">
        <f>SUMIF('2020'!B:B,B310,'2020'!C:C)+SUMIF('2021'!B:B,B310,'2021'!C:C)+SUMIF('2022'!B:B,B310,'2022'!C:C)</f>
        <v>130000</v>
      </c>
      <c r="J310" s="59">
        <v>44925</v>
      </c>
      <c r="K310" s="162" t="s">
        <v>3118</v>
      </c>
    </row>
    <row r="311" spans="1:12" ht="17.25" customHeight="1" x14ac:dyDescent="0.3">
      <c r="A311" s="15">
        <f>A310+1</f>
        <v>259</v>
      </c>
      <c r="B311" s="20" t="s">
        <v>316</v>
      </c>
      <c r="C311" s="162">
        <v>1974</v>
      </c>
      <c r="D311" s="31"/>
      <c r="E311" s="162" t="s">
        <v>3035</v>
      </c>
      <c r="F311" s="28">
        <v>5</v>
      </c>
      <c r="G311" s="46">
        <v>3465.59</v>
      </c>
      <c r="H311" s="173">
        <v>240</v>
      </c>
      <c r="I311" s="273">
        <f>SUMIF('2020'!B:B,B311,'2020'!C:C)+SUMIF('2021'!B:B,B311,'2021'!C:C)+SUMIF('2022'!B:B,B311,'2022'!C:C)</f>
        <v>187004.64</v>
      </c>
      <c r="J311" s="59">
        <v>44925</v>
      </c>
      <c r="K311" s="162" t="s">
        <v>3118</v>
      </c>
    </row>
    <row r="312" spans="1:12" ht="17.25" customHeight="1" x14ac:dyDescent="0.3">
      <c r="A312" s="15">
        <f t="shared" ref="A312:A343" si="19">A311+1</f>
        <v>260</v>
      </c>
      <c r="B312" s="20" t="s">
        <v>317</v>
      </c>
      <c r="C312" s="162">
        <v>1965</v>
      </c>
      <c r="D312" s="31"/>
      <c r="E312" s="162" t="s">
        <v>3035</v>
      </c>
      <c r="F312" s="28">
        <v>2</v>
      </c>
      <c r="G312" s="46">
        <v>477.7</v>
      </c>
      <c r="H312" s="48" t="s">
        <v>3059</v>
      </c>
      <c r="I312" s="273">
        <f>SUMIF('2020'!B:B,B312,'2020'!C:C)+SUMIF('2021'!B:B,B312,'2021'!C:C)+SUMIF('2022'!B:B,B312,'2022'!C:C)</f>
        <v>1119846</v>
      </c>
      <c r="J312" s="59">
        <v>44925</v>
      </c>
      <c r="K312" s="162" t="s">
        <v>3118</v>
      </c>
    </row>
    <row r="313" spans="1:12" ht="17.25" customHeight="1" x14ac:dyDescent="0.3">
      <c r="A313" s="15">
        <f t="shared" si="19"/>
        <v>261</v>
      </c>
      <c r="B313" s="20" t="s">
        <v>318</v>
      </c>
      <c r="C313" s="162">
        <v>1970</v>
      </c>
      <c r="D313" s="31"/>
      <c r="E313" s="162" t="s">
        <v>3035</v>
      </c>
      <c r="F313" s="28">
        <v>2</v>
      </c>
      <c r="G313" s="46">
        <v>517.16999999999996</v>
      </c>
      <c r="H313" s="48" t="s">
        <v>3134</v>
      </c>
      <c r="I313" s="273">
        <f>SUMIF('2020'!B:B,B313,'2020'!C:C)+SUMIF('2021'!B:B,B313,'2021'!C:C)+SUMIF('2022'!B:B,B313,'2022'!C:C)</f>
        <v>130000</v>
      </c>
      <c r="J313" s="59">
        <v>44925</v>
      </c>
      <c r="K313" s="162" t="s">
        <v>3118</v>
      </c>
    </row>
    <row r="314" spans="1:12" ht="17.25" customHeight="1" x14ac:dyDescent="0.3">
      <c r="A314" s="15">
        <f t="shared" si="19"/>
        <v>262</v>
      </c>
      <c r="B314" s="20" t="s">
        <v>319</v>
      </c>
      <c r="C314" s="162">
        <v>1970</v>
      </c>
      <c r="D314" s="31"/>
      <c r="E314" s="162" t="s">
        <v>3035</v>
      </c>
      <c r="F314" s="28">
        <v>2</v>
      </c>
      <c r="G314" s="46">
        <v>504.43</v>
      </c>
      <c r="H314" s="48" t="s">
        <v>3049</v>
      </c>
      <c r="I314" s="273">
        <f>SUMIF('2020'!B:B,B314,'2020'!C:C)+SUMIF('2021'!B:B,B314,'2021'!C:C)+SUMIF('2022'!B:B,B314,'2022'!C:C)</f>
        <v>130000</v>
      </c>
      <c r="J314" s="59">
        <v>44925</v>
      </c>
      <c r="K314" s="162" t="s">
        <v>3118</v>
      </c>
    </row>
    <row r="315" spans="1:12" ht="17.25" customHeight="1" x14ac:dyDescent="0.3">
      <c r="A315" s="15">
        <f t="shared" si="19"/>
        <v>263</v>
      </c>
      <c r="B315" s="20" t="s">
        <v>320</v>
      </c>
      <c r="C315" s="162">
        <v>1971</v>
      </c>
      <c r="D315" s="31"/>
      <c r="E315" s="162" t="s">
        <v>3035</v>
      </c>
      <c r="F315" s="28">
        <v>2</v>
      </c>
      <c r="G315" s="46">
        <v>521.79999999999995</v>
      </c>
      <c r="H315" s="48" t="s">
        <v>3049</v>
      </c>
      <c r="I315" s="273">
        <f>SUMIF('2020'!B:B,B315,'2020'!C:C)+SUMIF('2021'!B:B,B315,'2021'!C:C)+SUMIF('2022'!B:B,B315,'2022'!C:C)</f>
        <v>130000</v>
      </c>
      <c r="J315" s="59">
        <v>44925</v>
      </c>
      <c r="K315" s="162" t="s">
        <v>3118</v>
      </c>
    </row>
    <row r="316" spans="1:12" ht="17.25" customHeight="1" x14ac:dyDescent="0.3">
      <c r="A316" s="15">
        <f t="shared" si="19"/>
        <v>264</v>
      </c>
      <c r="B316" s="20" t="s">
        <v>321</v>
      </c>
      <c r="C316" s="162">
        <v>1969</v>
      </c>
      <c r="D316" s="31"/>
      <c r="E316" s="162" t="s">
        <v>3035</v>
      </c>
      <c r="F316" s="28">
        <v>2</v>
      </c>
      <c r="G316" s="46">
        <v>531.70000000000005</v>
      </c>
      <c r="H316" s="48" t="s">
        <v>3043</v>
      </c>
      <c r="I316" s="273">
        <f>SUMIF('2020'!B:B,B316,'2020'!C:C)+SUMIF('2021'!B:B,B316,'2021'!C:C)+SUMIF('2022'!B:B,B316,'2022'!C:C)</f>
        <v>62430.64</v>
      </c>
      <c r="J316" s="59">
        <v>44925</v>
      </c>
      <c r="K316" s="162" t="s">
        <v>3118</v>
      </c>
    </row>
    <row r="317" spans="1:12" ht="17.25" customHeight="1" x14ac:dyDescent="0.3">
      <c r="A317" s="15">
        <f t="shared" si="19"/>
        <v>265</v>
      </c>
      <c r="B317" s="20" t="s">
        <v>322</v>
      </c>
      <c r="C317" s="162">
        <v>1971</v>
      </c>
      <c r="D317" s="31"/>
      <c r="E317" s="162" t="s">
        <v>3035</v>
      </c>
      <c r="F317" s="28">
        <v>2</v>
      </c>
      <c r="G317" s="46">
        <v>252.2</v>
      </c>
      <c r="H317" s="48" t="s">
        <v>3043</v>
      </c>
      <c r="I317" s="273">
        <f>SUMIF('2020'!B:B,B317,'2020'!C:C)+SUMIF('2021'!B:B,B317,'2021'!C:C)+SUMIF('2022'!B:B,B317,'2022'!C:C)</f>
        <v>130000</v>
      </c>
      <c r="J317" s="59">
        <v>44925</v>
      </c>
      <c r="K317" s="162" t="s">
        <v>3118</v>
      </c>
    </row>
    <row r="318" spans="1:12" ht="17.25" customHeight="1" x14ac:dyDescent="0.3">
      <c r="A318" s="15">
        <f t="shared" si="19"/>
        <v>266</v>
      </c>
      <c r="B318" s="20" t="s">
        <v>323</v>
      </c>
      <c r="C318" s="162">
        <v>1969</v>
      </c>
      <c r="D318" s="31"/>
      <c r="E318" s="162" t="s">
        <v>3035</v>
      </c>
      <c r="F318" s="28">
        <v>2</v>
      </c>
      <c r="G318" s="46">
        <v>528.70000000000005</v>
      </c>
      <c r="H318" s="48" t="s">
        <v>3109</v>
      </c>
      <c r="I318" s="273">
        <f>SUMIF('2020'!B:B,B318,'2020'!C:C)+SUMIF('2021'!B:B,B318,'2021'!C:C)+SUMIF('2022'!B:B,B318,'2022'!C:C)</f>
        <v>130000</v>
      </c>
      <c r="J318" s="59">
        <v>44925</v>
      </c>
      <c r="K318" s="162" t="s">
        <v>3118</v>
      </c>
    </row>
    <row r="319" spans="1:12" ht="17.25" customHeight="1" x14ac:dyDescent="0.3">
      <c r="A319" s="15">
        <f t="shared" si="19"/>
        <v>267</v>
      </c>
      <c r="B319" s="20" t="s">
        <v>324</v>
      </c>
      <c r="C319" s="162">
        <v>1969</v>
      </c>
      <c r="D319" s="31"/>
      <c r="E319" s="162" t="s">
        <v>3035</v>
      </c>
      <c r="F319" s="28">
        <v>2</v>
      </c>
      <c r="G319" s="46">
        <v>523.29999999999995</v>
      </c>
      <c r="H319" s="48" t="s">
        <v>3059</v>
      </c>
      <c r="I319" s="273">
        <f>SUMIF('2020'!B:B,B319,'2020'!C:C)+SUMIF('2021'!B:B,B319,'2021'!C:C)+SUMIF('2022'!B:B,B319,'2022'!C:C)</f>
        <v>130000</v>
      </c>
      <c r="J319" s="59">
        <v>44925</v>
      </c>
      <c r="K319" s="162" t="s">
        <v>3118</v>
      </c>
    </row>
    <row r="320" spans="1:12" ht="17.25" customHeight="1" x14ac:dyDescent="0.3">
      <c r="A320" s="15">
        <f t="shared" si="19"/>
        <v>268</v>
      </c>
      <c r="B320" s="20" t="s">
        <v>325</v>
      </c>
      <c r="C320" s="162">
        <v>1971</v>
      </c>
      <c r="D320" s="31"/>
      <c r="E320" s="162" t="s">
        <v>3035</v>
      </c>
      <c r="F320" s="28">
        <v>2</v>
      </c>
      <c r="G320" s="46">
        <v>529.69000000000005</v>
      </c>
      <c r="H320" s="48" t="s">
        <v>3072</v>
      </c>
      <c r="I320" s="273">
        <f>SUMIF('2020'!B:B,B320,'2020'!C:C)+SUMIF('2021'!B:B,B320,'2021'!C:C)+SUMIF('2022'!B:B,B320,'2022'!C:C)</f>
        <v>130000</v>
      </c>
      <c r="J320" s="59">
        <v>44925</v>
      </c>
      <c r="K320" s="162" t="s">
        <v>3118</v>
      </c>
    </row>
    <row r="321" spans="1:11" ht="17.25" customHeight="1" x14ac:dyDescent="0.3">
      <c r="A321" s="15">
        <f t="shared" si="19"/>
        <v>269</v>
      </c>
      <c r="B321" s="20" t="s">
        <v>326</v>
      </c>
      <c r="C321" s="162">
        <v>1965</v>
      </c>
      <c r="D321" s="31"/>
      <c r="E321" s="162" t="s">
        <v>3035</v>
      </c>
      <c r="F321" s="28">
        <v>2</v>
      </c>
      <c r="G321" s="46">
        <v>507.13</v>
      </c>
      <c r="H321" s="48" t="s">
        <v>3110</v>
      </c>
      <c r="I321" s="273">
        <f>SUMIF('2020'!B:B,B321,'2020'!C:C)+SUMIF('2021'!B:B,B321,'2021'!C:C)+SUMIF('2022'!B:B,B321,'2022'!C:C)</f>
        <v>120421.86</v>
      </c>
      <c r="J321" s="59">
        <v>44925</v>
      </c>
      <c r="K321" s="162" t="s">
        <v>3118</v>
      </c>
    </row>
    <row r="322" spans="1:11" ht="17.25" customHeight="1" x14ac:dyDescent="0.3">
      <c r="A322" s="15">
        <f t="shared" si="19"/>
        <v>270</v>
      </c>
      <c r="B322" s="20" t="s">
        <v>327</v>
      </c>
      <c r="C322" s="162">
        <v>1970</v>
      </c>
      <c r="D322" s="31"/>
      <c r="E322" s="162" t="s">
        <v>3035</v>
      </c>
      <c r="F322" s="28">
        <v>2</v>
      </c>
      <c r="G322" s="46">
        <v>517.20000000000005</v>
      </c>
      <c r="H322" s="48" t="s">
        <v>3135</v>
      </c>
      <c r="I322" s="273">
        <f>SUMIF('2020'!B:B,B322,'2020'!C:C)+SUMIF('2021'!B:B,B322,'2021'!C:C)+SUMIF('2022'!B:B,B322,'2022'!C:C)</f>
        <v>90487.78</v>
      </c>
      <c r="J322" s="59">
        <v>44925</v>
      </c>
      <c r="K322" s="162" t="s">
        <v>3118</v>
      </c>
    </row>
    <row r="323" spans="1:11" ht="17.25" customHeight="1" x14ac:dyDescent="0.3">
      <c r="A323" s="15">
        <f t="shared" si="19"/>
        <v>271</v>
      </c>
      <c r="B323" s="20" t="s">
        <v>328</v>
      </c>
      <c r="C323" s="162">
        <v>1976</v>
      </c>
      <c r="D323" s="31"/>
      <c r="E323" s="162" t="s">
        <v>3035</v>
      </c>
      <c r="F323" s="28">
        <v>2</v>
      </c>
      <c r="G323" s="46">
        <v>753</v>
      </c>
      <c r="H323" s="48" t="s">
        <v>3043</v>
      </c>
      <c r="I323" s="273">
        <f>SUMIF('2020'!B:B,B323,'2020'!C:C)+SUMIF('2021'!B:B,B323,'2021'!C:C)+SUMIF('2022'!B:B,B323,'2022'!C:C)</f>
        <v>209056.82</v>
      </c>
      <c r="J323" s="59">
        <v>44925</v>
      </c>
      <c r="K323" s="162" t="s">
        <v>3118</v>
      </c>
    </row>
    <row r="324" spans="1:11" ht="17.25" customHeight="1" x14ac:dyDescent="0.3">
      <c r="A324" s="15">
        <f t="shared" si="19"/>
        <v>272</v>
      </c>
      <c r="B324" s="20" t="s">
        <v>329</v>
      </c>
      <c r="C324" s="162">
        <v>1917</v>
      </c>
      <c r="D324" s="31"/>
      <c r="E324" s="162" t="s">
        <v>3035</v>
      </c>
      <c r="F324" s="28">
        <v>2</v>
      </c>
      <c r="G324" s="46">
        <v>517.1</v>
      </c>
      <c r="H324" s="48" t="s">
        <v>3134</v>
      </c>
      <c r="I324" s="273">
        <f>SUMIF('2020'!B:B,B324,'2020'!C:C)+SUMIF('2021'!B:B,B324,'2021'!C:C)+SUMIF('2022'!B:B,B324,'2022'!C:C)</f>
        <v>160697.75</v>
      </c>
      <c r="J324" s="59">
        <v>44925</v>
      </c>
      <c r="K324" s="162" t="s">
        <v>3118</v>
      </c>
    </row>
    <row r="325" spans="1:11" ht="17.25" customHeight="1" x14ac:dyDescent="0.3">
      <c r="A325" s="15">
        <f t="shared" si="19"/>
        <v>273</v>
      </c>
      <c r="B325" s="20" t="s">
        <v>330</v>
      </c>
      <c r="C325" s="162">
        <v>1964</v>
      </c>
      <c r="D325" s="31"/>
      <c r="E325" s="162" t="s">
        <v>3035</v>
      </c>
      <c r="F325" s="28">
        <v>2</v>
      </c>
      <c r="G325" s="46">
        <v>465.05</v>
      </c>
      <c r="H325" s="48" t="s">
        <v>3136</v>
      </c>
      <c r="I325" s="273">
        <f>SUMIF('2020'!B:B,B325,'2020'!C:C)+SUMIF('2021'!B:B,B325,'2021'!C:C)+SUMIF('2022'!B:B,B325,'2022'!C:C)</f>
        <v>1853958.2199999997</v>
      </c>
      <c r="J325" s="59">
        <v>44925</v>
      </c>
      <c r="K325" s="162" t="s">
        <v>3118</v>
      </c>
    </row>
    <row r="326" spans="1:11" ht="17.25" customHeight="1" x14ac:dyDescent="0.3">
      <c r="A326" s="15">
        <f t="shared" si="19"/>
        <v>274</v>
      </c>
      <c r="B326" s="20" t="s">
        <v>331</v>
      </c>
      <c r="C326" s="162">
        <v>1964</v>
      </c>
      <c r="D326" s="31"/>
      <c r="E326" s="162" t="s">
        <v>3035</v>
      </c>
      <c r="F326" s="28">
        <v>2</v>
      </c>
      <c r="G326" s="46">
        <v>481.81</v>
      </c>
      <c r="H326" s="48" t="s">
        <v>3111</v>
      </c>
      <c r="I326" s="273">
        <f>SUMIF('2020'!B:B,B326,'2020'!C:C)+SUMIF('2021'!B:B,B326,'2021'!C:C)+SUMIF('2022'!B:B,B326,'2022'!C:C)</f>
        <v>1119846</v>
      </c>
      <c r="J326" s="59">
        <v>44925</v>
      </c>
      <c r="K326" s="162" t="s">
        <v>3118</v>
      </c>
    </row>
    <row r="327" spans="1:11" ht="17.25" customHeight="1" x14ac:dyDescent="0.3">
      <c r="A327" s="15">
        <f t="shared" si="19"/>
        <v>275</v>
      </c>
      <c r="B327" s="20" t="s">
        <v>332</v>
      </c>
      <c r="C327" s="162">
        <v>1917</v>
      </c>
      <c r="D327" s="31"/>
      <c r="E327" s="162" t="s">
        <v>3120</v>
      </c>
      <c r="F327" s="28" t="s">
        <v>3130</v>
      </c>
      <c r="G327" s="46">
        <v>326.98</v>
      </c>
      <c r="H327" s="48" t="s">
        <v>3137</v>
      </c>
      <c r="I327" s="273">
        <f>SUMIF('2020'!B:B,B327,'2020'!C:C)+SUMIF('2021'!B:B,B327,'2021'!C:C)+SUMIF('2022'!B:B,B327,'2022'!C:C)</f>
        <v>4514915.2</v>
      </c>
      <c r="J327" s="59">
        <v>44925</v>
      </c>
      <c r="K327" s="162" t="s">
        <v>3118</v>
      </c>
    </row>
    <row r="328" spans="1:11" ht="17.25" customHeight="1" x14ac:dyDescent="0.3">
      <c r="A328" s="15">
        <f t="shared" si="19"/>
        <v>276</v>
      </c>
      <c r="B328" s="20" t="s">
        <v>333</v>
      </c>
      <c r="C328" s="162">
        <v>1917</v>
      </c>
      <c r="D328" s="31"/>
      <c r="E328" s="162" t="s">
        <v>3035</v>
      </c>
      <c r="F328" s="28" t="s">
        <v>3131</v>
      </c>
      <c r="G328" s="46">
        <v>453.23</v>
      </c>
      <c r="H328" s="48" t="s">
        <v>3096</v>
      </c>
      <c r="I328" s="273">
        <f>SUMIF('2020'!B:B,B328,'2020'!C:C)+SUMIF('2021'!B:B,B328,'2021'!C:C)+SUMIF('2022'!B:B,B328,'2022'!C:C)</f>
        <v>10888231</v>
      </c>
      <c r="J328" s="59">
        <v>44925</v>
      </c>
      <c r="K328" s="162" t="s">
        <v>3118</v>
      </c>
    </row>
    <row r="329" spans="1:11" ht="17.25" customHeight="1" x14ac:dyDescent="0.3">
      <c r="A329" s="15">
        <f t="shared" si="19"/>
        <v>277</v>
      </c>
      <c r="B329" s="20" t="s">
        <v>334</v>
      </c>
      <c r="C329" s="162">
        <v>1960</v>
      </c>
      <c r="D329" s="31"/>
      <c r="E329" s="162" t="s">
        <v>3035</v>
      </c>
      <c r="F329" s="162">
        <v>2</v>
      </c>
      <c r="G329" s="162">
        <v>488.06</v>
      </c>
      <c r="H329" s="48">
        <v>21</v>
      </c>
      <c r="I329" s="273">
        <f>SUMIF('2020'!B:B,B329,'2020'!C:C)+SUMIF('2021'!B:B,B329,'2021'!C:C)+SUMIF('2022'!B:B,B329,'2022'!C:C)</f>
        <v>1146726</v>
      </c>
      <c r="J329" s="59">
        <v>44925</v>
      </c>
      <c r="K329" s="162" t="s">
        <v>3118</v>
      </c>
    </row>
    <row r="330" spans="1:11" ht="17.25" customHeight="1" x14ac:dyDescent="0.3">
      <c r="A330" s="15">
        <f t="shared" si="19"/>
        <v>278</v>
      </c>
      <c r="B330" s="20" t="s">
        <v>335</v>
      </c>
      <c r="C330" s="162">
        <v>1917</v>
      </c>
      <c r="D330" s="31"/>
      <c r="E330" s="162" t="s">
        <v>3120</v>
      </c>
      <c r="F330" s="28">
        <v>2</v>
      </c>
      <c r="G330" s="46">
        <v>301.64</v>
      </c>
      <c r="H330" s="48" t="s">
        <v>3139</v>
      </c>
      <c r="I330" s="273">
        <f>SUMIF('2020'!B:B,B330,'2020'!C:C)+SUMIF('2021'!B:B,B330,'2021'!C:C)+SUMIF('2022'!B:B,B330,'2022'!C:C)</f>
        <v>2360109</v>
      </c>
      <c r="J330" s="59">
        <v>44925</v>
      </c>
      <c r="K330" s="162" t="s">
        <v>3118</v>
      </c>
    </row>
    <row r="331" spans="1:11" ht="17.25" customHeight="1" x14ac:dyDescent="0.3">
      <c r="A331" s="15">
        <f t="shared" si="19"/>
        <v>279</v>
      </c>
      <c r="B331" s="20" t="s">
        <v>336</v>
      </c>
      <c r="C331" s="162">
        <v>1965</v>
      </c>
      <c r="D331" s="31"/>
      <c r="E331" s="162" t="s">
        <v>3035</v>
      </c>
      <c r="F331" s="28">
        <v>2</v>
      </c>
      <c r="G331" s="46">
        <v>664.02</v>
      </c>
      <c r="H331" s="48" t="s">
        <v>3053</v>
      </c>
      <c r="I331" s="273">
        <f>SUMIF('2020'!B:B,B331,'2020'!C:C)+SUMIF('2021'!B:B,B331,'2021'!C:C)+SUMIF('2022'!B:B,B331,'2022'!C:C)</f>
        <v>130000</v>
      </c>
      <c r="J331" s="59">
        <v>44925</v>
      </c>
      <c r="K331" s="162" t="s">
        <v>3118</v>
      </c>
    </row>
    <row r="332" spans="1:11" ht="17.25" customHeight="1" x14ac:dyDescent="0.3">
      <c r="A332" s="15">
        <f t="shared" si="19"/>
        <v>280</v>
      </c>
      <c r="B332" s="20" t="s">
        <v>337</v>
      </c>
      <c r="C332" s="162">
        <v>1971</v>
      </c>
      <c r="D332" s="31"/>
      <c r="E332" s="162" t="s">
        <v>3035</v>
      </c>
      <c r="F332" s="28">
        <v>3</v>
      </c>
      <c r="G332" s="46">
        <v>1520.7</v>
      </c>
      <c r="H332" s="48" t="s">
        <v>3140</v>
      </c>
      <c r="I332" s="273">
        <f>SUMIF('2020'!B:B,B332,'2020'!C:C)+SUMIF('2021'!B:B,B332,'2021'!C:C)+SUMIF('2022'!B:B,B332,'2022'!C:C)</f>
        <v>233269.6</v>
      </c>
      <c r="J332" s="59">
        <v>44925</v>
      </c>
      <c r="K332" s="162" t="s">
        <v>3118</v>
      </c>
    </row>
    <row r="333" spans="1:11" ht="17.25" customHeight="1" x14ac:dyDescent="0.3">
      <c r="A333" s="15">
        <f t="shared" si="19"/>
        <v>281</v>
      </c>
      <c r="B333" s="20" t="s">
        <v>338</v>
      </c>
      <c r="C333" s="162">
        <v>1917</v>
      </c>
      <c r="D333" s="31"/>
      <c r="E333" s="162" t="s">
        <v>3120</v>
      </c>
      <c r="F333" s="28">
        <v>2</v>
      </c>
      <c r="G333" s="46">
        <v>177.58</v>
      </c>
      <c r="H333" s="48" t="s">
        <v>3136</v>
      </c>
      <c r="I333" s="273">
        <f>SUMIF('2020'!B:B,B333,'2020'!C:C)+SUMIF('2021'!B:B,B333,'2021'!C:C)+SUMIF('2022'!B:B,B333,'2022'!C:C)</f>
        <v>3597235.44</v>
      </c>
      <c r="J333" s="59">
        <v>44925</v>
      </c>
      <c r="K333" s="162" t="s">
        <v>3118</v>
      </c>
    </row>
    <row r="334" spans="1:11" ht="17.25" customHeight="1" x14ac:dyDescent="0.3">
      <c r="A334" s="15">
        <f t="shared" si="19"/>
        <v>282</v>
      </c>
      <c r="B334" s="20" t="s">
        <v>339</v>
      </c>
      <c r="C334" s="162">
        <v>1974</v>
      </c>
      <c r="D334" s="31"/>
      <c r="E334" s="162" t="s">
        <v>3035</v>
      </c>
      <c r="F334" s="28">
        <v>2</v>
      </c>
      <c r="G334" s="46">
        <v>512.9</v>
      </c>
      <c r="H334" s="48" t="s">
        <v>3109</v>
      </c>
      <c r="I334" s="273">
        <f>SUMIF('2020'!B:B,B334,'2020'!C:C)+SUMIF('2021'!B:B,B334,'2021'!C:C)+SUMIF('2022'!B:B,B334,'2022'!C:C)</f>
        <v>156484.62</v>
      </c>
      <c r="J334" s="59">
        <v>44925</v>
      </c>
      <c r="K334" s="162" t="s">
        <v>3118</v>
      </c>
    </row>
    <row r="335" spans="1:11" ht="17.25" customHeight="1" x14ac:dyDescent="0.3">
      <c r="A335" s="15">
        <f t="shared" si="19"/>
        <v>283</v>
      </c>
      <c r="B335" s="20" t="s">
        <v>340</v>
      </c>
      <c r="C335" s="162">
        <v>1981</v>
      </c>
      <c r="D335" s="31"/>
      <c r="E335" s="162" t="s">
        <v>3035</v>
      </c>
      <c r="F335" s="28">
        <v>2</v>
      </c>
      <c r="G335" s="46">
        <v>762.9</v>
      </c>
      <c r="H335" s="48" t="s">
        <v>3111</v>
      </c>
      <c r="I335" s="273">
        <f>SUMIF('2020'!B:B,B335,'2020'!C:C)+SUMIF('2021'!B:B,B335,'2021'!C:C)+SUMIF('2022'!B:B,B335,'2022'!C:C)</f>
        <v>191432.33</v>
      </c>
      <c r="J335" s="59">
        <v>44925</v>
      </c>
      <c r="K335" s="162" t="s">
        <v>3118</v>
      </c>
    </row>
    <row r="336" spans="1:11" ht="17.25" customHeight="1" x14ac:dyDescent="0.3">
      <c r="A336" s="15">
        <f t="shared" si="19"/>
        <v>284</v>
      </c>
      <c r="B336" s="20" t="s">
        <v>341</v>
      </c>
      <c r="C336" s="162">
        <v>1978</v>
      </c>
      <c r="D336" s="31"/>
      <c r="E336" s="162" t="s">
        <v>3035</v>
      </c>
      <c r="F336" s="28">
        <v>2</v>
      </c>
      <c r="G336" s="46">
        <v>750.39</v>
      </c>
      <c r="H336" s="48" t="s">
        <v>3072</v>
      </c>
      <c r="I336" s="273">
        <f>SUMIF('2020'!B:B,B336,'2020'!C:C)+SUMIF('2021'!B:B,B336,'2021'!C:C)+SUMIF('2022'!B:B,B336,'2022'!C:C)</f>
        <v>191432.33</v>
      </c>
      <c r="J336" s="59">
        <v>44925</v>
      </c>
      <c r="K336" s="162" t="s">
        <v>3118</v>
      </c>
    </row>
    <row r="337" spans="1:11" ht="17.25" customHeight="1" x14ac:dyDescent="0.3">
      <c r="A337" s="15">
        <f t="shared" si="19"/>
        <v>285</v>
      </c>
      <c r="B337" s="20" t="s">
        <v>342</v>
      </c>
      <c r="C337" s="162">
        <v>1979</v>
      </c>
      <c r="D337" s="31"/>
      <c r="E337" s="162" t="s">
        <v>3035</v>
      </c>
      <c r="F337" s="28">
        <v>2</v>
      </c>
      <c r="G337" s="46">
        <v>750.83</v>
      </c>
      <c r="H337" s="48" t="s">
        <v>3075</v>
      </c>
      <c r="I337" s="273">
        <f>SUMIF('2020'!B:B,B337,'2020'!C:C)+SUMIF('2021'!B:B,B337,'2021'!C:C)+SUMIF('2022'!B:B,B337,'2022'!C:C)</f>
        <v>191432.33</v>
      </c>
      <c r="J337" s="59">
        <v>44925</v>
      </c>
      <c r="K337" s="162" t="s">
        <v>3118</v>
      </c>
    </row>
    <row r="338" spans="1:11" ht="17.25" customHeight="1" x14ac:dyDescent="0.3">
      <c r="A338" s="15">
        <f t="shared" si="19"/>
        <v>286</v>
      </c>
      <c r="B338" s="20" t="s">
        <v>343</v>
      </c>
      <c r="C338" s="162">
        <v>1982</v>
      </c>
      <c r="D338" s="31"/>
      <c r="E338" s="162" t="s">
        <v>3035</v>
      </c>
      <c r="F338" s="28">
        <v>2</v>
      </c>
      <c r="G338" s="46">
        <v>803.7</v>
      </c>
      <c r="H338" s="48" t="s">
        <v>3053</v>
      </c>
      <c r="I338" s="273">
        <f>SUMIF('2020'!B:B,B338,'2020'!C:C)+SUMIF('2021'!B:B,B338,'2021'!C:C)+SUMIF('2022'!B:B,B338,'2022'!C:C)</f>
        <v>191432.33</v>
      </c>
      <c r="J338" s="59">
        <v>44925</v>
      </c>
      <c r="K338" s="162" t="s">
        <v>3118</v>
      </c>
    </row>
    <row r="339" spans="1:11" ht="17.25" customHeight="1" x14ac:dyDescent="0.3">
      <c r="A339" s="15">
        <f t="shared" si="19"/>
        <v>287</v>
      </c>
      <c r="B339" s="20" t="s">
        <v>344</v>
      </c>
      <c r="C339" s="162">
        <v>1968</v>
      </c>
      <c r="D339" s="31"/>
      <c r="E339" s="162" t="s">
        <v>3120</v>
      </c>
      <c r="F339" s="31">
        <v>1</v>
      </c>
      <c r="G339" s="31">
        <v>159.1</v>
      </c>
      <c r="H339" s="173">
        <v>6</v>
      </c>
      <c r="I339" s="273">
        <f>SUMIF('2020'!B:B,B339,'2020'!C:C)+SUMIF('2021'!B:B,B339,'2021'!C:C)+SUMIF('2022'!B:B,B339,'2022'!C:C)</f>
        <v>130000</v>
      </c>
      <c r="J339" s="59">
        <v>44925</v>
      </c>
      <c r="K339" s="162" t="s">
        <v>3118</v>
      </c>
    </row>
    <row r="340" spans="1:11" ht="17.25" customHeight="1" x14ac:dyDescent="0.3">
      <c r="A340" s="15">
        <f t="shared" si="19"/>
        <v>288</v>
      </c>
      <c r="B340" s="20" t="s">
        <v>345</v>
      </c>
      <c r="C340" s="162">
        <v>1972</v>
      </c>
      <c r="D340" s="31"/>
      <c r="E340" s="162" t="s">
        <v>3120</v>
      </c>
      <c r="F340" s="28">
        <v>2</v>
      </c>
      <c r="G340" s="46">
        <v>231.49</v>
      </c>
      <c r="H340" s="48" t="s">
        <v>3141</v>
      </c>
      <c r="I340" s="273">
        <f>SUMIF('2020'!B:B,B340,'2020'!C:C)+SUMIF('2021'!B:B,B340,'2021'!C:C)+SUMIF('2022'!B:B,B340,'2022'!C:C)</f>
        <v>130000</v>
      </c>
      <c r="J340" s="59">
        <v>44925</v>
      </c>
      <c r="K340" s="162" t="s">
        <v>3118</v>
      </c>
    </row>
    <row r="341" spans="1:11" ht="17.25" customHeight="1" x14ac:dyDescent="0.3">
      <c r="A341" s="15">
        <f t="shared" si="19"/>
        <v>289</v>
      </c>
      <c r="B341" s="20" t="s">
        <v>346</v>
      </c>
      <c r="C341" s="162">
        <v>1954</v>
      </c>
      <c r="D341" s="31"/>
      <c r="E341" s="162" t="s">
        <v>3120</v>
      </c>
      <c r="F341" s="28">
        <v>2</v>
      </c>
      <c r="G341" s="46">
        <v>789.3</v>
      </c>
      <c r="H341" s="48" t="s">
        <v>3112</v>
      </c>
      <c r="I341" s="273">
        <f>SUMIF('2020'!B:B,B341,'2020'!C:C)+SUMIF('2021'!B:B,B341,'2021'!C:C)+SUMIF('2022'!B:B,B341,'2022'!C:C)</f>
        <v>10364955.199999999</v>
      </c>
      <c r="J341" s="59">
        <v>44925</v>
      </c>
      <c r="K341" s="162" t="s">
        <v>3118</v>
      </c>
    </row>
    <row r="342" spans="1:11" ht="17.25" customHeight="1" x14ac:dyDescent="0.3">
      <c r="A342" s="15">
        <f t="shared" si="19"/>
        <v>290</v>
      </c>
      <c r="B342" s="20" t="s">
        <v>347</v>
      </c>
      <c r="C342" s="162">
        <v>1917</v>
      </c>
      <c r="D342" s="31"/>
      <c r="E342" s="162" t="s">
        <v>3035</v>
      </c>
      <c r="F342" s="28">
        <v>2</v>
      </c>
      <c r="G342" s="46">
        <v>442.75</v>
      </c>
      <c r="H342" s="48" t="s">
        <v>3134</v>
      </c>
      <c r="I342" s="273">
        <f>SUMIF('2020'!B:B,B342,'2020'!C:C)+SUMIF('2021'!B:B,B342,'2021'!C:C)+SUMIF('2022'!B:B,B342,'2022'!C:C)</f>
        <v>263850.05</v>
      </c>
      <c r="J342" s="59">
        <v>44925</v>
      </c>
      <c r="K342" s="162" t="s">
        <v>3118</v>
      </c>
    </row>
    <row r="343" spans="1:11" ht="17.25" customHeight="1" x14ac:dyDescent="0.3">
      <c r="A343" s="15">
        <f t="shared" si="19"/>
        <v>291</v>
      </c>
      <c r="B343" s="20" t="s">
        <v>348</v>
      </c>
      <c r="C343" s="162">
        <v>1917</v>
      </c>
      <c r="D343" s="31"/>
      <c r="E343" s="162" t="s">
        <v>3120</v>
      </c>
      <c r="F343" s="28">
        <v>2</v>
      </c>
      <c r="G343" s="46">
        <v>404.8</v>
      </c>
      <c r="H343" s="48" t="s">
        <v>3142</v>
      </c>
      <c r="I343" s="273">
        <f>SUMIF('2020'!B:B,B343,'2020'!C:C)+SUMIF('2021'!B:B,B343,'2021'!C:C)+SUMIF('2022'!B:B,B343,'2022'!C:C)</f>
        <v>11457430</v>
      </c>
      <c r="J343" s="59">
        <v>44925</v>
      </c>
      <c r="K343" s="162" t="s">
        <v>3118</v>
      </c>
    </row>
    <row r="344" spans="1:11" ht="17.25" customHeight="1" x14ac:dyDescent="0.3">
      <c r="A344" s="15">
        <f t="shared" ref="A344:A375" si="20">A343+1</f>
        <v>292</v>
      </c>
      <c r="B344" s="20" t="s">
        <v>349</v>
      </c>
      <c r="C344" s="162">
        <v>1969</v>
      </c>
      <c r="D344" s="31"/>
      <c r="E344" s="162" t="s">
        <v>3035</v>
      </c>
      <c r="F344" s="28">
        <v>5</v>
      </c>
      <c r="G344" s="46">
        <v>3389.13</v>
      </c>
      <c r="H344" s="173">
        <v>236</v>
      </c>
      <c r="I344" s="273">
        <f>SUMIF('2020'!B:B,B344,'2020'!C:C)+SUMIF('2021'!B:B,B344,'2021'!C:C)+SUMIF('2022'!B:B,B344,'2022'!C:C)</f>
        <v>223356.07</v>
      </c>
      <c r="J344" s="59">
        <v>44925</v>
      </c>
      <c r="K344" s="162" t="s">
        <v>3118</v>
      </c>
    </row>
    <row r="345" spans="1:11" ht="17.25" customHeight="1" x14ac:dyDescent="0.3">
      <c r="A345" s="15">
        <f t="shared" si="20"/>
        <v>293</v>
      </c>
      <c r="B345" s="20" t="s">
        <v>350</v>
      </c>
      <c r="C345" s="162">
        <v>1950</v>
      </c>
      <c r="D345" s="31"/>
      <c r="E345" s="162" t="s">
        <v>3120</v>
      </c>
      <c r="F345" s="28">
        <v>2</v>
      </c>
      <c r="G345" s="46">
        <v>253.2</v>
      </c>
      <c r="H345" s="48" t="s">
        <v>3141</v>
      </c>
      <c r="I345" s="273">
        <f>SUMIF('2020'!B:B,B345,'2020'!C:C)+SUMIF('2021'!B:B,B345,'2021'!C:C)+SUMIF('2022'!B:B,B345,'2022'!C:C)</f>
        <v>2470715</v>
      </c>
      <c r="J345" s="59">
        <v>44925</v>
      </c>
      <c r="K345" s="162" t="s">
        <v>3118</v>
      </c>
    </row>
    <row r="346" spans="1:11" ht="17.25" customHeight="1" x14ac:dyDescent="0.3">
      <c r="A346" s="15">
        <f t="shared" si="20"/>
        <v>294</v>
      </c>
      <c r="B346" s="20" t="s">
        <v>351</v>
      </c>
      <c r="C346" s="162">
        <v>1948</v>
      </c>
      <c r="D346" s="31"/>
      <c r="E346" s="162" t="s">
        <v>3120</v>
      </c>
      <c r="F346" s="28">
        <v>2</v>
      </c>
      <c r="G346" s="46">
        <v>261.2</v>
      </c>
      <c r="H346" s="48" t="s">
        <v>3143</v>
      </c>
      <c r="I346" s="273">
        <f>SUMIF('2020'!B:B,B346,'2020'!C:C)+SUMIF('2021'!B:B,B346,'2021'!C:C)+SUMIF('2022'!B:B,B346,'2022'!C:C)</f>
        <v>7845132.7999999989</v>
      </c>
      <c r="J346" s="59">
        <v>44925</v>
      </c>
      <c r="K346" s="162" t="s">
        <v>3118</v>
      </c>
    </row>
    <row r="347" spans="1:11" ht="17.25" customHeight="1" x14ac:dyDescent="0.3">
      <c r="A347" s="15">
        <f t="shared" si="20"/>
        <v>295</v>
      </c>
      <c r="B347" s="20" t="s">
        <v>353</v>
      </c>
      <c r="C347" s="162">
        <v>1917</v>
      </c>
      <c r="D347" s="31"/>
      <c r="E347" s="162" t="s">
        <v>3120</v>
      </c>
      <c r="F347" s="28">
        <v>2</v>
      </c>
      <c r="G347" s="46">
        <v>184.7</v>
      </c>
      <c r="H347" s="48" t="s">
        <v>3141</v>
      </c>
      <c r="I347" s="273">
        <f>SUMIF('2020'!B:B,B347,'2020'!C:C)+SUMIF('2021'!B:B,B347,'2021'!C:C)+SUMIF('2022'!B:B,B347,'2022'!C:C)</f>
        <v>130000</v>
      </c>
      <c r="J347" s="59">
        <v>44925</v>
      </c>
      <c r="K347" s="162" t="s">
        <v>3118</v>
      </c>
    </row>
    <row r="348" spans="1:11" ht="17.25" customHeight="1" x14ac:dyDescent="0.3">
      <c r="A348" s="15">
        <f t="shared" si="20"/>
        <v>296</v>
      </c>
      <c r="B348" s="20" t="s">
        <v>354</v>
      </c>
      <c r="C348" s="162">
        <v>1956</v>
      </c>
      <c r="D348" s="31"/>
      <c r="E348" s="162" t="s">
        <v>3035</v>
      </c>
      <c r="F348" s="28">
        <v>2</v>
      </c>
      <c r="G348" s="46">
        <v>448.38</v>
      </c>
      <c r="H348" s="48" t="s">
        <v>3110</v>
      </c>
      <c r="I348" s="273">
        <f>SUMIF('2020'!B:B,B348,'2020'!C:C)+SUMIF('2021'!B:B,B348,'2021'!C:C)+SUMIF('2022'!B:B,B348,'2022'!C:C)</f>
        <v>2901026.6</v>
      </c>
      <c r="J348" s="59">
        <v>44925</v>
      </c>
      <c r="K348" s="162" t="s">
        <v>3118</v>
      </c>
    </row>
    <row r="349" spans="1:11" ht="17.25" customHeight="1" x14ac:dyDescent="0.3">
      <c r="A349" s="15">
        <f t="shared" si="20"/>
        <v>297</v>
      </c>
      <c r="B349" s="20" t="s">
        <v>355</v>
      </c>
      <c r="C349" s="162">
        <v>1964</v>
      </c>
      <c r="D349" s="31"/>
      <c r="E349" s="162" t="s">
        <v>3035</v>
      </c>
      <c r="F349" s="28">
        <v>2</v>
      </c>
      <c r="G349" s="46">
        <v>493.33</v>
      </c>
      <c r="H349" s="48" t="s">
        <v>3109</v>
      </c>
      <c r="I349" s="273">
        <f>SUMIF('2020'!B:B,B349,'2020'!C:C)+SUMIF('2021'!B:B,B349,'2021'!C:C)+SUMIF('2022'!B:B,B349,'2022'!C:C)</f>
        <v>537761.06000000006</v>
      </c>
      <c r="J349" s="59">
        <v>44925</v>
      </c>
      <c r="K349" s="162" t="s">
        <v>3118</v>
      </c>
    </row>
    <row r="350" spans="1:11" ht="17.25" customHeight="1" x14ac:dyDescent="0.3">
      <c r="A350" s="15">
        <f t="shared" si="20"/>
        <v>298</v>
      </c>
      <c r="B350" s="20" t="s">
        <v>356</v>
      </c>
      <c r="C350" s="162">
        <v>1959</v>
      </c>
      <c r="D350" s="31"/>
      <c r="E350" s="162" t="s">
        <v>3035</v>
      </c>
      <c r="F350" s="28">
        <v>2</v>
      </c>
      <c r="G350" s="46">
        <v>479.17</v>
      </c>
      <c r="H350" s="48" t="s">
        <v>3142</v>
      </c>
      <c r="I350" s="273">
        <f>SUMIF('2020'!B:B,B350,'2020'!C:C)+SUMIF('2021'!B:B,B350,'2021'!C:C)+SUMIF('2022'!B:B,B350,'2022'!C:C)</f>
        <v>280513.86</v>
      </c>
      <c r="J350" s="59">
        <v>44925</v>
      </c>
      <c r="K350" s="162" t="s">
        <v>3118</v>
      </c>
    </row>
    <row r="351" spans="1:11" ht="17.25" customHeight="1" x14ac:dyDescent="0.3">
      <c r="A351" s="15">
        <f t="shared" si="20"/>
        <v>299</v>
      </c>
      <c r="B351" s="20" t="s">
        <v>357</v>
      </c>
      <c r="C351" s="162">
        <v>1962</v>
      </c>
      <c r="D351" s="31"/>
      <c r="E351" s="162" t="s">
        <v>3035</v>
      </c>
      <c r="F351" s="28">
        <v>2</v>
      </c>
      <c r="G351" s="46">
        <v>341.4</v>
      </c>
      <c r="H351" s="48" t="s">
        <v>3096</v>
      </c>
      <c r="I351" s="273">
        <f>SUMIF('2020'!B:B,B351,'2020'!C:C)+SUMIF('2021'!B:B,B351,'2021'!C:C)+SUMIF('2022'!B:B,B351,'2022'!C:C)</f>
        <v>627123</v>
      </c>
      <c r="J351" s="59">
        <v>44925</v>
      </c>
      <c r="K351" s="162" t="s">
        <v>3118</v>
      </c>
    </row>
    <row r="352" spans="1:11" ht="17.25" customHeight="1" x14ac:dyDescent="0.3">
      <c r="A352" s="15">
        <f t="shared" si="20"/>
        <v>300</v>
      </c>
      <c r="B352" s="20" t="s">
        <v>358</v>
      </c>
      <c r="C352" s="162">
        <v>1917</v>
      </c>
      <c r="D352" s="31"/>
      <c r="E352" s="162" t="s">
        <v>3120</v>
      </c>
      <c r="F352" s="28">
        <v>2</v>
      </c>
      <c r="G352" s="46">
        <v>218.32</v>
      </c>
      <c r="H352" s="48" t="s">
        <v>3096</v>
      </c>
      <c r="I352" s="273">
        <f>SUMIF('2020'!B:B,B352,'2020'!C:C)+SUMIF('2021'!B:B,B352,'2021'!C:C)+SUMIF('2022'!B:B,B352,'2022'!C:C)</f>
        <v>2261013.64</v>
      </c>
      <c r="J352" s="59">
        <v>44925</v>
      </c>
      <c r="K352" s="162" t="s">
        <v>3118</v>
      </c>
    </row>
    <row r="353" spans="1:11" ht="17.25" customHeight="1" x14ac:dyDescent="0.3">
      <c r="A353" s="15">
        <f t="shared" si="20"/>
        <v>301</v>
      </c>
      <c r="B353" s="20" t="s">
        <v>359</v>
      </c>
      <c r="C353" s="162">
        <v>1917</v>
      </c>
      <c r="D353" s="31"/>
      <c r="E353" s="162" t="s">
        <v>3120</v>
      </c>
      <c r="F353" s="28">
        <v>2</v>
      </c>
      <c r="G353" s="46">
        <v>236.15</v>
      </c>
      <c r="H353" s="48" t="s">
        <v>3091</v>
      </c>
      <c r="I353" s="273">
        <f>SUMIF('2020'!B:B,B353,'2020'!C:C)+SUMIF('2021'!B:B,B353,'2021'!C:C)+SUMIF('2022'!B:B,B353,'2022'!C:C)</f>
        <v>1006341.1</v>
      </c>
      <c r="J353" s="59">
        <v>44925</v>
      </c>
      <c r="K353" s="162" t="s">
        <v>3118</v>
      </c>
    </row>
    <row r="354" spans="1:11" ht="17.25" customHeight="1" x14ac:dyDescent="0.3">
      <c r="A354" s="15">
        <f t="shared" si="20"/>
        <v>302</v>
      </c>
      <c r="B354" s="20" t="s">
        <v>360</v>
      </c>
      <c r="C354" s="162">
        <v>1947</v>
      </c>
      <c r="D354" s="31"/>
      <c r="E354" s="162" t="s">
        <v>3120</v>
      </c>
      <c r="F354" s="28">
        <v>2</v>
      </c>
      <c r="G354" s="46">
        <v>177.6</v>
      </c>
      <c r="H354" s="48" t="s">
        <v>3141</v>
      </c>
      <c r="I354" s="273">
        <f>SUMIF('2020'!B:B,B354,'2020'!C:C)+SUMIF('2021'!B:B,B354,'2021'!C:C)+SUMIF('2022'!B:B,B354,'2022'!C:C)</f>
        <v>9261573.5999999996</v>
      </c>
      <c r="J354" s="59">
        <v>44925</v>
      </c>
      <c r="K354" s="162" t="s">
        <v>3118</v>
      </c>
    </row>
    <row r="355" spans="1:11" ht="17.25" customHeight="1" x14ac:dyDescent="0.3">
      <c r="A355" s="15">
        <f t="shared" si="20"/>
        <v>303</v>
      </c>
      <c r="B355" s="20" t="s">
        <v>361</v>
      </c>
      <c r="C355" s="162">
        <v>1976</v>
      </c>
      <c r="D355" s="31"/>
      <c r="E355" s="162" t="s">
        <v>3035</v>
      </c>
      <c r="F355" s="28">
        <v>5</v>
      </c>
      <c r="G355" s="46">
        <v>3664.5</v>
      </c>
      <c r="H355" s="48" t="s">
        <v>3116</v>
      </c>
      <c r="I355" s="273">
        <f>SUMIF('2020'!B:B,B355,'2020'!C:C)+SUMIF('2021'!B:B,B355,'2021'!C:C)+SUMIF('2022'!B:B,B355,'2022'!C:C)</f>
        <v>160656.66</v>
      </c>
      <c r="J355" s="59">
        <v>44925</v>
      </c>
      <c r="K355" s="162" t="s">
        <v>3118</v>
      </c>
    </row>
    <row r="356" spans="1:11" ht="17.25" customHeight="1" x14ac:dyDescent="0.3">
      <c r="A356" s="15">
        <f t="shared" si="20"/>
        <v>304</v>
      </c>
      <c r="B356" s="20" t="s">
        <v>362</v>
      </c>
      <c r="C356" s="162">
        <v>1951</v>
      </c>
      <c r="D356" s="31"/>
      <c r="E356" s="162" t="s">
        <v>3120</v>
      </c>
      <c r="F356" s="28">
        <v>2</v>
      </c>
      <c r="G356" s="46">
        <v>225.22</v>
      </c>
      <c r="H356" s="48" t="s">
        <v>3139</v>
      </c>
      <c r="I356" s="273">
        <f>SUMIF('2020'!B:B,B356,'2020'!C:C)+SUMIF('2021'!B:B,B356,'2021'!C:C)+SUMIF('2022'!B:B,B356,'2022'!C:C)</f>
        <v>426431.09</v>
      </c>
      <c r="J356" s="59">
        <v>44925</v>
      </c>
      <c r="K356" s="162" t="s">
        <v>3118</v>
      </c>
    </row>
    <row r="357" spans="1:11" ht="17.25" customHeight="1" x14ac:dyDescent="0.3">
      <c r="A357" s="15">
        <f t="shared" si="20"/>
        <v>305</v>
      </c>
      <c r="B357" s="20" t="s">
        <v>363</v>
      </c>
      <c r="C357" s="162">
        <v>1963</v>
      </c>
      <c r="D357" s="31"/>
      <c r="E357" s="162" t="s">
        <v>3035</v>
      </c>
      <c r="F357" s="28">
        <v>2</v>
      </c>
      <c r="G357" s="46">
        <v>439.05</v>
      </c>
      <c r="H357" s="48" t="s">
        <v>3110</v>
      </c>
      <c r="I357" s="273">
        <f>SUMIF('2020'!B:B,B357,'2020'!C:C)+SUMIF('2021'!B:B,B357,'2021'!C:C)+SUMIF('2022'!B:B,B357,'2022'!C:C)</f>
        <v>677313.05</v>
      </c>
      <c r="J357" s="59">
        <v>44925</v>
      </c>
      <c r="K357" s="162" t="s">
        <v>3118</v>
      </c>
    </row>
    <row r="358" spans="1:11" ht="17.25" customHeight="1" x14ac:dyDescent="0.3">
      <c r="A358" s="15">
        <f t="shared" si="20"/>
        <v>306</v>
      </c>
      <c r="B358" s="20" t="s">
        <v>364</v>
      </c>
      <c r="C358" s="162">
        <v>1917</v>
      </c>
      <c r="D358" s="31"/>
      <c r="E358" s="162" t="s">
        <v>3120</v>
      </c>
      <c r="F358" s="28">
        <v>2</v>
      </c>
      <c r="G358" s="46">
        <v>187.37</v>
      </c>
      <c r="H358" s="48" t="s">
        <v>3141</v>
      </c>
      <c r="I358" s="273">
        <f>SUMIF('2020'!B:B,B358,'2020'!C:C)+SUMIF('2021'!B:B,B358,'2021'!C:C)+SUMIF('2022'!B:B,B358,'2022'!C:C)</f>
        <v>628740.66</v>
      </c>
      <c r="J358" s="59">
        <v>44925</v>
      </c>
      <c r="K358" s="162" t="s">
        <v>3118</v>
      </c>
    </row>
    <row r="359" spans="1:11" ht="17.25" customHeight="1" x14ac:dyDescent="0.3">
      <c r="A359" s="15">
        <f t="shared" si="20"/>
        <v>307</v>
      </c>
      <c r="B359" s="20" t="s">
        <v>365</v>
      </c>
      <c r="C359" s="162">
        <v>1917</v>
      </c>
      <c r="D359" s="31"/>
      <c r="E359" s="162" t="s">
        <v>3120</v>
      </c>
      <c r="F359" s="28">
        <v>2</v>
      </c>
      <c r="G359" s="46">
        <v>157.78</v>
      </c>
      <c r="H359" s="48" t="s">
        <v>3137</v>
      </c>
      <c r="I359" s="273">
        <f>SUMIF('2020'!B:B,B359,'2020'!C:C)+SUMIF('2021'!B:B,B359,'2021'!C:C)+SUMIF('2022'!B:B,B359,'2022'!C:C)</f>
        <v>2661741.9700000002</v>
      </c>
      <c r="J359" s="59">
        <v>44925</v>
      </c>
      <c r="K359" s="162" t="s">
        <v>3118</v>
      </c>
    </row>
    <row r="360" spans="1:11" ht="17.25" customHeight="1" x14ac:dyDescent="0.3">
      <c r="A360" s="15">
        <f t="shared" si="20"/>
        <v>308</v>
      </c>
      <c r="B360" s="20" t="s">
        <v>366</v>
      </c>
      <c r="C360" s="162">
        <v>1959</v>
      </c>
      <c r="D360" s="31"/>
      <c r="E360" s="162" t="s">
        <v>3035</v>
      </c>
      <c r="F360" s="28">
        <v>2</v>
      </c>
      <c r="G360" s="46">
        <v>431.14</v>
      </c>
      <c r="H360" s="48" t="s">
        <v>3110</v>
      </c>
      <c r="I360" s="273">
        <f>SUMIF('2020'!B:B,B360,'2020'!C:C)+SUMIF('2021'!B:B,B360,'2021'!C:C)+SUMIF('2022'!B:B,B360,'2022'!C:C)</f>
        <v>219917.02</v>
      </c>
      <c r="J360" s="59">
        <v>44925</v>
      </c>
      <c r="K360" s="162" t="s">
        <v>3118</v>
      </c>
    </row>
    <row r="361" spans="1:11" ht="17.25" customHeight="1" x14ac:dyDescent="0.3">
      <c r="A361" s="15">
        <f t="shared" si="20"/>
        <v>309</v>
      </c>
      <c r="B361" s="20" t="s">
        <v>367</v>
      </c>
      <c r="C361" s="162">
        <v>1951</v>
      </c>
      <c r="D361" s="31"/>
      <c r="E361" s="162" t="s">
        <v>3120</v>
      </c>
      <c r="F361" s="28">
        <v>2</v>
      </c>
      <c r="G361" s="46">
        <v>484.7</v>
      </c>
      <c r="H361" s="48" t="s">
        <v>3109</v>
      </c>
      <c r="I361" s="273">
        <f>SUMIF('2020'!B:B,B361,'2020'!C:C)+SUMIF('2021'!B:B,B361,'2021'!C:C)+SUMIF('2022'!B:B,B361,'2022'!C:C)</f>
        <v>1721982.88</v>
      </c>
      <c r="J361" s="59">
        <v>44925</v>
      </c>
      <c r="K361" s="162" t="s">
        <v>3118</v>
      </c>
    </row>
    <row r="362" spans="1:11" ht="17.25" customHeight="1" x14ac:dyDescent="0.3">
      <c r="A362" s="15">
        <f t="shared" si="20"/>
        <v>310</v>
      </c>
      <c r="B362" s="20" t="s">
        <v>368</v>
      </c>
      <c r="C362" s="162">
        <v>1977</v>
      </c>
      <c r="D362" s="31"/>
      <c r="E362" s="162" t="s">
        <v>3035</v>
      </c>
      <c r="F362" s="28">
        <v>2</v>
      </c>
      <c r="G362" s="46">
        <v>385.5</v>
      </c>
      <c r="H362" s="48" t="s">
        <v>3136</v>
      </c>
      <c r="I362" s="273">
        <f>SUMIF('2020'!B:B,B362,'2020'!C:C)+SUMIF('2021'!B:B,B362,'2021'!C:C)+SUMIF('2022'!B:B,B362,'2022'!C:C)</f>
        <v>181553.27</v>
      </c>
      <c r="J362" s="59">
        <v>44925</v>
      </c>
      <c r="K362" s="162" t="s">
        <v>3118</v>
      </c>
    </row>
    <row r="363" spans="1:11" ht="17.25" customHeight="1" x14ac:dyDescent="0.3">
      <c r="A363" s="15">
        <f t="shared" si="20"/>
        <v>311</v>
      </c>
      <c r="B363" s="20" t="s">
        <v>369</v>
      </c>
      <c r="C363" s="162">
        <v>1977</v>
      </c>
      <c r="D363" s="31"/>
      <c r="E363" s="162" t="s">
        <v>3035</v>
      </c>
      <c r="F363" s="28">
        <v>2</v>
      </c>
      <c r="G363" s="46">
        <v>382.1</v>
      </c>
      <c r="H363" s="48" t="s">
        <v>3093</v>
      </c>
      <c r="I363" s="273">
        <f>SUMIF('2020'!B:B,B363,'2020'!C:C)+SUMIF('2021'!B:B,B363,'2021'!C:C)+SUMIF('2022'!B:B,B363,'2022'!C:C)</f>
        <v>181553.27</v>
      </c>
      <c r="J363" s="59">
        <v>44925</v>
      </c>
      <c r="K363" s="162" t="s">
        <v>3118</v>
      </c>
    </row>
    <row r="364" spans="1:11" ht="17.25" customHeight="1" x14ac:dyDescent="0.3">
      <c r="A364" s="15">
        <f t="shared" si="20"/>
        <v>312</v>
      </c>
      <c r="B364" s="20" t="s">
        <v>370</v>
      </c>
      <c r="C364" s="162">
        <v>1975</v>
      </c>
      <c r="D364" s="31"/>
      <c r="E364" s="162" t="s">
        <v>3120</v>
      </c>
      <c r="F364" s="28">
        <v>2</v>
      </c>
      <c r="G364" s="46">
        <v>409.68</v>
      </c>
      <c r="H364" s="48" t="s">
        <v>3110</v>
      </c>
      <c r="I364" s="273">
        <f>SUMIF('2020'!B:B,B364,'2020'!C:C)+SUMIF('2021'!B:B,B364,'2021'!C:C)+SUMIF('2022'!B:B,B364,'2022'!C:C)</f>
        <v>198904.5</v>
      </c>
      <c r="J364" s="59">
        <v>44925</v>
      </c>
      <c r="K364" s="162" t="s">
        <v>3118</v>
      </c>
    </row>
    <row r="365" spans="1:11" ht="17.25" customHeight="1" x14ac:dyDescent="0.3">
      <c r="A365" s="15">
        <f t="shared" si="20"/>
        <v>313</v>
      </c>
      <c r="B365" s="20" t="s">
        <v>371</v>
      </c>
      <c r="C365" s="162">
        <v>1975</v>
      </c>
      <c r="D365" s="31"/>
      <c r="E365" s="162" t="s">
        <v>3120</v>
      </c>
      <c r="F365" s="28">
        <v>2</v>
      </c>
      <c r="G365" s="46">
        <v>433.61</v>
      </c>
      <c r="H365" s="48" t="s">
        <v>3109</v>
      </c>
      <c r="I365" s="273">
        <f>SUMIF('2020'!B:B,B365,'2020'!C:C)+SUMIF('2021'!B:B,B365,'2021'!C:C)+SUMIF('2022'!B:B,B365,'2022'!C:C)</f>
        <v>182349.19</v>
      </c>
      <c r="J365" s="59">
        <v>44925</v>
      </c>
      <c r="K365" s="162" t="s">
        <v>3118</v>
      </c>
    </row>
    <row r="366" spans="1:11" ht="17.25" customHeight="1" x14ac:dyDescent="0.3">
      <c r="A366" s="15">
        <f t="shared" si="20"/>
        <v>314</v>
      </c>
      <c r="B366" s="20" t="s">
        <v>372</v>
      </c>
      <c r="C366" s="162">
        <v>1977</v>
      </c>
      <c r="D366" s="31"/>
      <c r="E366" s="162" t="s">
        <v>3120</v>
      </c>
      <c r="F366" s="28">
        <v>2</v>
      </c>
      <c r="G366" s="46">
        <v>413.47</v>
      </c>
      <c r="H366" s="48" t="s">
        <v>3145</v>
      </c>
      <c r="I366" s="273">
        <f>SUMIF('2020'!B:B,B366,'2020'!C:C)+SUMIF('2021'!B:B,B366,'2021'!C:C)+SUMIF('2022'!B:B,B366,'2022'!C:C)</f>
        <v>181314.49</v>
      </c>
      <c r="J366" s="59">
        <v>44925</v>
      </c>
      <c r="K366" s="162" t="s">
        <v>3118</v>
      </c>
    </row>
    <row r="367" spans="1:11" ht="17.25" customHeight="1" x14ac:dyDescent="0.3">
      <c r="A367" s="15">
        <f t="shared" si="20"/>
        <v>315</v>
      </c>
      <c r="B367" s="20" t="s">
        <v>373</v>
      </c>
      <c r="C367" s="162">
        <v>1977</v>
      </c>
      <c r="D367" s="31"/>
      <c r="E367" s="162" t="s">
        <v>3120</v>
      </c>
      <c r="F367" s="28">
        <v>2</v>
      </c>
      <c r="G367" s="46">
        <v>404.84</v>
      </c>
      <c r="H367" s="48" t="s">
        <v>3096</v>
      </c>
      <c r="I367" s="273">
        <f>SUMIF('2020'!B:B,B367,'2020'!C:C)+SUMIF('2021'!B:B,B367,'2021'!C:C)+SUMIF('2022'!B:B,B367,'2022'!C:C)</f>
        <v>1045994.02</v>
      </c>
      <c r="J367" s="59">
        <v>44925</v>
      </c>
      <c r="K367" s="162" t="s">
        <v>3118</v>
      </c>
    </row>
    <row r="368" spans="1:11" ht="17.25" customHeight="1" x14ac:dyDescent="0.3">
      <c r="A368" s="15">
        <f t="shared" si="20"/>
        <v>316</v>
      </c>
      <c r="B368" s="20" t="s">
        <v>374</v>
      </c>
      <c r="C368" s="162">
        <v>1977</v>
      </c>
      <c r="D368" s="31"/>
      <c r="E368" s="162" t="s">
        <v>3121</v>
      </c>
      <c r="F368" s="28" t="s">
        <v>3131</v>
      </c>
      <c r="G368" s="46">
        <v>1242.73</v>
      </c>
      <c r="H368" s="48" t="s">
        <v>3073</v>
      </c>
      <c r="I368" s="273">
        <f>SUMIF('2020'!B:B,B368,'2020'!C:C)+SUMIF('2021'!B:B,B368,'2021'!C:C)+SUMIF('2022'!B:B,B368,'2022'!C:C)</f>
        <v>199030.09</v>
      </c>
      <c r="J368" s="59">
        <v>44925</v>
      </c>
      <c r="K368" s="162" t="s">
        <v>3118</v>
      </c>
    </row>
    <row r="369" spans="1:11" ht="17.25" customHeight="1" x14ac:dyDescent="0.3">
      <c r="A369" s="15">
        <f t="shared" si="20"/>
        <v>317</v>
      </c>
      <c r="B369" s="20" t="s">
        <v>375</v>
      </c>
      <c r="C369" s="162">
        <v>1957</v>
      </c>
      <c r="D369" s="31"/>
      <c r="E369" s="162" t="s">
        <v>3035</v>
      </c>
      <c r="F369" s="28">
        <v>2</v>
      </c>
      <c r="G369" s="46">
        <v>973.4</v>
      </c>
      <c r="H369" s="48" t="s">
        <v>3060</v>
      </c>
      <c r="I369" s="273">
        <f>SUMIF('2020'!B:B,B369,'2020'!C:C)+SUMIF('2021'!B:B,B369,'2021'!C:C)+SUMIF('2022'!B:B,B369,'2022'!C:C)</f>
        <v>1081455.76</v>
      </c>
      <c r="J369" s="59">
        <v>44925</v>
      </c>
      <c r="K369" s="162" t="s">
        <v>3118</v>
      </c>
    </row>
    <row r="370" spans="1:11" ht="17.25" customHeight="1" x14ac:dyDescent="0.3">
      <c r="A370" s="15">
        <f t="shared" si="20"/>
        <v>318</v>
      </c>
      <c r="B370" s="20" t="s">
        <v>376</v>
      </c>
      <c r="C370" s="162">
        <v>1917</v>
      </c>
      <c r="D370" s="31"/>
      <c r="E370" s="162" t="s">
        <v>3120</v>
      </c>
      <c r="F370" s="28">
        <v>2</v>
      </c>
      <c r="G370" s="46">
        <v>128.51</v>
      </c>
      <c r="H370" s="48" t="s">
        <v>3138</v>
      </c>
      <c r="I370" s="273">
        <f>SUMIF('2020'!B:B,B370,'2020'!C:C)+SUMIF('2021'!B:B,B370,'2021'!C:C)+SUMIF('2022'!B:B,B370,'2022'!C:C)</f>
        <v>2162052.11</v>
      </c>
      <c r="J370" s="59">
        <v>44925</v>
      </c>
      <c r="K370" s="162" t="s">
        <v>3118</v>
      </c>
    </row>
    <row r="371" spans="1:11" ht="17.25" customHeight="1" x14ac:dyDescent="0.3">
      <c r="A371" s="15">
        <f t="shared" si="20"/>
        <v>319</v>
      </c>
      <c r="B371" s="20" t="s">
        <v>377</v>
      </c>
      <c r="C371" s="162">
        <v>1958</v>
      </c>
      <c r="D371" s="31"/>
      <c r="E371" s="162" t="s">
        <v>3035</v>
      </c>
      <c r="F371" s="28">
        <v>2</v>
      </c>
      <c r="G371" s="46">
        <v>366.96</v>
      </c>
      <c r="H371" s="48" t="s">
        <v>3142</v>
      </c>
      <c r="I371" s="273">
        <f>SUMIF('2020'!B:B,B371,'2020'!C:C)+SUMIF('2021'!B:B,B371,'2021'!C:C)+SUMIF('2022'!B:B,B371,'2022'!C:C)</f>
        <v>513031.02</v>
      </c>
      <c r="J371" s="59">
        <v>44925</v>
      </c>
      <c r="K371" s="162" t="s">
        <v>3118</v>
      </c>
    </row>
    <row r="372" spans="1:11" ht="17.25" customHeight="1" x14ac:dyDescent="0.3">
      <c r="A372" s="15">
        <f t="shared" si="20"/>
        <v>320</v>
      </c>
      <c r="B372" s="20" t="s">
        <v>378</v>
      </c>
      <c r="C372" s="162">
        <v>1959</v>
      </c>
      <c r="D372" s="31"/>
      <c r="E372" s="162" t="s">
        <v>3035</v>
      </c>
      <c r="F372" s="28">
        <v>2</v>
      </c>
      <c r="G372" s="46">
        <v>377.5</v>
      </c>
      <c r="H372" s="48" t="s">
        <v>3136</v>
      </c>
      <c r="I372" s="273">
        <f>SUMIF('2020'!B:B,B372,'2020'!C:C)+SUMIF('2021'!B:B,B372,'2021'!C:C)+SUMIF('2022'!B:B,B372,'2022'!C:C)</f>
        <v>1540279.66</v>
      </c>
      <c r="J372" s="59">
        <v>44925</v>
      </c>
      <c r="K372" s="162" t="s">
        <v>3118</v>
      </c>
    </row>
    <row r="373" spans="1:11" ht="17.25" customHeight="1" x14ac:dyDescent="0.3">
      <c r="A373" s="15">
        <f t="shared" si="20"/>
        <v>321</v>
      </c>
      <c r="B373" s="20" t="s">
        <v>379</v>
      </c>
      <c r="C373" s="162">
        <v>1917</v>
      </c>
      <c r="D373" s="31"/>
      <c r="E373" s="162" t="s">
        <v>3120</v>
      </c>
      <c r="F373" s="28">
        <v>2</v>
      </c>
      <c r="G373" s="46">
        <v>321.06</v>
      </c>
      <c r="H373" s="48" t="s">
        <v>3142</v>
      </c>
      <c r="I373" s="273">
        <f>SUMIF('2020'!B:B,B373,'2020'!C:C)+SUMIF('2021'!B:B,B373,'2021'!C:C)+SUMIF('2022'!B:B,B373,'2022'!C:C)</f>
        <v>1836494.8</v>
      </c>
      <c r="J373" s="59">
        <v>44925</v>
      </c>
      <c r="K373" s="162" t="s">
        <v>3118</v>
      </c>
    </row>
    <row r="374" spans="1:11" ht="17.25" customHeight="1" x14ac:dyDescent="0.3">
      <c r="A374" s="15">
        <f t="shared" si="20"/>
        <v>322</v>
      </c>
      <c r="B374" s="20" t="s">
        <v>380</v>
      </c>
      <c r="C374" s="162">
        <v>1917</v>
      </c>
      <c r="D374" s="31"/>
      <c r="E374" s="162" t="s">
        <v>3120</v>
      </c>
      <c r="F374" s="28">
        <v>2</v>
      </c>
      <c r="G374" s="46">
        <v>488.06</v>
      </c>
      <c r="H374" s="48" t="s">
        <v>3096</v>
      </c>
      <c r="I374" s="273">
        <f>SUMIF('2020'!B:B,B374,'2020'!C:C)+SUMIF('2021'!B:B,B374,'2021'!C:C)+SUMIF('2022'!B:B,B374,'2022'!C:C)</f>
        <v>2823731.28</v>
      </c>
      <c r="J374" s="59">
        <v>44925</v>
      </c>
      <c r="K374" s="162" t="s">
        <v>3118</v>
      </c>
    </row>
    <row r="375" spans="1:11" ht="17.25" customHeight="1" x14ac:dyDescent="0.3">
      <c r="A375" s="15">
        <f t="shared" si="20"/>
        <v>323</v>
      </c>
      <c r="B375" s="20" t="s">
        <v>381</v>
      </c>
      <c r="C375" s="162">
        <v>1917</v>
      </c>
      <c r="D375" s="31"/>
      <c r="E375" s="162" t="s">
        <v>3120</v>
      </c>
      <c r="F375" s="28">
        <v>2</v>
      </c>
      <c r="G375" s="46">
        <v>287.10000000000002</v>
      </c>
      <c r="H375" s="48" t="s">
        <v>3139</v>
      </c>
      <c r="I375" s="273">
        <f>SUMIF('2020'!B:B,B375,'2020'!C:C)+SUMIF('2021'!B:B,B375,'2021'!C:C)+SUMIF('2022'!B:B,B375,'2022'!C:C)</f>
        <v>1967220.88</v>
      </c>
      <c r="J375" s="59">
        <v>44925</v>
      </c>
      <c r="K375" s="162" t="s">
        <v>3118</v>
      </c>
    </row>
    <row r="376" spans="1:11" ht="17.25" customHeight="1" x14ac:dyDescent="0.3">
      <c r="A376" s="15">
        <f t="shared" ref="A376:A410" si="21">A375+1</f>
        <v>324</v>
      </c>
      <c r="B376" s="20" t="s">
        <v>382</v>
      </c>
      <c r="C376" s="162">
        <v>1917</v>
      </c>
      <c r="D376" s="31"/>
      <c r="E376" s="162" t="s">
        <v>3120</v>
      </c>
      <c r="F376" s="28">
        <v>2</v>
      </c>
      <c r="G376" s="46">
        <v>160.6</v>
      </c>
      <c r="H376" s="48" t="s">
        <v>3138</v>
      </c>
      <c r="I376" s="273">
        <f>SUMIF('2020'!B:B,B376,'2020'!C:C)+SUMIF('2021'!B:B,B376,'2021'!C:C)+SUMIF('2022'!B:B,B376,'2022'!C:C)</f>
        <v>396298.94</v>
      </c>
      <c r="J376" s="59">
        <v>44925</v>
      </c>
      <c r="K376" s="162" t="s">
        <v>3118</v>
      </c>
    </row>
    <row r="377" spans="1:11" ht="17.25" customHeight="1" x14ac:dyDescent="0.3">
      <c r="A377" s="15">
        <f t="shared" si="21"/>
        <v>325</v>
      </c>
      <c r="B377" s="20" t="s">
        <v>383</v>
      </c>
      <c r="C377" s="162">
        <v>1917</v>
      </c>
      <c r="D377" s="31"/>
      <c r="E377" s="162" t="s">
        <v>3120</v>
      </c>
      <c r="F377" s="28">
        <v>2</v>
      </c>
      <c r="G377" s="46">
        <v>193.4</v>
      </c>
      <c r="H377" s="48" t="s">
        <v>3137</v>
      </c>
      <c r="I377" s="273">
        <f>SUMIF('2020'!B:B,B377,'2020'!C:C)+SUMIF('2021'!B:B,B377,'2021'!C:C)+SUMIF('2022'!B:B,B377,'2022'!C:C)</f>
        <v>7521598.4000000004</v>
      </c>
      <c r="J377" s="59">
        <v>44925</v>
      </c>
      <c r="K377" s="162" t="s">
        <v>3118</v>
      </c>
    </row>
    <row r="378" spans="1:11" ht="17.25" customHeight="1" x14ac:dyDescent="0.3">
      <c r="A378" s="15">
        <f t="shared" si="21"/>
        <v>326</v>
      </c>
      <c r="B378" s="20" t="s">
        <v>384</v>
      </c>
      <c r="C378" s="162">
        <v>1917</v>
      </c>
      <c r="D378" s="31"/>
      <c r="E378" s="162" t="s">
        <v>3120</v>
      </c>
      <c r="F378" s="28">
        <v>2</v>
      </c>
      <c r="G378" s="46">
        <v>311.76</v>
      </c>
      <c r="H378" s="48" t="s">
        <v>3136</v>
      </c>
      <c r="I378" s="273">
        <f>SUMIF('2020'!B:B,B378,'2020'!C:C)+SUMIF('2021'!B:B,B378,'2021'!C:C)+SUMIF('2022'!B:B,B378,'2022'!C:C)</f>
        <v>3465021.7800000003</v>
      </c>
      <c r="J378" s="59">
        <v>44925</v>
      </c>
      <c r="K378" s="162" t="s">
        <v>3118</v>
      </c>
    </row>
    <row r="379" spans="1:11" ht="17.25" customHeight="1" x14ac:dyDescent="0.3">
      <c r="A379" s="15">
        <f t="shared" si="21"/>
        <v>327</v>
      </c>
      <c r="B379" s="20" t="s">
        <v>385</v>
      </c>
      <c r="C379" s="162">
        <v>1917</v>
      </c>
      <c r="D379" s="31"/>
      <c r="E379" s="162" t="s">
        <v>3120</v>
      </c>
      <c r="F379" s="28">
        <v>2</v>
      </c>
      <c r="G379" s="46">
        <v>468.02</v>
      </c>
      <c r="H379" s="48" t="s">
        <v>3145</v>
      </c>
      <c r="I379" s="273">
        <f>SUMIF('2020'!B:B,B379,'2020'!C:C)+SUMIF('2021'!B:B,B379,'2021'!C:C)+SUMIF('2022'!B:B,B379,'2022'!C:C)</f>
        <v>4283302.01</v>
      </c>
      <c r="J379" s="59">
        <v>44925</v>
      </c>
      <c r="K379" s="162" t="s">
        <v>3118</v>
      </c>
    </row>
    <row r="380" spans="1:11" ht="17.25" customHeight="1" x14ac:dyDescent="0.3">
      <c r="A380" s="15">
        <f t="shared" si="21"/>
        <v>328</v>
      </c>
      <c r="B380" s="20" t="s">
        <v>386</v>
      </c>
      <c r="C380" s="162">
        <v>1917</v>
      </c>
      <c r="D380" s="31"/>
      <c r="E380" s="162" t="s">
        <v>3120</v>
      </c>
      <c r="F380" s="28">
        <v>2</v>
      </c>
      <c r="G380" s="46">
        <v>200.3</v>
      </c>
      <c r="H380" s="48" t="s">
        <v>3146</v>
      </c>
      <c r="I380" s="273">
        <f>SUMIF('2020'!B:B,B380,'2020'!C:C)+SUMIF('2021'!B:B,B380,'2021'!C:C)+SUMIF('2022'!B:B,B380,'2022'!C:C)</f>
        <v>2405839.7800000003</v>
      </c>
      <c r="J380" s="59">
        <v>44925</v>
      </c>
      <c r="K380" s="162" t="s">
        <v>3118</v>
      </c>
    </row>
    <row r="381" spans="1:11" ht="17.25" customHeight="1" x14ac:dyDescent="0.3">
      <c r="A381" s="15">
        <f t="shared" si="21"/>
        <v>329</v>
      </c>
      <c r="B381" s="20" t="s">
        <v>387</v>
      </c>
      <c r="C381" s="162">
        <v>1917</v>
      </c>
      <c r="D381" s="31"/>
      <c r="E381" s="162" t="s">
        <v>3120</v>
      </c>
      <c r="F381" s="28">
        <v>2</v>
      </c>
      <c r="G381" s="46">
        <v>190.43</v>
      </c>
      <c r="H381" s="48" t="s">
        <v>3091</v>
      </c>
      <c r="I381" s="273">
        <f>SUMIF('2020'!B:B,B381,'2020'!C:C)+SUMIF('2021'!B:B,B381,'2021'!C:C)+SUMIF('2022'!B:B,B381,'2022'!C:C)</f>
        <v>61404.86</v>
      </c>
      <c r="J381" s="59">
        <v>44925</v>
      </c>
      <c r="K381" s="162" t="s">
        <v>3118</v>
      </c>
    </row>
    <row r="382" spans="1:11" ht="17.25" customHeight="1" x14ac:dyDescent="0.3">
      <c r="A382" s="15">
        <f t="shared" si="21"/>
        <v>330</v>
      </c>
      <c r="B382" s="20" t="s">
        <v>388</v>
      </c>
      <c r="C382" s="162">
        <v>1917</v>
      </c>
      <c r="D382" s="31"/>
      <c r="E382" s="162" t="s">
        <v>3120</v>
      </c>
      <c r="F382" s="28">
        <v>2</v>
      </c>
      <c r="G382" s="46">
        <v>242.4</v>
      </c>
      <c r="H382" s="48" t="s">
        <v>3093</v>
      </c>
      <c r="I382" s="273">
        <f>SUMIF('2020'!B:B,B382,'2020'!C:C)+SUMIF('2021'!B:B,B382,'2021'!C:C)+SUMIF('2022'!B:B,B382,'2022'!C:C)</f>
        <v>117440.41</v>
      </c>
      <c r="J382" s="59">
        <v>44925</v>
      </c>
      <c r="K382" s="162" t="s">
        <v>3118</v>
      </c>
    </row>
    <row r="383" spans="1:11" ht="17.25" customHeight="1" x14ac:dyDescent="0.3">
      <c r="A383" s="15">
        <f t="shared" si="21"/>
        <v>331</v>
      </c>
      <c r="B383" s="20" t="s">
        <v>389</v>
      </c>
      <c r="C383" s="162">
        <v>1917</v>
      </c>
      <c r="D383" s="31"/>
      <c r="E383" s="162" t="s">
        <v>3120</v>
      </c>
      <c r="F383" s="28">
        <v>2</v>
      </c>
      <c r="G383" s="46">
        <v>193.67</v>
      </c>
      <c r="H383" s="48" t="s">
        <v>3139</v>
      </c>
      <c r="I383" s="273">
        <f>SUMIF('2020'!B:B,B383,'2020'!C:C)+SUMIF('2021'!B:B,B383,'2021'!C:C)+SUMIF('2022'!B:B,B383,'2022'!C:C)</f>
        <v>69628.44</v>
      </c>
      <c r="J383" s="59">
        <v>44925</v>
      </c>
      <c r="K383" s="162" t="s">
        <v>3118</v>
      </c>
    </row>
    <row r="384" spans="1:11" ht="17.25" customHeight="1" x14ac:dyDescent="0.3">
      <c r="A384" s="15">
        <f t="shared" si="21"/>
        <v>332</v>
      </c>
      <c r="B384" s="20" t="s">
        <v>390</v>
      </c>
      <c r="C384" s="162">
        <v>1917</v>
      </c>
      <c r="D384" s="31"/>
      <c r="E384" s="162" t="s">
        <v>3120</v>
      </c>
      <c r="F384" s="28">
        <v>2</v>
      </c>
      <c r="G384" s="46">
        <v>272.54000000000002</v>
      </c>
      <c r="H384" s="48" t="s">
        <v>3136</v>
      </c>
      <c r="I384" s="273">
        <f>SUMIF('2020'!B:B,B384,'2020'!C:C)+SUMIF('2021'!B:B,B384,'2021'!C:C)+SUMIF('2022'!B:B,B384,'2022'!C:C)</f>
        <v>3886936.25</v>
      </c>
      <c r="J384" s="59">
        <v>44925</v>
      </c>
      <c r="K384" s="162" t="s">
        <v>3118</v>
      </c>
    </row>
    <row r="385" spans="1:11" ht="17.25" customHeight="1" x14ac:dyDescent="0.3">
      <c r="A385" s="15">
        <f t="shared" si="21"/>
        <v>333</v>
      </c>
      <c r="B385" s="20" t="s">
        <v>391</v>
      </c>
      <c r="C385" s="162">
        <v>1917</v>
      </c>
      <c r="D385" s="31"/>
      <c r="E385" s="162" t="s">
        <v>3120</v>
      </c>
      <c r="F385" s="28">
        <v>2</v>
      </c>
      <c r="G385" s="46">
        <v>229.09</v>
      </c>
      <c r="H385" s="48" t="s">
        <v>3091</v>
      </c>
      <c r="I385" s="273">
        <f>SUMIF('2020'!B:B,B385,'2020'!C:C)+SUMIF('2021'!B:B,B385,'2021'!C:C)+SUMIF('2022'!B:B,B385,'2022'!C:C)</f>
        <v>1693009.2</v>
      </c>
      <c r="J385" s="59">
        <v>44925</v>
      </c>
      <c r="K385" s="162" t="s">
        <v>3118</v>
      </c>
    </row>
    <row r="386" spans="1:11" ht="17.25" customHeight="1" x14ac:dyDescent="0.3">
      <c r="A386" s="15">
        <f t="shared" si="21"/>
        <v>334</v>
      </c>
      <c r="B386" s="20" t="s">
        <v>392</v>
      </c>
      <c r="C386" s="162">
        <v>1959</v>
      </c>
      <c r="D386" s="31"/>
      <c r="E386" s="162" t="s">
        <v>3120</v>
      </c>
      <c r="F386" s="28">
        <v>2</v>
      </c>
      <c r="G386" s="46">
        <v>307.7</v>
      </c>
      <c r="H386" s="48" t="s">
        <v>3110</v>
      </c>
      <c r="I386" s="273">
        <f>SUMIF('2020'!B:B,B386,'2020'!C:C)+SUMIF('2021'!B:B,B386,'2021'!C:C)+SUMIF('2022'!B:B,B386,'2022'!C:C)</f>
        <v>540524.53</v>
      </c>
      <c r="J386" s="59">
        <v>44925</v>
      </c>
      <c r="K386" s="162" t="s">
        <v>3118</v>
      </c>
    </row>
    <row r="387" spans="1:11" ht="17.25" customHeight="1" x14ac:dyDescent="0.3">
      <c r="A387" s="15">
        <f t="shared" si="21"/>
        <v>335</v>
      </c>
      <c r="B387" s="20" t="s">
        <v>393</v>
      </c>
      <c r="C387" s="162">
        <v>1959</v>
      </c>
      <c r="D387" s="31"/>
      <c r="E387" s="162" t="s">
        <v>3120</v>
      </c>
      <c r="F387" s="28">
        <v>2</v>
      </c>
      <c r="G387" s="46">
        <v>326.42</v>
      </c>
      <c r="H387" s="48" t="s">
        <v>3110</v>
      </c>
      <c r="I387" s="273">
        <f>SUMIF('2020'!B:B,B387,'2020'!C:C)+SUMIF('2021'!B:B,B387,'2021'!C:C)+SUMIF('2022'!B:B,B387,'2022'!C:C)</f>
        <v>518554.08</v>
      </c>
      <c r="J387" s="59">
        <v>44925</v>
      </c>
      <c r="K387" s="162" t="s">
        <v>3118</v>
      </c>
    </row>
    <row r="388" spans="1:11" ht="17.25" customHeight="1" x14ac:dyDescent="0.3">
      <c r="A388" s="15">
        <f t="shared" si="21"/>
        <v>336</v>
      </c>
      <c r="B388" s="20" t="s">
        <v>394</v>
      </c>
      <c r="C388" s="162">
        <v>1959</v>
      </c>
      <c r="D388" s="31"/>
      <c r="E388" s="162" t="s">
        <v>3120</v>
      </c>
      <c r="F388" s="28">
        <v>2</v>
      </c>
      <c r="G388" s="46">
        <v>329.7</v>
      </c>
      <c r="H388" s="48" t="s">
        <v>3109</v>
      </c>
      <c r="I388" s="273">
        <f>SUMIF('2020'!B:B,B388,'2020'!C:C)+SUMIF('2021'!B:B,B388,'2021'!C:C)+SUMIF('2022'!B:B,B388,'2022'!C:C)</f>
        <v>503408.8</v>
      </c>
      <c r="J388" s="59">
        <v>44925</v>
      </c>
      <c r="K388" s="162" t="s">
        <v>3118</v>
      </c>
    </row>
    <row r="389" spans="1:11" ht="17.25" customHeight="1" x14ac:dyDescent="0.3">
      <c r="A389" s="15">
        <f t="shared" si="21"/>
        <v>337</v>
      </c>
      <c r="B389" s="20" t="s">
        <v>395</v>
      </c>
      <c r="C389" s="162">
        <v>1959</v>
      </c>
      <c r="D389" s="31"/>
      <c r="E389" s="162" t="s">
        <v>3120</v>
      </c>
      <c r="F389" s="28">
        <v>2</v>
      </c>
      <c r="G389" s="46">
        <v>328.1</v>
      </c>
      <c r="H389" s="48" t="s">
        <v>3145</v>
      </c>
      <c r="I389" s="273">
        <f>SUMIF('2020'!B:B,B389,'2020'!C:C)+SUMIF('2021'!B:B,B389,'2021'!C:C)+SUMIF('2022'!B:B,B389,'2022'!C:C)</f>
        <v>477103.6</v>
      </c>
      <c r="J389" s="59">
        <v>44925</v>
      </c>
      <c r="K389" s="162" t="s">
        <v>3118</v>
      </c>
    </row>
    <row r="390" spans="1:11" ht="17.25" customHeight="1" x14ac:dyDescent="0.3">
      <c r="A390" s="15">
        <f t="shared" si="21"/>
        <v>338</v>
      </c>
      <c r="B390" s="20" t="s">
        <v>396</v>
      </c>
      <c r="C390" s="162">
        <v>1959</v>
      </c>
      <c r="D390" s="31"/>
      <c r="E390" s="162" t="s">
        <v>3120</v>
      </c>
      <c r="F390" s="28">
        <v>2</v>
      </c>
      <c r="G390" s="46">
        <v>320.60000000000002</v>
      </c>
      <c r="H390" s="48" t="s">
        <v>3096</v>
      </c>
      <c r="I390" s="273">
        <f>SUMIF('2020'!B:B,B390,'2020'!C:C)+SUMIF('2021'!B:B,B390,'2021'!C:C)+SUMIF('2022'!B:B,B390,'2022'!C:C)</f>
        <v>471863.2</v>
      </c>
      <c r="J390" s="59">
        <v>44925</v>
      </c>
      <c r="K390" s="162" t="s">
        <v>3118</v>
      </c>
    </row>
    <row r="391" spans="1:11" ht="17.25" customHeight="1" x14ac:dyDescent="0.3">
      <c r="A391" s="15">
        <f t="shared" si="21"/>
        <v>339</v>
      </c>
      <c r="B391" s="20" t="s">
        <v>397</v>
      </c>
      <c r="C391" s="162">
        <v>1964</v>
      </c>
      <c r="D391" s="31"/>
      <c r="E391" s="162" t="s">
        <v>3035</v>
      </c>
      <c r="F391" s="28">
        <v>2</v>
      </c>
      <c r="G391" s="46">
        <v>372.7</v>
      </c>
      <c r="H391" s="48" t="s">
        <v>3075</v>
      </c>
      <c r="I391" s="273">
        <f>SUMIF('2020'!B:B,B391,'2020'!C:C)+SUMIF('2021'!B:B,B391,'2021'!C:C)+SUMIF('2022'!B:B,B391,'2022'!C:C)</f>
        <v>736720.35</v>
      </c>
      <c r="J391" s="59">
        <v>44925</v>
      </c>
      <c r="K391" s="162" t="s">
        <v>3118</v>
      </c>
    </row>
    <row r="392" spans="1:11" ht="17.25" customHeight="1" x14ac:dyDescent="0.3">
      <c r="A392" s="15">
        <f t="shared" si="21"/>
        <v>340</v>
      </c>
      <c r="B392" s="20" t="s">
        <v>398</v>
      </c>
      <c r="C392" s="162">
        <v>1967</v>
      </c>
      <c r="D392" s="31"/>
      <c r="E392" s="162" t="s">
        <v>3035</v>
      </c>
      <c r="F392" s="28">
        <v>2</v>
      </c>
      <c r="G392" s="46">
        <v>523.29999999999995</v>
      </c>
      <c r="H392" s="48" t="s">
        <v>3111</v>
      </c>
      <c r="I392" s="273">
        <f>SUMIF('2020'!B:B,B392,'2020'!C:C)+SUMIF('2021'!B:B,B392,'2021'!C:C)+SUMIF('2022'!B:B,B392,'2022'!C:C)</f>
        <v>786697.06</v>
      </c>
      <c r="J392" s="59">
        <v>44925</v>
      </c>
      <c r="K392" s="162" t="s">
        <v>3118</v>
      </c>
    </row>
    <row r="393" spans="1:11" ht="17.25" customHeight="1" x14ac:dyDescent="0.3">
      <c r="A393" s="15">
        <f t="shared" si="21"/>
        <v>341</v>
      </c>
      <c r="B393" s="20" t="s">
        <v>399</v>
      </c>
      <c r="C393" s="162">
        <v>1982</v>
      </c>
      <c r="D393" s="31"/>
      <c r="E393" s="162" t="s">
        <v>3119</v>
      </c>
      <c r="F393" s="28" t="s">
        <v>3131</v>
      </c>
      <c r="G393" s="46">
        <v>1386.3</v>
      </c>
      <c r="H393" s="48" t="s">
        <v>3086</v>
      </c>
      <c r="I393" s="273">
        <f>SUMIF('2020'!B:B,B393,'2020'!C:C)+SUMIF('2021'!B:B,B393,'2021'!C:C)+SUMIF('2022'!B:B,B393,'2022'!C:C)</f>
        <v>261779.86</v>
      </c>
      <c r="J393" s="59">
        <v>44925</v>
      </c>
      <c r="K393" s="162" t="s">
        <v>3118</v>
      </c>
    </row>
    <row r="394" spans="1:11" ht="17.25" customHeight="1" x14ac:dyDescent="0.3">
      <c r="A394" s="15">
        <f t="shared" si="21"/>
        <v>342</v>
      </c>
      <c r="B394" s="20" t="s">
        <v>400</v>
      </c>
      <c r="C394" s="162">
        <v>1970</v>
      </c>
      <c r="D394" s="31"/>
      <c r="E394" s="162" t="s">
        <v>3120</v>
      </c>
      <c r="F394" s="28">
        <v>2</v>
      </c>
      <c r="G394" s="46">
        <v>438.75</v>
      </c>
      <c r="H394" s="48" t="s">
        <v>3093</v>
      </c>
      <c r="I394" s="273">
        <f>SUMIF('2020'!B:B,B394,'2020'!C:C)+SUMIF('2021'!B:B,B394,'2021'!C:C)+SUMIF('2022'!B:B,B394,'2022'!C:C)</f>
        <v>94298.880000000005</v>
      </c>
      <c r="J394" s="59">
        <v>44925</v>
      </c>
      <c r="K394" s="162" t="s">
        <v>3118</v>
      </c>
    </row>
    <row r="395" spans="1:11" ht="17.25" customHeight="1" x14ac:dyDescent="0.3">
      <c r="A395" s="15">
        <f t="shared" si="21"/>
        <v>343</v>
      </c>
      <c r="B395" s="20" t="s">
        <v>401</v>
      </c>
      <c r="C395" s="162">
        <v>1971</v>
      </c>
      <c r="D395" s="31"/>
      <c r="E395" s="162" t="s">
        <v>3120</v>
      </c>
      <c r="F395" s="28">
        <v>2</v>
      </c>
      <c r="G395" s="46">
        <v>435</v>
      </c>
      <c r="H395" s="48" t="s">
        <v>3093</v>
      </c>
      <c r="I395" s="273">
        <f>SUMIF('2020'!B:B,B395,'2020'!C:C)+SUMIF('2021'!B:B,B395,'2021'!C:C)+SUMIF('2022'!B:B,B395,'2022'!C:C)</f>
        <v>99096</v>
      </c>
      <c r="J395" s="59">
        <v>44925</v>
      </c>
      <c r="K395" s="162" t="s">
        <v>3118</v>
      </c>
    </row>
    <row r="396" spans="1:11" ht="17.25" customHeight="1" x14ac:dyDescent="0.3">
      <c r="A396" s="15">
        <f t="shared" si="21"/>
        <v>344</v>
      </c>
      <c r="B396" s="20" t="s">
        <v>402</v>
      </c>
      <c r="C396" s="162">
        <v>1917</v>
      </c>
      <c r="D396" s="31"/>
      <c r="E396" s="162" t="s">
        <v>3120</v>
      </c>
      <c r="F396" s="28">
        <v>2</v>
      </c>
      <c r="G396" s="46">
        <v>244.31</v>
      </c>
      <c r="H396" s="48" t="s">
        <v>3143</v>
      </c>
      <c r="I396" s="273">
        <f>SUMIF('2020'!B:B,B396,'2020'!C:C)+SUMIF('2021'!B:B,B396,'2021'!C:C)+SUMIF('2022'!B:B,B396,'2022'!C:C)</f>
        <v>3448973.06</v>
      </c>
      <c r="J396" s="59">
        <v>44925</v>
      </c>
      <c r="K396" s="162" t="s">
        <v>3118</v>
      </c>
    </row>
    <row r="397" spans="1:11" ht="17.25" customHeight="1" x14ac:dyDescent="0.3">
      <c r="A397" s="15">
        <f t="shared" si="21"/>
        <v>345</v>
      </c>
      <c r="B397" s="20" t="s">
        <v>403</v>
      </c>
      <c r="C397" s="162">
        <v>1956</v>
      </c>
      <c r="D397" s="31"/>
      <c r="E397" s="162" t="s">
        <v>3120</v>
      </c>
      <c r="F397" s="28">
        <v>2</v>
      </c>
      <c r="G397" s="46">
        <v>359.23</v>
      </c>
      <c r="H397" s="48" t="s">
        <v>3093</v>
      </c>
      <c r="I397" s="273">
        <f>SUMIF('2020'!B:B,B397,'2020'!C:C)+SUMIF('2021'!B:B,B397,'2021'!C:C)+SUMIF('2022'!B:B,B397,'2022'!C:C)</f>
        <v>168420.44</v>
      </c>
      <c r="J397" s="59">
        <v>44925</v>
      </c>
      <c r="K397" s="162" t="s">
        <v>3118</v>
      </c>
    </row>
    <row r="398" spans="1:11" ht="17.25" customHeight="1" x14ac:dyDescent="0.3">
      <c r="A398" s="15">
        <f t="shared" si="21"/>
        <v>346</v>
      </c>
      <c r="B398" s="20" t="s">
        <v>404</v>
      </c>
      <c r="C398" s="162">
        <v>1958</v>
      </c>
      <c r="D398" s="31"/>
      <c r="E398" s="162" t="s">
        <v>3035</v>
      </c>
      <c r="F398" s="28">
        <v>2</v>
      </c>
      <c r="G398" s="46">
        <v>388.81</v>
      </c>
      <c r="H398" s="48" t="s">
        <v>3091</v>
      </c>
      <c r="I398" s="273">
        <f>SUMIF('2020'!B:B,B398,'2020'!C:C)+SUMIF('2021'!B:B,B398,'2021'!C:C)+SUMIF('2022'!B:B,B398,'2022'!C:C)</f>
        <v>1977645.31</v>
      </c>
      <c r="J398" s="59">
        <v>44925</v>
      </c>
      <c r="K398" s="162" t="s">
        <v>3118</v>
      </c>
    </row>
    <row r="399" spans="1:11" ht="17.25" customHeight="1" x14ac:dyDescent="0.3">
      <c r="A399" s="15">
        <f t="shared" si="21"/>
        <v>347</v>
      </c>
      <c r="B399" s="20" t="s">
        <v>405</v>
      </c>
      <c r="C399" s="162">
        <v>1958</v>
      </c>
      <c r="D399" s="31"/>
      <c r="E399" s="162" t="s">
        <v>3120</v>
      </c>
      <c r="F399" s="28">
        <v>2</v>
      </c>
      <c r="G399" s="46">
        <v>396.74</v>
      </c>
      <c r="H399" s="48" t="s">
        <v>3141</v>
      </c>
      <c r="I399" s="273">
        <f>SUMIF('2020'!B:B,B399,'2020'!C:C)+SUMIF('2021'!B:B,B399,'2021'!C:C)+SUMIF('2022'!B:B,B399,'2022'!C:C)</f>
        <v>504469.67000000004</v>
      </c>
      <c r="J399" s="59">
        <v>44925</v>
      </c>
      <c r="K399" s="162" t="s">
        <v>3118</v>
      </c>
    </row>
    <row r="400" spans="1:11" ht="17.25" customHeight="1" x14ac:dyDescent="0.3">
      <c r="A400" s="15">
        <f t="shared" si="21"/>
        <v>348</v>
      </c>
      <c r="B400" s="20" t="s">
        <v>406</v>
      </c>
      <c r="C400" s="162">
        <v>1958</v>
      </c>
      <c r="D400" s="31"/>
      <c r="E400" s="162" t="s">
        <v>3120</v>
      </c>
      <c r="F400" s="28">
        <v>2</v>
      </c>
      <c r="G400" s="46">
        <v>409.25</v>
      </c>
      <c r="H400" s="48" t="s">
        <v>3136</v>
      </c>
      <c r="I400" s="273">
        <f>SUMIF('2020'!B:B,B400,'2020'!C:C)+SUMIF('2021'!B:B,B400,'2021'!C:C)+SUMIF('2022'!B:B,B400,'2022'!C:C)</f>
        <v>205762.68</v>
      </c>
      <c r="J400" s="59">
        <v>44925</v>
      </c>
      <c r="K400" s="162" t="s">
        <v>3118</v>
      </c>
    </row>
    <row r="401" spans="1:13" ht="17.25" customHeight="1" x14ac:dyDescent="0.3">
      <c r="A401" s="15">
        <f t="shared" si="21"/>
        <v>349</v>
      </c>
      <c r="B401" s="20" t="s">
        <v>407</v>
      </c>
      <c r="C401" s="162">
        <v>1955</v>
      </c>
      <c r="D401" s="31"/>
      <c r="E401" s="162" t="s">
        <v>3120</v>
      </c>
      <c r="F401" s="28">
        <v>2</v>
      </c>
      <c r="G401" s="46">
        <v>389.9</v>
      </c>
      <c r="H401" s="48" t="s">
        <v>3142</v>
      </c>
      <c r="I401" s="273">
        <f>SUMIF('2020'!B:B,B401,'2020'!C:C)+SUMIF('2021'!B:B,B401,'2021'!C:C)+SUMIF('2022'!B:B,B401,'2022'!C:C)</f>
        <v>190434.4</v>
      </c>
      <c r="J401" s="59">
        <v>44925</v>
      </c>
      <c r="K401" s="162" t="s">
        <v>3118</v>
      </c>
    </row>
    <row r="402" spans="1:13" ht="17.25" customHeight="1" x14ac:dyDescent="0.3">
      <c r="A402" s="15">
        <f t="shared" si="21"/>
        <v>350</v>
      </c>
      <c r="B402" s="20" t="s">
        <v>408</v>
      </c>
      <c r="C402" s="162">
        <v>1917</v>
      </c>
      <c r="D402" s="31"/>
      <c r="E402" s="162" t="s">
        <v>3120</v>
      </c>
      <c r="F402" s="28">
        <v>2</v>
      </c>
      <c r="G402" s="46">
        <v>233.1</v>
      </c>
      <c r="H402" s="48" t="s">
        <v>3139</v>
      </c>
      <c r="I402" s="273">
        <f>SUMIF('2020'!B:B,B402,'2020'!C:C)+SUMIF('2021'!B:B,B402,'2021'!C:C)+SUMIF('2022'!B:B,B402,'2022'!C:C)</f>
        <v>1531217.8900000001</v>
      </c>
      <c r="J402" s="59">
        <v>44925</v>
      </c>
      <c r="K402" s="162" t="s">
        <v>3118</v>
      </c>
    </row>
    <row r="403" spans="1:13" ht="17.25" customHeight="1" x14ac:dyDescent="0.3">
      <c r="A403" s="15">
        <f t="shared" si="21"/>
        <v>351</v>
      </c>
      <c r="B403" s="20" t="s">
        <v>409</v>
      </c>
      <c r="C403" s="162">
        <v>1961</v>
      </c>
      <c r="D403" s="31"/>
      <c r="E403" s="162" t="s">
        <v>3035</v>
      </c>
      <c r="F403" s="28">
        <v>2</v>
      </c>
      <c r="G403" s="46">
        <v>787</v>
      </c>
      <c r="H403" s="48" t="s">
        <v>3072</v>
      </c>
      <c r="I403" s="273">
        <f>SUMIF('2020'!B:B,B403,'2020'!C:C)+SUMIF('2021'!B:B,B403,'2021'!C:C)+SUMIF('2022'!B:B,B403,'2022'!C:C)</f>
        <v>822521.6</v>
      </c>
      <c r="J403" s="59">
        <v>44925</v>
      </c>
      <c r="K403" s="162" t="s">
        <v>3118</v>
      </c>
    </row>
    <row r="404" spans="1:13" ht="17.25" customHeight="1" x14ac:dyDescent="0.3">
      <c r="A404" s="15">
        <f t="shared" si="21"/>
        <v>352</v>
      </c>
      <c r="B404" s="20" t="s">
        <v>410</v>
      </c>
      <c r="C404" s="162">
        <v>1962</v>
      </c>
      <c r="D404" s="31"/>
      <c r="E404" s="162" t="s">
        <v>3035</v>
      </c>
      <c r="F404" s="28">
        <v>2</v>
      </c>
      <c r="G404" s="46">
        <v>777.7</v>
      </c>
      <c r="H404" s="48" t="s">
        <v>3111</v>
      </c>
      <c r="I404" s="273">
        <f>SUMIF('2020'!B:B,B404,'2020'!C:C)+SUMIF('2021'!B:B,B404,'2021'!C:C)+SUMIF('2022'!B:B,B404,'2022'!C:C)</f>
        <v>830357.6</v>
      </c>
      <c r="J404" s="59">
        <v>44925</v>
      </c>
      <c r="K404" s="162" t="s">
        <v>3118</v>
      </c>
    </row>
    <row r="405" spans="1:13" ht="17.25" customHeight="1" x14ac:dyDescent="0.3">
      <c r="A405" s="15">
        <f t="shared" si="21"/>
        <v>353</v>
      </c>
      <c r="B405" s="20" t="s">
        <v>411</v>
      </c>
      <c r="C405" s="162">
        <v>1959</v>
      </c>
      <c r="D405" s="31"/>
      <c r="E405" s="162" t="s">
        <v>3035</v>
      </c>
      <c r="F405" s="28">
        <v>2</v>
      </c>
      <c r="G405" s="46">
        <v>486.03</v>
      </c>
      <c r="H405" s="48" t="s">
        <v>3109</v>
      </c>
      <c r="I405" s="273">
        <f>SUMIF('2020'!B:B,B405,'2020'!C:C)+SUMIF('2021'!B:B,B405,'2021'!C:C)+SUMIF('2022'!B:B,B405,'2022'!C:C)</f>
        <v>409790.4</v>
      </c>
      <c r="J405" s="59">
        <v>44925</v>
      </c>
      <c r="K405" s="162" t="s">
        <v>3118</v>
      </c>
    </row>
    <row r="406" spans="1:13" ht="17.25" customHeight="1" x14ac:dyDescent="0.3">
      <c r="A406" s="15">
        <f t="shared" si="21"/>
        <v>354</v>
      </c>
      <c r="B406" s="20" t="s">
        <v>412</v>
      </c>
      <c r="C406" s="162">
        <v>1958</v>
      </c>
      <c r="D406" s="31"/>
      <c r="E406" s="162" t="s">
        <v>3035</v>
      </c>
      <c r="F406" s="28">
        <v>2</v>
      </c>
      <c r="G406" s="46">
        <v>762.2</v>
      </c>
      <c r="H406" s="48" t="s">
        <v>3082</v>
      </c>
      <c r="I406" s="273">
        <f>SUMIF('2020'!B:B,B406,'2020'!C:C)+SUMIF('2021'!B:B,B406,'2021'!C:C)+SUMIF('2022'!B:B,B406,'2022'!C:C)</f>
        <v>778022.8</v>
      </c>
      <c r="J406" s="59">
        <v>44925</v>
      </c>
      <c r="K406" s="162" t="s">
        <v>3118</v>
      </c>
    </row>
    <row r="407" spans="1:13" ht="17.25" customHeight="1" x14ac:dyDescent="0.3">
      <c r="A407" s="15">
        <f t="shared" si="21"/>
        <v>355</v>
      </c>
      <c r="B407" s="20" t="s">
        <v>413</v>
      </c>
      <c r="C407" s="162">
        <v>1917</v>
      </c>
      <c r="D407" s="31"/>
      <c r="E407" s="162" t="s">
        <v>3120</v>
      </c>
      <c r="F407" s="28">
        <v>2</v>
      </c>
      <c r="G407" s="46">
        <v>232.37</v>
      </c>
      <c r="H407" s="48" t="s">
        <v>3142</v>
      </c>
      <c r="I407" s="273">
        <f>SUMIF('2020'!B:B,B407,'2020'!C:C)+SUMIF('2021'!B:B,B407,'2021'!C:C)+SUMIF('2022'!B:B,B407,'2022'!C:C)</f>
        <v>2058154.0699999998</v>
      </c>
      <c r="J407" s="59">
        <v>44925</v>
      </c>
      <c r="K407" s="162" t="s">
        <v>3118</v>
      </c>
    </row>
    <row r="408" spans="1:13" ht="17.25" customHeight="1" x14ac:dyDescent="0.3">
      <c r="A408" s="15">
        <f t="shared" si="21"/>
        <v>356</v>
      </c>
      <c r="B408" s="20" t="s">
        <v>414</v>
      </c>
      <c r="C408" s="162">
        <v>1917</v>
      </c>
      <c r="D408" s="31"/>
      <c r="E408" s="162" t="s">
        <v>3120</v>
      </c>
      <c r="F408" s="28">
        <v>2</v>
      </c>
      <c r="G408" s="46">
        <v>241.9</v>
      </c>
      <c r="H408" s="48" t="s">
        <v>3141</v>
      </c>
      <c r="I408" s="273">
        <f>SUMIF('2020'!B:B,B408,'2020'!C:C)+SUMIF('2021'!B:B,B408,'2021'!C:C)+SUMIF('2022'!B:B,B408,'2022'!C:C)</f>
        <v>2192073.86</v>
      </c>
      <c r="J408" s="59">
        <v>44925</v>
      </c>
      <c r="K408" s="162" t="s">
        <v>3118</v>
      </c>
    </row>
    <row r="409" spans="1:13" ht="17.25" customHeight="1" x14ac:dyDescent="0.3">
      <c r="A409" s="15">
        <f t="shared" si="21"/>
        <v>357</v>
      </c>
      <c r="B409" s="20" t="s">
        <v>415</v>
      </c>
      <c r="C409" s="162">
        <v>1992</v>
      </c>
      <c r="D409" s="31"/>
      <c r="E409" s="162" t="s">
        <v>3035</v>
      </c>
      <c r="F409" s="28">
        <v>3</v>
      </c>
      <c r="G409" s="46">
        <v>1301.9000000000001</v>
      </c>
      <c r="H409" s="48" t="s">
        <v>3147</v>
      </c>
      <c r="I409" s="273">
        <f>SUMIF('2020'!B:B,B409,'2020'!C:C)+SUMIF('2021'!B:B,B409,'2021'!C:C)+SUMIF('2022'!B:B,B409,'2022'!C:C)</f>
        <v>245426.52</v>
      </c>
      <c r="J409" s="59">
        <v>44925</v>
      </c>
      <c r="K409" s="162" t="s">
        <v>3118</v>
      </c>
    </row>
    <row r="410" spans="1:13" ht="17.25" customHeight="1" x14ac:dyDescent="0.3">
      <c r="A410" s="15">
        <f t="shared" si="21"/>
        <v>358</v>
      </c>
      <c r="B410" s="20" t="s">
        <v>416</v>
      </c>
      <c r="C410" s="162">
        <v>1961</v>
      </c>
      <c r="D410" s="31"/>
      <c r="E410" s="162" t="s">
        <v>3035</v>
      </c>
      <c r="F410" s="28">
        <v>2</v>
      </c>
      <c r="G410" s="46">
        <v>464.5</v>
      </c>
      <c r="H410" s="173">
        <v>33</v>
      </c>
      <c r="I410" s="273">
        <f>SUMIF('2020'!B:B,B410,'2020'!C:C)+SUMIF('2021'!B:B,B410,'2021'!C:C)+SUMIF('2022'!B:B,B410,'2022'!C:C)</f>
        <v>218723.14</v>
      </c>
      <c r="J410" s="59">
        <v>44925</v>
      </c>
      <c r="K410" s="162" t="s">
        <v>3118</v>
      </c>
    </row>
    <row r="411" spans="1:13" ht="17.25" customHeight="1" x14ac:dyDescent="0.3">
      <c r="A411" s="15" t="s">
        <v>208</v>
      </c>
      <c r="B411" s="250"/>
      <c r="C411" s="31" t="s">
        <v>3558</v>
      </c>
      <c r="D411" s="31" t="s">
        <v>3558</v>
      </c>
      <c r="E411" s="31" t="s">
        <v>3558</v>
      </c>
      <c r="F411" s="31" t="s">
        <v>3558</v>
      </c>
      <c r="G411" s="56">
        <f>SUM(G309:G410)</f>
        <v>61727.259999999995</v>
      </c>
      <c r="H411" s="173">
        <f>SUM(H309:H410)</f>
        <v>736</v>
      </c>
      <c r="I411" s="56">
        <f>SUM(I309:I410)</f>
        <v>144438113.28999993</v>
      </c>
      <c r="J411" s="31" t="s">
        <v>3558</v>
      </c>
      <c r="K411" s="31" t="s">
        <v>3558</v>
      </c>
      <c r="L411" s="197">
        <f>I411-'2020'!C138-'2021'!C329-'2022'!C96</f>
        <v>0</v>
      </c>
      <c r="M411" s="197"/>
    </row>
    <row r="412" spans="1:13" ht="17.25" customHeight="1" x14ac:dyDescent="0.3">
      <c r="A412" s="19" t="s">
        <v>417</v>
      </c>
      <c r="B412" s="20"/>
      <c r="C412" s="31"/>
      <c r="D412" s="31"/>
      <c r="E412" s="31"/>
      <c r="F412" s="31"/>
      <c r="G412" s="31"/>
      <c r="H412" s="173"/>
      <c r="I412" s="56"/>
      <c r="J412" s="31"/>
      <c r="K412" s="31"/>
    </row>
    <row r="413" spans="1:13" ht="17.25" customHeight="1" x14ac:dyDescent="0.3">
      <c r="A413" s="15">
        <f>A410+1</f>
        <v>359</v>
      </c>
      <c r="B413" s="20" t="s">
        <v>418</v>
      </c>
      <c r="C413" s="162">
        <v>1900</v>
      </c>
      <c r="D413" s="31"/>
      <c r="E413" s="200" t="s">
        <v>3120</v>
      </c>
      <c r="F413" s="200">
        <v>2</v>
      </c>
      <c r="G413" s="200">
        <v>286.39999999999998</v>
      </c>
      <c r="H413" s="201">
        <v>17</v>
      </c>
      <c r="I413" s="273">
        <f>SUMIF('2020'!B:B,B413,'2020'!C:C)+SUMIF('2021'!B:B,B413,'2021'!C:C)+SUMIF('2022'!B:B,B413,'2022'!C:C)</f>
        <v>204078.05</v>
      </c>
      <c r="J413" s="59">
        <v>44925</v>
      </c>
      <c r="K413" s="162" t="s">
        <v>3118</v>
      </c>
    </row>
    <row r="414" spans="1:13" ht="17.25" customHeight="1" x14ac:dyDescent="0.3">
      <c r="A414" s="15">
        <f>A413+1</f>
        <v>360</v>
      </c>
      <c r="B414" s="20" t="s">
        <v>419</v>
      </c>
      <c r="C414" s="162">
        <v>1910</v>
      </c>
      <c r="D414" s="31"/>
      <c r="E414" s="200" t="s">
        <v>3120</v>
      </c>
      <c r="F414" s="200">
        <v>2</v>
      </c>
      <c r="G414" s="200">
        <v>198.5</v>
      </c>
      <c r="H414" s="201">
        <v>10</v>
      </c>
      <c r="I414" s="273">
        <f>SUMIF('2020'!B:B,B414,'2020'!C:C)+SUMIF('2021'!B:B,B414,'2021'!C:C)+SUMIF('2022'!B:B,B414,'2022'!C:C)</f>
        <v>155136.84</v>
      </c>
      <c r="J414" s="59">
        <v>44925</v>
      </c>
      <c r="K414" s="162" t="s">
        <v>3118</v>
      </c>
    </row>
    <row r="415" spans="1:13" ht="17.25" customHeight="1" x14ac:dyDescent="0.3">
      <c r="A415" s="15">
        <f>A414+1</f>
        <v>361</v>
      </c>
      <c r="B415" s="20" t="s">
        <v>420</v>
      </c>
      <c r="C415" s="162">
        <v>1915</v>
      </c>
      <c r="D415" s="31"/>
      <c r="E415" s="200" t="s">
        <v>3120</v>
      </c>
      <c r="F415" s="200">
        <v>2</v>
      </c>
      <c r="G415" s="200">
        <v>744.7</v>
      </c>
      <c r="H415" s="201">
        <v>32</v>
      </c>
      <c r="I415" s="273">
        <f>SUMIF('2020'!B:B,B415,'2020'!C:C)+SUMIF('2021'!B:B,B415,'2021'!C:C)+SUMIF('2022'!B:B,B415,'2022'!C:C)</f>
        <v>187165.96</v>
      </c>
      <c r="J415" s="59">
        <v>44925</v>
      </c>
      <c r="K415" s="162" t="s">
        <v>3118</v>
      </c>
    </row>
    <row r="416" spans="1:13" ht="17.25" customHeight="1" x14ac:dyDescent="0.3">
      <c r="A416" s="15">
        <f t="shared" ref="A416:A423" si="22">A415+1</f>
        <v>362</v>
      </c>
      <c r="B416" s="20" t="s">
        <v>421</v>
      </c>
      <c r="C416" s="162">
        <v>1915</v>
      </c>
      <c r="D416" s="31"/>
      <c r="E416" s="200" t="s">
        <v>3120</v>
      </c>
      <c r="F416" s="200">
        <v>2</v>
      </c>
      <c r="G416" s="200">
        <v>341.1</v>
      </c>
      <c r="H416" s="201">
        <v>14</v>
      </c>
      <c r="I416" s="273">
        <f>SUMIF('2020'!B:B,B416,'2020'!C:C)+SUMIF('2021'!B:B,B416,'2021'!C:C)+SUMIF('2022'!B:B,B416,'2022'!C:C)</f>
        <v>152342.70000000001</v>
      </c>
      <c r="J416" s="59">
        <v>44925</v>
      </c>
      <c r="K416" s="162" t="s">
        <v>3118</v>
      </c>
    </row>
    <row r="417" spans="1:12" ht="17.25" customHeight="1" x14ac:dyDescent="0.3">
      <c r="A417" s="15">
        <f t="shared" si="22"/>
        <v>363</v>
      </c>
      <c r="B417" s="20" t="s">
        <v>422</v>
      </c>
      <c r="C417" s="162">
        <v>1938</v>
      </c>
      <c r="D417" s="31"/>
      <c r="E417" s="200" t="s">
        <v>3120</v>
      </c>
      <c r="F417" s="200">
        <v>2</v>
      </c>
      <c r="G417" s="200">
        <v>186.5</v>
      </c>
      <c r="H417" s="201">
        <v>6</v>
      </c>
      <c r="I417" s="273">
        <f>SUMIF('2020'!B:B,B417,'2020'!C:C)+SUMIF('2021'!B:B,B417,'2021'!C:C)+SUMIF('2022'!B:B,B417,'2022'!C:C)</f>
        <v>130025.82</v>
      </c>
      <c r="J417" s="59">
        <v>44925</v>
      </c>
      <c r="K417" s="162" t="s">
        <v>3118</v>
      </c>
    </row>
    <row r="418" spans="1:12" ht="17.25" customHeight="1" x14ac:dyDescent="0.3">
      <c r="A418" s="15">
        <f t="shared" si="22"/>
        <v>364</v>
      </c>
      <c r="B418" s="20" t="s">
        <v>423</v>
      </c>
      <c r="C418" s="162">
        <v>1962</v>
      </c>
      <c r="D418" s="31"/>
      <c r="E418" s="200" t="s">
        <v>3123</v>
      </c>
      <c r="F418" s="200">
        <v>2</v>
      </c>
      <c r="G418" s="200">
        <v>474</v>
      </c>
      <c r="H418" s="201">
        <v>24</v>
      </c>
      <c r="I418" s="273">
        <f>SUMIF('2020'!B:B,B418,'2020'!C:C)+SUMIF('2021'!B:B,B418,'2021'!C:C)+SUMIF('2022'!B:B,B418,'2022'!C:C)</f>
        <v>4661667.91</v>
      </c>
      <c r="J418" s="59">
        <v>44925</v>
      </c>
      <c r="K418" s="162" t="s">
        <v>3118</v>
      </c>
    </row>
    <row r="419" spans="1:12" ht="17.25" customHeight="1" x14ac:dyDescent="0.3">
      <c r="A419" s="15">
        <f t="shared" si="22"/>
        <v>365</v>
      </c>
      <c r="B419" s="20" t="s">
        <v>424</v>
      </c>
      <c r="C419" s="162">
        <v>1962</v>
      </c>
      <c r="D419" s="31"/>
      <c r="E419" s="200" t="s">
        <v>3123</v>
      </c>
      <c r="F419" s="200">
        <v>2</v>
      </c>
      <c r="G419" s="200">
        <v>493.5</v>
      </c>
      <c r="H419" s="201">
        <v>24</v>
      </c>
      <c r="I419" s="273">
        <f>SUMIF('2020'!B:B,B419,'2020'!C:C)+SUMIF('2021'!B:B,B419,'2021'!C:C)+SUMIF('2022'!B:B,B419,'2022'!C:C)</f>
        <v>2885529.9999999995</v>
      </c>
      <c r="J419" s="59">
        <v>44925</v>
      </c>
      <c r="K419" s="162" t="s">
        <v>3118</v>
      </c>
    </row>
    <row r="420" spans="1:12" ht="17.25" customHeight="1" x14ac:dyDescent="0.3">
      <c r="A420" s="15">
        <f t="shared" si="22"/>
        <v>366</v>
      </c>
      <c r="B420" s="20" t="s">
        <v>425</v>
      </c>
      <c r="C420" s="162">
        <v>1917</v>
      </c>
      <c r="D420" s="31"/>
      <c r="E420" s="200" t="s">
        <v>3120</v>
      </c>
      <c r="F420" s="200">
        <v>2</v>
      </c>
      <c r="G420" s="200">
        <v>180.8</v>
      </c>
      <c r="H420" s="201">
        <v>3</v>
      </c>
      <c r="I420" s="273">
        <f>SUMIF('2020'!B:B,B420,'2020'!C:C)+SUMIF('2021'!B:B,B420,'2021'!C:C)+SUMIF('2022'!B:B,B420,'2022'!C:C)</f>
        <v>143302.91</v>
      </c>
      <c r="J420" s="59">
        <v>44925</v>
      </c>
      <c r="K420" s="162" t="s">
        <v>3118</v>
      </c>
    </row>
    <row r="421" spans="1:12" ht="17.25" customHeight="1" x14ac:dyDescent="0.3">
      <c r="A421" s="15">
        <f t="shared" si="22"/>
        <v>367</v>
      </c>
      <c r="B421" s="20" t="s">
        <v>426</v>
      </c>
      <c r="C421" s="162">
        <v>1917</v>
      </c>
      <c r="D421" s="31"/>
      <c r="E421" s="200" t="s">
        <v>3120</v>
      </c>
      <c r="F421" s="200">
        <v>2</v>
      </c>
      <c r="G421" s="200">
        <v>209.9</v>
      </c>
      <c r="H421" s="201">
        <v>12</v>
      </c>
      <c r="I421" s="273">
        <f>SUMIF('2020'!B:B,B421,'2020'!C:C)+SUMIF('2021'!B:B,B421,'2021'!C:C)+SUMIF('2022'!B:B,B421,'2022'!C:C)</f>
        <v>142950.73000000001</v>
      </c>
      <c r="J421" s="59">
        <v>44925</v>
      </c>
      <c r="K421" s="162" t="s">
        <v>3118</v>
      </c>
    </row>
    <row r="422" spans="1:12" ht="17.25" customHeight="1" x14ac:dyDescent="0.3">
      <c r="A422" s="15">
        <f t="shared" si="22"/>
        <v>368</v>
      </c>
      <c r="B422" s="20" t="s">
        <v>427</v>
      </c>
      <c r="C422" s="162">
        <v>1941</v>
      </c>
      <c r="D422" s="31"/>
      <c r="E422" s="200" t="s">
        <v>3120</v>
      </c>
      <c r="F422" s="200">
        <v>2</v>
      </c>
      <c r="G422" s="200">
        <v>376.1</v>
      </c>
      <c r="H422" s="201">
        <v>11</v>
      </c>
      <c r="I422" s="273">
        <f>SUMIF('2020'!B:B,B422,'2020'!C:C)+SUMIF('2021'!B:B,B422,'2021'!C:C)+SUMIF('2022'!B:B,B422,'2022'!C:C)</f>
        <v>176140.94</v>
      </c>
      <c r="J422" s="59">
        <v>44925</v>
      </c>
      <c r="K422" s="162" t="s">
        <v>3118</v>
      </c>
    </row>
    <row r="423" spans="1:12" ht="17.25" customHeight="1" x14ac:dyDescent="0.3">
      <c r="A423" s="15">
        <f t="shared" si="22"/>
        <v>369</v>
      </c>
      <c r="B423" s="20" t="s">
        <v>428</v>
      </c>
      <c r="C423" s="162">
        <v>1977</v>
      </c>
      <c r="D423" s="31"/>
      <c r="E423" s="200" t="s">
        <v>3123</v>
      </c>
      <c r="F423" s="200">
        <v>5</v>
      </c>
      <c r="G423" s="200">
        <v>3821.2</v>
      </c>
      <c r="H423" s="201">
        <v>53</v>
      </c>
      <c r="I423" s="273">
        <f>SUMIF('2020'!B:B,B423,'2020'!C:C)+SUMIF('2021'!B:B,B423,'2021'!C:C)+SUMIF('2022'!B:B,B423,'2022'!C:C)</f>
        <v>833555.17999999993</v>
      </c>
      <c r="J423" s="59">
        <v>44925</v>
      </c>
      <c r="K423" s="162" t="s">
        <v>3118</v>
      </c>
    </row>
    <row r="424" spans="1:12" ht="17.25" customHeight="1" x14ac:dyDescent="0.3">
      <c r="A424" s="15" t="s">
        <v>208</v>
      </c>
      <c r="B424" s="250"/>
      <c r="C424" s="31" t="s">
        <v>3558</v>
      </c>
      <c r="D424" s="31" t="s">
        <v>3558</v>
      </c>
      <c r="E424" s="31" t="s">
        <v>3558</v>
      </c>
      <c r="F424" s="31" t="s">
        <v>3558</v>
      </c>
      <c r="G424" s="56">
        <f>SUM(G413:G423)</f>
        <v>7312.7</v>
      </c>
      <c r="H424" s="173">
        <f>SUM(H413:H423)</f>
        <v>206</v>
      </c>
      <c r="I424" s="56">
        <f>SUM(I413:I423)</f>
        <v>9671897.0399999991</v>
      </c>
      <c r="J424" s="31" t="s">
        <v>3558</v>
      </c>
      <c r="K424" s="31" t="s">
        <v>3558</v>
      </c>
      <c r="L424" s="197">
        <f>I424-'2021'!C333-'2022'!C109</f>
        <v>0</v>
      </c>
    </row>
    <row r="425" spans="1:12" ht="17.25" customHeight="1" x14ac:dyDescent="0.3">
      <c r="A425" s="19" t="s">
        <v>429</v>
      </c>
      <c r="B425" s="20"/>
      <c r="C425" s="31"/>
      <c r="D425" s="31"/>
      <c r="E425" s="31"/>
      <c r="F425" s="31"/>
      <c r="G425" s="31"/>
      <c r="H425" s="173"/>
      <c r="I425" s="56"/>
      <c r="J425" s="31"/>
      <c r="K425" s="31"/>
    </row>
    <row r="426" spans="1:12" ht="17.25" customHeight="1" x14ac:dyDescent="0.3">
      <c r="A426" s="15">
        <f>A423+1</f>
        <v>370</v>
      </c>
      <c r="B426" s="20" t="s">
        <v>430</v>
      </c>
      <c r="C426" s="162">
        <v>1972</v>
      </c>
      <c r="D426" s="31"/>
      <c r="E426" s="200" t="s">
        <v>3121</v>
      </c>
      <c r="F426" s="200">
        <v>2</v>
      </c>
      <c r="G426" s="200">
        <v>808.14</v>
      </c>
      <c r="H426" s="201">
        <v>42</v>
      </c>
      <c r="I426" s="273">
        <f>SUMIF('2020'!B:B,B426,'2020'!C:C)+SUMIF('2021'!B:B,B426,'2021'!C:C)+SUMIF('2022'!B:B,B426,'2022'!C:C)</f>
        <v>2969564.4</v>
      </c>
      <c r="J426" s="59">
        <v>44925</v>
      </c>
      <c r="K426" s="162" t="s">
        <v>3118</v>
      </c>
    </row>
    <row r="427" spans="1:12" ht="17.25" customHeight="1" x14ac:dyDescent="0.3">
      <c r="A427" s="15">
        <f>A426+1</f>
        <v>371</v>
      </c>
      <c r="B427" s="20" t="s">
        <v>431</v>
      </c>
      <c r="C427" s="162">
        <v>1972</v>
      </c>
      <c r="D427" s="31"/>
      <c r="E427" s="200" t="s">
        <v>3121</v>
      </c>
      <c r="F427" s="200">
        <v>2</v>
      </c>
      <c r="G427" s="200">
        <v>808.65</v>
      </c>
      <c r="H427" s="201">
        <v>35</v>
      </c>
      <c r="I427" s="273">
        <f>SUMIF('2020'!B:B,B427,'2020'!C:C)+SUMIF('2021'!B:B,B427,'2021'!C:C)+SUMIF('2022'!B:B,B427,'2022'!C:C)</f>
        <v>2990902.8</v>
      </c>
      <c r="J427" s="59">
        <v>44925</v>
      </c>
      <c r="K427" s="162" t="s">
        <v>3118</v>
      </c>
    </row>
    <row r="428" spans="1:12" ht="17.25" customHeight="1" x14ac:dyDescent="0.3">
      <c r="A428" s="15">
        <f>A427+1</f>
        <v>372</v>
      </c>
      <c r="B428" s="20" t="s">
        <v>432</v>
      </c>
      <c r="C428" s="162">
        <v>1978</v>
      </c>
      <c r="D428" s="31"/>
      <c r="E428" s="200" t="s">
        <v>3035</v>
      </c>
      <c r="F428" s="200">
        <v>2</v>
      </c>
      <c r="G428" s="200">
        <v>1029.29</v>
      </c>
      <c r="H428" s="201">
        <v>16</v>
      </c>
      <c r="I428" s="273">
        <f>SUMIF('2020'!B:B,B428,'2020'!C:C)+SUMIF('2021'!B:B,B428,'2021'!C:C)+SUMIF('2022'!B:B,B428,'2022'!C:C)</f>
        <v>6196853.6299999999</v>
      </c>
      <c r="J428" s="59">
        <v>44925</v>
      </c>
      <c r="K428" s="162" t="s">
        <v>3118</v>
      </c>
    </row>
    <row r="429" spans="1:12" ht="17.25" customHeight="1" x14ac:dyDescent="0.3">
      <c r="A429" s="15" t="s">
        <v>208</v>
      </c>
      <c r="B429" s="250"/>
      <c r="C429" s="31" t="s">
        <v>3558</v>
      </c>
      <c r="D429" s="31" t="s">
        <v>3558</v>
      </c>
      <c r="E429" s="31" t="s">
        <v>3558</v>
      </c>
      <c r="F429" s="31" t="s">
        <v>3558</v>
      </c>
      <c r="G429" s="56">
        <f>SUM(G426:G428)</f>
        <v>2646.08</v>
      </c>
      <c r="H429" s="173">
        <f>SUM(H426:H428)</f>
        <v>93</v>
      </c>
      <c r="I429" s="56">
        <f>SUM(I426:I428)</f>
        <v>12157320.829999998</v>
      </c>
      <c r="J429" s="31" t="s">
        <v>3558</v>
      </c>
      <c r="K429" s="31" t="s">
        <v>3558</v>
      </c>
      <c r="L429" s="197">
        <f>I429-'2020'!C141-'2021'!C338</f>
        <v>0</v>
      </c>
    </row>
    <row r="430" spans="1:12" ht="17.25" customHeight="1" x14ac:dyDescent="0.3">
      <c r="A430" s="19" t="s">
        <v>433</v>
      </c>
      <c r="B430" s="20"/>
      <c r="C430" s="31"/>
      <c r="D430" s="31"/>
      <c r="E430" s="31"/>
      <c r="F430" s="31"/>
      <c r="G430" s="31"/>
      <c r="H430" s="173"/>
      <c r="I430" s="56"/>
      <c r="J430" s="31"/>
      <c r="K430" s="31"/>
    </row>
    <row r="431" spans="1:12" ht="17.25" customHeight="1" x14ac:dyDescent="0.3">
      <c r="A431" s="15">
        <f>A428+1</f>
        <v>373</v>
      </c>
      <c r="B431" s="20" t="s">
        <v>434</v>
      </c>
      <c r="C431" s="162">
        <v>1917</v>
      </c>
      <c r="D431" s="31"/>
      <c r="E431" s="200" t="s">
        <v>3120</v>
      </c>
      <c r="F431" s="31">
        <v>2</v>
      </c>
      <c r="G431" s="31">
        <v>311.23</v>
      </c>
      <c r="H431" s="173">
        <v>8</v>
      </c>
      <c r="I431" s="273">
        <f>SUMIF('2020'!B:B,B431,'2020'!C:C)+SUMIF('2021'!B:B,B431,'2021'!C:C)+SUMIF('2022'!B:B,B431,'2022'!C:C)</f>
        <v>130000</v>
      </c>
      <c r="J431" s="59">
        <v>44925</v>
      </c>
      <c r="K431" s="162" t="s">
        <v>3118</v>
      </c>
    </row>
    <row r="432" spans="1:12" ht="17.25" customHeight="1" x14ac:dyDescent="0.3">
      <c r="A432" s="15">
        <f>A431+1</f>
        <v>374</v>
      </c>
      <c r="B432" s="20" t="s">
        <v>435</v>
      </c>
      <c r="C432" s="162">
        <v>1934</v>
      </c>
      <c r="D432" s="31"/>
      <c r="E432" s="200" t="s">
        <v>3120</v>
      </c>
      <c r="F432" s="31">
        <v>2</v>
      </c>
      <c r="G432" s="31">
        <v>290.39999999999998</v>
      </c>
      <c r="H432" s="173">
        <v>6</v>
      </c>
      <c r="I432" s="273">
        <f>SUMIF('2020'!B:B,B432,'2020'!C:C)+SUMIF('2021'!B:B,B432,'2021'!C:C)+SUMIF('2022'!B:B,B432,'2022'!C:C)</f>
        <v>214485.28</v>
      </c>
      <c r="J432" s="59">
        <v>44925</v>
      </c>
      <c r="K432" s="162" t="s">
        <v>3118</v>
      </c>
    </row>
    <row r="433" spans="1:12" ht="17.25" customHeight="1" x14ac:dyDescent="0.3">
      <c r="A433" s="15">
        <f>A432+1</f>
        <v>375</v>
      </c>
      <c r="B433" s="20" t="s">
        <v>436</v>
      </c>
      <c r="C433" s="162">
        <v>1924</v>
      </c>
      <c r="D433" s="31"/>
      <c r="E433" s="200" t="s">
        <v>3120</v>
      </c>
      <c r="F433" s="31">
        <v>2</v>
      </c>
      <c r="G433" s="31">
        <v>245.8</v>
      </c>
      <c r="H433" s="173">
        <v>9</v>
      </c>
      <c r="I433" s="273">
        <f>SUMIF('2020'!B:B,B433,'2020'!C:C)+SUMIF('2021'!B:B,B433,'2021'!C:C)+SUMIF('2022'!B:B,B433,'2022'!C:C)</f>
        <v>207854.35</v>
      </c>
      <c r="J433" s="59">
        <v>44925</v>
      </c>
      <c r="K433" s="162" t="s">
        <v>3118</v>
      </c>
    </row>
    <row r="434" spans="1:12" ht="17.25" customHeight="1" x14ac:dyDescent="0.3">
      <c r="A434" s="15">
        <f>A433+1</f>
        <v>376</v>
      </c>
      <c r="B434" s="20" t="s">
        <v>437</v>
      </c>
      <c r="C434" s="162">
        <v>1935</v>
      </c>
      <c r="D434" s="31"/>
      <c r="E434" s="200" t="s">
        <v>3120</v>
      </c>
      <c r="F434" s="31">
        <v>2</v>
      </c>
      <c r="G434" s="31">
        <v>435.09</v>
      </c>
      <c r="H434" s="173">
        <v>16</v>
      </c>
      <c r="I434" s="273">
        <f>SUMIF('2020'!B:B,B434,'2020'!C:C)+SUMIF('2021'!B:B,B434,'2021'!C:C)+SUMIF('2022'!B:B,B434,'2022'!C:C)</f>
        <v>187714.45</v>
      </c>
      <c r="J434" s="59">
        <v>44925</v>
      </c>
      <c r="K434" s="162" t="s">
        <v>3118</v>
      </c>
    </row>
    <row r="435" spans="1:12" ht="17.25" customHeight="1" x14ac:dyDescent="0.3">
      <c r="A435" s="15">
        <f>A434+1</f>
        <v>377</v>
      </c>
      <c r="B435" s="20" t="s">
        <v>438</v>
      </c>
      <c r="C435" s="162">
        <v>1950</v>
      </c>
      <c r="D435" s="31"/>
      <c r="E435" s="200" t="s">
        <v>3120</v>
      </c>
      <c r="F435" s="31">
        <v>2</v>
      </c>
      <c r="G435" s="31">
        <v>482.6</v>
      </c>
      <c r="H435" s="173">
        <v>14</v>
      </c>
      <c r="I435" s="273">
        <f>SUMIF('2020'!B:B,B435,'2020'!C:C)+SUMIF('2021'!B:B,B435,'2021'!C:C)+SUMIF('2022'!B:B,B435,'2022'!C:C)</f>
        <v>174133.38</v>
      </c>
      <c r="J435" s="59">
        <v>44925</v>
      </c>
      <c r="K435" s="162" t="s">
        <v>3118</v>
      </c>
    </row>
    <row r="436" spans="1:12" ht="17.25" customHeight="1" x14ac:dyDescent="0.3">
      <c r="A436" s="15" t="s">
        <v>208</v>
      </c>
      <c r="B436" s="250"/>
      <c r="C436" s="31" t="s">
        <v>3558</v>
      </c>
      <c r="D436" s="31" t="s">
        <v>3558</v>
      </c>
      <c r="E436" s="31" t="s">
        <v>3558</v>
      </c>
      <c r="F436" s="31" t="s">
        <v>3558</v>
      </c>
      <c r="G436" s="56">
        <f>SUM(G431:G435)</f>
        <v>1765.12</v>
      </c>
      <c r="H436" s="173">
        <f>SUM(H431:H435)</f>
        <v>53</v>
      </c>
      <c r="I436" s="56">
        <f>SUM(I431:I435)</f>
        <v>914187.46000000008</v>
      </c>
      <c r="J436" s="31" t="s">
        <v>3558</v>
      </c>
      <c r="K436" s="31" t="s">
        <v>3558</v>
      </c>
      <c r="L436" s="197">
        <f>I436-'2022'!C116</f>
        <v>0</v>
      </c>
    </row>
    <row r="437" spans="1:12" ht="17.25" customHeight="1" x14ac:dyDescent="0.3">
      <c r="A437" s="19" t="s">
        <v>439</v>
      </c>
      <c r="B437" s="20"/>
      <c r="C437" s="31"/>
      <c r="D437" s="31"/>
      <c r="E437" s="31"/>
      <c r="F437" s="31"/>
      <c r="G437" s="31"/>
      <c r="H437" s="173"/>
      <c r="I437" s="56"/>
      <c r="J437" s="31"/>
      <c r="K437" s="31"/>
    </row>
    <row r="438" spans="1:12" ht="17.25" customHeight="1" x14ac:dyDescent="0.3">
      <c r="A438" s="15">
        <f>A435+1</f>
        <v>378</v>
      </c>
      <c r="B438" s="20" t="s">
        <v>440</v>
      </c>
      <c r="C438" s="162">
        <v>1950</v>
      </c>
      <c r="D438" s="222"/>
      <c r="E438" s="200" t="s">
        <v>3120</v>
      </c>
      <c r="F438" s="222">
        <v>2</v>
      </c>
      <c r="G438" s="222">
        <v>546.08000000000004</v>
      </c>
      <c r="H438" s="223">
        <v>29</v>
      </c>
      <c r="I438" s="273">
        <f>SUMIF('2020'!B:B,B438,'2020'!C:C)+SUMIF('2021'!B:B,B438,'2021'!C:C)+SUMIF('2022'!B:B,B438,'2022'!C:C)</f>
        <v>130000</v>
      </c>
      <c r="J438" s="59">
        <v>44925</v>
      </c>
      <c r="K438" s="162" t="s">
        <v>3118</v>
      </c>
    </row>
    <row r="439" spans="1:12" ht="17.25" customHeight="1" x14ac:dyDescent="0.3">
      <c r="A439" s="15">
        <f>A438+1</f>
        <v>379</v>
      </c>
      <c r="B439" s="20" t="s">
        <v>441</v>
      </c>
      <c r="C439" s="162">
        <v>1947</v>
      </c>
      <c r="D439" s="222"/>
      <c r="E439" s="200" t="s">
        <v>3120</v>
      </c>
      <c r="F439" s="222">
        <v>1</v>
      </c>
      <c r="G439" s="222">
        <v>252.4</v>
      </c>
      <c r="H439" s="223">
        <v>13</v>
      </c>
      <c r="I439" s="273">
        <f>SUMIF('2020'!B:B,B439,'2020'!C:C)+SUMIF('2021'!B:B,B439,'2021'!C:C)+SUMIF('2022'!B:B,B439,'2022'!C:C)</f>
        <v>130000</v>
      </c>
      <c r="J439" s="59">
        <v>44925</v>
      </c>
      <c r="K439" s="162" t="s">
        <v>3118</v>
      </c>
    </row>
    <row r="440" spans="1:12" ht="17.25" customHeight="1" x14ac:dyDescent="0.3">
      <c r="A440" s="15">
        <f>A439+1</f>
        <v>380</v>
      </c>
      <c r="B440" s="20" t="s">
        <v>442</v>
      </c>
      <c r="C440" s="162">
        <v>1982</v>
      </c>
      <c r="D440" s="222"/>
      <c r="E440" s="200" t="s">
        <v>3119</v>
      </c>
      <c r="F440" s="222">
        <v>4</v>
      </c>
      <c r="G440" s="222">
        <v>1005.6</v>
      </c>
      <c r="H440" s="223">
        <v>40</v>
      </c>
      <c r="I440" s="273">
        <f>SUMIF('2020'!B:B,B440,'2020'!C:C)+SUMIF('2021'!B:B,B440,'2021'!C:C)+SUMIF('2022'!B:B,B440,'2022'!C:C)</f>
        <v>2090466</v>
      </c>
      <c r="J440" s="59">
        <v>44925</v>
      </c>
      <c r="K440" s="162" t="s">
        <v>3118</v>
      </c>
    </row>
    <row r="441" spans="1:12" ht="17.25" customHeight="1" x14ac:dyDescent="0.3">
      <c r="A441" s="15">
        <f>A440+1</f>
        <v>381</v>
      </c>
      <c r="B441" s="20" t="s">
        <v>443</v>
      </c>
      <c r="C441" s="162">
        <v>1952</v>
      </c>
      <c r="D441" s="222"/>
      <c r="E441" s="200" t="s">
        <v>3119</v>
      </c>
      <c r="F441" s="222">
        <v>4</v>
      </c>
      <c r="G441" s="222">
        <v>1007.7</v>
      </c>
      <c r="H441" s="223">
        <v>47</v>
      </c>
      <c r="I441" s="273">
        <f>SUMIF('2020'!B:B,B441,'2020'!C:C)+SUMIF('2021'!B:B,B441,'2021'!C:C)+SUMIF('2022'!B:B,B441,'2022'!C:C)</f>
        <v>130000</v>
      </c>
      <c r="J441" s="59">
        <v>44925</v>
      </c>
      <c r="K441" s="162" t="s">
        <v>3118</v>
      </c>
    </row>
    <row r="442" spans="1:12" ht="17.25" customHeight="1" x14ac:dyDescent="0.3">
      <c r="A442" s="15" t="s">
        <v>208</v>
      </c>
      <c r="B442" s="250"/>
      <c r="C442" s="31" t="s">
        <v>3558</v>
      </c>
      <c r="D442" s="31" t="s">
        <v>3558</v>
      </c>
      <c r="E442" s="31" t="s">
        <v>3558</v>
      </c>
      <c r="F442" s="31" t="s">
        <v>3558</v>
      </c>
      <c r="G442" s="56">
        <f>SUM(G438:G441)</f>
        <v>2811.7799999999997</v>
      </c>
      <c r="H442" s="173">
        <f>SUM(H438:H441)</f>
        <v>129</v>
      </c>
      <c r="I442" s="56">
        <f>SUM(I438:I441)</f>
        <v>2480466</v>
      </c>
      <c r="J442" s="31" t="s">
        <v>3558</v>
      </c>
      <c r="K442" s="31" t="s">
        <v>3558</v>
      </c>
      <c r="L442" s="197">
        <f>I442-'2020'!C144-'2021'!C343</f>
        <v>0</v>
      </c>
    </row>
    <row r="443" spans="1:12" ht="17.25" customHeight="1" x14ac:dyDescent="0.3">
      <c r="A443" s="19" t="s">
        <v>444</v>
      </c>
      <c r="B443" s="20"/>
      <c r="C443" s="31"/>
      <c r="D443" s="31"/>
      <c r="E443" s="31"/>
      <c r="F443" s="31"/>
      <c r="G443" s="31"/>
      <c r="H443" s="173"/>
      <c r="I443" s="56"/>
      <c r="J443" s="31"/>
      <c r="K443" s="31"/>
    </row>
    <row r="444" spans="1:12" ht="17.25" customHeight="1" x14ac:dyDescent="0.3">
      <c r="A444" s="15">
        <f>A441+1</f>
        <v>382</v>
      </c>
      <c r="B444" s="20" t="s">
        <v>445</v>
      </c>
      <c r="C444" s="162">
        <v>1960</v>
      </c>
      <c r="D444" s="31"/>
      <c r="E444" s="200" t="s">
        <v>3035</v>
      </c>
      <c r="F444" s="31">
        <v>2</v>
      </c>
      <c r="G444" s="31">
        <v>675.41</v>
      </c>
      <c r="H444" s="173">
        <v>18</v>
      </c>
      <c r="I444" s="273">
        <f>SUMIF('2020'!B:B,B444,'2020'!C:C)+SUMIF('2021'!B:B,B444,'2021'!C:C)+SUMIF('2022'!B:B,B444,'2022'!C:C)</f>
        <v>2780834.4000000004</v>
      </c>
      <c r="J444" s="59">
        <v>44925</v>
      </c>
      <c r="K444" s="162" t="s">
        <v>3118</v>
      </c>
    </row>
    <row r="445" spans="1:12" ht="17.25" customHeight="1" x14ac:dyDescent="0.3">
      <c r="A445" s="15">
        <f t="shared" ref="A445:A453" si="23">A444+1</f>
        <v>383</v>
      </c>
      <c r="B445" s="20" t="s">
        <v>446</v>
      </c>
      <c r="C445" s="162">
        <v>1960</v>
      </c>
      <c r="D445" s="31"/>
      <c r="E445" s="200" t="s">
        <v>3035</v>
      </c>
      <c r="F445" s="31">
        <v>2</v>
      </c>
      <c r="G445" s="31">
        <v>680.5</v>
      </c>
      <c r="H445" s="173">
        <v>15</v>
      </c>
      <c r="I445" s="273">
        <f>SUMIF('2020'!B:B,B445,'2020'!C:C)+SUMIF('2021'!B:B,B445,'2021'!C:C)+SUMIF('2022'!B:B,B445,'2022'!C:C)</f>
        <v>4983581.2</v>
      </c>
      <c r="J445" s="59">
        <v>44925</v>
      </c>
      <c r="K445" s="162" t="s">
        <v>3118</v>
      </c>
    </row>
    <row r="446" spans="1:12" ht="17.25" customHeight="1" x14ac:dyDescent="0.3">
      <c r="A446" s="15">
        <f t="shared" si="23"/>
        <v>384</v>
      </c>
      <c r="B446" s="20" t="s">
        <v>447</v>
      </c>
      <c r="C446" s="162">
        <v>1966</v>
      </c>
      <c r="D446" s="31"/>
      <c r="E446" s="200" t="s">
        <v>3119</v>
      </c>
      <c r="F446" s="31">
        <v>5</v>
      </c>
      <c r="G446" s="31">
        <v>7086.3</v>
      </c>
      <c r="H446" s="173">
        <v>267</v>
      </c>
      <c r="I446" s="273">
        <f>SUMIF('2020'!B:B,B446,'2020'!C:C)+SUMIF('2021'!B:B,B446,'2021'!C:C)+SUMIF('2022'!B:B,B446,'2022'!C:C)</f>
        <v>16098964.800000001</v>
      </c>
      <c r="J446" s="59">
        <v>44925</v>
      </c>
      <c r="K446" s="162" t="s">
        <v>3118</v>
      </c>
    </row>
    <row r="447" spans="1:12" ht="17.25" customHeight="1" x14ac:dyDescent="0.3">
      <c r="A447" s="15">
        <f t="shared" si="23"/>
        <v>385</v>
      </c>
      <c r="B447" s="20" t="s">
        <v>448</v>
      </c>
      <c r="C447" s="162">
        <v>1971</v>
      </c>
      <c r="D447" s="31"/>
      <c r="E447" s="200" t="s">
        <v>3035</v>
      </c>
      <c r="F447" s="31">
        <v>5</v>
      </c>
      <c r="G447" s="31">
        <v>3565.3</v>
      </c>
      <c r="H447" s="173">
        <v>113</v>
      </c>
      <c r="I447" s="273">
        <f>SUMIF('2020'!B:B,B447,'2020'!C:C)+SUMIF('2021'!B:B,B447,'2021'!C:C)+SUMIF('2022'!B:B,B447,'2022'!C:C)</f>
        <v>7225353.5999999996</v>
      </c>
      <c r="J447" s="59">
        <v>44925</v>
      </c>
      <c r="K447" s="162" t="s">
        <v>3118</v>
      </c>
    </row>
    <row r="448" spans="1:12" ht="17.25" customHeight="1" x14ac:dyDescent="0.3">
      <c r="A448" s="15">
        <f t="shared" si="23"/>
        <v>386</v>
      </c>
      <c r="B448" s="20" t="s">
        <v>449</v>
      </c>
      <c r="C448" s="162">
        <v>1957</v>
      </c>
      <c r="D448" s="31"/>
      <c r="E448" s="200" t="s">
        <v>3035</v>
      </c>
      <c r="F448" s="200">
        <v>2</v>
      </c>
      <c r="G448" s="200">
        <v>559.70000000000005</v>
      </c>
      <c r="H448" s="201">
        <v>15</v>
      </c>
      <c r="I448" s="273">
        <f>SUMIF('2020'!B:B,B448,'2020'!C:C)+SUMIF('2021'!B:B,B448,'2021'!C:C)+SUMIF('2022'!B:B,B448,'2022'!C:C)</f>
        <v>1452648</v>
      </c>
      <c r="J448" s="59">
        <v>44925</v>
      </c>
      <c r="K448" s="162" t="s">
        <v>3118</v>
      </c>
    </row>
    <row r="449" spans="1:13" ht="17.25" customHeight="1" x14ac:dyDescent="0.3">
      <c r="A449" s="15">
        <f t="shared" si="23"/>
        <v>387</v>
      </c>
      <c r="B449" s="20" t="s">
        <v>450</v>
      </c>
      <c r="C449" s="162">
        <v>1958</v>
      </c>
      <c r="D449" s="31"/>
      <c r="E449" s="200" t="s">
        <v>3035</v>
      </c>
      <c r="F449" s="200">
        <v>2</v>
      </c>
      <c r="G449" s="200">
        <v>671.5</v>
      </c>
      <c r="H449" s="201">
        <v>22</v>
      </c>
      <c r="I449" s="273">
        <f>SUMIF('2020'!B:B,B449,'2020'!C:C)+SUMIF('2021'!B:B,B449,'2021'!C:C)+SUMIF('2022'!B:B,B449,'2022'!C:C)</f>
        <v>3118833.6</v>
      </c>
      <c r="J449" s="59">
        <v>44925</v>
      </c>
      <c r="K449" s="162" t="s">
        <v>3118</v>
      </c>
    </row>
    <row r="450" spans="1:13" ht="17.25" customHeight="1" x14ac:dyDescent="0.3">
      <c r="A450" s="15">
        <f t="shared" si="23"/>
        <v>388</v>
      </c>
      <c r="B450" s="20" t="s">
        <v>451</v>
      </c>
      <c r="C450" s="162">
        <v>1962</v>
      </c>
      <c r="D450" s="31"/>
      <c r="E450" s="200" t="s">
        <v>3035</v>
      </c>
      <c r="F450" s="200">
        <v>2</v>
      </c>
      <c r="G450" s="200">
        <v>689.26</v>
      </c>
      <c r="H450" s="201">
        <v>22</v>
      </c>
      <c r="I450" s="273">
        <f>SUMIF('2020'!B:B,B450,'2020'!C:C)+SUMIF('2021'!B:B,B450,'2021'!C:C)+SUMIF('2022'!B:B,B450,'2022'!C:C)</f>
        <v>3121015.1999999997</v>
      </c>
      <c r="J450" s="59">
        <v>44925</v>
      </c>
      <c r="K450" s="162" t="s">
        <v>3118</v>
      </c>
    </row>
    <row r="451" spans="1:13" ht="17.25" customHeight="1" x14ac:dyDescent="0.3">
      <c r="A451" s="15">
        <f t="shared" si="23"/>
        <v>389</v>
      </c>
      <c r="B451" s="20" t="s">
        <v>452</v>
      </c>
      <c r="C451" s="162">
        <v>1967</v>
      </c>
      <c r="D451" s="31"/>
      <c r="E451" s="200" t="s">
        <v>3119</v>
      </c>
      <c r="F451" s="200">
        <v>5</v>
      </c>
      <c r="G451" s="200">
        <v>2798.46</v>
      </c>
      <c r="H451" s="201">
        <v>111</v>
      </c>
      <c r="I451" s="273">
        <f>SUMIF('2020'!B:B,B451,'2020'!C:C)+SUMIF('2021'!B:B,B451,'2021'!C:C)+SUMIF('2022'!B:B,B451,'2022'!C:C)</f>
        <v>7074370.8000000007</v>
      </c>
      <c r="J451" s="59">
        <v>44925</v>
      </c>
      <c r="K451" s="162" t="s">
        <v>3118</v>
      </c>
    </row>
    <row r="452" spans="1:13" ht="17.25" customHeight="1" x14ac:dyDescent="0.3">
      <c r="A452" s="15">
        <f t="shared" si="23"/>
        <v>390</v>
      </c>
      <c r="B452" s="20" t="s">
        <v>453</v>
      </c>
      <c r="C452" s="162">
        <v>1954</v>
      </c>
      <c r="D452" s="31"/>
      <c r="E452" s="200" t="s">
        <v>3035</v>
      </c>
      <c r="F452" s="200">
        <v>2</v>
      </c>
      <c r="G452" s="200">
        <v>691.7</v>
      </c>
      <c r="H452" s="201">
        <v>24</v>
      </c>
      <c r="I452" s="273">
        <f>SUMIF('2020'!B:B,B452,'2020'!C:C)+SUMIF('2021'!B:B,B452,'2021'!C:C)+SUMIF('2022'!B:B,B452,'2022'!C:C)</f>
        <v>3176407.2</v>
      </c>
      <c r="J452" s="59">
        <v>44925</v>
      </c>
      <c r="K452" s="162" t="s">
        <v>3118</v>
      </c>
    </row>
    <row r="453" spans="1:13" ht="17.25" customHeight="1" x14ac:dyDescent="0.3">
      <c r="A453" s="15">
        <f t="shared" si="23"/>
        <v>391</v>
      </c>
      <c r="B453" s="20" t="s">
        <v>454</v>
      </c>
      <c r="C453" s="162">
        <v>1951</v>
      </c>
      <c r="D453" s="162"/>
      <c r="E453" s="162" t="s">
        <v>3035</v>
      </c>
      <c r="F453" s="162">
        <v>2</v>
      </c>
      <c r="G453" s="162">
        <v>433.5</v>
      </c>
      <c r="H453" s="48">
        <v>11</v>
      </c>
      <c r="I453" s="273">
        <f>SUMIF('2020'!B:B,B453,'2020'!C:C)+SUMIF('2021'!B:B,B453,'2021'!C:C)+SUMIF('2022'!B:B,B453,'2022'!C:C)</f>
        <v>177331.87</v>
      </c>
      <c r="J453" s="59">
        <v>44925</v>
      </c>
      <c r="K453" s="162" t="s">
        <v>3118</v>
      </c>
    </row>
    <row r="454" spans="1:13" ht="17.25" customHeight="1" x14ac:dyDescent="0.3">
      <c r="A454" s="15" t="s">
        <v>208</v>
      </c>
      <c r="B454" s="250"/>
      <c r="C454" s="31" t="s">
        <v>3558</v>
      </c>
      <c r="D454" s="31" t="s">
        <v>3558</v>
      </c>
      <c r="E454" s="31" t="s">
        <v>3558</v>
      </c>
      <c r="F454" s="31" t="s">
        <v>3558</v>
      </c>
      <c r="G454" s="56">
        <f>SUM(G444:G453)</f>
        <v>17851.63</v>
      </c>
      <c r="H454" s="173">
        <f>SUM(H444:H453)</f>
        <v>618</v>
      </c>
      <c r="I454" s="56">
        <f>SUM(I444:I453)</f>
        <v>49209340.670000009</v>
      </c>
      <c r="J454" s="31" t="s">
        <v>3558</v>
      </c>
      <c r="K454" s="31" t="s">
        <v>3558</v>
      </c>
      <c r="L454" s="197">
        <f>I454-'2020'!C155-'2022'!C119</f>
        <v>0</v>
      </c>
    </row>
    <row r="455" spans="1:13" ht="17.25" customHeight="1" x14ac:dyDescent="0.3">
      <c r="A455" s="19" t="s">
        <v>455</v>
      </c>
      <c r="B455" s="20"/>
      <c r="C455" s="31"/>
      <c r="D455" s="31"/>
      <c r="E455" s="31"/>
      <c r="F455" s="31"/>
      <c r="G455" s="31"/>
      <c r="H455" s="173"/>
      <c r="I455" s="56"/>
      <c r="J455" s="31"/>
      <c r="K455" s="31"/>
    </row>
    <row r="456" spans="1:13" ht="17.25" customHeight="1" x14ac:dyDescent="0.3">
      <c r="A456" s="15">
        <f>A453+1</f>
        <v>392</v>
      </c>
      <c r="B456" s="20" t="s">
        <v>456</v>
      </c>
      <c r="C456" s="162">
        <v>1979</v>
      </c>
      <c r="D456" s="31"/>
      <c r="E456" s="200" t="s">
        <v>3148</v>
      </c>
      <c r="F456" s="200">
        <v>5</v>
      </c>
      <c r="G456" s="200">
        <v>3079</v>
      </c>
      <c r="H456" s="201">
        <v>148</v>
      </c>
      <c r="I456" s="273">
        <f>SUMIF('2020'!B:B,B456,'2020'!C:C)+SUMIF('2021'!B:B,B456,'2021'!C:C)+SUMIF('2022'!B:B,B456,'2022'!C:C)</f>
        <v>352050.24</v>
      </c>
      <c r="J456" s="59">
        <v>44925</v>
      </c>
      <c r="K456" s="162" t="s">
        <v>3118</v>
      </c>
    </row>
    <row r="457" spans="1:13" ht="17.25" customHeight="1" x14ac:dyDescent="0.3">
      <c r="A457" s="15">
        <f t="shared" ref="A457:A462" si="24">A456+1</f>
        <v>393</v>
      </c>
      <c r="B457" s="20" t="s">
        <v>457</v>
      </c>
      <c r="C457" s="162">
        <v>1978</v>
      </c>
      <c r="D457" s="31"/>
      <c r="E457" s="200" t="s">
        <v>3148</v>
      </c>
      <c r="F457" s="200">
        <v>5</v>
      </c>
      <c r="G457" s="200">
        <v>3088.5</v>
      </c>
      <c r="H457" s="201">
        <v>134</v>
      </c>
      <c r="I457" s="273">
        <f>SUMIF('2020'!B:B,B457,'2020'!C:C)+SUMIF('2021'!B:B,B457,'2021'!C:C)+SUMIF('2022'!B:B,B457,'2022'!C:C)</f>
        <v>481208.21</v>
      </c>
      <c r="J457" s="59">
        <v>44925</v>
      </c>
      <c r="K457" s="162" t="s">
        <v>3118</v>
      </c>
    </row>
    <row r="458" spans="1:13" ht="17.25" customHeight="1" x14ac:dyDescent="0.3">
      <c r="A458" s="15">
        <f t="shared" si="24"/>
        <v>394</v>
      </c>
      <c r="B458" s="20" t="s">
        <v>458</v>
      </c>
      <c r="C458" s="162">
        <v>1966</v>
      </c>
      <c r="D458" s="31"/>
      <c r="E458" s="200" t="s">
        <v>3035</v>
      </c>
      <c r="F458" s="200">
        <v>2</v>
      </c>
      <c r="G458" s="200">
        <v>374.6</v>
      </c>
      <c r="H458" s="201">
        <v>25</v>
      </c>
      <c r="I458" s="273">
        <f>SUMIF('2020'!B:B,B458,'2020'!C:C)+SUMIF('2021'!B:B,B458,'2021'!C:C)+SUMIF('2022'!B:B,B458,'2022'!C:C)</f>
        <v>1723302</v>
      </c>
      <c r="J458" s="59">
        <v>44925</v>
      </c>
      <c r="K458" s="162" t="s">
        <v>3118</v>
      </c>
    </row>
    <row r="459" spans="1:13" ht="17.25" customHeight="1" x14ac:dyDescent="0.3">
      <c r="A459" s="15">
        <f t="shared" si="24"/>
        <v>395</v>
      </c>
      <c r="B459" s="20" t="s">
        <v>459</v>
      </c>
      <c r="C459" s="162">
        <v>1972</v>
      </c>
      <c r="D459" s="31"/>
      <c r="E459" s="200" t="s">
        <v>3035</v>
      </c>
      <c r="F459" s="200">
        <v>2</v>
      </c>
      <c r="G459" s="200">
        <v>719.2</v>
      </c>
      <c r="H459" s="201">
        <v>28</v>
      </c>
      <c r="I459" s="273">
        <f>SUMIF('2020'!B:B,B459,'2020'!C:C)+SUMIF('2021'!B:B,B459,'2021'!C:C)+SUMIF('2022'!B:B,B459,'2022'!C:C)</f>
        <v>2026762.92</v>
      </c>
      <c r="J459" s="59">
        <v>44925</v>
      </c>
      <c r="K459" s="162" t="s">
        <v>3118</v>
      </c>
    </row>
    <row r="460" spans="1:13" ht="17.25" customHeight="1" x14ac:dyDescent="0.3">
      <c r="A460" s="15">
        <f t="shared" si="24"/>
        <v>396</v>
      </c>
      <c r="B460" s="20" t="s">
        <v>460</v>
      </c>
      <c r="C460" s="162">
        <v>1982</v>
      </c>
      <c r="D460" s="31"/>
      <c r="E460" s="200" t="s">
        <v>3148</v>
      </c>
      <c r="F460" s="200">
        <v>5</v>
      </c>
      <c r="G460" s="200">
        <v>3037.8</v>
      </c>
      <c r="H460" s="201">
        <v>113</v>
      </c>
      <c r="I460" s="273">
        <f>SUMIF('2020'!B:B,B460,'2020'!C:C)+SUMIF('2021'!B:B,B460,'2021'!C:C)+SUMIF('2022'!B:B,B460,'2022'!C:C)</f>
        <v>130000</v>
      </c>
      <c r="J460" s="59">
        <v>44925</v>
      </c>
      <c r="K460" s="162" t="s">
        <v>3118</v>
      </c>
    </row>
    <row r="461" spans="1:13" ht="17.25" customHeight="1" x14ac:dyDescent="0.3">
      <c r="A461" s="15">
        <f t="shared" si="24"/>
        <v>397</v>
      </c>
      <c r="B461" s="20" t="s">
        <v>461</v>
      </c>
      <c r="C461" s="162">
        <v>1973</v>
      </c>
      <c r="D461" s="31"/>
      <c r="E461" s="200" t="s">
        <v>3035</v>
      </c>
      <c r="F461" s="200">
        <v>2</v>
      </c>
      <c r="G461" s="200">
        <v>733.4</v>
      </c>
      <c r="H461" s="201">
        <v>38</v>
      </c>
      <c r="I461" s="273">
        <f>SUMIF('2020'!B:B,B461,'2020'!C:C)+SUMIF('2021'!B:B,B461,'2021'!C:C)+SUMIF('2022'!B:B,B461,'2022'!C:C)</f>
        <v>2486489.46</v>
      </c>
      <c r="J461" s="59">
        <v>44925</v>
      </c>
      <c r="K461" s="162" t="s">
        <v>3118</v>
      </c>
    </row>
    <row r="462" spans="1:13" ht="17.25" customHeight="1" x14ac:dyDescent="0.3">
      <c r="A462" s="15">
        <f t="shared" si="24"/>
        <v>398</v>
      </c>
      <c r="B462" s="20" t="s">
        <v>462</v>
      </c>
      <c r="C462" s="162">
        <v>1974</v>
      </c>
      <c r="D462" s="31"/>
      <c r="E462" s="200" t="s">
        <v>3035</v>
      </c>
      <c r="F462" s="200">
        <v>2</v>
      </c>
      <c r="G462" s="200">
        <v>753.7</v>
      </c>
      <c r="H462" s="201">
        <v>49</v>
      </c>
      <c r="I462" s="273">
        <f>SUMIF('2020'!B:B,B462,'2020'!C:C)+SUMIF('2021'!B:B,B462,'2021'!C:C)+SUMIF('2022'!B:B,B462,'2022'!C:C)</f>
        <v>2027039.6800000002</v>
      </c>
      <c r="J462" s="59">
        <v>44925</v>
      </c>
      <c r="K462" s="162" t="s">
        <v>3118</v>
      </c>
    </row>
    <row r="463" spans="1:13" ht="17.25" customHeight="1" x14ac:dyDescent="0.3">
      <c r="A463" s="15" t="s">
        <v>208</v>
      </c>
      <c r="B463" s="250"/>
      <c r="C463" s="31" t="s">
        <v>3558</v>
      </c>
      <c r="D463" s="31" t="s">
        <v>3558</v>
      </c>
      <c r="E463" s="31" t="s">
        <v>3558</v>
      </c>
      <c r="F463" s="31" t="s">
        <v>3558</v>
      </c>
      <c r="G463" s="56">
        <f>SUM(G456:G462)</f>
        <v>11786.2</v>
      </c>
      <c r="H463" s="173">
        <f>SUM(H456:H462)</f>
        <v>535</v>
      </c>
      <c r="I463" s="56">
        <f>SUM(I456:I462)</f>
        <v>9226852.5099999998</v>
      </c>
      <c r="J463" s="31" t="s">
        <v>3558</v>
      </c>
      <c r="K463" s="31" t="s">
        <v>3558</v>
      </c>
      <c r="L463" s="197">
        <f>I463-'2021'!C352-'2022'!C124</f>
        <v>0</v>
      </c>
    </row>
    <row r="464" spans="1:13" s="43" customFormat="1" ht="17.25" customHeight="1" x14ac:dyDescent="0.3">
      <c r="A464" s="279" t="s">
        <v>3125</v>
      </c>
      <c r="B464" s="262"/>
      <c r="C464" s="165" t="s">
        <v>3558</v>
      </c>
      <c r="D464" s="165" t="s">
        <v>3558</v>
      </c>
      <c r="E464" s="165" t="s">
        <v>3558</v>
      </c>
      <c r="F464" s="165" t="s">
        <v>3558</v>
      </c>
      <c r="G464" s="164">
        <f>G463+G454+G442+G436+G429+G424+G411+G307+G289+G284+G268+G257</f>
        <v>191809.38</v>
      </c>
      <c r="H464" s="177">
        <f>H463+H454+H442+H436+H429+H424+H411+H307+H289+H284+H268+H257</f>
        <v>5940</v>
      </c>
      <c r="I464" s="164">
        <f>I463+I454+I442+I436+I429+I424+I411+I307+I289+I284+I268+I257</f>
        <v>368119647.59999996</v>
      </c>
      <c r="J464" s="165" t="s">
        <v>3558</v>
      </c>
      <c r="K464" s="165" t="s">
        <v>3558</v>
      </c>
      <c r="L464" s="196">
        <f>I464-'2020'!C156-'2021'!C353-'2022'!C125</f>
        <v>0</v>
      </c>
      <c r="M464" s="196"/>
    </row>
    <row r="465" spans="1:11" ht="17.25" customHeight="1" x14ac:dyDescent="0.3">
      <c r="A465" s="303" t="s">
        <v>464</v>
      </c>
      <c r="B465" s="303"/>
      <c r="C465" s="303"/>
      <c r="D465" s="303"/>
      <c r="E465" s="303"/>
      <c r="F465" s="303"/>
      <c r="G465" s="303"/>
      <c r="H465" s="303"/>
      <c r="I465" s="303"/>
      <c r="J465" s="303"/>
      <c r="K465" s="303"/>
    </row>
    <row r="466" spans="1:11" ht="17.25" customHeight="1" x14ac:dyDescent="0.3">
      <c r="A466" s="19" t="s">
        <v>465</v>
      </c>
      <c r="B466" s="20"/>
      <c r="C466" s="31"/>
      <c r="D466" s="31"/>
      <c r="E466" s="31"/>
      <c r="F466" s="31"/>
      <c r="G466" s="31"/>
      <c r="H466" s="173"/>
      <c r="I466" s="56"/>
      <c r="J466" s="31"/>
      <c r="K466" s="31"/>
    </row>
    <row r="467" spans="1:11" ht="17.25" customHeight="1" x14ac:dyDescent="0.3">
      <c r="A467" s="259">
        <f>A462+1</f>
        <v>399</v>
      </c>
      <c r="B467" s="20" t="s">
        <v>466</v>
      </c>
      <c r="C467" s="162">
        <v>1938</v>
      </c>
      <c r="D467" s="31"/>
      <c r="E467" s="31" t="s">
        <v>3035</v>
      </c>
      <c r="F467" s="31">
        <v>4</v>
      </c>
      <c r="G467" s="200">
        <v>2357.1</v>
      </c>
      <c r="H467" s="173">
        <v>85</v>
      </c>
      <c r="I467" s="273">
        <f>SUMIF('2020'!B:B,B467,'2020'!C:C)+SUMIF('2021'!B:B,B467,'2021'!C:C)+SUMIF('2022'!B:B,B467,'2022'!C:C)</f>
        <v>278513.7</v>
      </c>
      <c r="J467" s="59">
        <v>44925</v>
      </c>
      <c r="K467" s="162" t="s">
        <v>3118</v>
      </c>
    </row>
    <row r="468" spans="1:11" ht="17.25" customHeight="1" x14ac:dyDescent="0.3">
      <c r="A468" s="259">
        <f t="shared" ref="A468:A515" si="25">A467+1</f>
        <v>400</v>
      </c>
      <c r="B468" s="20" t="s">
        <v>467</v>
      </c>
      <c r="C468" s="162">
        <v>1936</v>
      </c>
      <c r="D468" s="31"/>
      <c r="E468" s="200" t="s">
        <v>3035</v>
      </c>
      <c r="F468" s="200">
        <v>4</v>
      </c>
      <c r="G468" s="200">
        <v>2378.1</v>
      </c>
      <c r="H468" s="201">
        <v>102</v>
      </c>
      <c r="I468" s="273">
        <f>SUMIF('2020'!B:B,B468,'2020'!C:C)+SUMIF('2021'!B:B,B468,'2021'!C:C)+SUMIF('2022'!B:B,B468,'2022'!C:C)</f>
        <v>10777712.549999999</v>
      </c>
      <c r="J468" s="59">
        <v>44925</v>
      </c>
      <c r="K468" s="162" t="s">
        <v>3118</v>
      </c>
    </row>
    <row r="469" spans="1:11" ht="17.25" customHeight="1" x14ac:dyDescent="0.3">
      <c r="A469" s="259">
        <f t="shared" si="25"/>
        <v>401</v>
      </c>
      <c r="B469" s="20" t="s">
        <v>468</v>
      </c>
      <c r="C469" s="162">
        <v>1961</v>
      </c>
      <c r="D469" s="31"/>
      <c r="E469" s="31" t="s">
        <v>3035</v>
      </c>
      <c r="F469" s="31">
        <v>3</v>
      </c>
      <c r="G469" s="200">
        <v>1656</v>
      </c>
      <c r="H469" s="173">
        <v>65</v>
      </c>
      <c r="I469" s="273">
        <f>SUMIF('2020'!B:B,B469,'2020'!C:C)+SUMIF('2021'!B:B,B469,'2021'!C:C)+SUMIF('2022'!B:B,B469,'2022'!C:C)</f>
        <v>8042271.5999999996</v>
      </c>
      <c r="J469" s="59">
        <v>44925</v>
      </c>
      <c r="K469" s="162" t="s">
        <v>3118</v>
      </c>
    </row>
    <row r="470" spans="1:11" ht="17.25" customHeight="1" x14ac:dyDescent="0.3">
      <c r="A470" s="259">
        <f t="shared" si="25"/>
        <v>402</v>
      </c>
      <c r="B470" s="20" t="s">
        <v>469</v>
      </c>
      <c r="C470" s="162">
        <v>1968</v>
      </c>
      <c r="D470" s="31"/>
      <c r="E470" s="162" t="s">
        <v>3121</v>
      </c>
      <c r="F470" s="162">
        <v>5</v>
      </c>
      <c r="G470" s="200">
        <v>2809.8</v>
      </c>
      <c r="H470" s="48">
        <v>111</v>
      </c>
      <c r="I470" s="273">
        <f>SUMIF('2020'!B:B,B470,'2020'!C:C)+SUMIF('2021'!B:B,B470,'2021'!C:C)+SUMIF('2022'!B:B,B470,'2022'!C:C)</f>
        <v>4615897.2</v>
      </c>
      <c r="J470" s="59">
        <v>44925</v>
      </c>
      <c r="K470" s="162" t="s">
        <v>3118</v>
      </c>
    </row>
    <row r="471" spans="1:11" ht="17.25" customHeight="1" x14ac:dyDescent="0.3">
      <c r="A471" s="259">
        <f t="shared" si="25"/>
        <v>403</v>
      </c>
      <c r="B471" s="20" t="s">
        <v>470</v>
      </c>
      <c r="C471" s="162">
        <v>1970</v>
      </c>
      <c r="D471" s="31"/>
      <c r="E471" s="162" t="s">
        <v>3121</v>
      </c>
      <c r="F471" s="162">
        <v>5</v>
      </c>
      <c r="G471" s="200">
        <v>2809.8</v>
      </c>
      <c r="H471" s="48">
        <v>190</v>
      </c>
      <c r="I471" s="273">
        <f>SUMIF('2020'!B:B,B471,'2020'!C:C)+SUMIF('2021'!B:B,B471,'2021'!C:C)+SUMIF('2022'!B:B,B471,'2022'!C:C)</f>
        <v>201562.75</v>
      </c>
      <c r="J471" s="59">
        <v>44925</v>
      </c>
      <c r="K471" s="162" t="s">
        <v>3118</v>
      </c>
    </row>
    <row r="472" spans="1:11" ht="17.25" customHeight="1" x14ac:dyDescent="0.3">
      <c r="A472" s="259">
        <f t="shared" si="25"/>
        <v>404</v>
      </c>
      <c r="B472" s="20" t="s">
        <v>471</v>
      </c>
      <c r="C472" s="162">
        <v>1973</v>
      </c>
      <c r="D472" s="31"/>
      <c r="E472" s="31" t="s">
        <v>3121</v>
      </c>
      <c r="F472" s="31">
        <v>5</v>
      </c>
      <c r="G472" s="200">
        <v>3553</v>
      </c>
      <c r="H472" s="173">
        <v>164</v>
      </c>
      <c r="I472" s="273">
        <f>SUMIF('2020'!B:B,B472,'2020'!C:C)+SUMIF('2021'!B:B,B472,'2021'!C:C)+SUMIF('2022'!B:B,B472,'2022'!C:C)</f>
        <v>334185.3</v>
      </c>
      <c r="J472" s="59">
        <v>44925</v>
      </c>
      <c r="K472" s="162" t="s">
        <v>3118</v>
      </c>
    </row>
    <row r="473" spans="1:11" ht="17.25" customHeight="1" x14ac:dyDescent="0.3">
      <c r="A473" s="259">
        <f t="shared" si="25"/>
        <v>405</v>
      </c>
      <c r="B473" s="20" t="s">
        <v>472</v>
      </c>
      <c r="C473" s="162">
        <v>1974</v>
      </c>
      <c r="D473" s="31"/>
      <c r="E473" s="162" t="s">
        <v>3121</v>
      </c>
      <c r="F473" s="162">
        <v>5</v>
      </c>
      <c r="G473" s="200">
        <v>3837.2</v>
      </c>
      <c r="H473" s="48">
        <v>142</v>
      </c>
      <c r="I473" s="273">
        <f>SUMIF('2020'!B:B,B473,'2020'!C:C)+SUMIF('2021'!B:B,B473,'2021'!C:C)+SUMIF('2022'!B:B,B473,'2022'!C:C)</f>
        <v>357327.04</v>
      </c>
      <c r="J473" s="59">
        <v>44925</v>
      </c>
      <c r="K473" s="162" t="s">
        <v>3118</v>
      </c>
    </row>
    <row r="474" spans="1:11" ht="17.25" customHeight="1" x14ac:dyDescent="0.3">
      <c r="A474" s="259">
        <f t="shared" si="25"/>
        <v>406</v>
      </c>
      <c r="B474" s="20" t="s">
        <v>473</v>
      </c>
      <c r="C474" s="162">
        <v>1976</v>
      </c>
      <c r="D474" s="31"/>
      <c r="E474" s="162" t="s">
        <v>3121</v>
      </c>
      <c r="F474" s="162">
        <v>5</v>
      </c>
      <c r="G474" s="200">
        <v>3384.2</v>
      </c>
      <c r="H474" s="48">
        <v>145</v>
      </c>
      <c r="I474" s="273">
        <f>SUMIF('2020'!B:B,B474,'2020'!C:C)+SUMIF('2021'!B:B,B474,'2021'!C:C)+SUMIF('2022'!B:B,B474,'2022'!C:C)</f>
        <v>394652.93</v>
      </c>
      <c r="J474" s="59">
        <v>44925</v>
      </c>
      <c r="K474" s="162" t="s">
        <v>3118</v>
      </c>
    </row>
    <row r="475" spans="1:11" ht="17.25" customHeight="1" x14ac:dyDescent="0.3">
      <c r="A475" s="259">
        <f t="shared" si="25"/>
        <v>407</v>
      </c>
      <c r="B475" s="20" t="s">
        <v>474</v>
      </c>
      <c r="C475" s="162">
        <v>1937</v>
      </c>
      <c r="D475" s="31"/>
      <c r="E475" s="162" t="s">
        <v>3035</v>
      </c>
      <c r="F475" s="162">
        <v>4</v>
      </c>
      <c r="G475" s="200">
        <v>2477.3000000000002</v>
      </c>
      <c r="H475" s="48">
        <v>117</v>
      </c>
      <c r="I475" s="273">
        <f>SUMIF('2020'!B:B,B475,'2020'!C:C)+SUMIF('2021'!B:B,B475,'2021'!C:C)+SUMIF('2022'!B:B,B475,'2022'!C:C)</f>
        <v>19379191.199999999</v>
      </c>
      <c r="J475" s="59">
        <v>44925</v>
      </c>
      <c r="K475" s="162" t="s">
        <v>3118</v>
      </c>
    </row>
    <row r="476" spans="1:11" ht="17.25" customHeight="1" x14ac:dyDescent="0.3">
      <c r="A476" s="259">
        <f t="shared" si="25"/>
        <v>408</v>
      </c>
      <c r="B476" s="20" t="s">
        <v>475</v>
      </c>
      <c r="C476" s="162">
        <v>1936</v>
      </c>
      <c r="D476" s="31"/>
      <c r="E476" s="162" t="s">
        <v>3035</v>
      </c>
      <c r="F476" s="162">
        <v>4</v>
      </c>
      <c r="G476" s="200">
        <v>2452.6</v>
      </c>
      <c r="H476" s="48">
        <v>93</v>
      </c>
      <c r="I476" s="273">
        <f>SUMIF('2020'!B:B,B476,'2020'!C:C)+SUMIF('2021'!B:B,B476,'2021'!C:C)+SUMIF('2022'!B:B,B476,'2022'!C:C)</f>
        <v>201319.78</v>
      </c>
      <c r="J476" s="59">
        <v>44925</v>
      </c>
      <c r="K476" s="162" t="s">
        <v>3118</v>
      </c>
    </row>
    <row r="477" spans="1:11" ht="17.25" customHeight="1" x14ac:dyDescent="0.3">
      <c r="A477" s="259">
        <f t="shared" si="25"/>
        <v>409</v>
      </c>
      <c r="B477" s="20" t="s">
        <v>476</v>
      </c>
      <c r="C477" s="162">
        <v>1939</v>
      </c>
      <c r="D477" s="31"/>
      <c r="E477" s="162" t="s">
        <v>3035</v>
      </c>
      <c r="F477" s="162">
        <v>4</v>
      </c>
      <c r="G477" s="200">
        <v>2434.6999999999998</v>
      </c>
      <c r="H477" s="48">
        <v>25</v>
      </c>
      <c r="I477" s="273">
        <f>SUMIF('2020'!B:B,B477,'2020'!C:C)+SUMIF('2021'!B:B,B477,'2021'!C:C)+SUMIF('2022'!B:B,B477,'2022'!C:C)</f>
        <v>19754637.899999999</v>
      </c>
      <c r="J477" s="59">
        <v>44925</v>
      </c>
      <c r="K477" s="162" t="s">
        <v>3118</v>
      </c>
    </row>
    <row r="478" spans="1:11" ht="17.25" customHeight="1" x14ac:dyDescent="0.3">
      <c r="A478" s="259">
        <f t="shared" si="25"/>
        <v>410</v>
      </c>
      <c r="B478" s="20" t="s">
        <v>477</v>
      </c>
      <c r="C478" s="162">
        <v>1960</v>
      </c>
      <c r="D478" s="31"/>
      <c r="E478" s="162" t="s">
        <v>3035</v>
      </c>
      <c r="F478" s="162">
        <v>2</v>
      </c>
      <c r="G478" s="200">
        <v>694.8</v>
      </c>
      <c r="H478" s="48">
        <v>39</v>
      </c>
      <c r="I478" s="273">
        <f>SUMIF('2020'!B:B,B478,'2020'!C:C)+SUMIF('2021'!B:B,B478,'2021'!C:C)+SUMIF('2022'!B:B,B478,'2022'!C:C)</f>
        <v>122651.87</v>
      </c>
      <c r="J478" s="59">
        <v>44925</v>
      </c>
      <c r="K478" s="162" t="s">
        <v>3118</v>
      </c>
    </row>
    <row r="479" spans="1:11" ht="17.25" customHeight="1" x14ac:dyDescent="0.3">
      <c r="A479" s="259">
        <f t="shared" si="25"/>
        <v>411</v>
      </c>
      <c r="B479" s="20" t="s">
        <v>478</v>
      </c>
      <c r="C479" s="162">
        <v>1960</v>
      </c>
      <c r="D479" s="31"/>
      <c r="E479" s="162" t="s">
        <v>3035</v>
      </c>
      <c r="F479" s="162">
        <v>2</v>
      </c>
      <c r="G479" s="200">
        <v>698.9</v>
      </c>
      <c r="H479" s="48">
        <v>33</v>
      </c>
      <c r="I479" s="273">
        <f>SUMIF('2020'!B:B,B479,'2020'!C:C)+SUMIF('2021'!B:B,B479,'2021'!C:C)+SUMIF('2022'!B:B,B479,'2022'!C:C)</f>
        <v>122619.92</v>
      </c>
      <c r="J479" s="59">
        <v>44925</v>
      </c>
      <c r="K479" s="162" t="s">
        <v>3118</v>
      </c>
    </row>
    <row r="480" spans="1:11" ht="17.25" customHeight="1" x14ac:dyDescent="0.3">
      <c r="A480" s="259">
        <f t="shared" si="25"/>
        <v>412</v>
      </c>
      <c r="B480" s="20" t="s">
        <v>479</v>
      </c>
      <c r="C480" s="162">
        <v>1961</v>
      </c>
      <c r="D480" s="31"/>
      <c r="E480" s="31" t="s">
        <v>3035</v>
      </c>
      <c r="F480" s="31">
        <v>3</v>
      </c>
      <c r="G480" s="200">
        <v>1663.3</v>
      </c>
      <c r="H480" s="173">
        <v>76</v>
      </c>
      <c r="I480" s="273">
        <f>SUMIF('2020'!B:B,B480,'2020'!C:C)+SUMIF('2021'!B:B,B480,'2021'!C:C)+SUMIF('2022'!B:B,B480,'2022'!C:C)</f>
        <v>111603.7</v>
      </c>
      <c r="J480" s="59">
        <v>44925</v>
      </c>
      <c r="K480" s="162" t="s">
        <v>3118</v>
      </c>
    </row>
    <row r="481" spans="1:11" ht="17.25" customHeight="1" x14ac:dyDescent="0.3">
      <c r="A481" s="259">
        <f t="shared" si="25"/>
        <v>413</v>
      </c>
      <c r="B481" s="20" t="s">
        <v>480</v>
      </c>
      <c r="C481" s="162">
        <v>1961</v>
      </c>
      <c r="D481" s="31"/>
      <c r="E481" s="162" t="s">
        <v>3035</v>
      </c>
      <c r="F481" s="162">
        <v>3</v>
      </c>
      <c r="G481" s="200">
        <v>1656.1</v>
      </c>
      <c r="H481" s="48">
        <v>61</v>
      </c>
      <c r="I481" s="273">
        <f>SUMIF('2020'!B:B,B481,'2020'!C:C)+SUMIF('2021'!B:B,B481,'2021'!C:C)+SUMIF('2022'!B:B,B481,'2022'!C:C)</f>
        <v>233806.72</v>
      </c>
      <c r="J481" s="59">
        <v>44925</v>
      </c>
      <c r="K481" s="162" t="s">
        <v>3118</v>
      </c>
    </row>
    <row r="482" spans="1:11" ht="17.25" customHeight="1" x14ac:dyDescent="0.3">
      <c r="A482" s="259">
        <f t="shared" si="25"/>
        <v>414</v>
      </c>
      <c r="B482" s="20" t="s">
        <v>481</v>
      </c>
      <c r="C482" s="162">
        <v>1961</v>
      </c>
      <c r="D482" s="31"/>
      <c r="E482" s="162" t="s">
        <v>3035</v>
      </c>
      <c r="F482" s="162">
        <v>3</v>
      </c>
      <c r="G482" s="200">
        <v>1656</v>
      </c>
      <c r="H482" s="48">
        <v>80</v>
      </c>
      <c r="I482" s="273">
        <f>SUMIF('2020'!B:B,B482,'2020'!C:C)+SUMIF('2021'!B:B,B482,'2021'!C:C)+SUMIF('2022'!B:B,B482,'2022'!C:C)</f>
        <v>147922.45000000001</v>
      </c>
      <c r="J482" s="59">
        <v>44925</v>
      </c>
      <c r="K482" s="162" t="s">
        <v>3118</v>
      </c>
    </row>
    <row r="483" spans="1:11" ht="17.25" customHeight="1" x14ac:dyDescent="0.3">
      <c r="A483" s="259">
        <f t="shared" si="25"/>
        <v>415</v>
      </c>
      <c r="B483" s="20" t="s">
        <v>482</v>
      </c>
      <c r="C483" s="162">
        <v>1994</v>
      </c>
      <c r="D483" s="31"/>
      <c r="E483" s="162" t="s">
        <v>3150</v>
      </c>
      <c r="F483" s="162">
        <v>2</v>
      </c>
      <c r="G483" s="200">
        <v>650.1</v>
      </c>
      <c r="H483" s="48">
        <v>37</v>
      </c>
      <c r="I483" s="273">
        <f>SUMIF('2020'!B:B,B483,'2020'!C:C)+SUMIF('2021'!B:B,B483,'2021'!C:C)+SUMIF('2022'!B:B,B483,'2022'!C:C)</f>
        <v>622718.4</v>
      </c>
      <c r="J483" s="59">
        <v>44925</v>
      </c>
      <c r="K483" s="162" t="s">
        <v>3118</v>
      </c>
    </row>
    <row r="484" spans="1:11" ht="17.25" customHeight="1" x14ac:dyDescent="0.3">
      <c r="A484" s="259">
        <f t="shared" si="25"/>
        <v>416</v>
      </c>
      <c r="B484" s="20" t="s">
        <v>483</v>
      </c>
      <c r="C484" s="162">
        <v>1968</v>
      </c>
      <c r="D484" s="31"/>
      <c r="E484" s="162" t="s">
        <v>3121</v>
      </c>
      <c r="F484" s="162">
        <v>5</v>
      </c>
      <c r="G484" s="200">
        <v>3894.9</v>
      </c>
      <c r="H484" s="48">
        <v>140</v>
      </c>
      <c r="I484" s="273">
        <f>SUMIF('2020'!B:B,B484,'2020'!C:C)+SUMIF('2021'!B:B,B484,'2021'!C:C)+SUMIF('2022'!B:B,B484,'2022'!C:C)</f>
        <v>386911.62</v>
      </c>
      <c r="J484" s="59">
        <v>44925</v>
      </c>
      <c r="K484" s="162" t="s">
        <v>3118</v>
      </c>
    </row>
    <row r="485" spans="1:11" ht="17.25" customHeight="1" x14ac:dyDescent="0.3">
      <c r="A485" s="259">
        <f t="shared" si="25"/>
        <v>417</v>
      </c>
      <c r="B485" s="20" t="s">
        <v>484</v>
      </c>
      <c r="C485" s="162">
        <v>1975</v>
      </c>
      <c r="D485" s="31"/>
      <c r="E485" s="162" t="s">
        <v>3035</v>
      </c>
      <c r="F485" s="162">
        <v>9</v>
      </c>
      <c r="G485" s="200">
        <v>2189.3000000000002</v>
      </c>
      <c r="H485" s="48">
        <v>69</v>
      </c>
      <c r="I485" s="273">
        <f>SUMIF('2020'!B:B,B485,'2020'!C:C)+SUMIF('2021'!B:B,B485,'2021'!C:C)+SUMIF('2022'!B:B,B485,'2022'!C:C)</f>
        <v>356793.56</v>
      </c>
      <c r="J485" s="59">
        <v>44925</v>
      </c>
      <c r="K485" s="162" t="s">
        <v>3118</v>
      </c>
    </row>
    <row r="486" spans="1:11" ht="17.25" customHeight="1" x14ac:dyDescent="0.3">
      <c r="A486" s="259">
        <f t="shared" si="25"/>
        <v>418</v>
      </c>
      <c r="B486" s="20" t="s">
        <v>485</v>
      </c>
      <c r="C486" s="162">
        <v>1968</v>
      </c>
      <c r="D486" s="31"/>
      <c r="E486" s="162" t="s">
        <v>3121</v>
      </c>
      <c r="F486" s="162">
        <v>5</v>
      </c>
      <c r="G486" s="200">
        <v>6091.3</v>
      </c>
      <c r="H486" s="48">
        <v>253</v>
      </c>
      <c r="I486" s="273">
        <f>SUMIF('2020'!B:B,B486,'2020'!C:C)+SUMIF('2021'!B:B,B486,'2021'!C:C)+SUMIF('2022'!B:B,B486,'2022'!C:C)</f>
        <v>576631.14</v>
      </c>
      <c r="J486" s="59">
        <v>44925</v>
      </c>
      <c r="K486" s="162" t="s">
        <v>3118</v>
      </c>
    </row>
    <row r="487" spans="1:11" ht="17.25" customHeight="1" x14ac:dyDescent="0.3">
      <c r="A487" s="259">
        <f t="shared" si="25"/>
        <v>419</v>
      </c>
      <c r="B487" s="20" t="s">
        <v>486</v>
      </c>
      <c r="C487" s="162">
        <v>1969</v>
      </c>
      <c r="D487" s="31"/>
      <c r="E487" s="162" t="s">
        <v>3121</v>
      </c>
      <c r="F487" s="162">
        <v>5</v>
      </c>
      <c r="G487" s="200">
        <v>4979</v>
      </c>
      <c r="H487" s="48">
        <v>204</v>
      </c>
      <c r="I487" s="273">
        <f>SUMIF('2020'!B:B,B487,'2020'!C:C)+SUMIF('2021'!B:B,B487,'2021'!C:C)+SUMIF('2022'!B:B,B487,'2022'!C:C)</f>
        <v>455832.38</v>
      </c>
      <c r="J487" s="59">
        <v>44925</v>
      </c>
      <c r="K487" s="162" t="s">
        <v>3118</v>
      </c>
    </row>
    <row r="488" spans="1:11" ht="17.25" customHeight="1" x14ac:dyDescent="0.3">
      <c r="A488" s="259">
        <f t="shared" si="25"/>
        <v>420</v>
      </c>
      <c r="B488" s="20" t="s">
        <v>487</v>
      </c>
      <c r="C488" s="162">
        <v>1973</v>
      </c>
      <c r="D488" s="31"/>
      <c r="E488" s="162" t="s">
        <v>3121</v>
      </c>
      <c r="F488" s="162">
        <v>5</v>
      </c>
      <c r="G488" s="200" t="s">
        <v>3151</v>
      </c>
      <c r="H488" s="48">
        <v>176</v>
      </c>
      <c r="I488" s="273">
        <f>SUMIF('2020'!B:B,B488,'2020'!C:C)+SUMIF('2021'!B:B,B488,'2021'!C:C)+SUMIF('2022'!B:B,B488,'2022'!C:C)</f>
        <v>455832.38</v>
      </c>
      <c r="J488" s="59">
        <v>44925</v>
      </c>
      <c r="K488" s="162" t="s">
        <v>3118</v>
      </c>
    </row>
    <row r="489" spans="1:11" ht="17.25" customHeight="1" x14ac:dyDescent="0.3">
      <c r="A489" s="259">
        <f t="shared" si="25"/>
        <v>421</v>
      </c>
      <c r="B489" s="20" t="s">
        <v>488</v>
      </c>
      <c r="C489" s="162">
        <v>1965</v>
      </c>
      <c r="D489" s="31"/>
      <c r="E489" s="162" t="s">
        <v>3121</v>
      </c>
      <c r="F489" s="162">
        <v>5</v>
      </c>
      <c r="G489" s="200">
        <v>3878.3</v>
      </c>
      <c r="H489" s="48">
        <v>135</v>
      </c>
      <c r="I489" s="273">
        <f>SUMIF('2020'!B:B,B489,'2020'!C:C)+SUMIF('2021'!B:B,B489,'2021'!C:C)+SUMIF('2022'!B:B,B489,'2022'!C:C)</f>
        <v>395750.7</v>
      </c>
      <c r="J489" s="59">
        <v>44925</v>
      </c>
      <c r="K489" s="162" t="s">
        <v>3118</v>
      </c>
    </row>
    <row r="490" spans="1:11" ht="17.25" customHeight="1" x14ac:dyDescent="0.3">
      <c r="A490" s="259">
        <f t="shared" si="25"/>
        <v>422</v>
      </c>
      <c r="B490" s="20" t="s">
        <v>489</v>
      </c>
      <c r="C490" s="162">
        <v>1975</v>
      </c>
      <c r="D490" s="31"/>
      <c r="E490" s="162" t="s">
        <v>3035</v>
      </c>
      <c r="F490" s="162">
        <v>9</v>
      </c>
      <c r="G490" s="200">
        <v>2147.6999999999998</v>
      </c>
      <c r="H490" s="48">
        <v>86</v>
      </c>
      <c r="I490" s="273">
        <f>SUMIF('2020'!B:B,B490,'2020'!C:C)+SUMIF('2021'!B:B,B490,'2021'!C:C)+SUMIF('2022'!B:B,B490,'2022'!C:C)</f>
        <v>73814.42</v>
      </c>
      <c r="J490" s="59">
        <v>44925</v>
      </c>
      <c r="K490" s="162" t="s">
        <v>3118</v>
      </c>
    </row>
    <row r="491" spans="1:11" ht="17.25" customHeight="1" x14ac:dyDescent="0.3">
      <c r="A491" s="259">
        <f t="shared" si="25"/>
        <v>423</v>
      </c>
      <c r="B491" s="20" t="s">
        <v>490</v>
      </c>
      <c r="C491" s="162">
        <v>1966</v>
      </c>
      <c r="D491" s="31"/>
      <c r="E491" s="162" t="s">
        <v>3121</v>
      </c>
      <c r="F491" s="28">
        <v>5</v>
      </c>
      <c r="G491" s="200">
        <v>3854.4</v>
      </c>
      <c r="H491" s="173">
        <v>182</v>
      </c>
      <c r="I491" s="273">
        <f>SUMIF('2020'!B:B,B491,'2020'!C:C)+SUMIF('2021'!B:B,B491,'2021'!C:C)+SUMIF('2022'!B:B,B491,'2022'!C:C)</f>
        <v>171654.52</v>
      </c>
      <c r="J491" s="59">
        <v>44925</v>
      </c>
      <c r="K491" s="162" t="s">
        <v>3118</v>
      </c>
    </row>
    <row r="492" spans="1:11" ht="17.25" customHeight="1" x14ac:dyDescent="0.3">
      <c r="A492" s="259">
        <f t="shared" si="25"/>
        <v>424</v>
      </c>
      <c r="B492" s="20" t="s">
        <v>491</v>
      </c>
      <c r="C492" s="162">
        <v>1975</v>
      </c>
      <c r="D492" s="31"/>
      <c r="E492" s="162" t="s">
        <v>3035</v>
      </c>
      <c r="F492" s="162">
        <v>9</v>
      </c>
      <c r="G492" s="200">
        <v>2147.9</v>
      </c>
      <c r="H492" s="48">
        <v>81</v>
      </c>
      <c r="I492" s="273">
        <f>SUMIF('2020'!B:B,B492,'2020'!C:C)+SUMIF('2021'!B:B,B492,'2021'!C:C)+SUMIF('2022'!B:B,B492,'2022'!C:C)</f>
        <v>73846.820000000007</v>
      </c>
      <c r="J492" s="59">
        <v>44925</v>
      </c>
      <c r="K492" s="162" t="s">
        <v>3118</v>
      </c>
    </row>
    <row r="493" spans="1:11" ht="17.25" customHeight="1" x14ac:dyDescent="0.3">
      <c r="A493" s="259">
        <f t="shared" si="25"/>
        <v>425</v>
      </c>
      <c r="B493" s="20" t="s">
        <v>492</v>
      </c>
      <c r="C493" s="162">
        <v>1968</v>
      </c>
      <c r="D493" s="31"/>
      <c r="E493" s="162" t="s">
        <v>3035</v>
      </c>
      <c r="F493" s="162">
        <v>5</v>
      </c>
      <c r="G493" s="200">
        <v>4045.08</v>
      </c>
      <c r="H493" s="48">
        <v>101</v>
      </c>
      <c r="I493" s="273">
        <f>SUMIF('2020'!B:B,B493,'2020'!C:C)+SUMIF('2021'!B:B,B493,'2021'!C:C)+SUMIF('2022'!B:B,B493,'2022'!C:C)</f>
        <v>168980.62</v>
      </c>
      <c r="J493" s="59">
        <v>44925</v>
      </c>
      <c r="K493" s="162" t="s">
        <v>3118</v>
      </c>
    </row>
    <row r="494" spans="1:11" ht="17.25" customHeight="1" x14ac:dyDescent="0.3">
      <c r="A494" s="259">
        <f t="shared" si="25"/>
        <v>426</v>
      </c>
      <c r="B494" s="20" t="s">
        <v>493</v>
      </c>
      <c r="C494" s="162">
        <v>1975</v>
      </c>
      <c r="D494" s="31"/>
      <c r="E494" s="162" t="s">
        <v>3035</v>
      </c>
      <c r="F494" s="162">
        <v>9</v>
      </c>
      <c r="G494" s="200">
        <v>2229.6999999999998</v>
      </c>
      <c r="H494" s="48">
        <v>91</v>
      </c>
      <c r="I494" s="273">
        <f>SUMIF('2020'!B:B,B494,'2020'!C:C)+SUMIF('2021'!B:B,B494,'2021'!C:C)+SUMIF('2022'!B:B,B494,'2022'!C:C)</f>
        <v>96492.79</v>
      </c>
      <c r="J494" s="59">
        <v>44925</v>
      </c>
      <c r="K494" s="162" t="s">
        <v>3118</v>
      </c>
    </row>
    <row r="495" spans="1:11" ht="17.25" customHeight="1" x14ac:dyDescent="0.3">
      <c r="A495" s="259">
        <f t="shared" si="25"/>
        <v>427</v>
      </c>
      <c r="B495" s="20" t="s">
        <v>494</v>
      </c>
      <c r="C495" s="162">
        <v>1987</v>
      </c>
      <c r="D495" s="31"/>
      <c r="E495" s="162" t="s">
        <v>3035</v>
      </c>
      <c r="F495" s="162">
        <v>3</v>
      </c>
      <c r="G495" s="200">
        <v>3514.4</v>
      </c>
      <c r="H495" s="48">
        <v>90</v>
      </c>
      <c r="I495" s="273">
        <f>SUMIF('2020'!B:B,B495,'2020'!C:C)+SUMIF('2021'!B:B,B495,'2021'!C:C)+SUMIF('2022'!B:B,B495,'2022'!C:C)</f>
        <v>350637.03</v>
      </c>
      <c r="J495" s="59">
        <v>44925</v>
      </c>
      <c r="K495" s="162" t="s">
        <v>3118</v>
      </c>
    </row>
    <row r="496" spans="1:11" ht="17.25" customHeight="1" x14ac:dyDescent="0.3">
      <c r="A496" s="259">
        <f t="shared" si="25"/>
        <v>428</v>
      </c>
      <c r="B496" s="20" t="s">
        <v>495</v>
      </c>
      <c r="C496" s="162">
        <v>2000</v>
      </c>
      <c r="D496" s="31"/>
      <c r="E496" s="162" t="s">
        <v>3121</v>
      </c>
      <c r="F496" s="28">
        <v>6</v>
      </c>
      <c r="G496" s="200">
        <v>5037.3</v>
      </c>
      <c r="H496" s="173">
        <v>174</v>
      </c>
      <c r="I496" s="273">
        <f>SUMIF('2020'!B:B,B496,'2020'!C:C)+SUMIF('2021'!B:B,B496,'2021'!C:C)+SUMIF('2022'!B:B,B496,'2022'!C:C)</f>
        <v>5573893.2000000002</v>
      </c>
      <c r="J496" s="59">
        <v>44925</v>
      </c>
      <c r="K496" s="162" t="s">
        <v>3118</v>
      </c>
    </row>
    <row r="497" spans="1:11" ht="17.25" customHeight="1" x14ac:dyDescent="0.3">
      <c r="A497" s="259">
        <f t="shared" si="25"/>
        <v>429</v>
      </c>
      <c r="B497" s="20" t="s">
        <v>496</v>
      </c>
      <c r="C497" s="162">
        <v>2000</v>
      </c>
      <c r="D497" s="31"/>
      <c r="E497" s="162" t="s">
        <v>3121</v>
      </c>
      <c r="F497" s="28">
        <v>6</v>
      </c>
      <c r="G497" s="200">
        <v>5048.3999999999996</v>
      </c>
      <c r="H497" s="173">
        <v>179</v>
      </c>
      <c r="I497" s="273">
        <f>SUMIF('2020'!B:B,B497,'2020'!C:C)+SUMIF('2021'!B:B,B497,'2021'!C:C)+SUMIF('2022'!B:B,B497,'2022'!C:C)</f>
        <v>5334510</v>
      </c>
      <c r="J497" s="59">
        <v>44925</v>
      </c>
      <c r="K497" s="162" t="s">
        <v>3118</v>
      </c>
    </row>
    <row r="498" spans="1:11" ht="17.25" customHeight="1" x14ac:dyDescent="0.3">
      <c r="A498" s="259">
        <f t="shared" si="25"/>
        <v>430</v>
      </c>
      <c r="B498" s="20" t="s">
        <v>497</v>
      </c>
      <c r="C498" s="162">
        <v>1936</v>
      </c>
      <c r="D498" s="31"/>
      <c r="E498" s="162" t="s">
        <v>3035</v>
      </c>
      <c r="F498" s="162">
        <v>4</v>
      </c>
      <c r="G498" s="200">
        <v>2445.8000000000002</v>
      </c>
      <c r="H498" s="48">
        <v>102</v>
      </c>
      <c r="I498" s="273">
        <f>SUMIF('2020'!B:B,B498,'2020'!C:C)+SUMIF('2021'!B:B,B498,'2021'!C:C)+SUMIF('2022'!B:B,B498,'2022'!C:C)</f>
        <v>575289.27</v>
      </c>
      <c r="J498" s="59">
        <v>44925</v>
      </c>
      <c r="K498" s="162" t="s">
        <v>3118</v>
      </c>
    </row>
    <row r="499" spans="1:11" ht="17.25" customHeight="1" x14ac:dyDescent="0.3">
      <c r="A499" s="259">
        <f t="shared" si="25"/>
        <v>431</v>
      </c>
      <c r="B499" s="20" t="s">
        <v>498</v>
      </c>
      <c r="C499" s="162">
        <v>1936</v>
      </c>
      <c r="D499" s="31"/>
      <c r="E499" s="162" t="s">
        <v>3035</v>
      </c>
      <c r="F499" s="162">
        <v>4</v>
      </c>
      <c r="G499" s="200">
        <v>2502.4</v>
      </c>
      <c r="H499" s="48">
        <v>72</v>
      </c>
      <c r="I499" s="273">
        <f>SUMIF('2020'!B:B,B499,'2020'!C:C)+SUMIF('2021'!B:B,B499,'2021'!C:C)+SUMIF('2022'!B:B,B499,'2022'!C:C)</f>
        <v>5434599.5999999996</v>
      </c>
      <c r="J499" s="59">
        <v>44925</v>
      </c>
      <c r="K499" s="162" t="s">
        <v>3118</v>
      </c>
    </row>
    <row r="500" spans="1:11" ht="17.25" customHeight="1" x14ac:dyDescent="0.3">
      <c r="A500" s="259">
        <f t="shared" si="25"/>
        <v>432</v>
      </c>
      <c r="B500" s="20" t="s">
        <v>499</v>
      </c>
      <c r="C500" s="162">
        <v>1971</v>
      </c>
      <c r="D500" s="31"/>
      <c r="E500" s="162" t="s">
        <v>3121</v>
      </c>
      <c r="F500" s="162">
        <v>5</v>
      </c>
      <c r="G500" s="200">
        <v>4909</v>
      </c>
      <c r="H500" s="48">
        <v>205</v>
      </c>
      <c r="I500" s="273">
        <f>SUMIF('2020'!B:B,B500,'2020'!C:C)+SUMIF('2021'!B:B,B500,'2021'!C:C)+SUMIF('2022'!B:B,B500,'2022'!C:C)</f>
        <v>1697831.23</v>
      </c>
      <c r="J500" s="59">
        <v>44925</v>
      </c>
      <c r="K500" s="162" t="s">
        <v>3118</v>
      </c>
    </row>
    <row r="501" spans="1:11" ht="17.25" customHeight="1" x14ac:dyDescent="0.3">
      <c r="A501" s="259">
        <f t="shared" si="25"/>
        <v>433</v>
      </c>
      <c r="B501" s="20" t="s">
        <v>500</v>
      </c>
      <c r="C501" s="162">
        <v>1954</v>
      </c>
      <c r="D501" s="31"/>
      <c r="E501" s="162" t="s">
        <v>3035</v>
      </c>
      <c r="F501" s="162">
        <v>4</v>
      </c>
      <c r="G501" s="200">
        <v>1984.1</v>
      </c>
      <c r="H501" s="48">
        <v>72</v>
      </c>
      <c r="I501" s="273">
        <f>SUMIF('2020'!B:B,B501,'2020'!C:C)+SUMIF('2021'!B:B,B501,'2021'!C:C)+SUMIF('2022'!B:B,B501,'2022'!C:C)</f>
        <v>708072.39</v>
      </c>
      <c r="J501" s="59">
        <v>44925</v>
      </c>
      <c r="K501" s="162" t="s">
        <v>3118</v>
      </c>
    </row>
    <row r="502" spans="1:11" ht="17.25" customHeight="1" x14ac:dyDescent="0.3">
      <c r="A502" s="259">
        <f t="shared" si="25"/>
        <v>434</v>
      </c>
      <c r="B502" s="20" t="s">
        <v>501</v>
      </c>
      <c r="C502" s="162">
        <v>1954</v>
      </c>
      <c r="D502" s="31"/>
      <c r="E502" s="162" t="s">
        <v>3035</v>
      </c>
      <c r="F502" s="162">
        <v>4</v>
      </c>
      <c r="G502" s="200">
        <v>2059.4</v>
      </c>
      <c r="H502" s="48">
        <v>76</v>
      </c>
      <c r="I502" s="273">
        <f>SUMIF('2020'!B:B,B502,'2020'!C:C)+SUMIF('2021'!B:B,B502,'2021'!C:C)+SUMIF('2022'!B:B,B502,'2022'!C:C)</f>
        <v>332976.40000000002</v>
      </c>
      <c r="J502" s="59">
        <v>44925</v>
      </c>
      <c r="K502" s="162" t="s">
        <v>3118</v>
      </c>
    </row>
    <row r="503" spans="1:11" ht="17.25" customHeight="1" x14ac:dyDescent="0.3">
      <c r="A503" s="259">
        <f t="shared" si="25"/>
        <v>435</v>
      </c>
      <c r="B503" s="20" t="s">
        <v>502</v>
      </c>
      <c r="C503" s="162">
        <v>1981</v>
      </c>
      <c r="D503" s="31"/>
      <c r="E503" s="162" t="s">
        <v>3035</v>
      </c>
      <c r="F503" s="162">
        <v>5</v>
      </c>
      <c r="G503" s="200">
        <v>2997</v>
      </c>
      <c r="H503" s="48">
        <v>143</v>
      </c>
      <c r="I503" s="273">
        <f>SUMIF('2020'!B:B,B503,'2020'!C:C)+SUMIF('2021'!B:B,B503,'2021'!C:C)+SUMIF('2022'!B:B,B503,'2022'!C:C)</f>
        <v>17469901.199999999</v>
      </c>
      <c r="J503" s="59">
        <v>44925</v>
      </c>
      <c r="K503" s="162" t="s">
        <v>3118</v>
      </c>
    </row>
    <row r="504" spans="1:11" ht="17.25" customHeight="1" x14ac:dyDescent="0.3">
      <c r="A504" s="259">
        <f t="shared" si="25"/>
        <v>436</v>
      </c>
      <c r="B504" s="20" t="s">
        <v>503</v>
      </c>
      <c r="C504" s="162">
        <v>1986</v>
      </c>
      <c r="D504" s="31"/>
      <c r="E504" s="162" t="s">
        <v>3035</v>
      </c>
      <c r="F504" s="162">
        <v>5</v>
      </c>
      <c r="G504" s="200">
        <v>2985.7</v>
      </c>
      <c r="H504" s="48">
        <v>164</v>
      </c>
      <c r="I504" s="273">
        <f>SUMIF('2020'!B:B,B504,'2020'!C:C)+SUMIF('2021'!B:B,B504,'2021'!C:C)+SUMIF('2022'!B:B,B504,'2022'!C:C)</f>
        <v>3788836.52</v>
      </c>
      <c r="J504" s="59">
        <v>44925</v>
      </c>
      <c r="K504" s="162" t="s">
        <v>3118</v>
      </c>
    </row>
    <row r="505" spans="1:11" ht="17.25" customHeight="1" x14ac:dyDescent="0.3">
      <c r="A505" s="259">
        <f t="shared" si="25"/>
        <v>437</v>
      </c>
      <c r="B505" s="20" t="s">
        <v>504</v>
      </c>
      <c r="C505" s="162">
        <v>1992</v>
      </c>
      <c r="D505" s="31"/>
      <c r="E505" s="162" t="s">
        <v>3035</v>
      </c>
      <c r="F505" s="162">
        <v>5</v>
      </c>
      <c r="G505" s="200">
        <v>3128.8</v>
      </c>
      <c r="H505" s="48">
        <v>78</v>
      </c>
      <c r="I505" s="273">
        <f>SUMIF('2020'!B:B,B505,'2020'!C:C)+SUMIF('2021'!B:B,B505,'2021'!C:C)+SUMIF('2022'!B:B,B505,'2022'!C:C)</f>
        <v>175448.34</v>
      </c>
      <c r="J505" s="59">
        <v>44925</v>
      </c>
      <c r="K505" s="162" t="s">
        <v>3118</v>
      </c>
    </row>
    <row r="506" spans="1:11" ht="17.25" customHeight="1" x14ac:dyDescent="0.3">
      <c r="A506" s="259">
        <f t="shared" si="25"/>
        <v>438</v>
      </c>
      <c r="B506" s="20" t="s">
        <v>505</v>
      </c>
      <c r="C506" s="162">
        <v>1971</v>
      </c>
      <c r="D506" s="31"/>
      <c r="E506" s="162" t="s">
        <v>3121</v>
      </c>
      <c r="F506" s="162">
        <v>5</v>
      </c>
      <c r="G506" s="200">
        <v>4844</v>
      </c>
      <c r="H506" s="48">
        <v>229</v>
      </c>
      <c r="I506" s="273">
        <f>SUMIF('2020'!B:B,B506,'2020'!C:C)+SUMIF('2021'!B:B,B506,'2021'!C:C)+SUMIF('2022'!B:B,B506,'2022'!C:C)</f>
        <v>233166.07</v>
      </c>
      <c r="J506" s="59">
        <v>44925</v>
      </c>
      <c r="K506" s="162" t="s">
        <v>3118</v>
      </c>
    </row>
    <row r="507" spans="1:11" ht="17.25" customHeight="1" x14ac:dyDescent="0.3">
      <c r="A507" s="259">
        <f t="shared" si="25"/>
        <v>439</v>
      </c>
      <c r="B507" s="20" t="s">
        <v>506</v>
      </c>
      <c r="C507" s="162">
        <v>1975</v>
      </c>
      <c r="D507" s="31"/>
      <c r="E507" s="162" t="s">
        <v>3121</v>
      </c>
      <c r="F507" s="162">
        <v>5</v>
      </c>
      <c r="G507" s="200">
        <v>4120.2</v>
      </c>
      <c r="H507" s="48">
        <v>199</v>
      </c>
      <c r="I507" s="273">
        <f>SUMIF('2020'!B:B,B507,'2020'!C:C)+SUMIF('2021'!B:B,B507,'2021'!C:C)+SUMIF('2022'!B:B,B507,'2022'!C:C)</f>
        <v>383679</v>
      </c>
      <c r="J507" s="59">
        <v>44925</v>
      </c>
      <c r="K507" s="162" t="s">
        <v>3118</v>
      </c>
    </row>
    <row r="508" spans="1:11" ht="17.25" customHeight="1" x14ac:dyDescent="0.3">
      <c r="A508" s="259">
        <f t="shared" si="25"/>
        <v>440</v>
      </c>
      <c r="B508" s="20" t="s">
        <v>507</v>
      </c>
      <c r="C508" s="162">
        <v>1976</v>
      </c>
      <c r="D508" s="31"/>
      <c r="E508" s="58" t="s">
        <v>3121</v>
      </c>
      <c r="F508" s="58">
        <v>5</v>
      </c>
      <c r="G508" s="200">
        <v>4126.5</v>
      </c>
      <c r="H508" s="9">
        <v>175</v>
      </c>
      <c r="I508" s="273">
        <f>SUMIF('2020'!B:B,B508,'2020'!C:C)+SUMIF('2021'!B:B,B508,'2021'!C:C)+SUMIF('2022'!B:B,B508,'2022'!C:C)</f>
        <v>384552.83</v>
      </c>
      <c r="J508" s="59">
        <v>44925</v>
      </c>
      <c r="K508" s="162" t="s">
        <v>3118</v>
      </c>
    </row>
    <row r="509" spans="1:11" ht="17.25" customHeight="1" x14ac:dyDescent="0.3">
      <c r="A509" s="259">
        <f t="shared" si="25"/>
        <v>441</v>
      </c>
      <c r="B509" s="20" t="s">
        <v>508</v>
      </c>
      <c r="C509" s="162">
        <v>1993</v>
      </c>
      <c r="D509" s="31"/>
      <c r="E509" s="162" t="s">
        <v>3119</v>
      </c>
      <c r="F509" s="162">
        <v>10</v>
      </c>
      <c r="G509" s="200">
        <v>7764.7</v>
      </c>
      <c r="H509" s="48">
        <v>296</v>
      </c>
      <c r="I509" s="273">
        <f>SUMIF('2020'!B:B,B509,'2020'!C:C)+SUMIF('2021'!B:B,B509,'2021'!C:C)+SUMIF('2022'!B:B,B509,'2022'!C:C)</f>
        <v>8864768.4000000004</v>
      </c>
      <c r="J509" s="59">
        <v>44925</v>
      </c>
      <c r="K509" s="162" t="s">
        <v>3118</v>
      </c>
    </row>
    <row r="510" spans="1:11" ht="17.25" customHeight="1" x14ac:dyDescent="0.3">
      <c r="A510" s="259">
        <f t="shared" si="25"/>
        <v>442</v>
      </c>
      <c r="B510" s="20" t="s">
        <v>509</v>
      </c>
      <c r="C510" s="162">
        <v>1971</v>
      </c>
      <c r="D510" s="31"/>
      <c r="E510" s="162" t="s">
        <v>3121</v>
      </c>
      <c r="F510" s="162">
        <v>5</v>
      </c>
      <c r="G510" s="200">
        <v>6004.2</v>
      </c>
      <c r="H510" s="48">
        <v>272</v>
      </c>
      <c r="I510" s="273">
        <f>SUMIF('2020'!B:B,B510,'2020'!C:C)+SUMIF('2021'!B:B,B510,'2021'!C:C)+SUMIF('2022'!B:B,B510,'2022'!C:C)</f>
        <v>4157577.82</v>
      </c>
      <c r="J510" s="59">
        <v>44925</v>
      </c>
      <c r="K510" s="162" t="s">
        <v>3118</v>
      </c>
    </row>
    <row r="511" spans="1:11" ht="17.25" customHeight="1" x14ac:dyDescent="0.3">
      <c r="A511" s="259">
        <f t="shared" si="25"/>
        <v>443</v>
      </c>
      <c r="B511" s="20" t="s">
        <v>510</v>
      </c>
      <c r="C511" s="162">
        <v>1960</v>
      </c>
      <c r="D511" s="31"/>
      <c r="E511" s="162" t="s">
        <v>3035</v>
      </c>
      <c r="F511" s="162">
        <v>2</v>
      </c>
      <c r="G511" s="200" t="s">
        <v>3152</v>
      </c>
      <c r="H511" s="48">
        <v>32</v>
      </c>
      <c r="I511" s="273">
        <f>SUMIF('2020'!B:B,B511,'2020'!C:C)+SUMIF('2021'!B:B,B511,'2021'!C:C)+SUMIF('2022'!B:B,B511,'2022'!C:C)</f>
        <v>4524783.5600000005</v>
      </c>
      <c r="J511" s="59">
        <v>44925</v>
      </c>
      <c r="K511" s="162" t="s">
        <v>3118</v>
      </c>
    </row>
    <row r="512" spans="1:11" ht="17.25" customHeight="1" x14ac:dyDescent="0.3">
      <c r="A512" s="259">
        <f t="shared" si="25"/>
        <v>444</v>
      </c>
      <c r="B512" s="20" t="s">
        <v>511</v>
      </c>
      <c r="C512" s="162">
        <v>1960</v>
      </c>
      <c r="D512" s="31"/>
      <c r="E512" s="162" t="s">
        <v>3035</v>
      </c>
      <c r="F512" s="162">
        <v>2</v>
      </c>
      <c r="G512" s="200" t="s">
        <v>3153</v>
      </c>
      <c r="H512" s="48">
        <v>35</v>
      </c>
      <c r="I512" s="273">
        <f>SUMIF('2020'!B:B,B512,'2020'!C:C)+SUMIF('2021'!B:B,B512,'2021'!C:C)+SUMIF('2022'!B:B,B512,'2022'!C:C)</f>
        <v>336215.96</v>
      </c>
      <c r="J512" s="59">
        <v>44925</v>
      </c>
      <c r="K512" s="162" t="s">
        <v>3118</v>
      </c>
    </row>
    <row r="513" spans="1:13" ht="17.25" customHeight="1" x14ac:dyDescent="0.3">
      <c r="A513" s="259">
        <f t="shared" si="25"/>
        <v>445</v>
      </c>
      <c r="B513" s="20" t="s">
        <v>512</v>
      </c>
      <c r="C513" s="162">
        <v>1956</v>
      </c>
      <c r="D513" s="31"/>
      <c r="E513" s="162" t="s">
        <v>3035</v>
      </c>
      <c r="F513" s="162">
        <v>2</v>
      </c>
      <c r="G513" s="200">
        <v>495.95</v>
      </c>
      <c r="H513" s="48">
        <v>11</v>
      </c>
      <c r="I513" s="273">
        <f>SUMIF('2020'!B:B,B513,'2020'!C:C)+SUMIF('2021'!B:B,B513,'2021'!C:C)+SUMIF('2022'!B:B,B513,'2022'!C:C)</f>
        <v>3950784</v>
      </c>
      <c r="J513" s="59">
        <v>44925</v>
      </c>
      <c r="K513" s="162" t="s">
        <v>3118</v>
      </c>
    </row>
    <row r="514" spans="1:13" ht="17.25" customHeight="1" x14ac:dyDescent="0.3">
      <c r="A514" s="259">
        <f t="shared" si="25"/>
        <v>446</v>
      </c>
      <c r="B514" s="20" t="s">
        <v>513</v>
      </c>
      <c r="C514" s="162">
        <v>1964</v>
      </c>
      <c r="D514" s="31"/>
      <c r="E514" s="162" t="s">
        <v>3035</v>
      </c>
      <c r="F514" s="162">
        <v>2</v>
      </c>
      <c r="G514" s="200">
        <v>510.1</v>
      </c>
      <c r="H514" s="48">
        <v>41</v>
      </c>
      <c r="I514" s="273">
        <f>SUMIF('2020'!B:B,B514,'2020'!C:C)+SUMIF('2021'!B:B,B514,'2021'!C:C)+SUMIF('2022'!B:B,B514,'2022'!C:C)</f>
        <v>4308058.8</v>
      </c>
      <c r="J514" s="59">
        <v>44925</v>
      </c>
      <c r="K514" s="162" t="s">
        <v>3118</v>
      </c>
    </row>
    <row r="515" spans="1:13" ht="17.25" customHeight="1" x14ac:dyDescent="0.3">
      <c r="A515" s="259">
        <f t="shared" si="25"/>
        <v>447</v>
      </c>
      <c r="B515" s="20" t="s">
        <v>514</v>
      </c>
      <c r="C515" s="162">
        <v>1938</v>
      </c>
      <c r="D515" s="31"/>
      <c r="E515" s="162" t="s">
        <v>3035</v>
      </c>
      <c r="F515" s="162">
        <v>1</v>
      </c>
      <c r="G515" s="200">
        <v>303.39999999999998</v>
      </c>
      <c r="H515" s="48">
        <v>17</v>
      </c>
      <c r="I515" s="273">
        <f>SUMIF('2020'!B:B,B515,'2020'!C:C)+SUMIF('2021'!B:B,B515,'2021'!C:C)+SUMIF('2022'!B:B,B515,'2022'!C:C)</f>
        <v>409251.32</v>
      </c>
      <c r="J515" s="59">
        <v>44925</v>
      </c>
      <c r="K515" s="162" t="s">
        <v>3118</v>
      </c>
    </row>
    <row r="516" spans="1:13" ht="17.25" customHeight="1" x14ac:dyDescent="0.3">
      <c r="A516" s="15" t="s">
        <v>208</v>
      </c>
      <c r="B516" s="20"/>
      <c r="C516" s="31" t="s">
        <v>3558</v>
      </c>
      <c r="D516" s="31" t="s">
        <v>3558</v>
      </c>
      <c r="E516" s="31" t="s">
        <v>3558</v>
      </c>
      <c r="F516" s="31" t="s">
        <v>3558</v>
      </c>
      <c r="G516" s="56">
        <f>SUM(G467:G515)</f>
        <v>137407.93</v>
      </c>
      <c r="H516" s="173">
        <f>SUM(H467:H515)</f>
        <v>5745</v>
      </c>
      <c r="I516" s="56">
        <f>SUM(I467:I515)</f>
        <v>137905968.89999998</v>
      </c>
      <c r="J516" s="31" t="s">
        <v>3558</v>
      </c>
      <c r="K516" s="31" t="s">
        <v>3558</v>
      </c>
      <c r="L516" s="197">
        <f>I516-'2021'!C394-'2022'!C139-'2020'!C162</f>
        <v>-3.3527612686157227E-8</v>
      </c>
      <c r="M516" s="197"/>
    </row>
    <row r="517" spans="1:13" ht="17.25" customHeight="1" x14ac:dyDescent="0.3">
      <c r="A517" s="19" t="s">
        <v>515</v>
      </c>
      <c r="B517" s="20"/>
      <c r="C517" s="31"/>
      <c r="D517" s="31"/>
      <c r="E517" s="31"/>
      <c r="F517" s="31"/>
      <c r="G517" s="31"/>
      <c r="H517" s="173"/>
      <c r="I517" s="56"/>
      <c r="J517" s="31"/>
      <c r="K517" s="31"/>
    </row>
    <row r="518" spans="1:13" ht="17.25" customHeight="1" x14ac:dyDescent="0.3">
      <c r="A518" s="259">
        <f>A515+1</f>
        <v>448</v>
      </c>
      <c r="B518" s="20" t="s">
        <v>516</v>
      </c>
      <c r="C518" s="162">
        <v>1959</v>
      </c>
      <c r="D518" s="162"/>
      <c r="E518" s="162" t="s">
        <v>3035</v>
      </c>
      <c r="F518" s="162">
        <v>4</v>
      </c>
      <c r="G518" s="162">
        <v>2714.25</v>
      </c>
      <c r="H518" s="48">
        <v>54</v>
      </c>
      <c r="I518" s="273">
        <f>SUMIF('2020'!B:B,B518,'2020'!C:C)+SUMIF('2021'!B:B,B518,'2021'!C:C)+SUMIF('2022'!B:B,B518,'2022'!C:C)</f>
        <v>161782.78</v>
      </c>
      <c r="J518" s="59">
        <v>44925</v>
      </c>
      <c r="K518" s="162" t="s">
        <v>3118</v>
      </c>
    </row>
    <row r="519" spans="1:13" ht="17.25" customHeight="1" x14ac:dyDescent="0.3">
      <c r="A519" s="259">
        <f t="shared" ref="A519:A544" si="26">A518+1</f>
        <v>449</v>
      </c>
      <c r="B519" s="20" t="s">
        <v>517</v>
      </c>
      <c r="C519" s="162">
        <v>1959</v>
      </c>
      <c r="D519" s="162"/>
      <c r="E519" s="162" t="s">
        <v>3035</v>
      </c>
      <c r="F519" s="162">
        <v>2</v>
      </c>
      <c r="G519" s="162">
        <v>714.6</v>
      </c>
      <c r="H519" s="48">
        <v>33</v>
      </c>
      <c r="I519" s="273">
        <f>SUMIF('2020'!B:B,B519,'2020'!C:C)+SUMIF('2021'!B:B,B519,'2021'!C:C)+SUMIF('2022'!B:B,B519,'2022'!C:C)</f>
        <v>214371.46</v>
      </c>
      <c r="J519" s="59">
        <v>44925</v>
      </c>
      <c r="K519" s="162" t="s">
        <v>3118</v>
      </c>
    </row>
    <row r="520" spans="1:13" ht="17.25" customHeight="1" x14ac:dyDescent="0.3">
      <c r="A520" s="259">
        <f t="shared" si="26"/>
        <v>450</v>
      </c>
      <c r="B520" s="20" t="s">
        <v>518</v>
      </c>
      <c r="C520" s="162">
        <v>1959</v>
      </c>
      <c r="D520" s="162"/>
      <c r="E520" s="162" t="s">
        <v>3035</v>
      </c>
      <c r="F520" s="162">
        <v>2</v>
      </c>
      <c r="G520" s="162">
        <v>701</v>
      </c>
      <c r="H520" s="48">
        <v>16</v>
      </c>
      <c r="I520" s="273">
        <f>SUMIF('2020'!B:B,B520,'2020'!C:C)+SUMIF('2021'!B:B,B520,'2021'!C:C)+SUMIF('2022'!B:B,B520,'2022'!C:C)</f>
        <v>214371.46</v>
      </c>
      <c r="J520" s="59">
        <v>44925</v>
      </c>
      <c r="K520" s="162" t="s">
        <v>3118</v>
      </c>
    </row>
    <row r="521" spans="1:13" ht="17.25" customHeight="1" x14ac:dyDescent="0.3">
      <c r="A521" s="259">
        <f t="shared" si="26"/>
        <v>451</v>
      </c>
      <c r="B521" s="20" t="s">
        <v>519</v>
      </c>
      <c r="C521" s="162">
        <v>1959</v>
      </c>
      <c r="D521" s="162"/>
      <c r="E521" s="162" t="s">
        <v>3035</v>
      </c>
      <c r="F521" s="162">
        <v>2</v>
      </c>
      <c r="G521" s="162">
        <v>700.2</v>
      </c>
      <c r="H521" s="48">
        <v>21</v>
      </c>
      <c r="I521" s="273">
        <f>SUMIF('2020'!B:B,B521,'2020'!C:C)+SUMIF('2021'!B:B,B521,'2021'!C:C)+SUMIF('2022'!B:B,B521,'2022'!C:C)</f>
        <v>214371.46</v>
      </c>
      <c r="J521" s="59">
        <v>44925</v>
      </c>
      <c r="K521" s="162" t="s">
        <v>3118</v>
      </c>
    </row>
    <row r="522" spans="1:13" ht="17.25" customHeight="1" x14ac:dyDescent="0.3">
      <c r="A522" s="259">
        <f t="shared" si="26"/>
        <v>452</v>
      </c>
      <c r="B522" s="20" t="s">
        <v>520</v>
      </c>
      <c r="C522" s="162">
        <v>1959</v>
      </c>
      <c r="D522" s="162"/>
      <c r="E522" s="162" t="s">
        <v>3035</v>
      </c>
      <c r="F522" s="162">
        <v>2</v>
      </c>
      <c r="G522" s="162">
        <v>699.3</v>
      </c>
      <c r="H522" s="48">
        <v>17</v>
      </c>
      <c r="I522" s="273">
        <f>SUMIF('2020'!B:B,B522,'2020'!C:C)+SUMIF('2021'!B:B,B522,'2021'!C:C)+SUMIF('2022'!B:B,B522,'2022'!C:C)</f>
        <v>214371.46</v>
      </c>
      <c r="J522" s="59">
        <v>44925</v>
      </c>
      <c r="K522" s="162" t="s">
        <v>3118</v>
      </c>
    </row>
    <row r="523" spans="1:13" ht="17.25" customHeight="1" x14ac:dyDescent="0.3">
      <c r="A523" s="259">
        <f t="shared" si="26"/>
        <v>453</v>
      </c>
      <c r="B523" s="20" t="s">
        <v>521</v>
      </c>
      <c r="C523" s="162">
        <v>1963</v>
      </c>
      <c r="D523" s="162"/>
      <c r="E523" s="162" t="s">
        <v>3035</v>
      </c>
      <c r="F523" s="162">
        <v>3</v>
      </c>
      <c r="G523" s="162">
        <v>1068.4000000000001</v>
      </c>
      <c r="H523" s="48">
        <v>26</v>
      </c>
      <c r="I523" s="273">
        <f>SUMIF('2020'!B:B,B523,'2020'!C:C)+SUMIF('2021'!B:B,B523,'2021'!C:C)+SUMIF('2022'!B:B,B523,'2022'!C:C)</f>
        <v>197855.65</v>
      </c>
      <c r="J523" s="59">
        <v>44925</v>
      </c>
      <c r="K523" s="162" t="s">
        <v>3118</v>
      </c>
    </row>
    <row r="524" spans="1:13" ht="17.25" customHeight="1" x14ac:dyDescent="0.3">
      <c r="A524" s="259">
        <f t="shared" si="26"/>
        <v>454</v>
      </c>
      <c r="B524" s="20" t="s">
        <v>522</v>
      </c>
      <c r="C524" s="162">
        <v>1966</v>
      </c>
      <c r="D524" s="162"/>
      <c r="E524" s="162" t="s">
        <v>3119</v>
      </c>
      <c r="F524" s="162">
        <v>5</v>
      </c>
      <c r="G524" s="162">
        <v>1809.5</v>
      </c>
      <c r="H524" s="48">
        <v>42</v>
      </c>
      <c r="I524" s="273">
        <f>SUMIF('2020'!B:B,B524,'2020'!C:C)+SUMIF('2021'!B:B,B524,'2021'!C:C)+SUMIF('2022'!B:B,B524,'2022'!C:C)</f>
        <v>132160.5</v>
      </c>
      <c r="J524" s="59">
        <v>44925</v>
      </c>
      <c r="K524" s="162" t="s">
        <v>3118</v>
      </c>
    </row>
    <row r="525" spans="1:13" ht="17.25" customHeight="1" x14ac:dyDescent="0.3">
      <c r="A525" s="259">
        <f t="shared" si="26"/>
        <v>455</v>
      </c>
      <c r="B525" s="20" t="s">
        <v>523</v>
      </c>
      <c r="C525" s="162">
        <v>1967</v>
      </c>
      <c r="D525" s="162"/>
      <c r="E525" s="162" t="s">
        <v>3119</v>
      </c>
      <c r="F525" s="162">
        <v>5</v>
      </c>
      <c r="G525" s="162">
        <v>1810.9</v>
      </c>
      <c r="H525" s="48">
        <v>50</v>
      </c>
      <c r="I525" s="273">
        <f>SUMIF('2020'!B:B,B525,'2020'!C:C)+SUMIF('2021'!B:B,B525,'2021'!C:C)+SUMIF('2022'!B:B,B525,'2022'!C:C)</f>
        <v>316174.2</v>
      </c>
      <c r="J525" s="59">
        <v>44925</v>
      </c>
      <c r="K525" s="162" t="s">
        <v>3118</v>
      </c>
    </row>
    <row r="526" spans="1:13" ht="17.25" customHeight="1" x14ac:dyDescent="0.3">
      <c r="A526" s="259">
        <f t="shared" si="26"/>
        <v>456</v>
      </c>
      <c r="B526" s="20" t="s">
        <v>524</v>
      </c>
      <c r="C526" s="162">
        <v>1956</v>
      </c>
      <c r="D526" s="162"/>
      <c r="E526" s="162" t="s">
        <v>3035</v>
      </c>
      <c r="F526" s="162">
        <v>3</v>
      </c>
      <c r="G526" s="162">
        <v>1815.6</v>
      </c>
      <c r="H526" s="48">
        <v>72</v>
      </c>
      <c r="I526" s="273">
        <f>SUMIF('2020'!B:B,B526,'2020'!C:C)+SUMIF('2021'!B:B,B526,'2021'!C:C)+SUMIF('2022'!B:B,B526,'2022'!C:C)</f>
        <v>130000</v>
      </c>
      <c r="J526" s="59">
        <v>44925</v>
      </c>
      <c r="K526" s="162" t="s">
        <v>3118</v>
      </c>
    </row>
    <row r="527" spans="1:13" ht="17.25" customHeight="1" x14ac:dyDescent="0.3">
      <c r="A527" s="259">
        <f t="shared" si="26"/>
        <v>457</v>
      </c>
      <c r="B527" s="20" t="s">
        <v>525</v>
      </c>
      <c r="C527" s="162">
        <v>1967</v>
      </c>
      <c r="D527" s="162"/>
      <c r="E527" s="162" t="s">
        <v>3035</v>
      </c>
      <c r="F527" s="162">
        <v>2</v>
      </c>
      <c r="G527" s="162">
        <v>688.4</v>
      </c>
      <c r="H527" s="48">
        <v>19</v>
      </c>
      <c r="I527" s="273">
        <f>SUMIF('2020'!B:B,B527,'2020'!C:C)+SUMIF('2021'!B:B,B527,'2021'!C:C)+SUMIF('2022'!B:B,B527,'2022'!C:C)</f>
        <v>214371.46</v>
      </c>
      <c r="J527" s="59">
        <v>44925</v>
      </c>
      <c r="K527" s="162" t="s">
        <v>3118</v>
      </c>
    </row>
    <row r="528" spans="1:13" ht="17.25" customHeight="1" x14ac:dyDescent="0.3">
      <c r="A528" s="259">
        <f t="shared" si="26"/>
        <v>458</v>
      </c>
      <c r="B528" s="20" t="s">
        <v>526</v>
      </c>
      <c r="C528" s="162">
        <v>1967</v>
      </c>
      <c r="D528" s="162"/>
      <c r="E528" s="162" t="s">
        <v>3035</v>
      </c>
      <c r="F528" s="162">
        <v>2</v>
      </c>
      <c r="G528" s="162">
        <v>688.5</v>
      </c>
      <c r="H528" s="48">
        <v>16</v>
      </c>
      <c r="I528" s="273">
        <f>SUMIF('2020'!B:B,B528,'2020'!C:C)+SUMIF('2021'!B:B,B528,'2021'!C:C)+SUMIF('2022'!B:B,B528,'2022'!C:C)</f>
        <v>214371.46</v>
      </c>
      <c r="J528" s="59">
        <v>44925</v>
      </c>
      <c r="K528" s="162" t="s">
        <v>3118</v>
      </c>
    </row>
    <row r="529" spans="1:11" ht="17.25" customHeight="1" x14ac:dyDescent="0.3">
      <c r="A529" s="259">
        <f t="shared" si="26"/>
        <v>459</v>
      </c>
      <c r="B529" s="20" t="s">
        <v>527</v>
      </c>
      <c r="C529" s="162">
        <v>1966</v>
      </c>
      <c r="D529" s="162"/>
      <c r="E529" s="162" t="s">
        <v>3035</v>
      </c>
      <c r="F529" s="162">
        <v>2</v>
      </c>
      <c r="G529" s="162">
        <v>683</v>
      </c>
      <c r="H529" s="48">
        <v>16</v>
      </c>
      <c r="I529" s="273">
        <f>SUMIF('2020'!B:B,B529,'2020'!C:C)+SUMIF('2021'!B:B,B529,'2021'!C:C)+SUMIF('2022'!B:B,B529,'2022'!C:C)</f>
        <v>214371.46</v>
      </c>
      <c r="J529" s="59">
        <v>44925</v>
      </c>
      <c r="K529" s="162" t="s">
        <v>3118</v>
      </c>
    </row>
    <row r="530" spans="1:11" ht="17.25" customHeight="1" x14ac:dyDescent="0.3">
      <c r="A530" s="259">
        <f t="shared" si="26"/>
        <v>460</v>
      </c>
      <c r="B530" s="20" t="s">
        <v>528</v>
      </c>
      <c r="C530" s="162">
        <v>1970</v>
      </c>
      <c r="D530" s="162"/>
      <c r="E530" s="162" t="s">
        <v>3035</v>
      </c>
      <c r="F530" s="162">
        <v>2</v>
      </c>
      <c r="G530" s="162">
        <v>693.3</v>
      </c>
      <c r="H530" s="48">
        <v>21</v>
      </c>
      <c r="I530" s="273">
        <f>SUMIF('2020'!B:B,B530,'2020'!C:C)+SUMIF('2021'!B:B,B530,'2021'!C:C)+SUMIF('2022'!B:B,B530,'2022'!C:C)</f>
        <v>214371.46</v>
      </c>
      <c r="J530" s="59">
        <v>44925</v>
      </c>
      <c r="K530" s="162" t="s">
        <v>3118</v>
      </c>
    </row>
    <row r="531" spans="1:11" ht="17.25" customHeight="1" x14ac:dyDescent="0.3">
      <c r="A531" s="259">
        <f t="shared" si="26"/>
        <v>461</v>
      </c>
      <c r="B531" s="20" t="s">
        <v>529</v>
      </c>
      <c r="C531" s="162">
        <v>1972</v>
      </c>
      <c r="D531" s="162"/>
      <c r="E531" s="162" t="s">
        <v>3035</v>
      </c>
      <c r="F531" s="162">
        <v>2</v>
      </c>
      <c r="G531" s="162">
        <v>665.2</v>
      </c>
      <c r="H531" s="48">
        <v>17</v>
      </c>
      <c r="I531" s="273">
        <f>SUMIF('2020'!B:B,B531,'2020'!C:C)+SUMIF('2021'!B:B,B531,'2021'!C:C)+SUMIF('2022'!B:B,B531,'2022'!C:C)</f>
        <v>214371.46</v>
      </c>
      <c r="J531" s="59">
        <v>44925</v>
      </c>
      <c r="K531" s="162" t="s">
        <v>3118</v>
      </c>
    </row>
    <row r="532" spans="1:11" ht="17.25" customHeight="1" x14ac:dyDescent="0.3">
      <c r="A532" s="259">
        <f t="shared" si="26"/>
        <v>462</v>
      </c>
      <c r="B532" s="20" t="s">
        <v>530</v>
      </c>
      <c r="C532" s="162">
        <v>1972</v>
      </c>
      <c r="D532" s="162"/>
      <c r="E532" s="162" t="s">
        <v>3035</v>
      </c>
      <c r="F532" s="162">
        <v>2</v>
      </c>
      <c r="G532" s="162">
        <v>687.3</v>
      </c>
      <c r="H532" s="48">
        <v>16</v>
      </c>
      <c r="I532" s="273">
        <f>SUMIF('2020'!B:B,B532,'2020'!C:C)+SUMIF('2021'!B:B,B532,'2021'!C:C)+SUMIF('2022'!B:B,B532,'2022'!C:C)</f>
        <v>214371.46</v>
      </c>
      <c r="J532" s="59">
        <v>44925</v>
      </c>
      <c r="K532" s="162" t="s">
        <v>3118</v>
      </c>
    </row>
    <row r="533" spans="1:11" ht="17.25" customHeight="1" x14ac:dyDescent="0.3">
      <c r="A533" s="259">
        <f t="shared" si="26"/>
        <v>463</v>
      </c>
      <c r="B533" s="20" t="s">
        <v>531</v>
      </c>
      <c r="C533" s="162">
        <v>1975</v>
      </c>
      <c r="D533" s="162"/>
      <c r="E533" s="162" t="s">
        <v>3035</v>
      </c>
      <c r="F533" s="162">
        <v>2</v>
      </c>
      <c r="G533" s="162">
        <v>1010.9</v>
      </c>
      <c r="H533" s="48">
        <v>19</v>
      </c>
      <c r="I533" s="273">
        <f>SUMIF('2020'!B:B,B533,'2020'!C:C)+SUMIF('2021'!B:B,B533,'2021'!C:C)+SUMIF('2022'!B:B,B533,'2022'!C:C)</f>
        <v>128856.23</v>
      </c>
      <c r="J533" s="59">
        <v>44925</v>
      </c>
      <c r="K533" s="162" t="s">
        <v>3118</v>
      </c>
    </row>
    <row r="534" spans="1:11" ht="17.25" customHeight="1" x14ac:dyDescent="0.3">
      <c r="A534" s="259">
        <f t="shared" si="26"/>
        <v>464</v>
      </c>
      <c r="B534" s="20" t="s">
        <v>532</v>
      </c>
      <c r="C534" s="162">
        <v>1978</v>
      </c>
      <c r="D534" s="162"/>
      <c r="E534" s="162" t="s">
        <v>3119</v>
      </c>
      <c r="F534" s="162">
        <v>2</v>
      </c>
      <c r="G534" s="162">
        <v>4043.5</v>
      </c>
      <c r="H534" s="48">
        <v>79</v>
      </c>
      <c r="I534" s="273">
        <f>SUMIF('2020'!B:B,B534,'2020'!C:C)+SUMIF('2021'!B:B,B534,'2021'!C:C)+SUMIF('2022'!B:B,B534,'2022'!C:C)</f>
        <v>345868.64</v>
      </c>
      <c r="J534" s="59">
        <v>44925</v>
      </c>
      <c r="K534" s="162" t="s">
        <v>3118</v>
      </c>
    </row>
    <row r="535" spans="1:11" ht="17.25" customHeight="1" x14ac:dyDescent="0.3">
      <c r="A535" s="259">
        <f t="shared" si="26"/>
        <v>465</v>
      </c>
      <c r="B535" s="20" t="s">
        <v>533</v>
      </c>
      <c r="C535" s="162">
        <v>1963</v>
      </c>
      <c r="D535" s="162"/>
      <c r="E535" s="162" t="s">
        <v>3035</v>
      </c>
      <c r="F535" s="162">
        <v>2</v>
      </c>
      <c r="G535" s="162">
        <v>699</v>
      </c>
      <c r="H535" s="48">
        <v>17</v>
      </c>
      <c r="I535" s="273">
        <f>SUMIF('2020'!B:B,B535,'2020'!C:C)+SUMIF('2021'!B:B,B535,'2021'!C:C)+SUMIF('2022'!B:B,B535,'2022'!C:C)</f>
        <v>429673.41000000003</v>
      </c>
      <c r="J535" s="59">
        <v>44925</v>
      </c>
      <c r="K535" s="162" t="s">
        <v>3118</v>
      </c>
    </row>
    <row r="536" spans="1:11" ht="17.25" customHeight="1" x14ac:dyDescent="0.3">
      <c r="A536" s="259">
        <f t="shared" si="26"/>
        <v>466</v>
      </c>
      <c r="B536" s="20" t="s">
        <v>534</v>
      </c>
      <c r="C536" s="162">
        <v>1966</v>
      </c>
      <c r="D536" s="162"/>
      <c r="E536" s="162" t="s">
        <v>3035</v>
      </c>
      <c r="F536" s="162">
        <v>2</v>
      </c>
      <c r="G536" s="162">
        <v>696.2</v>
      </c>
      <c r="H536" s="48">
        <v>17</v>
      </c>
      <c r="I536" s="273">
        <f>SUMIF('2020'!B:B,B536,'2020'!C:C)+SUMIF('2021'!B:B,B536,'2021'!C:C)+SUMIF('2022'!B:B,B536,'2022'!C:C)</f>
        <v>303945.8</v>
      </c>
      <c r="J536" s="59">
        <v>44925</v>
      </c>
      <c r="K536" s="162" t="s">
        <v>3118</v>
      </c>
    </row>
    <row r="537" spans="1:11" ht="17.25" customHeight="1" x14ac:dyDescent="0.3">
      <c r="A537" s="259">
        <f t="shared" si="26"/>
        <v>467</v>
      </c>
      <c r="B537" s="20" t="s">
        <v>535</v>
      </c>
      <c r="C537" s="162">
        <v>1965</v>
      </c>
      <c r="D537" s="162"/>
      <c r="E537" s="162" t="s">
        <v>3035</v>
      </c>
      <c r="F537" s="162">
        <v>2</v>
      </c>
      <c r="G537" s="162">
        <v>1015.8</v>
      </c>
      <c r="H537" s="48">
        <v>15</v>
      </c>
      <c r="I537" s="273">
        <f>SUMIF('2020'!B:B,B537,'2020'!C:C)+SUMIF('2021'!B:B,B537,'2021'!C:C)+SUMIF('2022'!B:B,B537,'2022'!C:C)</f>
        <v>251062.25</v>
      </c>
      <c r="J537" s="59">
        <v>44925</v>
      </c>
      <c r="K537" s="162" t="s">
        <v>3118</v>
      </c>
    </row>
    <row r="538" spans="1:11" ht="17.25" customHeight="1" x14ac:dyDescent="0.3">
      <c r="A538" s="259">
        <f t="shared" si="26"/>
        <v>468</v>
      </c>
      <c r="B538" s="20" t="s">
        <v>536</v>
      </c>
      <c r="C538" s="162">
        <v>1963</v>
      </c>
      <c r="D538" s="162"/>
      <c r="E538" s="162" t="s">
        <v>3035</v>
      </c>
      <c r="F538" s="162">
        <v>2</v>
      </c>
      <c r="G538" s="162">
        <v>517.70000000000005</v>
      </c>
      <c r="H538" s="48">
        <v>16</v>
      </c>
      <c r="I538" s="273">
        <f>SUMIF('2020'!B:B,B538,'2020'!C:C)+SUMIF('2021'!B:B,B538,'2021'!C:C)+SUMIF('2022'!B:B,B538,'2022'!C:C)</f>
        <v>217370.05</v>
      </c>
      <c r="J538" s="59">
        <v>44925</v>
      </c>
      <c r="K538" s="162" t="s">
        <v>3118</v>
      </c>
    </row>
    <row r="539" spans="1:11" ht="17.25" customHeight="1" x14ac:dyDescent="0.3">
      <c r="A539" s="259">
        <f t="shared" si="26"/>
        <v>469</v>
      </c>
      <c r="B539" s="20" t="s">
        <v>537</v>
      </c>
      <c r="C539" s="162">
        <v>1967</v>
      </c>
      <c r="D539" s="162"/>
      <c r="E539" s="162" t="s">
        <v>3035</v>
      </c>
      <c r="F539" s="162">
        <v>2</v>
      </c>
      <c r="G539" s="162">
        <v>806.8</v>
      </c>
      <c r="H539" s="48">
        <v>48</v>
      </c>
      <c r="I539" s="273">
        <f>SUMIF('2020'!B:B,B539,'2020'!C:C)+SUMIF('2021'!B:B,B539,'2021'!C:C)+SUMIF('2022'!B:B,B539,'2022'!C:C)</f>
        <v>217877.75</v>
      </c>
      <c r="J539" s="59">
        <v>44925</v>
      </c>
      <c r="K539" s="162" t="s">
        <v>3118</v>
      </c>
    </row>
    <row r="540" spans="1:11" ht="17.25" customHeight="1" x14ac:dyDescent="0.3">
      <c r="A540" s="259">
        <f t="shared" si="26"/>
        <v>470</v>
      </c>
      <c r="B540" s="20" t="s">
        <v>538</v>
      </c>
      <c r="C540" s="162">
        <v>1969</v>
      </c>
      <c r="D540" s="162"/>
      <c r="E540" s="162" t="s">
        <v>3035</v>
      </c>
      <c r="F540" s="162">
        <v>2</v>
      </c>
      <c r="G540" s="162">
        <v>811.8</v>
      </c>
      <c r="H540" s="48">
        <v>48</v>
      </c>
      <c r="I540" s="273">
        <f>SUMIF('2020'!B:B,B540,'2020'!C:C)+SUMIF('2021'!B:B,B540,'2021'!C:C)+SUMIF('2022'!B:B,B540,'2022'!C:C)</f>
        <v>219560.6</v>
      </c>
      <c r="J540" s="59">
        <v>44925</v>
      </c>
      <c r="K540" s="162" t="s">
        <v>3118</v>
      </c>
    </row>
    <row r="541" spans="1:11" ht="17.25" customHeight="1" x14ac:dyDescent="0.3">
      <c r="A541" s="259">
        <f t="shared" si="26"/>
        <v>471</v>
      </c>
      <c r="B541" s="20" t="s">
        <v>539</v>
      </c>
      <c r="C541" s="162">
        <v>1974</v>
      </c>
      <c r="D541" s="162"/>
      <c r="E541" s="162" t="s">
        <v>3035</v>
      </c>
      <c r="F541" s="162">
        <v>2</v>
      </c>
      <c r="G541" s="162">
        <v>679.1</v>
      </c>
      <c r="H541" s="48">
        <v>46</v>
      </c>
      <c r="I541" s="273">
        <f>SUMIF('2020'!B:B,B541,'2020'!C:C)+SUMIF('2021'!B:B,B541,'2021'!C:C)+SUMIF('2022'!B:B,B541,'2022'!C:C)</f>
        <v>185167.6</v>
      </c>
      <c r="J541" s="59">
        <v>44925</v>
      </c>
      <c r="K541" s="162" t="s">
        <v>3118</v>
      </c>
    </row>
    <row r="542" spans="1:11" ht="17.25" customHeight="1" x14ac:dyDescent="0.3">
      <c r="A542" s="259">
        <f t="shared" si="26"/>
        <v>472</v>
      </c>
      <c r="B542" s="20" t="s">
        <v>540</v>
      </c>
      <c r="C542" s="162">
        <v>1976</v>
      </c>
      <c r="D542" s="162"/>
      <c r="E542" s="162" t="s">
        <v>3035</v>
      </c>
      <c r="F542" s="162">
        <v>2</v>
      </c>
      <c r="G542" s="162">
        <v>1011.4</v>
      </c>
      <c r="H542" s="48">
        <v>51</v>
      </c>
      <c r="I542" s="273">
        <f>SUMIF('2020'!B:B,B542,'2020'!C:C)+SUMIF('2021'!B:B,B542,'2021'!C:C)+SUMIF('2022'!B:B,B542,'2022'!C:C)</f>
        <v>198595.82</v>
      </c>
      <c r="J542" s="59">
        <v>44925</v>
      </c>
      <c r="K542" s="162" t="s">
        <v>3118</v>
      </c>
    </row>
    <row r="543" spans="1:11" ht="17.25" customHeight="1" x14ac:dyDescent="0.3">
      <c r="A543" s="259">
        <f t="shared" si="26"/>
        <v>473</v>
      </c>
      <c r="B543" s="20" t="s">
        <v>541</v>
      </c>
      <c r="C543" s="162">
        <v>1980</v>
      </c>
      <c r="D543" s="162"/>
      <c r="E543" s="162" t="s">
        <v>3035</v>
      </c>
      <c r="F543" s="162">
        <v>2</v>
      </c>
      <c r="G543" s="162">
        <v>1012</v>
      </c>
      <c r="H543" s="48">
        <v>45</v>
      </c>
      <c r="I543" s="273">
        <f>SUMIF('2020'!B:B,B543,'2020'!C:C)+SUMIF('2021'!B:B,B543,'2021'!C:C)+SUMIF('2022'!B:B,B543,'2022'!C:C)</f>
        <v>198595.82</v>
      </c>
      <c r="J543" s="59">
        <v>44925</v>
      </c>
      <c r="K543" s="162" t="s">
        <v>3118</v>
      </c>
    </row>
    <row r="544" spans="1:11" ht="17.25" customHeight="1" x14ac:dyDescent="0.3">
      <c r="A544" s="259">
        <f t="shared" si="26"/>
        <v>474</v>
      </c>
      <c r="B544" s="20" t="s">
        <v>542</v>
      </c>
      <c r="C544" s="162">
        <v>1990</v>
      </c>
      <c r="D544" s="162"/>
      <c r="E544" s="162" t="s">
        <v>3119</v>
      </c>
      <c r="F544" s="162">
        <v>3</v>
      </c>
      <c r="G544" s="162">
        <v>2347.1</v>
      </c>
      <c r="H544" s="48">
        <v>82</v>
      </c>
      <c r="I544" s="273">
        <f>SUMIF('2020'!B:B,B544,'2020'!C:C)+SUMIF('2021'!B:B,B544,'2021'!C:C)+SUMIF('2022'!B:B,B544,'2022'!C:C)</f>
        <v>310692.46999999997</v>
      </c>
      <c r="J544" s="59">
        <v>44925</v>
      </c>
      <c r="K544" s="162" t="s">
        <v>3118</v>
      </c>
    </row>
    <row r="545" spans="1:13" ht="17.25" customHeight="1" x14ac:dyDescent="0.3">
      <c r="A545" s="15" t="s">
        <v>208</v>
      </c>
      <c r="B545" s="20"/>
      <c r="C545" s="31" t="s">
        <v>3558</v>
      </c>
      <c r="D545" s="31" t="s">
        <v>3558</v>
      </c>
      <c r="E545" s="31" t="s">
        <v>3558</v>
      </c>
      <c r="F545" s="31" t="s">
        <v>3558</v>
      </c>
      <c r="G545" s="56">
        <f>SUM(G518:G544)</f>
        <v>30790.749999999996</v>
      </c>
      <c r="H545" s="173">
        <f>SUM(H518:H544)</f>
        <v>919</v>
      </c>
      <c r="I545" s="56">
        <f>SUM(I518:I544)</f>
        <v>6088954.169999999</v>
      </c>
      <c r="J545" s="31" t="s">
        <v>3558</v>
      </c>
      <c r="K545" s="31" t="s">
        <v>3558</v>
      </c>
    </row>
    <row r="546" spans="1:13" ht="17.25" customHeight="1" x14ac:dyDescent="0.3">
      <c r="A546" s="19" t="s">
        <v>543</v>
      </c>
      <c r="B546" s="20"/>
      <c r="C546" s="31"/>
      <c r="D546" s="31"/>
      <c r="E546" s="31"/>
      <c r="F546" s="31"/>
      <c r="G546" s="31"/>
      <c r="H546" s="173"/>
      <c r="I546" s="56"/>
      <c r="J546" s="31"/>
      <c r="K546" s="31"/>
    </row>
    <row r="547" spans="1:13" ht="17.25" customHeight="1" x14ac:dyDescent="0.3">
      <c r="A547" s="259">
        <f>A544+1</f>
        <v>475</v>
      </c>
      <c r="B547" s="20" t="s">
        <v>544</v>
      </c>
      <c r="C547" s="162">
        <v>1952</v>
      </c>
      <c r="D547" s="31"/>
      <c r="E547" s="162" t="s">
        <v>3035</v>
      </c>
      <c r="F547" s="31">
        <v>2</v>
      </c>
      <c r="G547" s="31">
        <v>198.6</v>
      </c>
      <c r="H547" s="173">
        <v>15</v>
      </c>
      <c r="I547" s="273">
        <f>SUMIF('2020'!B:B,B547,'2020'!C:C)+SUMIF('2021'!B:B,B547,'2021'!C:C)+SUMIF('2022'!B:B,B547,'2022'!C:C)</f>
        <v>130000</v>
      </c>
      <c r="J547" s="59">
        <v>44925</v>
      </c>
      <c r="K547" s="162" t="s">
        <v>3118</v>
      </c>
    </row>
    <row r="548" spans="1:13" ht="17.25" customHeight="1" x14ac:dyDescent="0.3">
      <c r="A548" s="259">
        <f>A547+1</f>
        <v>476</v>
      </c>
      <c r="B548" s="20" t="s">
        <v>545</v>
      </c>
      <c r="C548" s="162">
        <v>1970</v>
      </c>
      <c r="D548" s="31"/>
      <c r="E548" s="162" t="s">
        <v>3035</v>
      </c>
      <c r="F548" s="31">
        <v>4</v>
      </c>
      <c r="G548" s="31">
        <v>1611</v>
      </c>
      <c r="H548" s="173">
        <v>64</v>
      </c>
      <c r="I548" s="273">
        <f>SUMIF('2020'!B:B,B548,'2020'!C:C)+SUMIF('2021'!B:B,B548,'2021'!C:C)+SUMIF('2022'!B:B,B548,'2022'!C:C)</f>
        <v>130000</v>
      </c>
      <c r="J548" s="59">
        <v>44925</v>
      </c>
      <c r="K548" s="162" t="s">
        <v>3118</v>
      </c>
    </row>
    <row r="549" spans="1:13" ht="17.25" customHeight="1" x14ac:dyDescent="0.3">
      <c r="A549" s="15" t="s">
        <v>208</v>
      </c>
      <c r="B549" s="20"/>
      <c r="C549" s="31" t="s">
        <v>3558</v>
      </c>
      <c r="D549" s="31" t="s">
        <v>3558</v>
      </c>
      <c r="E549" s="31" t="s">
        <v>3558</v>
      </c>
      <c r="F549" s="31" t="s">
        <v>3558</v>
      </c>
      <c r="G549" s="56">
        <f>SUM(G547:G548)</f>
        <v>1809.6</v>
      </c>
      <c r="H549" s="173">
        <f>SUM(H547:H548)</f>
        <v>79</v>
      </c>
      <c r="I549" s="56">
        <f>SUM(I547:I548)</f>
        <v>260000</v>
      </c>
      <c r="J549" s="31" t="s">
        <v>3558</v>
      </c>
      <c r="K549" s="31" t="s">
        <v>3558</v>
      </c>
    </row>
    <row r="550" spans="1:13" ht="17.25" customHeight="1" x14ac:dyDescent="0.3">
      <c r="A550" s="19" t="s">
        <v>546</v>
      </c>
      <c r="B550" s="20"/>
      <c r="C550" s="31"/>
      <c r="D550" s="31"/>
      <c r="E550" s="31"/>
      <c r="F550" s="31"/>
      <c r="G550" s="31"/>
      <c r="H550" s="173"/>
      <c r="I550" s="56"/>
      <c r="J550" s="31"/>
      <c r="K550" s="31"/>
    </row>
    <row r="551" spans="1:13" ht="17.25" customHeight="1" x14ac:dyDescent="0.3">
      <c r="A551" s="259">
        <f>A548+1</f>
        <v>477</v>
      </c>
      <c r="B551" s="20" t="s">
        <v>547</v>
      </c>
      <c r="C551" s="162">
        <v>1919</v>
      </c>
      <c r="D551" s="31"/>
      <c r="E551" s="200" t="s">
        <v>3154</v>
      </c>
      <c r="F551" s="200">
        <v>2</v>
      </c>
      <c r="G551" s="200">
        <v>200.2</v>
      </c>
      <c r="H551" s="201">
        <v>21</v>
      </c>
      <c r="I551" s="273">
        <f>SUMIF('2020'!B:B,B551,'2020'!C:C)+SUMIF('2021'!B:B,B551,'2021'!C:C)+SUMIF('2022'!B:B,B551,'2022'!C:C)</f>
        <v>65025.54</v>
      </c>
      <c r="J551" s="59">
        <v>44925</v>
      </c>
      <c r="K551" s="162" t="s">
        <v>3118</v>
      </c>
    </row>
    <row r="552" spans="1:13" ht="17.25" customHeight="1" x14ac:dyDescent="0.3">
      <c r="A552" s="259">
        <f>A551+1</f>
        <v>478</v>
      </c>
      <c r="B552" s="20" t="s">
        <v>548</v>
      </c>
      <c r="C552" s="162">
        <v>1949</v>
      </c>
      <c r="D552" s="31"/>
      <c r="E552" s="200" t="s">
        <v>3155</v>
      </c>
      <c r="F552" s="200">
        <v>2</v>
      </c>
      <c r="G552" s="200">
        <v>359</v>
      </c>
      <c r="H552" s="201">
        <v>17</v>
      </c>
      <c r="I552" s="273">
        <f>SUMIF('2020'!B:B,B552,'2020'!C:C)+SUMIF('2021'!B:B,B552,'2021'!C:C)+SUMIF('2022'!B:B,B552,'2022'!C:C)</f>
        <v>196357.52</v>
      </c>
      <c r="J552" s="59">
        <v>44925</v>
      </c>
      <c r="K552" s="162" t="s">
        <v>3118</v>
      </c>
    </row>
    <row r="553" spans="1:13" ht="17.25" customHeight="1" x14ac:dyDescent="0.3">
      <c r="A553" s="259">
        <f>A552+1</f>
        <v>479</v>
      </c>
      <c r="B553" s="20" t="s">
        <v>549</v>
      </c>
      <c r="C553" s="162">
        <v>1971</v>
      </c>
      <c r="D553" s="31"/>
      <c r="E553" s="200" t="s">
        <v>3155</v>
      </c>
      <c r="F553" s="200">
        <v>2</v>
      </c>
      <c r="G553" s="200">
        <v>1043.0999999999999</v>
      </c>
      <c r="H553" s="201">
        <v>48</v>
      </c>
      <c r="I553" s="273">
        <f>SUMIF('2020'!B:B,B553,'2020'!C:C)+SUMIF('2021'!B:B,B553,'2021'!C:C)+SUMIF('2022'!B:B,B553,'2022'!C:C)</f>
        <v>487978.8</v>
      </c>
      <c r="J553" s="59">
        <v>44925</v>
      </c>
      <c r="K553" s="162" t="s">
        <v>3118</v>
      </c>
    </row>
    <row r="554" spans="1:13" ht="17.25" customHeight="1" x14ac:dyDescent="0.3">
      <c r="A554" s="259">
        <f>A553+1</f>
        <v>480</v>
      </c>
      <c r="B554" s="20" t="s">
        <v>550</v>
      </c>
      <c r="C554" s="162">
        <v>1952</v>
      </c>
      <c r="D554" s="31"/>
      <c r="E554" s="200" t="s">
        <v>3155</v>
      </c>
      <c r="F554" s="200">
        <v>2</v>
      </c>
      <c r="G554" s="200">
        <v>488.3</v>
      </c>
      <c r="H554" s="201">
        <v>28</v>
      </c>
      <c r="I554" s="273">
        <f>SUMIF('2020'!B:B,B554,'2020'!C:C)+SUMIF('2021'!B:B,B554,'2021'!C:C)+SUMIF('2022'!B:B,B554,'2022'!C:C)</f>
        <v>196357.52</v>
      </c>
      <c r="J554" s="59">
        <v>44925</v>
      </c>
      <c r="K554" s="162" t="s">
        <v>3118</v>
      </c>
    </row>
    <row r="555" spans="1:13" ht="17.25" customHeight="1" x14ac:dyDescent="0.3">
      <c r="A555" s="259">
        <f>A554+1</f>
        <v>481</v>
      </c>
      <c r="B555" s="20" t="s">
        <v>551</v>
      </c>
      <c r="C555" s="162">
        <v>1993</v>
      </c>
      <c r="D555" s="31"/>
      <c r="E555" s="200" t="s">
        <v>3126</v>
      </c>
      <c r="F555" s="200">
        <v>9</v>
      </c>
      <c r="G555" s="200">
        <v>7161.3</v>
      </c>
      <c r="H555" s="201">
        <v>289</v>
      </c>
      <c r="I555" s="273">
        <f>SUMIF('2020'!B:B,B555,'2020'!C:C)+SUMIF('2021'!B:B,B555,'2021'!C:C)+SUMIF('2022'!B:B,B555,'2022'!C:C)</f>
        <v>130000</v>
      </c>
      <c r="J555" s="59">
        <v>44925</v>
      </c>
      <c r="K555" s="162" t="s">
        <v>3118</v>
      </c>
    </row>
    <row r="556" spans="1:13" ht="17.25" customHeight="1" x14ac:dyDescent="0.3">
      <c r="A556" s="15" t="s">
        <v>208</v>
      </c>
      <c r="B556" s="20"/>
      <c r="C556" s="31" t="s">
        <v>3558</v>
      </c>
      <c r="D556" s="31" t="s">
        <v>3558</v>
      </c>
      <c r="E556" s="31" t="s">
        <v>3558</v>
      </c>
      <c r="F556" s="31" t="s">
        <v>3558</v>
      </c>
      <c r="G556" s="56">
        <f>SUM(G551:G555)</f>
        <v>9251.9</v>
      </c>
      <c r="H556" s="173">
        <f>SUM(H551:H555)</f>
        <v>403</v>
      </c>
      <c r="I556" s="56">
        <f>SUM(I551:I555)</f>
        <v>1075719.3799999999</v>
      </c>
      <c r="J556" s="31" t="s">
        <v>3558</v>
      </c>
      <c r="K556" s="31" t="s">
        <v>3558</v>
      </c>
      <c r="L556" s="197" t="e">
        <f>#REF!-'2020'!C165-'2022'!C149</f>
        <v>#REF!</v>
      </c>
      <c r="M556" s="197"/>
    </row>
    <row r="557" spans="1:13" ht="17.25" customHeight="1" x14ac:dyDescent="0.3">
      <c r="A557" s="19" t="s">
        <v>553</v>
      </c>
      <c r="B557" s="20"/>
      <c r="C557" s="31"/>
      <c r="D557" s="31"/>
      <c r="E557" s="31"/>
      <c r="F557" s="31"/>
      <c r="G557" s="31"/>
      <c r="H557" s="173"/>
      <c r="I557" s="56"/>
      <c r="J557" s="31"/>
      <c r="K557" s="31"/>
    </row>
    <row r="558" spans="1:13" ht="17.25" customHeight="1" x14ac:dyDescent="0.3">
      <c r="A558" s="15">
        <f>A555+1</f>
        <v>482</v>
      </c>
      <c r="B558" s="20" t="s">
        <v>552</v>
      </c>
      <c r="C558" s="162">
        <v>1959</v>
      </c>
      <c r="D558" s="31"/>
      <c r="E558" s="200" t="s">
        <v>3035</v>
      </c>
      <c r="F558" s="200">
        <v>3</v>
      </c>
      <c r="G558" s="200">
        <v>1422.92</v>
      </c>
      <c r="H558" s="201">
        <v>34</v>
      </c>
      <c r="I558" s="273">
        <f>SUMIF('2020'!B:B,B558,'2020'!C:C)+SUMIF('2021'!B:B,B558,'2021'!C:C)+SUMIF('2022'!B:B,B558,'2022'!C:C)</f>
        <v>166592.82</v>
      </c>
      <c r="J558" s="59">
        <v>44925</v>
      </c>
      <c r="K558" s="162" t="s">
        <v>3118</v>
      </c>
    </row>
    <row r="559" spans="1:13" ht="17.25" customHeight="1" x14ac:dyDescent="0.3">
      <c r="A559" s="259">
        <f t="shared" ref="A559:A590" si="27">A558+1</f>
        <v>483</v>
      </c>
      <c r="B559" s="20" t="s">
        <v>554</v>
      </c>
      <c r="C559" s="162">
        <v>1959</v>
      </c>
      <c r="D559" s="31"/>
      <c r="E559" s="200" t="s">
        <v>3035</v>
      </c>
      <c r="F559" s="200">
        <v>3</v>
      </c>
      <c r="G559" s="200">
        <v>1442.6</v>
      </c>
      <c r="H559" s="201">
        <v>49</v>
      </c>
      <c r="I559" s="273">
        <f>SUMIF('2020'!B:B,B559,'2020'!C:C)+SUMIF('2021'!B:B,B559,'2021'!C:C)+SUMIF('2022'!B:B,B559,'2022'!C:C)</f>
        <v>152888.82999999999</v>
      </c>
      <c r="J559" s="59">
        <v>44925</v>
      </c>
      <c r="K559" s="162" t="s">
        <v>3118</v>
      </c>
    </row>
    <row r="560" spans="1:13" ht="17.25" customHeight="1" x14ac:dyDescent="0.3">
      <c r="A560" s="259">
        <f t="shared" si="27"/>
        <v>484</v>
      </c>
      <c r="B560" s="20" t="s">
        <v>555</v>
      </c>
      <c r="C560" s="162">
        <v>1959</v>
      </c>
      <c r="D560" s="31"/>
      <c r="E560" s="200" t="s">
        <v>3035</v>
      </c>
      <c r="F560" s="200">
        <v>3</v>
      </c>
      <c r="G560" s="200">
        <v>1434</v>
      </c>
      <c r="H560" s="201">
        <v>64</v>
      </c>
      <c r="I560" s="273">
        <f>SUMIF('2020'!B:B,B560,'2020'!C:C)+SUMIF('2021'!B:B,B560,'2021'!C:C)+SUMIF('2022'!B:B,B560,'2022'!C:C)</f>
        <v>152470.54</v>
      </c>
      <c r="J560" s="59">
        <v>44925</v>
      </c>
      <c r="K560" s="162" t="s">
        <v>3118</v>
      </c>
    </row>
    <row r="561" spans="1:11" ht="17.25" customHeight="1" x14ac:dyDescent="0.3">
      <c r="A561" s="259">
        <f t="shared" si="27"/>
        <v>485</v>
      </c>
      <c r="B561" s="20" t="s">
        <v>556</v>
      </c>
      <c r="C561" s="162">
        <v>1959</v>
      </c>
      <c r="D561" s="31"/>
      <c r="E561" s="200" t="s">
        <v>3035</v>
      </c>
      <c r="F561" s="200">
        <v>3</v>
      </c>
      <c r="G561" s="200">
        <v>1422.65</v>
      </c>
      <c r="H561" s="201">
        <v>67</v>
      </c>
      <c r="I561" s="273">
        <f>SUMIF('2020'!B:B,B561,'2020'!C:C)+SUMIF('2021'!B:B,B561,'2021'!C:C)+SUMIF('2022'!B:B,B561,'2022'!C:C)</f>
        <v>196297.15</v>
      </c>
      <c r="J561" s="59">
        <v>44925</v>
      </c>
      <c r="K561" s="162" t="s">
        <v>3118</v>
      </c>
    </row>
    <row r="562" spans="1:11" ht="17.25" customHeight="1" x14ac:dyDescent="0.3">
      <c r="A562" s="259">
        <f t="shared" si="27"/>
        <v>486</v>
      </c>
      <c r="B562" s="20" t="s">
        <v>557</v>
      </c>
      <c r="C562" s="162">
        <v>1971</v>
      </c>
      <c r="D562" s="31"/>
      <c r="E562" s="200" t="s">
        <v>3035</v>
      </c>
      <c r="F562" s="200">
        <v>5</v>
      </c>
      <c r="G562" s="200">
        <v>4774.2299999999996</v>
      </c>
      <c r="H562" s="201">
        <v>203</v>
      </c>
      <c r="I562" s="273">
        <f>SUMIF('2020'!B:B,B562,'2020'!C:C)+SUMIF('2021'!B:B,B562,'2021'!C:C)+SUMIF('2022'!B:B,B562,'2022'!C:C)</f>
        <v>1394257.67</v>
      </c>
      <c r="J562" s="59">
        <v>44925</v>
      </c>
      <c r="K562" s="162" t="s">
        <v>3118</v>
      </c>
    </row>
    <row r="563" spans="1:11" ht="17.25" customHeight="1" x14ac:dyDescent="0.3">
      <c r="A563" s="259">
        <f t="shared" si="27"/>
        <v>487</v>
      </c>
      <c r="B563" s="20" t="s">
        <v>558</v>
      </c>
      <c r="C563" s="162">
        <v>1956</v>
      </c>
      <c r="D563" s="31"/>
      <c r="E563" s="200" t="s">
        <v>3035</v>
      </c>
      <c r="F563" s="200">
        <v>2</v>
      </c>
      <c r="G563" s="200">
        <v>1490.2</v>
      </c>
      <c r="H563" s="201">
        <v>57</v>
      </c>
      <c r="I563" s="273">
        <f>SUMIF('2020'!B:B,B563,'2020'!C:C)+SUMIF('2021'!B:B,B563,'2021'!C:C)+SUMIF('2022'!B:B,B563,'2022'!C:C)</f>
        <v>119148.73</v>
      </c>
      <c r="J563" s="59">
        <v>44925</v>
      </c>
      <c r="K563" s="162" t="s">
        <v>3118</v>
      </c>
    </row>
    <row r="564" spans="1:11" ht="17.25" customHeight="1" x14ac:dyDescent="0.3">
      <c r="A564" s="259">
        <f t="shared" si="27"/>
        <v>488</v>
      </c>
      <c r="B564" s="20" t="s">
        <v>559</v>
      </c>
      <c r="C564" s="162">
        <v>1967</v>
      </c>
      <c r="D564" s="31"/>
      <c r="E564" s="200" t="s">
        <v>3035</v>
      </c>
      <c r="F564" s="200">
        <v>4</v>
      </c>
      <c r="G564" s="200">
        <v>2065.8000000000002</v>
      </c>
      <c r="H564" s="201">
        <v>82</v>
      </c>
      <c r="I564" s="273">
        <f>SUMIF('2020'!B:B,B564,'2020'!C:C)+SUMIF('2021'!B:B,B564,'2021'!C:C)+SUMIF('2022'!B:B,B564,'2022'!C:C)</f>
        <v>803195.9</v>
      </c>
      <c r="J564" s="59">
        <v>44925</v>
      </c>
      <c r="K564" s="162" t="s">
        <v>3118</v>
      </c>
    </row>
    <row r="565" spans="1:11" ht="17.25" customHeight="1" x14ac:dyDescent="0.3">
      <c r="A565" s="259">
        <f t="shared" si="27"/>
        <v>489</v>
      </c>
      <c r="B565" s="20" t="s">
        <v>560</v>
      </c>
      <c r="C565" s="162">
        <v>1956</v>
      </c>
      <c r="D565" s="31"/>
      <c r="E565" s="200" t="s">
        <v>3035</v>
      </c>
      <c r="F565" s="200">
        <v>2</v>
      </c>
      <c r="G565" s="200">
        <v>1482.7</v>
      </c>
      <c r="H565" s="201">
        <v>55</v>
      </c>
      <c r="I565" s="273">
        <f>SUMIF('2020'!B:B,B565,'2020'!C:C)+SUMIF('2021'!B:B,B565,'2021'!C:C)+SUMIF('2022'!B:B,B565,'2022'!C:C)</f>
        <v>118650.11</v>
      </c>
      <c r="J565" s="59">
        <v>44925</v>
      </c>
      <c r="K565" s="162" t="s">
        <v>3118</v>
      </c>
    </row>
    <row r="566" spans="1:11" ht="17.25" customHeight="1" x14ac:dyDescent="0.3">
      <c r="A566" s="259">
        <f t="shared" si="27"/>
        <v>490</v>
      </c>
      <c r="B566" s="20" t="s">
        <v>561</v>
      </c>
      <c r="C566" s="162">
        <v>1956</v>
      </c>
      <c r="D566" s="31"/>
      <c r="E566" s="200" t="s">
        <v>3035</v>
      </c>
      <c r="F566" s="200">
        <v>2</v>
      </c>
      <c r="G566" s="200">
        <v>595.1</v>
      </c>
      <c r="H566" s="201">
        <v>23</v>
      </c>
      <c r="I566" s="273">
        <f>SUMIF('2020'!B:B,B566,'2020'!C:C)+SUMIF('2021'!B:B,B566,'2021'!C:C)+SUMIF('2022'!B:B,B566,'2022'!C:C)</f>
        <v>116445.05</v>
      </c>
      <c r="J566" s="59">
        <v>44925</v>
      </c>
      <c r="K566" s="162" t="s">
        <v>3118</v>
      </c>
    </row>
    <row r="567" spans="1:11" ht="17.25" customHeight="1" x14ac:dyDescent="0.3">
      <c r="A567" s="259">
        <f t="shared" si="27"/>
        <v>491</v>
      </c>
      <c r="B567" s="20" t="s">
        <v>562</v>
      </c>
      <c r="C567" s="162">
        <v>1956</v>
      </c>
      <c r="D567" s="31"/>
      <c r="E567" s="200" t="s">
        <v>3035</v>
      </c>
      <c r="F567" s="200">
        <v>2</v>
      </c>
      <c r="G567" s="200">
        <v>561.4</v>
      </c>
      <c r="H567" s="201">
        <v>13</v>
      </c>
      <c r="I567" s="273">
        <f>SUMIF('2020'!B:B,B567,'2020'!C:C)+SUMIF('2021'!B:B,B567,'2021'!C:C)+SUMIF('2022'!B:B,B567,'2022'!C:C)</f>
        <v>110992.5</v>
      </c>
      <c r="J567" s="59">
        <v>44925</v>
      </c>
      <c r="K567" s="162" t="s">
        <v>3118</v>
      </c>
    </row>
    <row r="568" spans="1:11" ht="17.25" customHeight="1" x14ac:dyDescent="0.3">
      <c r="A568" s="259">
        <f t="shared" si="27"/>
        <v>492</v>
      </c>
      <c r="B568" s="20" t="s">
        <v>563</v>
      </c>
      <c r="C568" s="162">
        <v>1956</v>
      </c>
      <c r="D568" s="31"/>
      <c r="E568" s="200" t="s">
        <v>3035</v>
      </c>
      <c r="F568" s="200">
        <v>2</v>
      </c>
      <c r="G568" s="200">
        <v>586.20000000000005</v>
      </c>
      <c r="H568" s="201">
        <v>19</v>
      </c>
      <c r="I568" s="273">
        <f>SUMIF('2020'!B:B,B568,'2020'!C:C)+SUMIF('2021'!B:B,B568,'2021'!C:C)+SUMIF('2022'!B:B,B568,'2022'!C:C)</f>
        <v>115004.78</v>
      </c>
      <c r="J568" s="59">
        <v>44925</v>
      </c>
      <c r="K568" s="162" t="s">
        <v>3118</v>
      </c>
    </row>
    <row r="569" spans="1:11" ht="17.25" customHeight="1" x14ac:dyDescent="0.3">
      <c r="A569" s="259">
        <f t="shared" si="27"/>
        <v>493</v>
      </c>
      <c r="B569" s="20" t="s">
        <v>564</v>
      </c>
      <c r="C569" s="162">
        <v>1956</v>
      </c>
      <c r="D569" s="31"/>
      <c r="E569" s="200" t="s">
        <v>3035</v>
      </c>
      <c r="F569" s="200">
        <v>2</v>
      </c>
      <c r="G569" s="200">
        <v>566.5</v>
      </c>
      <c r="H569" s="201">
        <v>19</v>
      </c>
      <c r="I569" s="273">
        <f>SUMIF('2020'!B:B,B569,'2020'!C:C)+SUMIF('2021'!B:B,B569,'2021'!C:C)+SUMIF('2022'!B:B,B569,'2022'!C:C)</f>
        <v>111953.23</v>
      </c>
      <c r="J569" s="59">
        <v>44925</v>
      </c>
      <c r="K569" s="162" t="s">
        <v>3118</v>
      </c>
    </row>
    <row r="570" spans="1:11" ht="17.25" customHeight="1" x14ac:dyDescent="0.3">
      <c r="A570" s="259">
        <f t="shared" si="27"/>
        <v>494</v>
      </c>
      <c r="B570" s="20" t="s">
        <v>565</v>
      </c>
      <c r="C570" s="162">
        <v>1961</v>
      </c>
      <c r="D570" s="31"/>
      <c r="E570" s="200" t="s">
        <v>3035</v>
      </c>
      <c r="F570" s="200">
        <v>2</v>
      </c>
      <c r="G570" s="200">
        <v>634.1</v>
      </c>
      <c r="H570" s="201">
        <v>23</v>
      </c>
      <c r="I570" s="273">
        <f>SUMIF('2020'!B:B,B570,'2020'!C:C)+SUMIF('2021'!B:B,B570,'2021'!C:C)+SUMIF('2022'!B:B,B570,'2022'!C:C)</f>
        <v>453446.11</v>
      </c>
      <c r="J570" s="59">
        <v>44925</v>
      </c>
      <c r="K570" s="162" t="s">
        <v>3118</v>
      </c>
    </row>
    <row r="571" spans="1:11" ht="17.25" customHeight="1" x14ac:dyDescent="0.3">
      <c r="A571" s="259">
        <f t="shared" si="27"/>
        <v>495</v>
      </c>
      <c r="B571" s="20" t="s">
        <v>566</v>
      </c>
      <c r="C571" s="162">
        <v>1961</v>
      </c>
      <c r="D571" s="31"/>
      <c r="E571" s="200" t="s">
        <v>3035</v>
      </c>
      <c r="F571" s="200">
        <v>2</v>
      </c>
      <c r="G571" s="200">
        <v>591.70000000000005</v>
      </c>
      <c r="H571" s="201">
        <v>33</v>
      </c>
      <c r="I571" s="273">
        <f>SUMIF('2020'!B:B,B571,'2020'!C:C)+SUMIF('2021'!B:B,B571,'2021'!C:C)+SUMIF('2022'!B:B,B571,'2022'!C:C)</f>
        <v>564504.1</v>
      </c>
      <c r="J571" s="59">
        <v>44925</v>
      </c>
      <c r="K571" s="162" t="s">
        <v>3118</v>
      </c>
    </row>
    <row r="572" spans="1:11" ht="17.25" customHeight="1" x14ac:dyDescent="0.3">
      <c r="A572" s="259">
        <f t="shared" si="27"/>
        <v>496</v>
      </c>
      <c r="B572" s="20" t="s">
        <v>567</v>
      </c>
      <c r="C572" s="162">
        <v>1959</v>
      </c>
      <c r="D572" s="31"/>
      <c r="E572" s="200" t="s">
        <v>3035</v>
      </c>
      <c r="F572" s="200">
        <v>3</v>
      </c>
      <c r="G572" s="200">
        <v>1207</v>
      </c>
      <c r="H572" s="201">
        <v>32</v>
      </c>
      <c r="I572" s="273">
        <f>SUMIF('2020'!B:B,B572,'2020'!C:C)+SUMIF('2021'!B:B,B572,'2021'!C:C)+SUMIF('2022'!B:B,B572,'2022'!C:C)</f>
        <v>423629.6</v>
      </c>
      <c r="J572" s="59">
        <v>44925</v>
      </c>
      <c r="K572" s="162" t="s">
        <v>3118</v>
      </c>
    </row>
    <row r="573" spans="1:11" ht="17.25" customHeight="1" x14ac:dyDescent="0.3">
      <c r="A573" s="259">
        <f t="shared" si="27"/>
        <v>497</v>
      </c>
      <c r="B573" s="20" t="s">
        <v>568</v>
      </c>
      <c r="C573" s="162">
        <v>1962</v>
      </c>
      <c r="D573" s="31"/>
      <c r="E573" s="200" t="s">
        <v>3035</v>
      </c>
      <c r="F573" s="200">
        <v>2</v>
      </c>
      <c r="G573" s="200">
        <v>406.09</v>
      </c>
      <c r="H573" s="201">
        <v>18</v>
      </c>
      <c r="I573" s="273">
        <f>SUMIF('2020'!B:B,B573,'2020'!C:C)+SUMIF('2021'!B:B,B573,'2021'!C:C)+SUMIF('2022'!B:B,B573,'2022'!C:C)</f>
        <v>135118.79999999999</v>
      </c>
      <c r="J573" s="59">
        <v>44925</v>
      </c>
      <c r="K573" s="162" t="s">
        <v>3118</v>
      </c>
    </row>
    <row r="574" spans="1:11" ht="17.25" customHeight="1" x14ac:dyDescent="0.3">
      <c r="A574" s="259">
        <f t="shared" si="27"/>
        <v>498</v>
      </c>
      <c r="B574" s="20" t="s">
        <v>569</v>
      </c>
      <c r="C574" s="162">
        <v>1962</v>
      </c>
      <c r="D574" s="31"/>
      <c r="E574" s="200" t="s">
        <v>3035</v>
      </c>
      <c r="F574" s="200">
        <v>2</v>
      </c>
      <c r="G574" s="200">
        <v>416.6</v>
      </c>
      <c r="H574" s="201">
        <v>10</v>
      </c>
      <c r="I574" s="273">
        <f>SUMIF('2020'!B:B,B574,'2020'!C:C)+SUMIF('2021'!B:B,B574,'2021'!C:C)+SUMIF('2022'!B:B,B574,'2022'!C:C)</f>
        <v>90520.43</v>
      </c>
      <c r="J574" s="59">
        <v>44925</v>
      </c>
      <c r="K574" s="162" t="s">
        <v>3118</v>
      </c>
    </row>
    <row r="575" spans="1:11" ht="17.25" customHeight="1" x14ac:dyDescent="0.3">
      <c r="A575" s="259">
        <f t="shared" si="27"/>
        <v>499</v>
      </c>
      <c r="B575" s="20" t="s">
        <v>570</v>
      </c>
      <c r="C575" s="162">
        <v>1961</v>
      </c>
      <c r="D575" s="31"/>
      <c r="E575" s="200" t="s">
        <v>3035</v>
      </c>
      <c r="F575" s="200">
        <v>2</v>
      </c>
      <c r="G575" s="200">
        <v>727.77</v>
      </c>
      <c r="H575" s="201">
        <v>31</v>
      </c>
      <c r="I575" s="273">
        <f>SUMIF('2020'!B:B,B575,'2020'!C:C)+SUMIF('2021'!B:B,B575,'2021'!C:C)+SUMIF('2022'!B:B,B575,'2022'!C:C)</f>
        <v>137385.78</v>
      </c>
      <c r="J575" s="59">
        <v>44925</v>
      </c>
      <c r="K575" s="162" t="s">
        <v>3118</v>
      </c>
    </row>
    <row r="576" spans="1:11" ht="17.25" customHeight="1" x14ac:dyDescent="0.3">
      <c r="A576" s="259">
        <f t="shared" si="27"/>
        <v>500</v>
      </c>
      <c r="B576" s="20" t="s">
        <v>571</v>
      </c>
      <c r="C576" s="162">
        <v>1955</v>
      </c>
      <c r="D576" s="31"/>
      <c r="E576" s="200" t="s">
        <v>3035</v>
      </c>
      <c r="F576" s="200">
        <v>2</v>
      </c>
      <c r="G576" s="200">
        <v>328.6</v>
      </c>
      <c r="H576" s="201">
        <v>19</v>
      </c>
      <c r="I576" s="273">
        <f>SUMIF('2020'!B:B,B576,'2020'!C:C)+SUMIF('2021'!B:B,B576,'2021'!C:C)+SUMIF('2022'!B:B,B576,'2022'!C:C)</f>
        <v>70691.03</v>
      </c>
      <c r="J576" s="59">
        <v>44925</v>
      </c>
      <c r="K576" s="162" t="s">
        <v>3118</v>
      </c>
    </row>
    <row r="577" spans="1:11" ht="17.25" customHeight="1" x14ac:dyDescent="0.3">
      <c r="A577" s="259">
        <f t="shared" si="27"/>
        <v>501</v>
      </c>
      <c r="B577" s="20" t="s">
        <v>572</v>
      </c>
      <c r="C577" s="162">
        <v>1973</v>
      </c>
      <c r="D577" s="31"/>
      <c r="E577" s="200" t="s">
        <v>3035</v>
      </c>
      <c r="F577" s="200">
        <v>5</v>
      </c>
      <c r="G577" s="200">
        <v>5242.89</v>
      </c>
      <c r="H577" s="201">
        <v>216</v>
      </c>
      <c r="I577" s="273">
        <f>SUMIF('2020'!B:B,B577,'2020'!C:C)+SUMIF('2021'!B:B,B577,'2021'!C:C)+SUMIF('2022'!B:B,B577,'2022'!C:C)</f>
        <v>1469311.36</v>
      </c>
      <c r="J577" s="59">
        <v>44925</v>
      </c>
      <c r="K577" s="162" t="s">
        <v>3118</v>
      </c>
    </row>
    <row r="578" spans="1:11" ht="17.25" customHeight="1" x14ac:dyDescent="0.3">
      <c r="A578" s="259">
        <f t="shared" si="27"/>
        <v>502</v>
      </c>
      <c r="B578" s="20" t="s">
        <v>573</v>
      </c>
      <c r="C578" s="162">
        <v>1954</v>
      </c>
      <c r="D578" s="31"/>
      <c r="E578" s="200" t="s">
        <v>3035</v>
      </c>
      <c r="F578" s="200">
        <v>2</v>
      </c>
      <c r="G578" s="200">
        <v>952.2</v>
      </c>
      <c r="H578" s="201">
        <v>48</v>
      </c>
      <c r="I578" s="273">
        <f>SUMIF('2020'!B:B,B578,'2020'!C:C)+SUMIF('2021'!B:B,B578,'2021'!C:C)+SUMIF('2022'!B:B,B578,'2022'!C:C)</f>
        <v>104134.33</v>
      </c>
      <c r="J578" s="59">
        <v>44925</v>
      </c>
      <c r="K578" s="162" t="s">
        <v>3118</v>
      </c>
    </row>
    <row r="579" spans="1:11" ht="17.25" customHeight="1" x14ac:dyDescent="0.3">
      <c r="A579" s="259">
        <f t="shared" si="27"/>
        <v>503</v>
      </c>
      <c r="B579" s="20" t="s">
        <v>574</v>
      </c>
      <c r="C579" s="162">
        <v>1983</v>
      </c>
      <c r="D579" s="31"/>
      <c r="E579" s="200" t="s">
        <v>3156</v>
      </c>
      <c r="F579" s="200">
        <v>5</v>
      </c>
      <c r="G579" s="200">
        <v>5593.35</v>
      </c>
      <c r="H579" s="201">
        <v>210</v>
      </c>
      <c r="I579" s="273">
        <f>SUMIF('2020'!B:B,B579,'2020'!C:C)+SUMIF('2021'!B:B,B579,'2021'!C:C)+SUMIF('2022'!B:B,B579,'2022'!C:C)</f>
        <v>1444649.53</v>
      </c>
      <c r="J579" s="59">
        <v>44925</v>
      </c>
      <c r="K579" s="162" t="s">
        <v>3118</v>
      </c>
    </row>
    <row r="580" spans="1:11" ht="17.25" customHeight="1" x14ac:dyDescent="0.3">
      <c r="A580" s="259">
        <f t="shared" si="27"/>
        <v>504</v>
      </c>
      <c r="B580" s="20" t="s">
        <v>575</v>
      </c>
      <c r="C580" s="162">
        <v>1956</v>
      </c>
      <c r="D580" s="31"/>
      <c r="E580" s="200" t="s">
        <v>3035</v>
      </c>
      <c r="F580" s="200">
        <v>2</v>
      </c>
      <c r="G580" s="200">
        <v>949.7</v>
      </c>
      <c r="H580" s="201">
        <v>30</v>
      </c>
      <c r="I580" s="273">
        <f>SUMIF('2020'!B:B,B580,'2020'!C:C)+SUMIF('2021'!B:B,B580,'2021'!C:C)+SUMIF('2022'!B:B,B580,'2022'!C:C)</f>
        <v>103913.86</v>
      </c>
      <c r="J580" s="59">
        <v>44925</v>
      </c>
      <c r="K580" s="162" t="s">
        <v>3118</v>
      </c>
    </row>
    <row r="581" spans="1:11" ht="17.25" customHeight="1" x14ac:dyDescent="0.3">
      <c r="A581" s="259">
        <f t="shared" si="27"/>
        <v>505</v>
      </c>
      <c r="B581" s="20" t="s">
        <v>576</v>
      </c>
      <c r="C581" s="162">
        <v>1960</v>
      </c>
      <c r="D581" s="31"/>
      <c r="E581" s="200" t="s">
        <v>3035</v>
      </c>
      <c r="F581" s="200">
        <v>2</v>
      </c>
      <c r="G581" s="200">
        <v>609</v>
      </c>
      <c r="H581" s="201">
        <v>24</v>
      </c>
      <c r="I581" s="273">
        <f>SUMIF('2020'!B:B,B581,'2020'!C:C)+SUMIF('2021'!B:B,B581,'2021'!C:C)+SUMIF('2022'!B:B,B581,'2022'!C:C)</f>
        <v>551760.11</v>
      </c>
      <c r="J581" s="59">
        <v>44925</v>
      </c>
      <c r="K581" s="162" t="s">
        <v>3118</v>
      </c>
    </row>
    <row r="582" spans="1:11" ht="17.25" customHeight="1" x14ac:dyDescent="0.3">
      <c r="A582" s="259">
        <f t="shared" si="27"/>
        <v>506</v>
      </c>
      <c r="B582" s="20" t="s">
        <v>577</v>
      </c>
      <c r="C582" s="162">
        <v>1960</v>
      </c>
      <c r="D582" s="31"/>
      <c r="E582" s="200" t="s">
        <v>3035</v>
      </c>
      <c r="F582" s="200">
        <v>2</v>
      </c>
      <c r="G582" s="200">
        <v>800.7</v>
      </c>
      <c r="H582" s="201">
        <v>23</v>
      </c>
      <c r="I582" s="273">
        <f>SUMIF('2020'!B:B,B582,'2020'!C:C)+SUMIF('2021'!B:B,B582,'2021'!C:C)+SUMIF('2022'!B:B,B582,'2022'!C:C)</f>
        <v>283358.82</v>
      </c>
      <c r="J582" s="59">
        <v>44925</v>
      </c>
      <c r="K582" s="162" t="s">
        <v>3118</v>
      </c>
    </row>
    <row r="583" spans="1:11" ht="17.25" customHeight="1" x14ac:dyDescent="0.3">
      <c r="A583" s="259">
        <f t="shared" si="27"/>
        <v>507</v>
      </c>
      <c r="B583" s="20" t="s">
        <v>578</v>
      </c>
      <c r="C583" s="162">
        <v>1960</v>
      </c>
      <c r="D583" s="31"/>
      <c r="E583" s="200" t="s">
        <v>3035</v>
      </c>
      <c r="F583" s="200">
        <v>2</v>
      </c>
      <c r="G583" s="200">
        <v>577.9</v>
      </c>
      <c r="H583" s="201">
        <v>24</v>
      </c>
      <c r="I583" s="273">
        <f>SUMIF('2020'!B:B,B583,'2020'!C:C)+SUMIF('2021'!B:B,B583,'2021'!C:C)+SUMIF('2022'!B:B,B583,'2022'!C:C)</f>
        <v>225087.2</v>
      </c>
      <c r="J583" s="59">
        <v>44925</v>
      </c>
      <c r="K583" s="162" t="s">
        <v>3118</v>
      </c>
    </row>
    <row r="584" spans="1:11" ht="17.25" customHeight="1" x14ac:dyDescent="0.3">
      <c r="A584" s="259">
        <f t="shared" si="27"/>
        <v>508</v>
      </c>
      <c r="B584" s="20" t="s">
        <v>579</v>
      </c>
      <c r="C584" s="162">
        <v>1960</v>
      </c>
      <c r="D584" s="31"/>
      <c r="E584" s="200" t="s">
        <v>3035</v>
      </c>
      <c r="F584" s="200">
        <v>2</v>
      </c>
      <c r="G584" s="200">
        <v>609</v>
      </c>
      <c r="H584" s="201">
        <v>24</v>
      </c>
      <c r="I584" s="273">
        <f>SUMIF('2020'!B:B,B584,'2020'!C:C)+SUMIF('2021'!B:B,B584,'2021'!C:C)+SUMIF('2022'!B:B,B584,'2022'!C:C)</f>
        <v>551760.11</v>
      </c>
      <c r="J584" s="59">
        <v>44925</v>
      </c>
      <c r="K584" s="162" t="s">
        <v>3118</v>
      </c>
    </row>
    <row r="585" spans="1:11" ht="17.25" customHeight="1" x14ac:dyDescent="0.3">
      <c r="A585" s="259">
        <f t="shared" si="27"/>
        <v>509</v>
      </c>
      <c r="B585" s="20" t="s">
        <v>580</v>
      </c>
      <c r="C585" s="162">
        <v>1960</v>
      </c>
      <c r="D585" s="31"/>
      <c r="E585" s="200" t="s">
        <v>3035</v>
      </c>
      <c r="F585" s="200">
        <v>2</v>
      </c>
      <c r="G585" s="200">
        <v>786.6</v>
      </c>
      <c r="H585" s="201">
        <v>30</v>
      </c>
      <c r="I585" s="273">
        <f>SUMIF('2020'!B:B,B585,'2020'!C:C)+SUMIF('2021'!B:B,B585,'2021'!C:C)+SUMIF('2022'!B:B,B585,'2022'!C:C)</f>
        <v>279213.73</v>
      </c>
      <c r="J585" s="59">
        <v>44925</v>
      </c>
      <c r="K585" s="162" t="s">
        <v>3118</v>
      </c>
    </row>
    <row r="586" spans="1:11" ht="17.25" customHeight="1" x14ac:dyDescent="0.3">
      <c r="A586" s="259">
        <f t="shared" si="27"/>
        <v>510</v>
      </c>
      <c r="B586" s="20" t="s">
        <v>581</v>
      </c>
      <c r="C586" s="162">
        <v>1960</v>
      </c>
      <c r="D586" s="31"/>
      <c r="E586" s="200" t="s">
        <v>3035</v>
      </c>
      <c r="F586" s="200">
        <v>2</v>
      </c>
      <c r="G586" s="200">
        <v>609</v>
      </c>
      <c r="H586" s="201">
        <v>24</v>
      </c>
      <c r="I586" s="273">
        <f>SUMIF('2020'!B:B,B586,'2020'!C:C)+SUMIF('2021'!B:B,B586,'2021'!C:C)+SUMIF('2022'!B:B,B586,'2022'!C:C)</f>
        <v>551760.11</v>
      </c>
      <c r="J586" s="59">
        <v>44925</v>
      </c>
      <c r="K586" s="162" t="s">
        <v>3118</v>
      </c>
    </row>
    <row r="587" spans="1:11" ht="17.25" customHeight="1" x14ac:dyDescent="0.3">
      <c r="A587" s="259">
        <f t="shared" si="27"/>
        <v>511</v>
      </c>
      <c r="B587" s="20" t="s">
        <v>582</v>
      </c>
      <c r="C587" s="162">
        <v>1961</v>
      </c>
      <c r="D587" s="31"/>
      <c r="E587" s="200" t="s">
        <v>3035</v>
      </c>
      <c r="F587" s="200">
        <v>2</v>
      </c>
      <c r="G587" s="200">
        <v>704.51</v>
      </c>
      <c r="H587" s="201">
        <v>24</v>
      </c>
      <c r="I587" s="273">
        <f>SUMIF('2020'!B:B,B587,'2020'!C:C)+SUMIF('2021'!B:B,B587,'2021'!C:C)+SUMIF('2022'!B:B,B587,'2022'!C:C)</f>
        <v>189312.7</v>
      </c>
      <c r="J587" s="59">
        <v>44925</v>
      </c>
      <c r="K587" s="162" t="s">
        <v>3118</v>
      </c>
    </row>
    <row r="588" spans="1:11" ht="17.25" customHeight="1" x14ac:dyDescent="0.3">
      <c r="A588" s="259">
        <f t="shared" si="27"/>
        <v>512</v>
      </c>
      <c r="B588" s="20" t="s">
        <v>583</v>
      </c>
      <c r="C588" s="162">
        <v>1961</v>
      </c>
      <c r="D588" s="31"/>
      <c r="E588" s="200" t="s">
        <v>3035</v>
      </c>
      <c r="F588" s="200">
        <v>2</v>
      </c>
      <c r="G588" s="200">
        <v>406.1</v>
      </c>
      <c r="H588" s="201">
        <v>17</v>
      </c>
      <c r="I588" s="273">
        <f>SUMIF('2020'!B:B,B588,'2020'!C:C)+SUMIF('2021'!B:B,B588,'2021'!C:C)+SUMIF('2022'!B:B,B588,'2022'!C:C)</f>
        <v>106536.02</v>
      </c>
      <c r="J588" s="59">
        <v>44925</v>
      </c>
      <c r="K588" s="162" t="s">
        <v>3118</v>
      </c>
    </row>
    <row r="589" spans="1:11" ht="17.25" customHeight="1" x14ac:dyDescent="0.3">
      <c r="A589" s="259">
        <f t="shared" si="27"/>
        <v>513</v>
      </c>
      <c r="B589" s="20" t="s">
        <v>584</v>
      </c>
      <c r="C589" s="162">
        <v>1962</v>
      </c>
      <c r="D589" s="31"/>
      <c r="E589" s="200" t="s">
        <v>3035</v>
      </c>
      <c r="F589" s="200">
        <v>2</v>
      </c>
      <c r="G589" s="200">
        <v>742.1</v>
      </c>
      <c r="H589" s="201">
        <v>26</v>
      </c>
      <c r="I589" s="273">
        <f>SUMIF('2020'!B:B,B589,'2020'!C:C)+SUMIF('2021'!B:B,B589,'2021'!C:C)+SUMIF('2022'!B:B,B589,'2022'!C:C)</f>
        <v>273361.01</v>
      </c>
      <c r="J589" s="59">
        <v>44925</v>
      </c>
      <c r="K589" s="162" t="s">
        <v>3118</v>
      </c>
    </row>
    <row r="590" spans="1:11" ht="17.25" customHeight="1" x14ac:dyDescent="0.3">
      <c r="A590" s="259">
        <f t="shared" si="27"/>
        <v>514</v>
      </c>
      <c r="B590" s="20" t="s">
        <v>585</v>
      </c>
      <c r="C590" s="162">
        <v>1960</v>
      </c>
      <c r="D590" s="31"/>
      <c r="E590" s="200" t="s">
        <v>3035</v>
      </c>
      <c r="F590" s="200">
        <v>2</v>
      </c>
      <c r="G590" s="200">
        <v>737.8</v>
      </c>
      <c r="H590" s="201">
        <v>33</v>
      </c>
      <c r="I590" s="273">
        <f>SUMIF('2020'!B:B,B590,'2020'!C:C)+SUMIF('2021'!B:B,B590,'2021'!C:C)+SUMIF('2022'!B:B,B590,'2022'!C:C)</f>
        <v>119220.67</v>
      </c>
      <c r="J590" s="59">
        <v>44925</v>
      </c>
      <c r="K590" s="162" t="s">
        <v>3118</v>
      </c>
    </row>
    <row r="591" spans="1:11" ht="17.25" customHeight="1" x14ac:dyDescent="0.3">
      <c r="A591" s="15" t="s">
        <v>208</v>
      </c>
      <c r="B591" s="20"/>
      <c r="C591" s="31" t="s">
        <v>3558</v>
      </c>
      <c r="D591" s="31" t="s">
        <v>3558</v>
      </c>
      <c r="E591" s="31" t="s">
        <v>3558</v>
      </c>
      <c r="F591" s="31" t="s">
        <v>3558</v>
      </c>
      <c r="G591" s="56">
        <f>SUM(G558:G590)</f>
        <v>41477.009999999995</v>
      </c>
      <c r="H591" s="173">
        <f>SUM(H558:H590)</f>
        <v>1604</v>
      </c>
      <c r="I591" s="56">
        <f>SUM(I558:I590)</f>
        <v>11686572.719999995</v>
      </c>
      <c r="J591" s="31" t="s">
        <v>3558</v>
      </c>
      <c r="K591" s="31" t="s">
        <v>3558</v>
      </c>
    </row>
    <row r="592" spans="1:11" ht="17.25" customHeight="1" x14ac:dyDescent="0.3">
      <c r="A592" s="19" t="s">
        <v>586</v>
      </c>
      <c r="B592" s="20"/>
      <c r="C592" s="31"/>
      <c r="D592" s="31"/>
      <c r="E592" s="31"/>
      <c r="F592" s="31"/>
      <c r="G592" s="31"/>
      <c r="H592" s="173"/>
      <c r="I592" s="56"/>
      <c r="J592" s="31"/>
      <c r="K592" s="31"/>
    </row>
    <row r="593" spans="1:11" ht="17.25" customHeight="1" x14ac:dyDescent="0.3">
      <c r="A593" s="259">
        <f>A590+1</f>
        <v>515</v>
      </c>
      <c r="B593" s="20" t="s">
        <v>587</v>
      </c>
      <c r="C593" s="162">
        <v>1967</v>
      </c>
      <c r="D593" s="31"/>
      <c r="E593" s="200" t="s">
        <v>3035</v>
      </c>
      <c r="F593" s="200">
        <v>2</v>
      </c>
      <c r="G593" s="200">
        <v>670.14</v>
      </c>
      <c r="H593" s="201">
        <v>45</v>
      </c>
      <c r="I593" s="273">
        <f>SUMIF('2020'!B:B,B593,'2020'!C:C)+SUMIF('2021'!B:B,B593,'2021'!C:C)+SUMIF('2022'!B:B,B593,'2022'!C:C)</f>
        <v>197473.36</v>
      </c>
      <c r="J593" s="59">
        <v>44925</v>
      </c>
      <c r="K593" s="162" t="s">
        <v>3118</v>
      </c>
    </row>
    <row r="594" spans="1:11" ht="17.25" customHeight="1" x14ac:dyDescent="0.3">
      <c r="A594" s="259">
        <f t="shared" ref="A594:A633" si="28">A593+1</f>
        <v>516</v>
      </c>
      <c r="B594" s="20" t="s">
        <v>588</v>
      </c>
      <c r="C594" s="162">
        <v>1967</v>
      </c>
      <c r="D594" s="31"/>
      <c r="E594" s="200" t="s">
        <v>3035</v>
      </c>
      <c r="F594" s="200">
        <v>2</v>
      </c>
      <c r="G594" s="200">
        <v>668.87</v>
      </c>
      <c r="H594" s="201">
        <v>49</v>
      </c>
      <c r="I594" s="273">
        <f>SUMIF('2020'!B:B,B594,'2020'!C:C)+SUMIF('2021'!B:B,B594,'2021'!C:C)+SUMIF('2022'!B:B,B594,'2022'!C:C)</f>
        <v>196526.74</v>
      </c>
      <c r="J594" s="59">
        <v>44925</v>
      </c>
      <c r="K594" s="162" t="s">
        <v>3118</v>
      </c>
    </row>
    <row r="595" spans="1:11" ht="17.25" customHeight="1" x14ac:dyDescent="0.3">
      <c r="A595" s="259">
        <f t="shared" si="28"/>
        <v>517</v>
      </c>
      <c r="B595" s="20" t="s">
        <v>589</v>
      </c>
      <c r="C595" s="162">
        <v>1971</v>
      </c>
      <c r="D595" s="31"/>
      <c r="E595" s="200" t="s">
        <v>3120</v>
      </c>
      <c r="F595" s="200">
        <v>2</v>
      </c>
      <c r="G595" s="200">
        <v>224.3</v>
      </c>
      <c r="H595" s="201">
        <v>3</v>
      </c>
      <c r="I595" s="273">
        <f>SUMIF('2020'!B:B,B595,'2020'!C:C)+SUMIF('2021'!B:B,B595,'2021'!C:C)+SUMIF('2022'!B:B,B595,'2022'!C:C)</f>
        <v>112804.1</v>
      </c>
      <c r="J595" s="59">
        <v>44925</v>
      </c>
      <c r="K595" s="162" t="s">
        <v>3118</v>
      </c>
    </row>
    <row r="596" spans="1:11" ht="17.25" customHeight="1" x14ac:dyDescent="0.3">
      <c r="A596" s="259">
        <f t="shared" si="28"/>
        <v>518</v>
      </c>
      <c r="B596" s="20" t="s">
        <v>590</v>
      </c>
      <c r="C596" s="162">
        <v>1904</v>
      </c>
      <c r="D596" s="31"/>
      <c r="E596" s="200" t="s">
        <v>3120</v>
      </c>
      <c r="F596" s="200">
        <v>1</v>
      </c>
      <c r="G596" s="200">
        <v>186.6</v>
      </c>
      <c r="H596" s="201">
        <v>15</v>
      </c>
      <c r="I596" s="273">
        <f>SUMIF('2020'!B:B,B596,'2020'!C:C)+SUMIF('2021'!B:B,B596,'2021'!C:C)+SUMIF('2022'!B:B,B596,'2022'!C:C)</f>
        <v>108952.06</v>
      </c>
      <c r="J596" s="59">
        <v>44925</v>
      </c>
      <c r="K596" s="162" t="s">
        <v>3118</v>
      </c>
    </row>
    <row r="597" spans="1:11" ht="17.25" customHeight="1" x14ac:dyDescent="0.3">
      <c r="A597" s="259">
        <f t="shared" si="28"/>
        <v>519</v>
      </c>
      <c r="B597" s="20" t="s">
        <v>591</v>
      </c>
      <c r="C597" s="162">
        <v>1930</v>
      </c>
      <c r="D597" s="31"/>
      <c r="E597" s="200" t="s">
        <v>3120</v>
      </c>
      <c r="F597" s="200">
        <v>2</v>
      </c>
      <c r="G597" s="200">
        <v>107.8</v>
      </c>
      <c r="H597" s="201">
        <v>7</v>
      </c>
      <c r="I597" s="273">
        <f>SUMIF('2020'!B:B,B597,'2020'!C:C)+SUMIF('2021'!B:B,B597,'2021'!C:C)+SUMIF('2022'!B:B,B597,'2022'!C:C)</f>
        <v>197210.4</v>
      </c>
      <c r="J597" s="59">
        <v>44925</v>
      </c>
      <c r="K597" s="162" t="s">
        <v>3118</v>
      </c>
    </row>
    <row r="598" spans="1:11" ht="17.25" customHeight="1" x14ac:dyDescent="0.3">
      <c r="A598" s="259">
        <f t="shared" si="28"/>
        <v>520</v>
      </c>
      <c r="B598" s="20" t="s">
        <v>592</v>
      </c>
      <c r="C598" s="162">
        <v>1967</v>
      </c>
      <c r="D598" s="31"/>
      <c r="E598" s="200" t="s">
        <v>3035</v>
      </c>
      <c r="F598" s="200">
        <v>2</v>
      </c>
      <c r="G598" s="200">
        <v>652.6</v>
      </c>
      <c r="H598" s="201">
        <v>30</v>
      </c>
      <c r="I598" s="273">
        <f>SUMIF('2020'!B:B,B598,'2020'!C:C)+SUMIF('2021'!B:B,B598,'2021'!C:C)+SUMIF('2022'!B:B,B598,'2022'!C:C)</f>
        <v>204753.67</v>
      </c>
      <c r="J598" s="59">
        <v>44925</v>
      </c>
      <c r="K598" s="162" t="s">
        <v>3118</v>
      </c>
    </row>
    <row r="599" spans="1:11" ht="17.25" customHeight="1" x14ac:dyDescent="0.3">
      <c r="A599" s="259">
        <f t="shared" si="28"/>
        <v>521</v>
      </c>
      <c r="B599" s="20" t="s">
        <v>593</v>
      </c>
      <c r="C599" s="162">
        <v>1980</v>
      </c>
      <c r="D599" s="31"/>
      <c r="E599" s="200" t="s">
        <v>3120</v>
      </c>
      <c r="F599" s="200">
        <v>2</v>
      </c>
      <c r="G599" s="200">
        <v>164.2</v>
      </c>
      <c r="H599" s="201">
        <v>6</v>
      </c>
      <c r="I599" s="273">
        <f>SUMIF('2020'!B:B,B599,'2020'!C:C)+SUMIF('2021'!B:B,B599,'2021'!C:C)+SUMIF('2022'!B:B,B599,'2022'!C:C)</f>
        <v>115979.05</v>
      </c>
      <c r="J599" s="59">
        <v>44925</v>
      </c>
      <c r="K599" s="162" t="s">
        <v>3118</v>
      </c>
    </row>
    <row r="600" spans="1:11" ht="17.25" customHeight="1" x14ac:dyDescent="0.3">
      <c r="A600" s="259">
        <f t="shared" si="28"/>
        <v>522</v>
      </c>
      <c r="B600" s="20" t="s">
        <v>594</v>
      </c>
      <c r="C600" s="162">
        <v>1965</v>
      </c>
      <c r="D600" s="31"/>
      <c r="E600" s="200" t="s">
        <v>3120</v>
      </c>
      <c r="F600" s="200">
        <v>2</v>
      </c>
      <c r="G600" s="200">
        <v>214.24</v>
      </c>
      <c r="H600" s="201">
        <v>16</v>
      </c>
      <c r="I600" s="273">
        <f>SUMIF('2020'!B:B,B600,'2020'!C:C)+SUMIF('2021'!B:B,B600,'2021'!C:C)+SUMIF('2022'!B:B,B600,'2022'!C:C)</f>
        <v>111824.09</v>
      </c>
      <c r="J600" s="59">
        <v>44925</v>
      </c>
      <c r="K600" s="162" t="s">
        <v>3118</v>
      </c>
    </row>
    <row r="601" spans="1:11" ht="17.25" customHeight="1" x14ac:dyDescent="0.3">
      <c r="A601" s="259">
        <f t="shared" si="28"/>
        <v>523</v>
      </c>
      <c r="B601" s="20" t="s">
        <v>595</v>
      </c>
      <c r="C601" s="162">
        <v>1964</v>
      </c>
      <c r="D601" s="31"/>
      <c r="E601" s="200" t="s">
        <v>3035</v>
      </c>
      <c r="F601" s="200">
        <v>2</v>
      </c>
      <c r="G601" s="200">
        <v>648.29999999999995</v>
      </c>
      <c r="H601" s="201">
        <v>34</v>
      </c>
      <c r="I601" s="273">
        <f>SUMIF('2020'!B:B,B601,'2020'!C:C)+SUMIF('2021'!B:B,B601,'2021'!C:C)+SUMIF('2022'!B:B,B601,'2022'!C:C)</f>
        <v>196158.62</v>
      </c>
      <c r="J601" s="59">
        <v>44925</v>
      </c>
      <c r="K601" s="162" t="s">
        <v>3118</v>
      </c>
    </row>
    <row r="602" spans="1:11" ht="17.25" customHeight="1" x14ac:dyDescent="0.3">
      <c r="A602" s="259">
        <f t="shared" si="28"/>
        <v>524</v>
      </c>
      <c r="B602" s="20" t="s">
        <v>596</v>
      </c>
      <c r="C602" s="162">
        <v>1970</v>
      </c>
      <c r="D602" s="31"/>
      <c r="E602" s="200" t="s">
        <v>3120</v>
      </c>
      <c r="F602" s="200">
        <v>2</v>
      </c>
      <c r="G602" s="200">
        <v>216</v>
      </c>
      <c r="H602" s="201">
        <v>25</v>
      </c>
      <c r="I602" s="273">
        <f>SUMIF('2020'!B:B,B602,'2020'!C:C)+SUMIF('2021'!B:B,B602,'2021'!C:C)+SUMIF('2022'!B:B,B602,'2022'!C:C)</f>
        <v>127407.67999999999</v>
      </c>
      <c r="J602" s="59">
        <v>44925</v>
      </c>
      <c r="K602" s="162" t="s">
        <v>3118</v>
      </c>
    </row>
    <row r="603" spans="1:11" ht="17.25" customHeight="1" x14ac:dyDescent="0.3">
      <c r="A603" s="259">
        <f t="shared" si="28"/>
        <v>525</v>
      </c>
      <c r="B603" s="20" t="s">
        <v>597</v>
      </c>
      <c r="C603" s="162">
        <v>1961</v>
      </c>
      <c r="D603" s="31"/>
      <c r="E603" s="200" t="s">
        <v>3035</v>
      </c>
      <c r="F603" s="200">
        <v>2</v>
      </c>
      <c r="G603" s="200">
        <v>472.4</v>
      </c>
      <c r="H603" s="201">
        <v>45</v>
      </c>
      <c r="I603" s="273">
        <f>SUMIF('2020'!B:B,B603,'2020'!C:C)+SUMIF('2021'!B:B,B603,'2021'!C:C)+SUMIF('2022'!B:B,B603,'2022'!C:C)</f>
        <v>218723.14</v>
      </c>
      <c r="J603" s="59">
        <v>44925</v>
      </c>
      <c r="K603" s="162" t="s">
        <v>3118</v>
      </c>
    </row>
    <row r="604" spans="1:11" ht="17.25" customHeight="1" x14ac:dyDescent="0.3">
      <c r="A604" s="259">
        <f t="shared" si="28"/>
        <v>526</v>
      </c>
      <c r="B604" s="20" t="s">
        <v>598</v>
      </c>
      <c r="C604" s="162">
        <v>1962</v>
      </c>
      <c r="D604" s="31"/>
      <c r="E604" s="200" t="s">
        <v>3035</v>
      </c>
      <c r="F604" s="200">
        <v>2</v>
      </c>
      <c r="G604" s="200">
        <v>522.1</v>
      </c>
      <c r="H604" s="201">
        <v>34</v>
      </c>
      <c r="I604" s="273">
        <f>SUMIF('2020'!B:B,B604,'2020'!C:C)+SUMIF('2021'!B:B,B604,'2021'!C:C)+SUMIF('2022'!B:B,B604,'2022'!C:C)</f>
        <v>218723.14</v>
      </c>
      <c r="J604" s="59">
        <v>44925</v>
      </c>
      <c r="K604" s="162" t="s">
        <v>3118</v>
      </c>
    </row>
    <row r="605" spans="1:11" ht="17.25" customHeight="1" x14ac:dyDescent="0.3">
      <c r="A605" s="259">
        <f t="shared" si="28"/>
        <v>527</v>
      </c>
      <c r="B605" s="20" t="s">
        <v>599</v>
      </c>
      <c r="C605" s="162">
        <v>1969</v>
      </c>
      <c r="D605" s="31"/>
      <c r="E605" s="200" t="s">
        <v>3127</v>
      </c>
      <c r="F605" s="200">
        <v>5</v>
      </c>
      <c r="G605" s="200">
        <v>4458.9399999999996</v>
      </c>
      <c r="H605" s="201">
        <v>240</v>
      </c>
      <c r="I605" s="273">
        <f>SUMIF('2020'!B:B,B605,'2020'!C:C)+SUMIF('2021'!B:B,B605,'2021'!C:C)+SUMIF('2022'!B:B,B605,'2022'!C:C)</f>
        <v>432222.13</v>
      </c>
      <c r="J605" s="59">
        <v>44925</v>
      </c>
      <c r="K605" s="162" t="s">
        <v>3118</v>
      </c>
    </row>
    <row r="606" spans="1:11" ht="17.25" customHeight="1" x14ac:dyDescent="0.3">
      <c r="A606" s="259">
        <f t="shared" si="28"/>
        <v>528</v>
      </c>
      <c r="B606" s="20" t="s">
        <v>600</v>
      </c>
      <c r="C606" s="162">
        <v>1969</v>
      </c>
      <c r="D606" s="31"/>
      <c r="E606" s="200" t="s">
        <v>3127</v>
      </c>
      <c r="F606" s="200">
        <v>5</v>
      </c>
      <c r="G606" s="200">
        <v>3620.1</v>
      </c>
      <c r="H606" s="201">
        <v>228</v>
      </c>
      <c r="I606" s="273">
        <f>SUMIF('2020'!B:B,B606,'2020'!C:C)+SUMIF('2021'!B:B,B606,'2021'!C:C)+SUMIF('2022'!B:B,B606,'2022'!C:C)</f>
        <v>345655.27</v>
      </c>
      <c r="J606" s="59">
        <v>44925</v>
      </c>
      <c r="K606" s="162" t="s">
        <v>3118</v>
      </c>
    </row>
    <row r="607" spans="1:11" ht="17.25" customHeight="1" x14ac:dyDescent="0.3">
      <c r="A607" s="259">
        <f t="shared" si="28"/>
        <v>529</v>
      </c>
      <c r="B607" s="20" t="s">
        <v>601</v>
      </c>
      <c r="C607" s="162">
        <v>1976</v>
      </c>
      <c r="D607" s="31"/>
      <c r="E607" s="200" t="s">
        <v>3035</v>
      </c>
      <c r="F607" s="200">
        <v>5</v>
      </c>
      <c r="G607" s="200">
        <v>1687</v>
      </c>
      <c r="H607" s="201">
        <v>82</v>
      </c>
      <c r="I607" s="273">
        <f>SUMIF('2020'!B:B,B607,'2020'!C:C)+SUMIF('2021'!B:B,B607,'2021'!C:C)+SUMIF('2022'!B:B,B607,'2022'!C:C)</f>
        <v>245254.18</v>
      </c>
      <c r="J607" s="59">
        <v>44925</v>
      </c>
      <c r="K607" s="162" t="s">
        <v>3118</v>
      </c>
    </row>
    <row r="608" spans="1:11" ht="17.25" customHeight="1" x14ac:dyDescent="0.3">
      <c r="A608" s="259">
        <f t="shared" si="28"/>
        <v>530</v>
      </c>
      <c r="B608" s="20" t="s">
        <v>602</v>
      </c>
      <c r="C608" s="162">
        <v>1977</v>
      </c>
      <c r="D608" s="31"/>
      <c r="E608" s="200" t="s">
        <v>3035</v>
      </c>
      <c r="F608" s="200">
        <v>5</v>
      </c>
      <c r="G608" s="200">
        <v>1438.5</v>
      </c>
      <c r="H608" s="201">
        <v>59</v>
      </c>
      <c r="I608" s="273">
        <f>SUMIF('2020'!B:B,B608,'2020'!C:C)+SUMIF('2021'!B:B,B608,'2021'!C:C)+SUMIF('2022'!B:B,B608,'2022'!C:C)</f>
        <v>245254.18</v>
      </c>
      <c r="J608" s="59">
        <v>44925</v>
      </c>
      <c r="K608" s="162" t="s">
        <v>3118</v>
      </c>
    </row>
    <row r="609" spans="1:11" ht="17.25" customHeight="1" x14ac:dyDescent="0.3">
      <c r="A609" s="259">
        <f t="shared" si="28"/>
        <v>531</v>
      </c>
      <c r="B609" s="20" t="s">
        <v>603</v>
      </c>
      <c r="C609" s="162">
        <v>1992</v>
      </c>
      <c r="D609" s="31"/>
      <c r="E609" s="200" t="s">
        <v>3127</v>
      </c>
      <c r="F609" s="200">
        <v>9</v>
      </c>
      <c r="G609" s="200">
        <v>16048.5</v>
      </c>
      <c r="H609" s="201">
        <v>732</v>
      </c>
      <c r="I609" s="273">
        <f>SUMIF('2020'!B:B,B609,'2020'!C:C)+SUMIF('2021'!B:B,B609,'2021'!C:C)+SUMIF('2022'!B:B,B609,'2022'!C:C)</f>
        <v>130000</v>
      </c>
      <c r="J609" s="59">
        <v>44925</v>
      </c>
      <c r="K609" s="162" t="s">
        <v>3118</v>
      </c>
    </row>
    <row r="610" spans="1:11" ht="17.25" customHeight="1" x14ac:dyDescent="0.3">
      <c r="A610" s="259">
        <f t="shared" si="28"/>
        <v>532</v>
      </c>
      <c r="B610" s="20" t="s">
        <v>604</v>
      </c>
      <c r="C610" s="162">
        <v>1936</v>
      </c>
      <c r="D610" s="31"/>
      <c r="E610" s="200" t="s">
        <v>3035</v>
      </c>
      <c r="F610" s="200">
        <v>2</v>
      </c>
      <c r="G610" s="200">
        <v>951.9</v>
      </c>
      <c r="H610" s="201">
        <v>45</v>
      </c>
      <c r="I610" s="273">
        <f>SUMIF('2020'!B:B,B610,'2020'!C:C)+SUMIF('2021'!B:B,B610,'2021'!C:C)+SUMIF('2022'!B:B,B610,'2022'!C:C)</f>
        <v>112412.06</v>
      </c>
      <c r="J610" s="59">
        <v>44925</v>
      </c>
      <c r="K610" s="162" t="s">
        <v>3118</v>
      </c>
    </row>
    <row r="611" spans="1:11" ht="17.25" customHeight="1" x14ac:dyDescent="0.3">
      <c r="A611" s="259">
        <f t="shared" si="28"/>
        <v>533</v>
      </c>
      <c r="B611" s="20" t="s">
        <v>605</v>
      </c>
      <c r="C611" s="162">
        <v>1965</v>
      </c>
      <c r="D611" s="31"/>
      <c r="E611" s="200" t="s">
        <v>3035</v>
      </c>
      <c r="F611" s="200">
        <v>3</v>
      </c>
      <c r="G611" s="200">
        <v>1911.2</v>
      </c>
      <c r="H611" s="201">
        <v>54</v>
      </c>
      <c r="I611" s="273">
        <f>SUMIF('2020'!B:B,B611,'2020'!C:C)+SUMIF('2021'!B:B,B611,'2021'!C:C)+SUMIF('2022'!B:B,B611,'2022'!C:C)</f>
        <v>274782.07</v>
      </c>
      <c r="J611" s="59">
        <v>44925</v>
      </c>
      <c r="K611" s="162" t="s">
        <v>3118</v>
      </c>
    </row>
    <row r="612" spans="1:11" ht="17.25" customHeight="1" x14ac:dyDescent="0.3">
      <c r="A612" s="259">
        <f t="shared" si="28"/>
        <v>534</v>
      </c>
      <c r="B612" s="20" t="s">
        <v>606</v>
      </c>
      <c r="C612" s="162">
        <v>1936</v>
      </c>
      <c r="D612" s="31"/>
      <c r="E612" s="200" t="s">
        <v>3035</v>
      </c>
      <c r="F612" s="200">
        <v>2</v>
      </c>
      <c r="G612" s="200">
        <v>1046.5</v>
      </c>
      <c r="H612" s="201">
        <v>41</v>
      </c>
      <c r="I612" s="273">
        <f>SUMIF('2020'!B:B,B612,'2020'!C:C)+SUMIF('2021'!B:B,B612,'2021'!C:C)+SUMIF('2022'!B:B,B612,'2022'!C:C)</f>
        <v>190722.97</v>
      </c>
      <c r="J612" s="59">
        <v>44925</v>
      </c>
      <c r="K612" s="162" t="s">
        <v>3118</v>
      </c>
    </row>
    <row r="613" spans="1:11" ht="17.25" customHeight="1" x14ac:dyDescent="0.3">
      <c r="A613" s="259">
        <f t="shared" si="28"/>
        <v>535</v>
      </c>
      <c r="B613" s="20" t="s">
        <v>607</v>
      </c>
      <c r="C613" s="162">
        <v>1936</v>
      </c>
      <c r="D613" s="31"/>
      <c r="E613" s="200" t="s">
        <v>3035</v>
      </c>
      <c r="F613" s="200">
        <v>2</v>
      </c>
      <c r="G613" s="200">
        <v>419.1</v>
      </c>
      <c r="H613" s="201">
        <v>17</v>
      </c>
      <c r="I613" s="273">
        <f>SUMIF('2020'!B:B,B613,'2020'!C:C)+SUMIF('2021'!B:B,B613,'2021'!C:C)+SUMIF('2022'!B:B,B613,'2022'!C:C)</f>
        <v>192229.52</v>
      </c>
      <c r="J613" s="59">
        <v>44925</v>
      </c>
      <c r="K613" s="162" t="s">
        <v>3118</v>
      </c>
    </row>
    <row r="614" spans="1:11" ht="17.25" customHeight="1" x14ac:dyDescent="0.3">
      <c r="A614" s="259">
        <f t="shared" si="28"/>
        <v>536</v>
      </c>
      <c r="B614" s="20" t="s">
        <v>608</v>
      </c>
      <c r="C614" s="162">
        <v>1976</v>
      </c>
      <c r="D614" s="31"/>
      <c r="E614" s="200" t="s">
        <v>3035</v>
      </c>
      <c r="F614" s="200">
        <v>4</v>
      </c>
      <c r="G614" s="200">
        <v>3214.3</v>
      </c>
      <c r="H614" s="201">
        <v>95</v>
      </c>
      <c r="I614" s="273">
        <f>SUMIF('2020'!B:B,B614,'2020'!C:C)+SUMIF('2021'!B:B,B614,'2021'!C:C)+SUMIF('2022'!B:B,B614,'2022'!C:C)</f>
        <v>329741.15999999997</v>
      </c>
      <c r="J614" s="59">
        <v>44925</v>
      </c>
      <c r="K614" s="162" t="s">
        <v>3118</v>
      </c>
    </row>
    <row r="615" spans="1:11" ht="17.25" customHeight="1" x14ac:dyDescent="0.3">
      <c r="A615" s="259">
        <f t="shared" si="28"/>
        <v>537</v>
      </c>
      <c r="B615" s="20" t="s">
        <v>609</v>
      </c>
      <c r="C615" s="162">
        <v>1965</v>
      </c>
      <c r="D615" s="31"/>
      <c r="E615" s="200" t="s">
        <v>3120</v>
      </c>
      <c r="F615" s="200">
        <v>1</v>
      </c>
      <c r="G615" s="200">
        <v>248.9</v>
      </c>
      <c r="H615" s="201">
        <v>15</v>
      </c>
      <c r="I615" s="273">
        <f>SUMIF('2020'!B:B,B615,'2020'!C:C)+SUMIF('2021'!B:B,B615,'2021'!C:C)+SUMIF('2022'!B:B,B615,'2022'!C:C)</f>
        <v>122209.14</v>
      </c>
      <c r="J615" s="59">
        <v>44925</v>
      </c>
      <c r="K615" s="162" t="s">
        <v>3118</v>
      </c>
    </row>
    <row r="616" spans="1:11" ht="17.25" customHeight="1" x14ac:dyDescent="0.3">
      <c r="A616" s="259">
        <f t="shared" si="28"/>
        <v>538</v>
      </c>
      <c r="B616" s="20" t="s">
        <v>610</v>
      </c>
      <c r="C616" s="162">
        <v>1938</v>
      </c>
      <c r="D616" s="31"/>
      <c r="E616" s="200" t="s">
        <v>3035</v>
      </c>
      <c r="F616" s="200">
        <v>1</v>
      </c>
      <c r="G616" s="200">
        <v>134.69999999999999</v>
      </c>
      <c r="H616" s="201">
        <v>5</v>
      </c>
      <c r="I616" s="273">
        <f>SUMIF('2020'!B:B,B616,'2020'!C:C)+SUMIF('2021'!B:B,B616,'2021'!C:C)+SUMIF('2022'!B:B,B616,'2022'!C:C)</f>
        <v>104203.46</v>
      </c>
      <c r="J616" s="59">
        <v>44925</v>
      </c>
      <c r="K616" s="162" t="s">
        <v>3118</v>
      </c>
    </row>
    <row r="617" spans="1:11" ht="17.25" customHeight="1" x14ac:dyDescent="0.3">
      <c r="A617" s="259">
        <f t="shared" si="28"/>
        <v>539</v>
      </c>
      <c r="B617" s="20" t="s">
        <v>611</v>
      </c>
      <c r="C617" s="162">
        <v>1976</v>
      </c>
      <c r="D617" s="31"/>
      <c r="E617" s="200" t="s">
        <v>3035</v>
      </c>
      <c r="F617" s="200">
        <v>4</v>
      </c>
      <c r="G617" s="200">
        <v>3214.3</v>
      </c>
      <c r="H617" s="201">
        <v>97</v>
      </c>
      <c r="I617" s="273">
        <f>SUMIF('2020'!B:B,B617,'2020'!C:C)+SUMIF('2021'!B:B,B617,'2021'!C:C)+SUMIF('2022'!B:B,B617,'2022'!C:C)</f>
        <v>329741.15999999997</v>
      </c>
      <c r="J617" s="59">
        <v>44925</v>
      </c>
      <c r="K617" s="162" t="s">
        <v>3118</v>
      </c>
    </row>
    <row r="618" spans="1:11" ht="17.25" customHeight="1" x14ac:dyDescent="0.3">
      <c r="A618" s="259">
        <f t="shared" si="28"/>
        <v>540</v>
      </c>
      <c r="B618" s="20" t="s">
        <v>612</v>
      </c>
      <c r="C618" s="162">
        <v>1983</v>
      </c>
      <c r="D618" s="31"/>
      <c r="E618" s="200" t="s">
        <v>3035</v>
      </c>
      <c r="F618" s="200">
        <v>3</v>
      </c>
      <c r="G618" s="200">
        <v>1459.1</v>
      </c>
      <c r="H618" s="201">
        <v>62</v>
      </c>
      <c r="I618" s="273">
        <f>SUMIF('2020'!B:B,B618,'2020'!C:C)+SUMIF('2021'!B:B,B618,'2021'!C:C)+SUMIF('2022'!B:B,B618,'2022'!C:C)</f>
        <v>236695.4</v>
      </c>
      <c r="J618" s="59">
        <v>44925</v>
      </c>
      <c r="K618" s="162" t="s">
        <v>3118</v>
      </c>
    </row>
    <row r="619" spans="1:11" ht="17.25" customHeight="1" x14ac:dyDescent="0.3">
      <c r="A619" s="259">
        <f t="shared" si="28"/>
        <v>541</v>
      </c>
      <c r="B619" s="20" t="s">
        <v>613</v>
      </c>
      <c r="C619" s="162">
        <v>1965</v>
      </c>
      <c r="D619" s="31"/>
      <c r="E619" s="200" t="s">
        <v>3035</v>
      </c>
      <c r="F619" s="200">
        <v>5</v>
      </c>
      <c r="G619" s="200">
        <v>4007.62</v>
      </c>
      <c r="H619" s="201">
        <v>186</v>
      </c>
      <c r="I619" s="273">
        <f>SUMIF('2020'!B:B,B619,'2020'!C:C)+SUMIF('2021'!B:B,B619,'2021'!C:C)+SUMIF('2022'!B:B,B619,'2022'!C:C)</f>
        <v>437334.08</v>
      </c>
      <c r="J619" s="59">
        <v>44925</v>
      </c>
      <c r="K619" s="162" t="s">
        <v>3118</v>
      </c>
    </row>
    <row r="620" spans="1:11" ht="17.25" customHeight="1" x14ac:dyDescent="0.3">
      <c r="A620" s="259">
        <f t="shared" si="28"/>
        <v>542</v>
      </c>
      <c r="B620" s="20" t="s">
        <v>614</v>
      </c>
      <c r="C620" s="162">
        <v>1964</v>
      </c>
      <c r="D620" s="31"/>
      <c r="E620" s="200" t="s">
        <v>3035</v>
      </c>
      <c r="F620" s="200">
        <v>5</v>
      </c>
      <c r="G620" s="200">
        <v>2926.27</v>
      </c>
      <c r="H620" s="201">
        <v>149</v>
      </c>
      <c r="I620" s="273">
        <f>SUMIF('2020'!B:B,B620,'2020'!C:C)+SUMIF('2021'!B:B,B620,'2021'!C:C)+SUMIF('2022'!B:B,B620,'2022'!C:C)</f>
        <v>390722.32</v>
      </c>
      <c r="J620" s="59">
        <v>44925</v>
      </c>
      <c r="K620" s="162" t="s">
        <v>3118</v>
      </c>
    </row>
    <row r="621" spans="1:11" ht="17.25" customHeight="1" x14ac:dyDescent="0.3">
      <c r="A621" s="259">
        <f t="shared" si="28"/>
        <v>543</v>
      </c>
      <c r="B621" s="20" t="s">
        <v>615</v>
      </c>
      <c r="C621" s="162">
        <v>1962</v>
      </c>
      <c r="D621" s="31"/>
      <c r="E621" s="200" t="s">
        <v>3035</v>
      </c>
      <c r="F621" s="200">
        <v>4</v>
      </c>
      <c r="G621" s="200">
        <v>3098.29</v>
      </c>
      <c r="H621" s="201">
        <v>144</v>
      </c>
      <c r="I621" s="273">
        <f>SUMIF('2020'!B:B,B621,'2020'!C:C)+SUMIF('2021'!B:B,B621,'2021'!C:C)+SUMIF('2022'!B:B,B621,'2022'!C:C)</f>
        <v>435675.11</v>
      </c>
      <c r="J621" s="59">
        <v>44925</v>
      </c>
      <c r="K621" s="162" t="s">
        <v>3118</v>
      </c>
    </row>
    <row r="622" spans="1:11" ht="17.25" customHeight="1" x14ac:dyDescent="0.3">
      <c r="A622" s="259">
        <f t="shared" si="28"/>
        <v>544</v>
      </c>
      <c r="B622" s="20" t="s">
        <v>616</v>
      </c>
      <c r="C622" s="162">
        <v>1962</v>
      </c>
      <c r="D622" s="31"/>
      <c r="E622" s="200" t="s">
        <v>3035</v>
      </c>
      <c r="F622" s="200">
        <v>3</v>
      </c>
      <c r="G622" s="200">
        <v>3658</v>
      </c>
      <c r="H622" s="201">
        <v>22</v>
      </c>
      <c r="I622" s="273">
        <f>SUMIF('2020'!B:B,B622,'2020'!C:C)+SUMIF('2021'!B:B,B622,'2021'!C:C)+SUMIF('2022'!B:B,B622,'2022'!C:C)</f>
        <v>174519.6</v>
      </c>
      <c r="J622" s="59">
        <v>44925</v>
      </c>
      <c r="K622" s="162" t="s">
        <v>3118</v>
      </c>
    </row>
    <row r="623" spans="1:11" ht="17.25" customHeight="1" x14ac:dyDescent="0.3">
      <c r="A623" s="259">
        <f t="shared" si="28"/>
        <v>545</v>
      </c>
      <c r="B623" s="20" t="s">
        <v>617</v>
      </c>
      <c r="C623" s="162">
        <v>1956</v>
      </c>
      <c r="D623" s="31"/>
      <c r="E623" s="200" t="s">
        <v>3035</v>
      </c>
      <c r="F623" s="200">
        <v>2</v>
      </c>
      <c r="G623" s="200">
        <v>1589.3</v>
      </c>
      <c r="H623" s="201">
        <v>47</v>
      </c>
      <c r="I623" s="273">
        <f>SUMIF('2020'!B:B,B623,'2020'!C:C)+SUMIF('2021'!B:B,B623,'2021'!C:C)+SUMIF('2022'!B:B,B623,'2022'!C:C)</f>
        <v>200922.52</v>
      </c>
      <c r="J623" s="59">
        <v>44925</v>
      </c>
      <c r="K623" s="162" t="s">
        <v>3118</v>
      </c>
    </row>
    <row r="624" spans="1:11" ht="17.25" customHeight="1" x14ac:dyDescent="0.3">
      <c r="A624" s="259">
        <f t="shared" si="28"/>
        <v>546</v>
      </c>
      <c r="B624" s="20" t="s">
        <v>618</v>
      </c>
      <c r="C624" s="162">
        <v>1962</v>
      </c>
      <c r="D624" s="31"/>
      <c r="E624" s="200" t="s">
        <v>3035</v>
      </c>
      <c r="F624" s="200">
        <v>4</v>
      </c>
      <c r="G624" s="200">
        <v>3118.36</v>
      </c>
      <c r="H624" s="201">
        <v>161</v>
      </c>
      <c r="I624" s="273">
        <f>SUMIF('2020'!B:B,B624,'2020'!C:C)+SUMIF('2021'!B:B,B624,'2021'!C:C)+SUMIF('2022'!B:B,B624,'2022'!C:C)</f>
        <v>426989.76</v>
      </c>
      <c r="J624" s="59">
        <v>44925</v>
      </c>
      <c r="K624" s="162" t="s">
        <v>3118</v>
      </c>
    </row>
    <row r="625" spans="1:11" ht="17.25" customHeight="1" x14ac:dyDescent="0.3">
      <c r="A625" s="259">
        <f t="shared" si="28"/>
        <v>547</v>
      </c>
      <c r="B625" s="20" t="s">
        <v>619</v>
      </c>
      <c r="C625" s="162">
        <v>1956</v>
      </c>
      <c r="D625" s="31"/>
      <c r="E625" s="200" t="s">
        <v>3035</v>
      </c>
      <c r="F625" s="200">
        <v>3</v>
      </c>
      <c r="G625" s="200">
        <v>824.34</v>
      </c>
      <c r="H625" s="201">
        <v>20</v>
      </c>
      <c r="I625" s="273">
        <f>SUMIF('2020'!B:B,B625,'2020'!C:C)+SUMIF('2021'!B:B,B625,'2021'!C:C)+SUMIF('2022'!B:B,B625,'2022'!C:C)</f>
        <v>174545.03</v>
      </c>
      <c r="J625" s="59">
        <v>44925</v>
      </c>
      <c r="K625" s="162" t="s">
        <v>3118</v>
      </c>
    </row>
    <row r="626" spans="1:11" ht="17.25" customHeight="1" x14ac:dyDescent="0.3">
      <c r="A626" s="259">
        <f t="shared" si="28"/>
        <v>548</v>
      </c>
      <c r="B626" s="20" t="s">
        <v>620</v>
      </c>
      <c r="C626" s="162">
        <v>1954</v>
      </c>
      <c r="D626" s="31"/>
      <c r="E626" s="200" t="s">
        <v>3035</v>
      </c>
      <c r="F626" s="200">
        <v>3</v>
      </c>
      <c r="G626" s="200">
        <v>1976.8</v>
      </c>
      <c r="H626" s="201">
        <v>68</v>
      </c>
      <c r="I626" s="273">
        <f>SUMIF('2020'!B:B,B626,'2020'!C:C)+SUMIF('2021'!B:B,B626,'2021'!C:C)+SUMIF('2022'!B:B,B626,'2022'!C:C)</f>
        <v>222105.31</v>
      </c>
      <c r="J626" s="59">
        <v>44925</v>
      </c>
      <c r="K626" s="162" t="s">
        <v>3118</v>
      </c>
    </row>
    <row r="627" spans="1:11" ht="17.25" customHeight="1" x14ac:dyDescent="0.3">
      <c r="A627" s="259">
        <f t="shared" si="28"/>
        <v>549</v>
      </c>
      <c r="B627" s="20" t="s">
        <v>621</v>
      </c>
      <c r="C627" s="162">
        <v>1972</v>
      </c>
      <c r="D627" s="31"/>
      <c r="E627" s="200" t="s">
        <v>3035</v>
      </c>
      <c r="F627" s="200">
        <v>5</v>
      </c>
      <c r="G627" s="200">
        <v>7163.3</v>
      </c>
      <c r="H627" s="201">
        <v>234</v>
      </c>
      <c r="I627" s="273">
        <f>SUMIF('2020'!B:B,B627,'2020'!C:C)+SUMIF('2021'!B:B,B627,'2021'!C:C)+SUMIF('2022'!B:B,B627,'2022'!C:C)</f>
        <v>538483.79</v>
      </c>
      <c r="J627" s="59">
        <v>44925</v>
      </c>
      <c r="K627" s="162" t="s">
        <v>3118</v>
      </c>
    </row>
    <row r="628" spans="1:11" ht="17.25" customHeight="1" x14ac:dyDescent="0.3">
      <c r="A628" s="259">
        <f t="shared" si="28"/>
        <v>550</v>
      </c>
      <c r="B628" s="20" t="s">
        <v>622</v>
      </c>
      <c r="C628" s="162">
        <v>1957</v>
      </c>
      <c r="D628" s="31"/>
      <c r="E628" s="200" t="s">
        <v>3035</v>
      </c>
      <c r="F628" s="200">
        <v>3</v>
      </c>
      <c r="G628" s="200">
        <v>1906.6</v>
      </c>
      <c r="H628" s="201">
        <v>68</v>
      </c>
      <c r="I628" s="273">
        <f>SUMIF('2020'!B:B,B628,'2020'!C:C)+SUMIF('2021'!B:B,B628,'2021'!C:C)+SUMIF('2022'!B:B,B628,'2022'!C:C)</f>
        <v>298759.27</v>
      </c>
      <c r="J628" s="59">
        <v>44925</v>
      </c>
      <c r="K628" s="162" t="s">
        <v>3118</v>
      </c>
    </row>
    <row r="629" spans="1:11" ht="17.25" customHeight="1" x14ac:dyDescent="0.3">
      <c r="A629" s="259">
        <f t="shared" si="28"/>
        <v>551</v>
      </c>
      <c r="B629" s="20" t="s">
        <v>623</v>
      </c>
      <c r="C629" s="162">
        <v>1957</v>
      </c>
      <c r="D629" s="31"/>
      <c r="E629" s="200" t="s">
        <v>3035</v>
      </c>
      <c r="F629" s="200">
        <v>2</v>
      </c>
      <c r="G629" s="200">
        <v>1927.7</v>
      </c>
      <c r="H629" s="201">
        <v>49</v>
      </c>
      <c r="I629" s="273">
        <f>SUMIF('2020'!B:B,B629,'2020'!C:C)+SUMIF('2021'!B:B,B629,'2021'!C:C)+SUMIF('2022'!B:B,B629,'2022'!C:C)</f>
        <v>200922.52</v>
      </c>
      <c r="J629" s="59">
        <v>44925</v>
      </c>
      <c r="K629" s="162" t="s">
        <v>3118</v>
      </c>
    </row>
    <row r="630" spans="1:11" ht="17.25" customHeight="1" x14ac:dyDescent="0.3">
      <c r="A630" s="259">
        <f t="shared" si="28"/>
        <v>552</v>
      </c>
      <c r="B630" s="20" t="s">
        <v>624</v>
      </c>
      <c r="C630" s="162">
        <v>1956</v>
      </c>
      <c r="D630" s="31"/>
      <c r="E630" s="200" t="s">
        <v>3035</v>
      </c>
      <c r="F630" s="200">
        <v>2</v>
      </c>
      <c r="G630" s="200">
        <v>1930.1</v>
      </c>
      <c r="H630" s="201">
        <v>66</v>
      </c>
      <c r="I630" s="273">
        <f>SUMIF('2020'!B:B,B630,'2020'!C:C)+SUMIF('2021'!B:B,B630,'2021'!C:C)+SUMIF('2022'!B:B,B630,'2022'!C:C)</f>
        <v>225098.96</v>
      </c>
      <c r="J630" s="59">
        <v>44925</v>
      </c>
      <c r="K630" s="162" t="s">
        <v>3118</v>
      </c>
    </row>
    <row r="631" spans="1:11" ht="17.25" customHeight="1" x14ac:dyDescent="0.3">
      <c r="A631" s="259">
        <f t="shared" si="28"/>
        <v>553</v>
      </c>
      <c r="B631" s="20" t="s">
        <v>625</v>
      </c>
      <c r="C631" s="162">
        <v>1968</v>
      </c>
      <c r="D631" s="31"/>
      <c r="E631" s="200" t="s">
        <v>3035</v>
      </c>
      <c r="F631" s="200">
        <v>5</v>
      </c>
      <c r="G631" s="200">
        <v>7173.9</v>
      </c>
      <c r="H631" s="201">
        <v>227</v>
      </c>
      <c r="I631" s="273">
        <f>SUMIF('2020'!B:B,B631,'2020'!C:C)+SUMIF('2021'!B:B,B631,'2021'!C:C)+SUMIF('2022'!B:B,B631,'2022'!C:C)</f>
        <v>539974.5</v>
      </c>
      <c r="J631" s="59">
        <v>44925</v>
      </c>
      <c r="K631" s="162" t="s">
        <v>3118</v>
      </c>
    </row>
    <row r="632" spans="1:11" ht="17.25" customHeight="1" x14ac:dyDescent="0.3">
      <c r="A632" s="259">
        <f t="shared" si="28"/>
        <v>554</v>
      </c>
      <c r="B632" s="20" t="s">
        <v>626</v>
      </c>
      <c r="C632" s="162">
        <v>1973</v>
      </c>
      <c r="D632" s="31"/>
      <c r="E632" s="200" t="s">
        <v>3035</v>
      </c>
      <c r="F632" s="200">
        <v>2</v>
      </c>
      <c r="G632" s="200">
        <v>1035.5999999999999</v>
      </c>
      <c r="H632" s="201">
        <v>39</v>
      </c>
      <c r="I632" s="273">
        <f>SUMIF('2020'!B:B,B632,'2020'!C:C)+SUMIF('2021'!B:B,B632,'2021'!C:C)+SUMIF('2022'!B:B,B632,'2022'!C:C)</f>
        <v>194515.96</v>
      </c>
      <c r="J632" s="59">
        <v>44925</v>
      </c>
      <c r="K632" s="162" t="s">
        <v>3118</v>
      </c>
    </row>
    <row r="633" spans="1:11" ht="17.25" customHeight="1" x14ac:dyDescent="0.3">
      <c r="A633" s="259">
        <f t="shared" si="28"/>
        <v>555</v>
      </c>
      <c r="B633" s="20" t="s">
        <v>627</v>
      </c>
      <c r="C633" s="162">
        <v>1935</v>
      </c>
      <c r="D633" s="31"/>
      <c r="E633" s="200" t="s">
        <v>3120</v>
      </c>
      <c r="F633" s="31">
        <v>2</v>
      </c>
      <c r="G633" s="31">
        <v>565.5</v>
      </c>
      <c r="H633" s="173">
        <v>18</v>
      </c>
      <c r="I633" s="273">
        <f>SUMIF('2020'!B:B,B633,'2020'!C:C)+SUMIF('2021'!B:B,B633,'2021'!C:C)+SUMIF('2022'!B:B,B633,'2022'!C:C)</f>
        <v>130000</v>
      </c>
      <c r="J633" s="59">
        <v>44925</v>
      </c>
      <c r="K633" s="162" t="s">
        <v>3118</v>
      </c>
    </row>
    <row r="634" spans="1:11" ht="17.25" customHeight="1" x14ac:dyDescent="0.3">
      <c r="A634" s="15" t="s">
        <v>208</v>
      </c>
      <c r="B634" s="20"/>
      <c r="C634" s="31" t="s">
        <v>3558</v>
      </c>
      <c r="D634" s="31" t="s">
        <v>3558</v>
      </c>
      <c r="E634" s="31" t="s">
        <v>3558</v>
      </c>
      <c r="F634" s="31" t="s">
        <v>3558</v>
      </c>
      <c r="G634" s="56">
        <f>SUM(G593:G633)</f>
        <v>87502.27</v>
      </c>
      <c r="H634" s="173">
        <f>SUM(H593:H633)</f>
        <v>3579</v>
      </c>
      <c r="I634" s="56">
        <f>SUM(I593:I633)</f>
        <v>9888227.4800000023</v>
      </c>
      <c r="J634" s="31" t="s">
        <v>3558</v>
      </c>
      <c r="K634" s="31" t="s">
        <v>3558</v>
      </c>
    </row>
    <row r="635" spans="1:11" ht="17.25" customHeight="1" x14ac:dyDescent="0.3">
      <c r="A635" s="19" t="s">
        <v>628</v>
      </c>
      <c r="B635" s="20"/>
      <c r="C635" s="31"/>
      <c r="D635" s="31"/>
      <c r="E635" s="31"/>
      <c r="F635" s="31"/>
      <c r="G635" s="31"/>
      <c r="H635" s="173"/>
      <c r="I635" s="56"/>
      <c r="J635" s="31"/>
      <c r="K635" s="31"/>
    </row>
    <row r="636" spans="1:11" ht="17.25" customHeight="1" x14ac:dyDescent="0.3">
      <c r="A636" s="259">
        <f>A633+1</f>
        <v>556</v>
      </c>
      <c r="B636" s="20" t="s">
        <v>629</v>
      </c>
      <c r="C636" s="162">
        <v>1960</v>
      </c>
      <c r="D636" s="31"/>
      <c r="E636" s="200" t="s">
        <v>3035</v>
      </c>
      <c r="F636" s="200">
        <v>2</v>
      </c>
      <c r="G636" s="200">
        <v>877.5</v>
      </c>
      <c r="H636" s="201">
        <v>27</v>
      </c>
      <c r="I636" s="273">
        <f>SUMIF('2020'!B:B,B636,'2020'!C:C)+SUMIF('2021'!B:B,B636,'2021'!C:C)+SUMIF('2022'!B:B,B636,'2022'!C:C)</f>
        <v>11877358</v>
      </c>
      <c r="J636" s="59">
        <v>44925</v>
      </c>
      <c r="K636" s="162" t="s">
        <v>3118</v>
      </c>
    </row>
    <row r="637" spans="1:11" ht="17.25" customHeight="1" x14ac:dyDescent="0.3">
      <c r="A637" s="259">
        <f t="shared" ref="A637:A643" si="29">A636+1</f>
        <v>557</v>
      </c>
      <c r="B637" s="124" t="s">
        <v>3542</v>
      </c>
      <c r="C637" s="162"/>
      <c r="D637" s="31"/>
      <c r="E637" s="200"/>
      <c r="F637" s="200"/>
      <c r="G637" s="200"/>
      <c r="H637" s="201"/>
      <c r="I637" s="273">
        <f>SUMIF('2020'!B:B,B637,'2020'!C:C)+SUMIF('2021'!B:B,B637,'2021'!C:C)+SUMIF('2022'!B:B,B637,'2022'!C:C)</f>
        <v>33099641.02</v>
      </c>
      <c r="J637" s="59">
        <v>44925</v>
      </c>
      <c r="K637" s="162" t="s">
        <v>3118</v>
      </c>
    </row>
    <row r="638" spans="1:11" ht="17.25" customHeight="1" x14ac:dyDescent="0.3">
      <c r="A638" s="259">
        <f t="shared" si="29"/>
        <v>558</v>
      </c>
      <c r="B638" s="124" t="s">
        <v>3543</v>
      </c>
      <c r="C638" s="162"/>
      <c r="D638" s="31"/>
      <c r="E638" s="200"/>
      <c r="F638" s="200"/>
      <c r="G638" s="200"/>
      <c r="H638" s="201"/>
      <c r="I638" s="273">
        <f>SUMIF('2020'!B:B,B638,'2020'!C:C)+SUMIF('2021'!B:B,B638,'2021'!C:C)+SUMIF('2022'!B:B,B638,'2022'!C:C)</f>
        <v>17986772.27</v>
      </c>
      <c r="J638" s="59">
        <v>44925</v>
      </c>
      <c r="K638" s="162" t="s">
        <v>3118</v>
      </c>
    </row>
    <row r="639" spans="1:11" ht="17.25" customHeight="1" x14ac:dyDescent="0.3">
      <c r="A639" s="259">
        <f t="shared" si="29"/>
        <v>559</v>
      </c>
      <c r="B639" s="20" t="s">
        <v>630</v>
      </c>
      <c r="C639" s="162">
        <v>1957</v>
      </c>
      <c r="D639" s="31"/>
      <c r="E639" s="200" t="s">
        <v>3035</v>
      </c>
      <c r="F639" s="200">
        <v>2</v>
      </c>
      <c r="G639" s="200">
        <v>1433.8</v>
      </c>
      <c r="H639" s="201">
        <v>64</v>
      </c>
      <c r="I639" s="273">
        <f>SUMIF('2020'!B:B,B639,'2020'!C:C)+SUMIF('2021'!B:B,B639,'2021'!C:C)+SUMIF('2022'!B:B,B639,'2022'!C:C)</f>
        <v>5213906.2</v>
      </c>
      <c r="J639" s="59">
        <v>44925</v>
      </c>
      <c r="K639" s="162" t="s">
        <v>3118</v>
      </c>
    </row>
    <row r="640" spans="1:11" ht="17.25" customHeight="1" x14ac:dyDescent="0.3">
      <c r="A640" s="259">
        <f t="shared" si="29"/>
        <v>560</v>
      </c>
      <c r="B640" s="20" t="s">
        <v>631</v>
      </c>
      <c r="C640" s="162">
        <v>1957</v>
      </c>
      <c r="D640" s="31"/>
      <c r="E640" s="200" t="s">
        <v>3035</v>
      </c>
      <c r="F640" s="200">
        <v>2</v>
      </c>
      <c r="G640" s="200">
        <v>897</v>
      </c>
      <c r="H640" s="201">
        <v>27</v>
      </c>
      <c r="I640" s="273">
        <f>SUMIF('2020'!B:B,B640,'2020'!C:C)+SUMIF('2021'!B:B,B640,'2021'!C:C)+SUMIF('2022'!B:B,B640,'2022'!C:C)</f>
        <v>11971116.859999999</v>
      </c>
      <c r="J640" s="59">
        <v>44925</v>
      </c>
      <c r="K640" s="162" t="s">
        <v>3118</v>
      </c>
    </row>
    <row r="641" spans="1:13" ht="17.25" customHeight="1" x14ac:dyDescent="0.3">
      <c r="A641" s="259">
        <f t="shared" si="29"/>
        <v>561</v>
      </c>
      <c r="B641" s="20" t="s">
        <v>632</v>
      </c>
      <c r="C641" s="162">
        <v>1959</v>
      </c>
      <c r="D641" s="31"/>
      <c r="E641" s="200" t="s">
        <v>3035</v>
      </c>
      <c r="F641" s="200">
        <v>2</v>
      </c>
      <c r="G641" s="200">
        <v>1396.6</v>
      </c>
      <c r="H641" s="201">
        <v>48</v>
      </c>
      <c r="I641" s="273">
        <f>SUMIF('2020'!B:B,B641,'2020'!C:C)+SUMIF('2021'!B:B,B641,'2021'!C:C)+SUMIF('2022'!B:B,B641,'2022'!C:C)</f>
        <v>14622160.57</v>
      </c>
      <c r="J641" s="59">
        <v>44925</v>
      </c>
      <c r="K641" s="162" t="s">
        <v>3118</v>
      </c>
    </row>
    <row r="642" spans="1:13" ht="17.25" customHeight="1" x14ac:dyDescent="0.3">
      <c r="A642" s="259">
        <f t="shared" si="29"/>
        <v>562</v>
      </c>
      <c r="B642" s="20" t="s">
        <v>633</v>
      </c>
      <c r="C642" s="162">
        <v>1958</v>
      </c>
      <c r="D642" s="31"/>
      <c r="E642" s="200" t="s">
        <v>3035</v>
      </c>
      <c r="F642" s="200">
        <v>2</v>
      </c>
      <c r="G642" s="200">
        <v>875.5</v>
      </c>
      <c r="H642" s="201">
        <v>34</v>
      </c>
      <c r="I642" s="273">
        <f>SUMIF('2020'!B:B,B642,'2020'!C:C)+SUMIF('2021'!B:B,B642,'2021'!C:C)+SUMIF('2022'!B:B,B642,'2022'!C:C)</f>
        <v>12014018.4</v>
      </c>
      <c r="J642" s="59">
        <v>44925</v>
      </c>
      <c r="K642" s="162" t="s">
        <v>3118</v>
      </c>
    </row>
    <row r="643" spans="1:13" ht="17.25" customHeight="1" x14ac:dyDescent="0.3">
      <c r="A643" s="259">
        <f t="shared" si="29"/>
        <v>563</v>
      </c>
      <c r="B643" s="20" t="s">
        <v>634</v>
      </c>
      <c r="C643" s="162">
        <v>1968</v>
      </c>
      <c r="D643" s="31"/>
      <c r="E643" s="200" t="s">
        <v>3035</v>
      </c>
      <c r="F643" s="200">
        <v>5</v>
      </c>
      <c r="G643" s="200">
        <v>5475.5</v>
      </c>
      <c r="H643" s="201">
        <v>244</v>
      </c>
      <c r="I643" s="273">
        <f>SUMIF('2020'!B:B,B643,'2020'!C:C)+SUMIF('2021'!B:B,B643,'2021'!C:C)+SUMIF('2022'!B:B,B643,'2022'!C:C)</f>
        <v>356466.67</v>
      </c>
      <c r="J643" s="59">
        <v>44925</v>
      </c>
      <c r="K643" s="162" t="s">
        <v>3118</v>
      </c>
    </row>
    <row r="644" spans="1:13" ht="17.25" customHeight="1" x14ac:dyDescent="0.3">
      <c r="A644" s="15" t="s">
        <v>208</v>
      </c>
      <c r="B644" s="20"/>
      <c r="C644" s="31" t="s">
        <v>3558</v>
      </c>
      <c r="D644" s="31" t="s">
        <v>3558</v>
      </c>
      <c r="E644" s="31" t="s">
        <v>3558</v>
      </c>
      <c r="F644" s="31" t="s">
        <v>3558</v>
      </c>
      <c r="G644" s="56">
        <f>SUM(G636:G643)</f>
        <v>10955.9</v>
      </c>
      <c r="H644" s="173">
        <f>SUM(H636:H643)</f>
        <v>444</v>
      </c>
      <c r="I644" s="56">
        <f>SUM(I636:I643)</f>
        <v>107141439.98999999</v>
      </c>
      <c r="J644" s="31" t="s">
        <v>3558</v>
      </c>
      <c r="K644" s="31" t="s">
        <v>3558</v>
      </c>
      <c r="L644" s="197">
        <f>I644-'2020'!C173-'2021'!C461-'2022'!C206</f>
        <v>-1.3096723705530167E-8</v>
      </c>
      <c r="M644" s="197"/>
    </row>
    <row r="645" spans="1:13" ht="17.25" customHeight="1" x14ac:dyDescent="0.3">
      <c r="A645" s="19" t="s">
        <v>635</v>
      </c>
      <c r="B645" s="20"/>
      <c r="C645" s="31"/>
      <c r="D645" s="31"/>
      <c r="E645" s="31"/>
      <c r="F645" s="31"/>
      <c r="G645" s="31"/>
      <c r="H645" s="173"/>
      <c r="I645" s="56"/>
      <c r="J645" s="31"/>
      <c r="K645" s="31"/>
    </row>
    <row r="646" spans="1:13" ht="17.25" customHeight="1" x14ac:dyDescent="0.3">
      <c r="A646" s="259">
        <f>A643+1</f>
        <v>564</v>
      </c>
      <c r="B646" s="20" t="s">
        <v>636</v>
      </c>
      <c r="C646" s="162">
        <v>1937</v>
      </c>
      <c r="D646" s="31"/>
      <c r="E646" s="200" t="s">
        <v>3035</v>
      </c>
      <c r="F646" s="259">
        <v>4</v>
      </c>
      <c r="G646" s="46">
        <v>2455</v>
      </c>
      <c r="H646" s="48">
        <v>95</v>
      </c>
      <c r="I646" s="273">
        <f>SUMIF('2020'!B:B,B646,'2020'!C:C)+SUMIF('2021'!B:B,B646,'2021'!C:C)+SUMIF('2022'!B:B,B646,'2022'!C:C)</f>
        <v>160618.85999999999</v>
      </c>
      <c r="J646" s="59">
        <v>44925</v>
      </c>
      <c r="K646" s="162" t="s">
        <v>3118</v>
      </c>
    </row>
    <row r="647" spans="1:13" ht="17.25" customHeight="1" x14ac:dyDescent="0.3">
      <c r="A647" s="259">
        <f>A646+1</f>
        <v>565</v>
      </c>
      <c r="B647" s="20" t="s">
        <v>637</v>
      </c>
      <c r="C647" s="162">
        <v>1937</v>
      </c>
      <c r="D647" s="31"/>
      <c r="E647" s="200" t="s">
        <v>3035</v>
      </c>
      <c r="F647" s="259">
        <v>4</v>
      </c>
      <c r="G647" s="46">
        <v>2409</v>
      </c>
      <c r="H647" s="48">
        <v>109</v>
      </c>
      <c r="I647" s="273">
        <f>SUMIF('2020'!B:B,B647,'2020'!C:C)+SUMIF('2021'!B:B,B647,'2021'!C:C)+SUMIF('2022'!B:B,B647,'2022'!C:C)</f>
        <v>160381.67000000001</v>
      </c>
      <c r="J647" s="59">
        <v>44925</v>
      </c>
      <c r="K647" s="162" t="s">
        <v>3118</v>
      </c>
    </row>
    <row r="648" spans="1:13" ht="17.25" customHeight="1" x14ac:dyDescent="0.3">
      <c r="A648" s="15" t="s">
        <v>208</v>
      </c>
      <c r="B648" s="20"/>
      <c r="C648" s="31" t="s">
        <v>3558</v>
      </c>
      <c r="D648" s="31" t="s">
        <v>3558</v>
      </c>
      <c r="E648" s="31" t="s">
        <v>3558</v>
      </c>
      <c r="F648" s="31" t="s">
        <v>3558</v>
      </c>
      <c r="G648" s="56">
        <f>SUM(G646:G647)</f>
        <v>4864</v>
      </c>
      <c r="H648" s="173">
        <f>SUM(H646:H647)</f>
        <v>204</v>
      </c>
      <c r="I648" s="56">
        <f>SUM(I646:I647)</f>
        <v>321000.53000000003</v>
      </c>
      <c r="J648" s="31" t="s">
        <v>3558</v>
      </c>
      <c r="K648" s="31" t="s">
        <v>3558</v>
      </c>
    </row>
    <row r="649" spans="1:13" ht="17.25" customHeight="1" x14ac:dyDescent="0.3">
      <c r="A649" s="19" t="s">
        <v>638</v>
      </c>
      <c r="B649" s="20"/>
      <c r="C649" s="31"/>
      <c r="D649" s="31"/>
      <c r="E649" s="31"/>
      <c r="F649" s="31"/>
      <c r="G649" s="31"/>
      <c r="H649" s="173"/>
      <c r="I649" s="56"/>
      <c r="J649" s="31"/>
      <c r="K649" s="31"/>
    </row>
    <row r="650" spans="1:13" ht="17.25" customHeight="1" x14ac:dyDescent="0.3">
      <c r="A650" s="259">
        <f>A647+1</f>
        <v>566</v>
      </c>
      <c r="B650" s="20" t="s">
        <v>639</v>
      </c>
      <c r="C650" s="162">
        <v>1977</v>
      </c>
      <c r="D650" s="31"/>
      <c r="E650" s="31" t="s">
        <v>3122</v>
      </c>
      <c r="F650" s="31">
        <v>5</v>
      </c>
      <c r="G650" s="31">
        <v>3114.4</v>
      </c>
      <c r="H650" s="173">
        <v>123</v>
      </c>
      <c r="I650" s="273">
        <f>SUMIF('2020'!B:B,B650,'2020'!C:C)+SUMIF('2021'!B:B,B650,'2021'!C:C)+SUMIF('2022'!B:B,B650,'2022'!C:C)</f>
        <v>18955621.200000003</v>
      </c>
      <c r="J650" s="59">
        <v>44925</v>
      </c>
      <c r="K650" s="162" t="s">
        <v>3118</v>
      </c>
    </row>
    <row r="651" spans="1:13" ht="17.25" customHeight="1" x14ac:dyDescent="0.3">
      <c r="A651" s="259">
        <f>A650+1</f>
        <v>567</v>
      </c>
      <c r="B651" s="20" t="s">
        <v>640</v>
      </c>
      <c r="C651" s="162">
        <v>1977</v>
      </c>
      <c r="D651" s="31"/>
      <c r="E651" s="31" t="s">
        <v>3122</v>
      </c>
      <c r="F651" s="31">
        <v>5</v>
      </c>
      <c r="G651" s="31">
        <v>4364.8999999999996</v>
      </c>
      <c r="H651" s="173">
        <v>172</v>
      </c>
      <c r="I651" s="273">
        <f>SUMIF('2020'!B:B,B651,'2020'!C:C)+SUMIF('2021'!B:B,B651,'2021'!C:C)+SUMIF('2022'!B:B,B651,'2022'!C:C)</f>
        <v>21850002</v>
      </c>
      <c r="J651" s="59">
        <v>44925</v>
      </c>
      <c r="K651" s="162" t="s">
        <v>3118</v>
      </c>
    </row>
    <row r="652" spans="1:13" ht="17.25" customHeight="1" x14ac:dyDescent="0.3">
      <c r="A652" s="259">
        <f>A651+1</f>
        <v>568</v>
      </c>
      <c r="B652" s="20" t="s">
        <v>641</v>
      </c>
      <c r="C652" s="162">
        <v>1978</v>
      </c>
      <c r="D652" s="31"/>
      <c r="E652" s="31" t="s">
        <v>3122</v>
      </c>
      <c r="F652" s="31">
        <v>5</v>
      </c>
      <c r="G652" s="31">
        <v>3115.7</v>
      </c>
      <c r="H652" s="173">
        <v>152</v>
      </c>
      <c r="I652" s="273">
        <f>SUMIF('2020'!B:B,B652,'2020'!C:C)+SUMIF('2021'!B:B,B652,'2021'!C:C)+SUMIF('2022'!B:B,B652,'2022'!C:C)</f>
        <v>403249.63</v>
      </c>
      <c r="J652" s="59">
        <v>44925</v>
      </c>
      <c r="K652" s="162" t="s">
        <v>3118</v>
      </c>
    </row>
    <row r="653" spans="1:13" ht="17.25" customHeight="1" x14ac:dyDescent="0.3">
      <c r="A653" s="259">
        <f>A652+1</f>
        <v>569</v>
      </c>
      <c r="B653" s="20" t="s">
        <v>642</v>
      </c>
      <c r="C653" s="162">
        <v>1977</v>
      </c>
      <c r="D653" s="31"/>
      <c r="E653" s="31" t="s">
        <v>3122</v>
      </c>
      <c r="F653" s="31">
        <v>5</v>
      </c>
      <c r="G653" s="31">
        <v>4029.9</v>
      </c>
      <c r="H653" s="173">
        <v>183</v>
      </c>
      <c r="I653" s="273">
        <f>SUMIF('2020'!B:B,B653,'2020'!C:C)+SUMIF('2021'!B:B,B653,'2021'!C:C)+SUMIF('2022'!B:B,B653,'2022'!C:C)</f>
        <v>21024598.800000001</v>
      </c>
      <c r="J653" s="59">
        <v>44925</v>
      </c>
      <c r="K653" s="162" t="s">
        <v>3118</v>
      </c>
    </row>
    <row r="654" spans="1:13" ht="17.25" customHeight="1" x14ac:dyDescent="0.3">
      <c r="A654" s="259">
        <f>A653+1</f>
        <v>570</v>
      </c>
      <c r="B654" s="20" t="s">
        <v>643</v>
      </c>
      <c r="C654" s="162">
        <v>1940</v>
      </c>
      <c r="D654" s="31"/>
      <c r="E654" s="200" t="s">
        <v>3035</v>
      </c>
      <c r="F654" s="31">
        <v>4</v>
      </c>
      <c r="G654" s="31">
        <v>2215.8000000000002</v>
      </c>
      <c r="H654" s="173">
        <v>116</v>
      </c>
      <c r="I654" s="273">
        <f>SUMIF('2020'!B:B,B654,'2020'!C:C)+SUMIF('2021'!B:B,B654,'2021'!C:C)+SUMIF('2022'!B:B,B654,'2022'!C:C)</f>
        <v>155933.92000000001</v>
      </c>
      <c r="J654" s="59">
        <v>44925</v>
      </c>
      <c r="K654" s="162" t="s">
        <v>3118</v>
      </c>
    </row>
    <row r="655" spans="1:13" ht="17.25" customHeight="1" x14ac:dyDescent="0.3">
      <c r="A655" s="259">
        <f>A654+1</f>
        <v>571</v>
      </c>
      <c r="B655" s="20" t="s">
        <v>644</v>
      </c>
      <c r="C655" s="162">
        <v>1936</v>
      </c>
      <c r="D655" s="31"/>
      <c r="E655" s="200" t="s">
        <v>3035</v>
      </c>
      <c r="F655" s="31">
        <v>4</v>
      </c>
      <c r="G655" s="31">
        <v>1784.2</v>
      </c>
      <c r="H655" s="173">
        <v>83</v>
      </c>
      <c r="I655" s="273">
        <f>SUMIF('2020'!B:B,B655,'2020'!C:C)+SUMIF('2021'!B:B,B655,'2021'!C:C)+SUMIF('2022'!B:B,B655,'2022'!C:C)</f>
        <v>342280.99</v>
      </c>
      <c r="J655" s="59">
        <v>44925</v>
      </c>
      <c r="K655" s="162" t="s">
        <v>3118</v>
      </c>
    </row>
    <row r="656" spans="1:13" ht="17.25" customHeight="1" x14ac:dyDescent="0.3">
      <c r="A656" s="15" t="s">
        <v>208</v>
      </c>
      <c r="B656" s="20"/>
      <c r="C656" s="31" t="s">
        <v>3558</v>
      </c>
      <c r="D656" s="31" t="s">
        <v>3558</v>
      </c>
      <c r="E656" s="31" t="s">
        <v>3558</v>
      </c>
      <c r="F656" s="31" t="s">
        <v>3558</v>
      </c>
      <c r="G656" s="56">
        <f>SUM(G650:G655)</f>
        <v>18624.900000000001</v>
      </c>
      <c r="H656" s="173">
        <f>SUM(H650:H655)</f>
        <v>829</v>
      </c>
      <c r="I656" s="56">
        <f>SUM(I650:I655)</f>
        <v>62731686.540000014</v>
      </c>
      <c r="J656" s="31" t="s">
        <v>3558</v>
      </c>
      <c r="K656" s="31" t="s">
        <v>3558</v>
      </c>
    </row>
    <row r="657" spans="1:11" ht="17.25" customHeight="1" x14ac:dyDescent="0.3">
      <c r="A657" s="252" t="s">
        <v>3544</v>
      </c>
      <c r="B657" s="20"/>
      <c r="C657" s="31"/>
      <c r="D657" s="31"/>
      <c r="E657" s="31"/>
      <c r="F657" s="31"/>
      <c r="G657" s="56"/>
      <c r="H657" s="173"/>
      <c r="I657" s="56"/>
      <c r="J657" s="31"/>
      <c r="K657" s="31"/>
    </row>
    <row r="658" spans="1:11" ht="17.25" customHeight="1" x14ac:dyDescent="0.3">
      <c r="A658" s="259">
        <f>A655+1</f>
        <v>572</v>
      </c>
      <c r="B658" s="20" t="s">
        <v>3545</v>
      </c>
      <c r="C658" s="31">
        <v>1985</v>
      </c>
      <c r="D658" s="31"/>
      <c r="E658" s="31" t="s">
        <v>3035</v>
      </c>
      <c r="F658" s="31">
        <v>5</v>
      </c>
      <c r="G658" s="56">
        <v>5082.8</v>
      </c>
      <c r="H658" s="173">
        <v>204</v>
      </c>
      <c r="I658" s="273">
        <f>SUMIF('2020'!B:B,B658,'2020'!C:C)+SUMIF('2021'!B:B,B658,'2021'!C:C)+SUMIF('2022'!B:B,B658,'2022'!C:C)</f>
        <v>1092584.77</v>
      </c>
      <c r="J658" s="59">
        <v>44925</v>
      </c>
      <c r="K658" s="162" t="s">
        <v>3118</v>
      </c>
    </row>
    <row r="659" spans="1:11" ht="17.25" customHeight="1" x14ac:dyDescent="0.3">
      <c r="A659" s="15" t="s">
        <v>208</v>
      </c>
      <c r="B659" s="20"/>
      <c r="C659" s="31" t="s">
        <v>3558</v>
      </c>
      <c r="D659" s="31" t="s">
        <v>3558</v>
      </c>
      <c r="E659" s="31" t="s">
        <v>3558</v>
      </c>
      <c r="F659" s="31" t="s">
        <v>3558</v>
      </c>
      <c r="G659" s="56">
        <f>SUM(G658)</f>
        <v>5082.8</v>
      </c>
      <c r="H659" s="56">
        <f>SUM(H658)</f>
        <v>204</v>
      </c>
      <c r="I659" s="56">
        <f>SUM(I658)</f>
        <v>1092584.77</v>
      </c>
      <c r="J659" s="31" t="s">
        <v>3558</v>
      </c>
      <c r="K659" s="31" t="s">
        <v>3558</v>
      </c>
    </row>
    <row r="660" spans="1:11" ht="17.25" customHeight="1" x14ac:dyDescent="0.3">
      <c r="A660" s="252" t="s">
        <v>645</v>
      </c>
      <c r="B660" s="20"/>
      <c r="C660" s="31"/>
      <c r="D660" s="31"/>
      <c r="E660" s="31"/>
      <c r="F660" s="31"/>
      <c r="G660" s="31"/>
      <c r="H660" s="173"/>
      <c r="I660" s="56"/>
      <c r="J660" s="31"/>
      <c r="K660" s="31"/>
    </row>
    <row r="661" spans="1:11" ht="17.25" customHeight="1" x14ac:dyDescent="0.3">
      <c r="A661" s="259">
        <f>A658+1</f>
        <v>573</v>
      </c>
      <c r="B661" s="20" t="s">
        <v>646</v>
      </c>
      <c r="C661" s="162">
        <v>1964</v>
      </c>
      <c r="D661" s="31"/>
      <c r="E661" s="58" t="s">
        <v>3035</v>
      </c>
      <c r="F661" s="58">
        <v>2</v>
      </c>
      <c r="G661" s="58">
        <v>522</v>
      </c>
      <c r="H661" s="9">
        <v>34</v>
      </c>
      <c r="I661" s="273">
        <f>SUMIF('2020'!B:B,B661,'2020'!C:C)+SUMIF('2021'!B:B,B661,'2021'!C:C)+SUMIF('2022'!B:B,B661,'2022'!C:C)</f>
        <v>7123001.21</v>
      </c>
      <c r="J661" s="59">
        <v>44925</v>
      </c>
      <c r="K661" s="162" t="s">
        <v>3118</v>
      </c>
    </row>
    <row r="662" spans="1:11" ht="17.25" customHeight="1" x14ac:dyDescent="0.3">
      <c r="A662" s="259">
        <f t="shared" ref="A662:A693" si="30">A661+1</f>
        <v>574</v>
      </c>
      <c r="B662" s="20" t="s">
        <v>647</v>
      </c>
      <c r="C662" s="162">
        <v>1968</v>
      </c>
      <c r="D662" s="31"/>
      <c r="E662" s="58" t="s">
        <v>3035</v>
      </c>
      <c r="F662" s="58">
        <v>2</v>
      </c>
      <c r="G662" s="58">
        <v>551</v>
      </c>
      <c r="H662" s="9">
        <v>23</v>
      </c>
      <c r="I662" s="273">
        <f>SUMIF('2020'!B:B,B662,'2020'!C:C)+SUMIF('2021'!B:B,B662,'2021'!C:C)+SUMIF('2022'!B:B,B662,'2022'!C:C)</f>
        <v>9647884.1199999992</v>
      </c>
      <c r="J662" s="59">
        <v>44925</v>
      </c>
      <c r="K662" s="162" t="s">
        <v>3118</v>
      </c>
    </row>
    <row r="663" spans="1:11" ht="17.25" customHeight="1" x14ac:dyDescent="0.3">
      <c r="A663" s="259">
        <f t="shared" si="30"/>
        <v>575</v>
      </c>
      <c r="B663" s="20" t="s">
        <v>648</v>
      </c>
      <c r="C663" s="162">
        <v>1987</v>
      </c>
      <c r="D663" s="31"/>
      <c r="E663" s="58" t="s">
        <v>3121</v>
      </c>
      <c r="F663" s="58">
        <v>5</v>
      </c>
      <c r="G663" s="58">
        <v>7242</v>
      </c>
      <c r="H663" s="9">
        <v>269</v>
      </c>
      <c r="I663" s="273">
        <f>SUMIF('2020'!B:B,B663,'2020'!C:C)+SUMIF('2021'!B:B,B663,'2021'!C:C)+SUMIF('2022'!B:B,B663,'2022'!C:C)</f>
        <v>925396.91999999993</v>
      </c>
      <c r="J663" s="59">
        <v>44925</v>
      </c>
      <c r="K663" s="162" t="s">
        <v>3118</v>
      </c>
    </row>
    <row r="664" spans="1:11" ht="17.25" customHeight="1" x14ac:dyDescent="0.3">
      <c r="A664" s="259">
        <f t="shared" si="30"/>
        <v>576</v>
      </c>
      <c r="B664" s="20" t="s">
        <v>649</v>
      </c>
      <c r="C664" s="162">
        <v>1991</v>
      </c>
      <c r="D664" s="31"/>
      <c r="E664" s="58" t="s">
        <v>3121</v>
      </c>
      <c r="F664" s="58">
        <v>5</v>
      </c>
      <c r="G664" s="58">
        <v>8524</v>
      </c>
      <c r="H664" s="9">
        <v>359</v>
      </c>
      <c r="I664" s="273">
        <f>SUMIF('2020'!B:B,B664,'2020'!C:C)+SUMIF('2021'!B:B,B664,'2021'!C:C)+SUMIF('2022'!B:B,B664,'2022'!C:C)</f>
        <v>937478.53</v>
      </c>
      <c r="J664" s="59">
        <v>44925</v>
      </c>
      <c r="K664" s="162" t="s">
        <v>3118</v>
      </c>
    </row>
    <row r="665" spans="1:11" ht="17.25" customHeight="1" x14ac:dyDescent="0.3">
      <c r="A665" s="259">
        <f t="shared" si="30"/>
        <v>577</v>
      </c>
      <c r="B665" s="20" t="s">
        <v>650</v>
      </c>
      <c r="C665" s="162">
        <v>1955</v>
      </c>
      <c r="D665" s="31"/>
      <c r="E665" s="58" t="s">
        <v>3035</v>
      </c>
      <c r="F665" s="58">
        <v>3</v>
      </c>
      <c r="G665" s="58">
        <v>2105.66</v>
      </c>
      <c r="H665" s="9">
        <v>76</v>
      </c>
      <c r="I665" s="273">
        <f>SUMIF('2020'!B:B,B665,'2020'!C:C)+SUMIF('2021'!B:B,B665,'2021'!C:C)+SUMIF('2022'!B:B,B665,'2022'!C:C)</f>
        <v>370834.36</v>
      </c>
      <c r="J665" s="59">
        <v>44925</v>
      </c>
      <c r="K665" s="162" t="s">
        <v>3118</v>
      </c>
    </row>
    <row r="666" spans="1:11" ht="17.25" customHeight="1" x14ac:dyDescent="0.3">
      <c r="A666" s="259">
        <f t="shared" si="30"/>
        <v>578</v>
      </c>
      <c r="B666" s="20" t="s">
        <v>651</v>
      </c>
      <c r="C666" s="162">
        <v>1957</v>
      </c>
      <c r="D666" s="31"/>
      <c r="E666" s="58" t="s">
        <v>3035</v>
      </c>
      <c r="F666" s="58">
        <v>3</v>
      </c>
      <c r="G666" s="58">
        <v>1624</v>
      </c>
      <c r="H666" s="9">
        <v>53</v>
      </c>
      <c r="I666" s="273">
        <f>SUMIF('2020'!B:B,B666,'2020'!C:C)+SUMIF('2021'!B:B,B666,'2021'!C:C)+SUMIF('2022'!B:B,B666,'2022'!C:C)</f>
        <v>397015.91</v>
      </c>
      <c r="J666" s="59">
        <v>44925</v>
      </c>
      <c r="K666" s="162" t="s">
        <v>3118</v>
      </c>
    </row>
    <row r="667" spans="1:11" ht="17.25" customHeight="1" x14ac:dyDescent="0.3">
      <c r="A667" s="259">
        <f t="shared" si="30"/>
        <v>579</v>
      </c>
      <c r="B667" s="20" t="s">
        <v>652</v>
      </c>
      <c r="C667" s="162">
        <v>1972</v>
      </c>
      <c r="D667" s="31"/>
      <c r="E667" s="58" t="s">
        <v>3035</v>
      </c>
      <c r="F667" s="58">
        <v>5</v>
      </c>
      <c r="G667" s="58">
        <v>3687</v>
      </c>
      <c r="H667" s="9">
        <v>167</v>
      </c>
      <c r="I667" s="273">
        <f>SUMIF('2020'!B:B,B667,'2020'!C:C)+SUMIF('2021'!B:B,B667,'2021'!C:C)+SUMIF('2022'!B:B,B667,'2022'!C:C)</f>
        <v>586429.75</v>
      </c>
      <c r="J667" s="59">
        <v>44925</v>
      </c>
      <c r="K667" s="162" t="s">
        <v>3118</v>
      </c>
    </row>
    <row r="668" spans="1:11" ht="17.25" customHeight="1" x14ac:dyDescent="0.3">
      <c r="A668" s="259">
        <f t="shared" si="30"/>
        <v>580</v>
      </c>
      <c r="B668" s="20" t="s">
        <v>653</v>
      </c>
      <c r="C668" s="162">
        <v>1973</v>
      </c>
      <c r="D668" s="31"/>
      <c r="E668" s="58" t="s">
        <v>3035</v>
      </c>
      <c r="F668" s="58">
        <v>5</v>
      </c>
      <c r="G668" s="58">
        <v>5040</v>
      </c>
      <c r="H668" s="9">
        <v>210</v>
      </c>
      <c r="I668" s="273">
        <f>SUMIF('2020'!B:B,B668,'2020'!C:C)+SUMIF('2021'!B:B,B668,'2021'!C:C)+SUMIF('2022'!B:B,B668,'2022'!C:C)</f>
        <v>448732.87</v>
      </c>
      <c r="J668" s="59">
        <v>44925</v>
      </c>
      <c r="K668" s="162" t="s">
        <v>3118</v>
      </c>
    </row>
    <row r="669" spans="1:11" ht="17.25" customHeight="1" x14ac:dyDescent="0.3">
      <c r="A669" s="259">
        <f t="shared" si="30"/>
        <v>581</v>
      </c>
      <c r="B669" s="20" t="s">
        <v>654</v>
      </c>
      <c r="C669" s="162">
        <v>1980</v>
      </c>
      <c r="D669" s="31"/>
      <c r="E669" s="58" t="s">
        <v>3121</v>
      </c>
      <c r="F669" s="58">
        <v>5</v>
      </c>
      <c r="G669" s="58">
        <v>6336</v>
      </c>
      <c r="H669" s="9">
        <v>307</v>
      </c>
      <c r="I669" s="273">
        <f>SUMIF('2020'!B:B,B669,'2020'!C:C)+SUMIF('2021'!B:B,B669,'2021'!C:C)+SUMIF('2022'!B:B,B669,'2022'!C:C)</f>
        <v>798929.5</v>
      </c>
      <c r="J669" s="59">
        <v>44925</v>
      </c>
      <c r="K669" s="162" t="s">
        <v>3118</v>
      </c>
    </row>
    <row r="670" spans="1:11" ht="17.25" customHeight="1" x14ac:dyDescent="0.3">
      <c r="A670" s="259">
        <f t="shared" si="30"/>
        <v>582</v>
      </c>
      <c r="B670" s="20" t="s">
        <v>655</v>
      </c>
      <c r="C670" s="162">
        <v>1975</v>
      </c>
      <c r="D670" s="31"/>
      <c r="E670" s="58" t="s">
        <v>3121</v>
      </c>
      <c r="F670" s="58">
        <v>5</v>
      </c>
      <c r="G670" s="58">
        <v>4446</v>
      </c>
      <c r="H670" s="9">
        <v>147</v>
      </c>
      <c r="I670" s="273">
        <f>SUMIF('2020'!B:B,B670,'2020'!C:C)+SUMIF('2021'!B:B,B670,'2021'!C:C)+SUMIF('2022'!B:B,B670,'2022'!C:C)</f>
        <v>24983257.689999998</v>
      </c>
      <c r="J670" s="59">
        <v>44925</v>
      </c>
      <c r="K670" s="162" t="s">
        <v>3118</v>
      </c>
    </row>
    <row r="671" spans="1:11" ht="17.25" customHeight="1" x14ac:dyDescent="0.3">
      <c r="A671" s="259">
        <f t="shared" si="30"/>
        <v>583</v>
      </c>
      <c r="B671" s="20" t="s">
        <v>656</v>
      </c>
      <c r="C671" s="162">
        <v>1978</v>
      </c>
      <c r="D671" s="31"/>
      <c r="E671" s="58" t="s">
        <v>3121</v>
      </c>
      <c r="F671" s="58">
        <v>5</v>
      </c>
      <c r="G671" s="58">
        <v>3315</v>
      </c>
      <c r="H671" s="9">
        <v>139</v>
      </c>
      <c r="I671" s="273">
        <f>SUMIF('2020'!B:B,B671,'2020'!C:C)+SUMIF('2021'!B:B,B671,'2021'!C:C)+SUMIF('2022'!B:B,B671,'2022'!C:C)</f>
        <v>18310790.539999999</v>
      </c>
      <c r="J671" s="59">
        <v>44925</v>
      </c>
      <c r="K671" s="162" t="s">
        <v>3118</v>
      </c>
    </row>
    <row r="672" spans="1:11" ht="17.25" customHeight="1" x14ac:dyDescent="0.3">
      <c r="A672" s="259">
        <f t="shared" si="30"/>
        <v>584</v>
      </c>
      <c r="B672" s="20" t="s">
        <v>657</v>
      </c>
      <c r="C672" s="162">
        <v>1979</v>
      </c>
      <c r="D672" s="31"/>
      <c r="E672" s="58" t="s">
        <v>3121</v>
      </c>
      <c r="F672" s="58">
        <v>5</v>
      </c>
      <c r="G672" s="58">
        <v>3616</v>
      </c>
      <c r="H672" s="9">
        <v>127</v>
      </c>
      <c r="I672" s="273">
        <f>SUMIF('2020'!B:B,B672,'2020'!C:C)+SUMIF('2021'!B:B,B672,'2021'!C:C)+SUMIF('2022'!B:B,B672,'2022'!C:C)</f>
        <v>17772391.960000001</v>
      </c>
      <c r="J672" s="59">
        <v>44925</v>
      </c>
      <c r="K672" s="162" t="s">
        <v>3118</v>
      </c>
    </row>
    <row r="673" spans="1:11" ht="17.25" customHeight="1" x14ac:dyDescent="0.3">
      <c r="A673" s="259">
        <f t="shared" si="30"/>
        <v>585</v>
      </c>
      <c r="B673" s="20" t="s">
        <v>658</v>
      </c>
      <c r="C673" s="162">
        <v>1979</v>
      </c>
      <c r="D673" s="31"/>
      <c r="E673" s="58" t="s">
        <v>3121</v>
      </c>
      <c r="F673" s="58">
        <v>5</v>
      </c>
      <c r="G673" s="58">
        <v>6416</v>
      </c>
      <c r="H673" s="9">
        <v>301</v>
      </c>
      <c r="I673" s="273">
        <f>SUMIF('2020'!B:B,B673,'2020'!C:C)+SUMIF('2021'!B:B,B673,'2021'!C:C)+SUMIF('2022'!B:B,B673,'2022'!C:C)</f>
        <v>37966988.479999997</v>
      </c>
      <c r="J673" s="59">
        <v>44925</v>
      </c>
      <c r="K673" s="162" t="s">
        <v>3118</v>
      </c>
    </row>
    <row r="674" spans="1:11" ht="17.25" customHeight="1" x14ac:dyDescent="0.3">
      <c r="A674" s="259">
        <f t="shared" si="30"/>
        <v>586</v>
      </c>
      <c r="B674" s="20" t="s">
        <v>659</v>
      </c>
      <c r="C674" s="162">
        <v>1978</v>
      </c>
      <c r="D674" s="31"/>
      <c r="E674" s="58" t="s">
        <v>3121</v>
      </c>
      <c r="F674" s="58">
        <v>5</v>
      </c>
      <c r="G674" s="58">
        <v>7323</v>
      </c>
      <c r="H674" s="9">
        <v>242</v>
      </c>
      <c r="I674" s="273">
        <f>SUMIF('2020'!B:B,B674,'2020'!C:C)+SUMIF('2021'!B:B,B674,'2021'!C:C)+SUMIF('2022'!B:B,B674,'2022'!C:C)</f>
        <v>27253024.789999999</v>
      </c>
      <c r="J674" s="59">
        <v>44925</v>
      </c>
      <c r="K674" s="162" t="s">
        <v>3118</v>
      </c>
    </row>
    <row r="675" spans="1:11" ht="17.25" customHeight="1" x14ac:dyDescent="0.3">
      <c r="A675" s="259">
        <f t="shared" si="30"/>
        <v>587</v>
      </c>
      <c r="B675" s="20" t="s">
        <v>660</v>
      </c>
      <c r="C675" s="162">
        <v>1958</v>
      </c>
      <c r="D675" s="31"/>
      <c r="E675" s="58" t="s">
        <v>3035</v>
      </c>
      <c r="F675" s="58">
        <v>3</v>
      </c>
      <c r="G675" s="58">
        <v>2372</v>
      </c>
      <c r="H675" s="9">
        <v>112</v>
      </c>
      <c r="I675" s="273">
        <f>SUMIF('2020'!B:B,B675,'2020'!C:C)+SUMIF('2021'!B:B,B675,'2021'!C:C)+SUMIF('2022'!B:B,B675,'2022'!C:C)</f>
        <v>578747.56000000006</v>
      </c>
      <c r="J675" s="59">
        <v>44925</v>
      </c>
      <c r="K675" s="162" t="s">
        <v>3118</v>
      </c>
    </row>
    <row r="676" spans="1:11" ht="17.25" customHeight="1" x14ac:dyDescent="0.3">
      <c r="A676" s="259">
        <f t="shared" si="30"/>
        <v>588</v>
      </c>
      <c r="B676" s="20" t="s">
        <v>661</v>
      </c>
      <c r="C676" s="162">
        <v>1980</v>
      </c>
      <c r="D676" s="31"/>
      <c r="E676" s="58" t="s">
        <v>3157</v>
      </c>
      <c r="F676" s="58">
        <v>5</v>
      </c>
      <c r="G676" s="58">
        <v>10378.4</v>
      </c>
      <c r="H676" s="9">
        <v>335</v>
      </c>
      <c r="I676" s="273">
        <f>SUMIF('2020'!B:B,B676,'2020'!C:C)+SUMIF('2021'!B:B,B676,'2021'!C:C)+SUMIF('2022'!B:B,B676,'2022'!C:C)</f>
        <v>1012985.14</v>
      </c>
      <c r="J676" s="59">
        <v>44925</v>
      </c>
      <c r="K676" s="162" t="s">
        <v>3118</v>
      </c>
    </row>
    <row r="677" spans="1:11" ht="17.25" customHeight="1" x14ac:dyDescent="0.3">
      <c r="A677" s="259">
        <f t="shared" si="30"/>
        <v>589</v>
      </c>
      <c r="B677" s="20" t="s">
        <v>662</v>
      </c>
      <c r="C677" s="162">
        <v>1982</v>
      </c>
      <c r="D677" s="31"/>
      <c r="E677" s="58" t="s">
        <v>3121</v>
      </c>
      <c r="F677" s="58">
        <v>5</v>
      </c>
      <c r="G677" s="58">
        <v>7448.5</v>
      </c>
      <c r="H677" s="9">
        <v>267</v>
      </c>
      <c r="I677" s="273">
        <f>SUMIF('2020'!B:B,B677,'2020'!C:C)+SUMIF('2021'!B:B,B677,'2021'!C:C)+SUMIF('2022'!B:B,B677,'2022'!C:C)</f>
        <v>925396.91999999993</v>
      </c>
      <c r="J677" s="59">
        <v>44925</v>
      </c>
      <c r="K677" s="162" t="s">
        <v>3118</v>
      </c>
    </row>
    <row r="678" spans="1:11" ht="17.25" customHeight="1" x14ac:dyDescent="0.3">
      <c r="A678" s="259">
        <f t="shared" si="30"/>
        <v>590</v>
      </c>
      <c r="B678" s="20" t="s">
        <v>663</v>
      </c>
      <c r="C678" s="162">
        <v>1981</v>
      </c>
      <c r="D678" s="31"/>
      <c r="E678" s="58" t="s">
        <v>3035</v>
      </c>
      <c r="F678" s="58">
        <v>5</v>
      </c>
      <c r="G678" s="58">
        <v>5522.1</v>
      </c>
      <c r="H678" s="9">
        <v>280</v>
      </c>
      <c r="I678" s="273">
        <f>SUMIF('2020'!B:B,B678,'2020'!C:C)+SUMIF('2021'!B:B,B678,'2021'!C:C)+SUMIF('2022'!B:B,B678,'2022'!C:C)</f>
        <v>900163.65</v>
      </c>
      <c r="J678" s="59">
        <v>44925</v>
      </c>
      <c r="K678" s="162" t="s">
        <v>3118</v>
      </c>
    </row>
    <row r="679" spans="1:11" ht="17.25" customHeight="1" x14ac:dyDescent="0.3">
      <c r="A679" s="259">
        <f t="shared" si="30"/>
        <v>591</v>
      </c>
      <c r="B679" s="20" t="s">
        <v>664</v>
      </c>
      <c r="C679" s="162">
        <v>1957</v>
      </c>
      <c r="D679" s="31"/>
      <c r="E679" s="58" t="s">
        <v>3035</v>
      </c>
      <c r="F679" s="58">
        <v>3</v>
      </c>
      <c r="G679" s="58">
        <v>1861.9</v>
      </c>
      <c r="H679" s="9">
        <v>64</v>
      </c>
      <c r="I679" s="273">
        <f>SUMIF('2020'!B:B,B679,'2020'!C:C)+SUMIF('2021'!B:B,B679,'2021'!C:C)+SUMIF('2022'!B:B,B679,'2022'!C:C)</f>
        <v>433490.76</v>
      </c>
      <c r="J679" s="59">
        <v>44925</v>
      </c>
      <c r="K679" s="162" t="s">
        <v>3118</v>
      </c>
    </row>
    <row r="680" spans="1:11" ht="17.25" customHeight="1" x14ac:dyDescent="0.3">
      <c r="A680" s="259">
        <f t="shared" si="30"/>
        <v>592</v>
      </c>
      <c r="B680" s="20" t="s">
        <v>665</v>
      </c>
      <c r="C680" s="162">
        <v>1956</v>
      </c>
      <c r="D680" s="31"/>
      <c r="E680" s="58" t="s">
        <v>3035</v>
      </c>
      <c r="F680" s="58">
        <v>2</v>
      </c>
      <c r="G680" s="58">
        <v>665.22</v>
      </c>
      <c r="H680" s="9">
        <v>27</v>
      </c>
      <c r="I680" s="273">
        <f>SUMIF('2020'!B:B,B680,'2020'!C:C)+SUMIF('2021'!B:B,B680,'2021'!C:C)+SUMIF('2022'!B:B,B680,'2022'!C:C)</f>
        <v>327255.52</v>
      </c>
      <c r="J680" s="59">
        <v>44925</v>
      </c>
      <c r="K680" s="162" t="s">
        <v>3118</v>
      </c>
    </row>
    <row r="681" spans="1:11" ht="17.25" customHeight="1" x14ac:dyDescent="0.3">
      <c r="A681" s="259">
        <f t="shared" si="30"/>
        <v>593</v>
      </c>
      <c r="B681" s="20" t="s">
        <v>666</v>
      </c>
      <c r="C681" s="162">
        <v>1956</v>
      </c>
      <c r="D681" s="31"/>
      <c r="E681" s="58" t="s">
        <v>3035</v>
      </c>
      <c r="F681" s="58">
        <v>2</v>
      </c>
      <c r="G681" s="58">
        <v>656.4</v>
      </c>
      <c r="H681" s="9">
        <v>23</v>
      </c>
      <c r="I681" s="273">
        <f>SUMIF('2020'!B:B,B681,'2020'!C:C)+SUMIF('2021'!B:B,B681,'2021'!C:C)+SUMIF('2022'!B:B,B681,'2022'!C:C)</f>
        <v>104588.14</v>
      </c>
      <c r="J681" s="59">
        <v>44925</v>
      </c>
      <c r="K681" s="162" t="s">
        <v>3118</v>
      </c>
    </row>
    <row r="682" spans="1:11" ht="17.25" customHeight="1" x14ac:dyDescent="0.3">
      <c r="A682" s="259">
        <f t="shared" si="30"/>
        <v>594</v>
      </c>
      <c r="B682" s="20" t="s">
        <v>667</v>
      </c>
      <c r="C682" s="162">
        <v>1956</v>
      </c>
      <c r="D682" s="31"/>
      <c r="E682" s="58" t="s">
        <v>3035</v>
      </c>
      <c r="F682" s="58">
        <v>3</v>
      </c>
      <c r="G682" s="58">
        <v>667.18</v>
      </c>
      <c r="H682" s="9">
        <v>29</v>
      </c>
      <c r="I682" s="273">
        <f>SUMIF('2020'!B:B,B682,'2020'!C:C)+SUMIF('2021'!B:B,B682,'2021'!C:C)+SUMIF('2022'!B:B,B682,'2022'!C:C)</f>
        <v>303294.8</v>
      </c>
      <c r="J682" s="59">
        <v>44925</v>
      </c>
      <c r="K682" s="162" t="s">
        <v>3118</v>
      </c>
    </row>
    <row r="683" spans="1:11" ht="17.25" customHeight="1" x14ac:dyDescent="0.3">
      <c r="A683" s="259">
        <f t="shared" si="30"/>
        <v>595</v>
      </c>
      <c r="B683" s="20" t="s">
        <v>668</v>
      </c>
      <c r="C683" s="162">
        <v>1956</v>
      </c>
      <c r="D683" s="31"/>
      <c r="E683" s="58" t="s">
        <v>3035</v>
      </c>
      <c r="F683" s="58">
        <v>2</v>
      </c>
      <c r="G683" s="58">
        <v>659.6</v>
      </c>
      <c r="H683" s="9">
        <v>25</v>
      </c>
      <c r="I683" s="273">
        <f>SUMIF('2020'!B:B,B683,'2020'!C:C)+SUMIF('2021'!B:B,B683,'2021'!C:C)+SUMIF('2022'!B:B,B683,'2022'!C:C)</f>
        <v>305472.25</v>
      </c>
      <c r="J683" s="59">
        <v>44925</v>
      </c>
      <c r="K683" s="162" t="s">
        <v>3118</v>
      </c>
    </row>
    <row r="684" spans="1:11" ht="17.25" customHeight="1" x14ac:dyDescent="0.3">
      <c r="A684" s="259">
        <f t="shared" si="30"/>
        <v>596</v>
      </c>
      <c r="B684" s="20" t="s">
        <v>669</v>
      </c>
      <c r="C684" s="162">
        <v>1960</v>
      </c>
      <c r="D684" s="31"/>
      <c r="E684" s="58" t="s">
        <v>3035</v>
      </c>
      <c r="F684" s="58">
        <v>3</v>
      </c>
      <c r="G684" s="58">
        <v>1586.96</v>
      </c>
      <c r="H684" s="9">
        <v>70</v>
      </c>
      <c r="I684" s="273">
        <f>SUMIF('2020'!B:B,B684,'2020'!C:C)+SUMIF('2021'!B:B,B684,'2021'!C:C)+SUMIF('2022'!B:B,B684,'2022'!C:C)</f>
        <v>351731.98</v>
      </c>
      <c r="J684" s="59">
        <v>44925</v>
      </c>
      <c r="K684" s="162" t="s">
        <v>3118</v>
      </c>
    </row>
    <row r="685" spans="1:11" ht="17.25" customHeight="1" x14ac:dyDescent="0.3">
      <c r="A685" s="259">
        <f t="shared" si="30"/>
        <v>597</v>
      </c>
      <c r="B685" s="20" t="s">
        <v>670</v>
      </c>
      <c r="C685" s="162">
        <v>1910</v>
      </c>
      <c r="D685" s="31"/>
      <c r="E685" s="58" t="s">
        <v>3035</v>
      </c>
      <c r="F685" s="58">
        <v>2</v>
      </c>
      <c r="G685" s="58">
        <v>1148.4000000000001</v>
      </c>
      <c r="H685" s="9">
        <v>51</v>
      </c>
      <c r="I685" s="273">
        <f>SUMIF('2020'!B:B,B685,'2020'!C:C)+SUMIF('2021'!B:B,B685,'2021'!C:C)+SUMIF('2022'!B:B,B685,'2022'!C:C)</f>
        <v>367212.67000000004</v>
      </c>
      <c r="J685" s="59">
        <v>44925</v>
      </c>
      <c r="K685" s="162" t="s">
        <v>3118</v>
      </c>
    </row>
    <row r="686" spans="1:11" ht="17.25" customHeight="1" x14ac:dyDescent="0.3">
      <c r="A686" s="259">
        <f t="shared" si="30"/>
        <v>598</v>
      </c>
      <c r="B686" s="20" t="s">
        <v>671</v>
      </c>
      <c r="C686" s="162">
        <v>1972</v>
      </c>
      <c r="D686" s="31"/>
      <c r="E686" s="58" t="s">
        <v>3035</v>
      </c>
      <c r="F686" s="58">
        <v>5</v>
      </c>
      <c r="G686" s="58">
        <v>5033</v>
      </c>
      <c r="H686" s="9">
        <v>212</v>
      </c>
      <c r="I686" s="273">
        <f>SUMIF('2020'!B:B,B686,'2020'!C:C)+SUMIF('2021'!B:B,B686,'2021'!C:C)+SUMIF('2022'!B:B,B686,'2022'!C:C)</f>
        <v>6839294.4000000004</v>
      </c>
      <c r="J686" s="59">
        <v>44925</v>
      </c>
      <c r="K686" s="162" t="s">
        <v>3118</v>
      </c>
    </row>
    <row r="687" spans="1:11" ht="17.25" customHeight="1" x14ac:dyDescent="0.3">
      <c r="A687" s="259">
        <f t="shared" si="30"/>
        <v>599</v>
      </c>
      <c r="B687" s="20" t="s">
        <v>672</v>
      </c>
      <c r="C687" s="162">
        <v>1913</v>
      </c>
      <c r="D687" s="31"/>
      <c r="E687" s="58" t="s">
        <v>3035</v>
      </c>
      <c r="F687" s="58">
        <v>3</v>
      </c>
      <c r="G687" s="58">
        <v>2635</v>
      </c>
      <c r="H687" s="9">
        <v>115</v>
      </c>
      <c r="I687" s="273">
        <f>SUMIF('2020'!B:B,B687,'2020'!C:C)+SUMIF('2021'!B:B,B687,'2021'!C:C)+SUMIF('2022'!B:B,B687,'2022'!C:C)</f>
        <v>746384.31</v>
      </c>
      <c r="J687" s="59">
        <v>44925</v>
      </c>
      <c r="K687" s="162" t="s">
        <v>3118</v>
      </c>
    </row>
    <row r="688" spans="1:11" ht="17.25" customHeight="1" x14ac:dyDescent="0.3">
      <c r="A688" s="259">
        <f t="shared" si="30"/>
        <v>600</v>
      </c>
      <c r="B688" s="20" t="s">
        <v>673</v>
      </c>
      <c r="C688" s="162">
        <v>1910</v>
      </c>
      <c r="D688" s="31"/>
      <c r="E688" s="58" t="s">
        <v>3035</v>
      </c>
      <c r="F688" s="58">
        <v>2</v>
      </c>
      <c r="G688" s="58">
        <v>910</v>
      </c>
      <c r="H688" s="9">
        <v>53</v>
      </c>
      <c r="I688" s="273">
        <f>SUMIF('2020'!B:B,B688,'2020'!C:C)+SUMIF('2021'!B:B,B688,'2021'!C:C)+SUMIF('2022'!B:B,B688,'2022'!C:C)</f>
        <v>313139.75</v>
      </c>
      <c r="J688" s="59">
        <v>44925</v>
      </c>
      <c r="K688" s="162" t="s">
        <v>3118</v>
      </c>
    </row>
    <row r="689" spans="1:11" ht="17.25" customHeight="1" x14ac:dyDescent="0.3">
      <c r="A689" s="259">
        <f t="shared" si="30"/>
        <v>601</v>
      </c>
      <c r="B689" s="20" t="s">
        <v>674</v>
      </c>
      <c r="C689" s="162">
        <v>1953</v>
      </c>
      <c r="D689" s="31"/>
      <c r="E689" s="58" t="s">
        <v>3035</v>
      </c>
      <c r="F689" s="58">
        <v>3</v>
      </c>
      <c r="G689" s="58">
        <v>2026.4</v>
      </c>
      <c r="H689" s="9">
        <v>64</v>
      </c>
      <c r="I689" s="273">
        <f>SUMIF('2020'!B:B,B689,'2020'!C:C)+SUMIF('2021'!B:B,B689,'2021'!C:C)+SUMIF('2022'!B:B,B689,'2022'!C:C)</f>
        <v>476374.98</v>
      </c>
      <c r="J689" s="59">
        <v>44925</v>
      </c>
      <c r="K689" s="162" t="s">
        <v>3118</v>
      </c>
    </row>
    <row r="690" spans="1:11" ht="17.25" customHeight="1" x14ac:dyDescent="0.3">
      <c r="A690" s="259">
        <f t="shared" si="30"/>
        <v>602</v>
      </c>
      <c r="B690" s="20" t="s">
        <v>675</v>
      </c>
      <c r="C690" s="162">
        <v>1952</v>
      </c>
      <c r="D690" s="31"/>
      <c r="E690" s="58" t="s">
        <v>3035</v>
      </c>
      <c r="F690" s="58">
        <v>2</v>
      </c>
      <c r="G690" s="58">
        <v>544.16</v>
      </c>
      <c r="H690" s="9">
        <v>18</v>
      </c>
      <c r="I690" s="273">
        <f>SUMIF('2020'!B:B,B690,'2020'!C:C)+SUMIF('2021'!B:B,B690,'2021'!C:C)+SUMIF('2022'!B:B,B690,'2022'!C:C)</f>
        <v>298440.21999999997</v>
      </c>
      <c r="J690" s="59">
        <v>44925</v>
      </c>
      <c r="K690" s="162" t="s">
        <v>3118</v>
      </c>
    </row>
    <row r="691" spans="1:11" ht="17.25" customHeight="1" x14ac:dyDescent="0.3">
      <c r="A691" s="259">
        <f t="shared" si="30"/>
        <v>603</v>
      </c>
      <c r="B691" s="20" t="s">
        <v>676</v>
      </c>
      <c r="C691" s="162">
        <v>1964</v>
      </c>
      <c r="D691" s="31"/>
      <c r="E691" s="58" t="s">
        <v>3035</v>
      </c>
      <c r="F691" s="58">
        <v>4</v>
      </c>
      <c r="G691" s="58">
        <v>1361.4</v>
      </c>
      <c r="H691" s="9">
        <v>58</v>
      </c>
      <c r="I691" s="273">
        <f>SUMIF('2020'!B:B,B691,'2020'!C:C)+SUMIF('2021'!B:B,B691,'2021'!C:C)+SUMIF('2022'!B:B,B691,'2022'!C:C)</f>
        <v>108215.28</v>
      </c>
      <c r="J691" s="59">
        <v>44925</v>
      </c>
      <c r="K691" s="162" t="s">
        <v>3118</v>
      </c>
    </row>
    <row r="692" spans="1:11" ht="17.25" customHeight="1" x14ac:dyDescent="0.3">
      <c r="A692" s="259">
        <f t="shared" si="30"/>
        <v>604</v>
      </c>
      <c r="B692" s="20" t="s">
        <v>677</v>
      </c>
      <c r="C692" s="162">
        <v>1976</v>
      </c>
      <c r="D692" s="31"/>
      <c r="E692" s="58" t="s">
        <v>3035</v>
      </c>
      <c r="F692" s="58">
        <v>4</v>
      </c>
      <c r="G692" s="58">
        <v>2747.6</v>
      </c>
      <c r="H692" s="9">
        <v>86</v>
      </c>
      <c r="I692" s="273">
        <f>SUMIF('2020'!B:B,B692,'2020'!C:C)+SUMIF('2021'!B:B,B692,'2021'!C:C)+SUMIF('2022'!B:B,B692,'2022'!C:C)</f>
        <v>544506.9</v>
      </c>
      <c r="J692" s="59">
        <v>44925</v>
      </c>
      <c r="K692" s="162" t="s">
        <v>3118</v>
      </c>
    </row>
    <row r="693" spans="1:11" ht="17.25" customHeight="1" x14ac:dyDescent="0.3">
      <c r="A693" s="259">
        <f t="shared" si="30"/>
        <v>605</v>
      </c>
      <c r="B693" s="20" t="s">
        <v>678</v>
      </c>
      <c r="C693" s="162">
        <v>1963</v>
      </c>
      <c r="D693" s="31"/>
      <c r="E693" s="58" t="s">
        <v>3035</v>
      </c>
      <c r="F693" s="58">
        <v>5</v>
      </c>
      <c r="G693" s="58">
        <v>3215.9</v>
      </c>
      <c r="H693" s="9">
        <v>130</v>
      </c>
      <c r="I693" s="273">
        <f>SUMIF('2020'!B:B,B693,'2020'!C:C)+SUMIF('2021'!B:B,B693,'2021'!C:C)+SUMIF('2022'!B:B,B693,'2022'!C:C)</f>
        <v>22089122.150000002</v>
      </c>
      <c r="J693" s="59">
        <v>44925</v>
      </c>
      <c r="K693" s="162" t="s">
        <v>3118</v>
      </c>
    </row>
    <row r="694" spans="1:11" ht="17.25" customHeight="1" x14ac:dyDescent="0.3">
      <c r="A694" s="259">
        <f t="shared" ref="A694:A722" si="31">A693+1</f>
        <v>606</v>
      </c>
      <c r="B694" s="20" t="s">
        <v>679</v>
      </c>
      <c r="C694" s="162">
        <v>1952</v>
      </c>
      <c r="D694" s="31"/>
      <c r="E694" s="58" t="s">
        <v>3035</v>
      </c>
      <c r="F694" s="58">
        <v>2</v>
      </c>
      <c r="G694" s="58">
        <v>547.26</v>
      </c>
      <c r="H694" s="9">
        <v>17</v>
      </c>
      <c r="I694" s="273">
        <f>SUMIF('2020'!B:B,B694,'2020'!C:C)+SUMIF('2021'!B:B,B694,'2021'!C:C)+SUMIF('2022'!B:B,B694,'2022'!C:C)</f>
        <v>107909.1</v>
      </c>
      <c r="J694" s="59">
        <v>44925</v>
      </c>
      <c r="K694" s="162" t="s">
        <v>3118</v>
      </c>
    </row>
    <row r="695" spans="1:11" ht="17.25" customHeight="1" x14ac:dyDescent="0.3">
      <c r="A695" s="259">
        <f t="shared" si="31"/>
        <v>607</v>
      </c>
      <c r="B695" s="20" t="s">
        <v>680</v>
      </c>
      <c r="C695" s="162">
        <v>1968</v>
      </c>
      <c r="D695" s="31"/>
      <c r="E695" s="58" t="s">
        <v>3035</v>
      </c>
      <c r="F695" s="58">
        <v>5</v>
      </c>
      <c r="G695" s="58">
        <v>3849.9</v>
      </c>
      <c r="H695" s="9">
        <v>151</v>
      </c>
      <c r="I695" s="273">
        <f>SUMIF('2020'!B:B,B695,'2020'!C:C)+SUMIF('2021'!B:B,B695,'2021'!C:C)+SUMIF('2022'!B:B,B695,'2022'!C:C)</f>
        <v>27241059.549999997</v>
      </c>
      <c r="J695" s="59">
        <v>44925</v>
      </c>
      <c r="K695" s="162" t="s">
        <v>3118</v>
      </c>
    </row>
    <row r="696" spans="1:11" ht="17.25" customHeight="1" x14ac:dyDescent="0.3">
      <c r="A696" s="259">
        <f t="shared" si="31"/>
        <v>608</v>
      </c>
      <c r="B696" s="20" t="s">
        <v>681</v>
      </c>
      <c r="C696" s="162">
        <v>1988</v>
      </c>
      <c r="D696" s="31"/>
      <c r="E696" s="58" t="s">
        <v>3121</v>
      </c>
      <c r="F696" s="58">
        <v>5</v>
      </c>
      <c r="G696" s="58">
        <v>3901.4</v>
      </c>
      <c r="H696" s="9">
        <v>142</v>
      </c>
      <c r="I696" s="273">
        <f>SUMIF('2020'!B:B,B696,'2020'!C:C)+SUMIF('2021'!B:B,B696,'2021'!C:C)+SUMIF('2022'!B:B,B696,'2022'!C:C)</f>
        <v>578177.17999999993</v>
      </c>
      <c r="J696" s="59">
        <v>44925</v>
      </c>
      <c r="K696" s="162" t="s">
        <v>3118</v>
      </c>
    </row>
    <row r="697" spans="1:11" ht="17.25" customHeight="1" x14ac:dyDescent="0.3">
      <c r="A697" s="259">
        <f t="shared" si="31"/>
        <v>609</v>
      </c>
      <c r="B697" s="20" t="s">
        <v>682</v>
      </c>
      <c r="C697" s="162">
        <v>1990</v>
      </c>
      <c r="D697" s="31"/>
      <c r="E697" s="58" t="s">
        <v>3121</v>
      </c>
      <c r="F697" s="58">
        <v>5</v>
      </c>
      <c r="G697" s="58">
        <v>5178</v>
      </c>
      <c r="H697" s="9">
        <v>186</v>
      </c>
      <c r="I697" s="273">
        <f>SUMIF('2020'!B:B,B697,'2020'!C:C)+SUMIF('2021'!B:B,B697,'2021'!C:C)+SUMIF('2022'!B:B,B697,'2022'!C:C)</f>
        <v>771206.26</v>
      </c>
      <c r="J697" s="59">
        <v>44925</v>
      </c>
      <c r="K697" s="162" t="s">
        <v>3118</v>
      </c>
    </row>
    <row r="698" spans="1:11" ht="17.25" customHeight="1" x14ac:dyDescent="0.3">
      <c r="A698" s="259">
        <f t="shared" si="31"/>
        <v>610</v>
      </c>
      <c r="B698" s="20" t="s">
        <v>683</v>
      </c>
      <c r="C698" s="162">
        <v>2000</v>
      </c>
      <c r="D698" s="31"/>
      <c r="E698" s="58" t="s">
        <v>3121</v>
      </c>
      <c r="F698" s="58">
        <v>5</v>
      </c>
      <c r="G698" s="58">
        <v>3715.76</v>
      </c>
      <c r="H698" s="9">
        <v>221</v>
      </c>
      <c r="I698" s="273">
        <f>SUMIF('2020'!B:B,B698,'2020'!C:C)+SUMIF('2021'!B:B,B698,'2021'!C:C)+SUMIF('2022'!B:B,B698,'2022'!C:C)</f>
        <v>249149.12</v>
      </c>
      <c r="J698" s="59">
        <v>44925</v>
      </c>
      <c r="K698" s="162" t="s">
        <v>3118</v>
      </c>
    </row>
    <row r="699" spans="1:11" ht="17.25" customHeight="1" x14ac:dyDescent="0.3">
      <c r="A699" s="259">
        <f t="shared" si="31"/>
        <v>611</v>
      </c>
      <c r="B699" s="20" t="s">
        <v>684</v>
      </c>
      <c r="C699" s="162">
        <v>1968</v>
      </c>
      <c r="D699" s="31"/>
      <c r="E699" s="58" t="s">
        <v>3035</v>
      </c>
      <c r="F699" s="58">
        <v>5</v>
      </c>
      <c r="G699" s="58">
        <v>5052</v>
      </c>
      <c r="H699" s="9">
        <v>193</v>
      </c>
      <c r="I699" s="273">
        <f>SUMIF('2020'!B:B,B699,'2020'!C:C)+SUMIF('2021'!B:B,B699,'2021'!C:C)+SUMIF('2022'!B:B,B699,'2022'!C:C)</f>
        <v>422436.68</v>
      </c>
      <c r="J699" s="59">
        <v>44925</v>
      </c>
      <c r="K699" s="162" t="s">
        <v>3118</v>
      </c>
    </row>
    <row r="700" spans="1:11" ht="17.25" customHeight="1" x14ac:dyDescent="0.3">
      <c r="A700" s="259">
        <f t="shared" si="31"/>
        <v>612</v>
      </c>
      <c r="B700" s="20" t="s">
        <v>685</v>
      </c>
      <c r="C700" s="162">
        <v>1973</v>
      </c>
      <c r="D700" s="31"/>
      <c r="E700" s="58" t="s">
        <v>3121</v>
      </c>
      <c r="F700" s="58">
        <v>5</v>
      </c>
      <c r="G700" s="58">
        <v>3107.2</v>
      </c>
      <c r="H700" s="9">
        <v>122</v>
      </c>
      <c r="I700" s="273">
        <f>SUMIF('2020'!B:B,B700,'2020'!C:C)+SUMIF('2021'!B:B,B700,'2021'!C:C)+SUMIF('2022'!B:B,B700,'2022'!C:C)</f>
        <v>446213.26</v>
      </c>
      <c r="J700" s="59">
        <v>44925</v>
      </c>
      <c r="K700" s="162" t="s">
        <v>3118</v>
      </c>
    </row>
    <row r="701" spans="1:11" ht="17.25" customHeight="1" x14ac:dyDescent="0.3">
      <c r="A701" s="259">
        <f t="shared" si="31"/>
        <v>613</v>
      </c>
      <c r="B701" s="20" t="s">
        <v>686</v>
      </c>
      <c r="C701" s="162">
        <v>1973</v>
      </c>
      <c r="D701" s="31"/>
      <c r="E701" s="58" t="s">
        <v>3121</v>
      </c>
      <c r="F701" s="58">
        <v>5</v>
      </c>
      <c r="G701" s="58">
        <v>3129.5</v>
      </c>
      <c r="H701" s="9">
        <v>124</v>
      </c>
      <c r="I701" s="273">
        <f>SUMIF('2020'!B:B,B701,'2020'!C:C)+SUMIF('2021'!B:B,B701,'2021'!C:C)+SUMIF('2022'!B:B,B701,'2022'!C:C)</f>
        <v>444531.80000000005</v>
      </c>
      <c r="J701" s="59">
        <v>44925</v>
      </c>
      <c r="K701" s="162" t="s">
        <v>3118</v>
      </c>
    </row>
    <row r="702" spans="1:11" ht="17.25" customHeight="1" x14ac:dyDescent="0.3">
      <c r="A702" s="259">
        <f t="shared" si="31"/>
        <v>614</v>
      </c>
      <c r="B702" s="20" t="s">
        <v>687</v>
      </c>
      <c r="C702" s="162">
        <v>1923</v>
      </c>
      <c r="D702" s="31"/>
      <c r="E702" s="58" t="s">
        <v>3035</v>
      </c>
      <c r="F702" s="58">
        <v>3</v>
      </c>
      <c r="G702" s="58">
        <v>1650.4</v>
      </c>
      <c r="H702" s="9">
        <v>45</v>
      </c>
      <c r="I702" s="273">
        <f>SUMIF('2020'!B:B,B702,'2020'!C:C)+SUMIF('2021'!B:B,B702,'2021'!C:C)+SUMIF('2022'!B:B,B702,'2022'!C:C)</f>
        <v>548883.78</v>
      </c>
      <c r="J702" s="59">
        <v>44925</v>
      </c>
      <c r="K702" s="162" t="s">
        <v>3118</v>
      </c>
    </row>
    <row r="703" spans="1:11" ht="17.25" customHeight="1" x14ac:dyDescent="0.3">
      <c r="A703" s="259">
        <f t="shared" si="31"/>
        <v>615</v>
      </c>
      <c r="B703" s="20" t="s">
        <v>688</v>
      </c>
      <c r="C703" s="162">
        <v>1977</v>
      </c>
      <c r="D703" s="31"/>
      <c r="E703" s="58" t="s">
        <v>3121</v>
      </c>
      <c r="F703" s="58">
        <v>5</v>
      </c>
      <c r="G703" s="58">
        <v>3014.1</v>
      </c>
      <c r="H703" s="9">
        <v>139</v>
      </c>
      <c r="I703" s="273">
        <f>SUMIF('2020'!B:B,B703,'2020'!C:C)+SUMIF('2021'!B:B,B703,'2021'!C:C)+SUMIF('2022'!B:B,B703,'2022'!C:C)</f>
        <v>494687.83</v>
      </c>
      <c r="J703" s="59">
        <v>44925</v>
      </c>
      <c r="K703" s="162" t="s">
        <v>3118</v>
      </c>
    </row>
    <row r="704" spans="1:11" ht="17.25" customHeight="1" x14ac:dyDescent="0.3">
      <c r="A704" s="259">
        <f t="shared" si="31"/>
        <v>616</v>
      </c>
      <c r="B704" s="20" t="s">
        <v>689</v>
      </c>
      <c r="C704" s="162">
        <v>1983</v>
      </c>
      <c r="D704" s="31"/>
      <c r="E704" s="58" t="s">
        <v>3121</v>
      </c>
      <c r="F704" s="58">
        <v>5</v>
      </c>
      <c r="G704" s="58">
        <v>7334.18</v>
      </c>
      <c r="H704" s="9">
        <v>297</v>
      </c>
      <c r="I704" s="273">
        <f>SUMIF('2020'!B:B,B704,'2020'!C:C)+SUMIF('2021'!B:B,B704,'2021'!C:C)+SUMIF('2022'!B:B,B704,'2022'!C:C)</f>
        <v>946734.12</v>
      </c>
      <c r="J704" s="59">
        <v>44925</v>
      </c>
      <c r="K704" s="162" t="s">
        <v>3118</v>
      </c>
    </row>
    <row r="705" spans="1:11" ht="17.25" customHeight="1" x14ac:dyDescent="0.3">
      <c r="A705" s="259">
        <f t="shared" si="31"/>
        <v>617</v>
      </c>
      <c r="B705" s="20" t="s">
        <v>690</v>
      </c>
      <c r="C705" s="162">
        <v>1936</v>
      </c>
      <c r="D705" s="31"/>
      <c r="E705" s="58" t="s">
        <v>3035</v>
      </c>
      <c r="F705" s="58">
        <v>2</v>
      </c>
      <c r="G705" s="58">
        <v>636.47</v>
      </c>
      <c r="H705" s="9">
        <v>27</v>
      </c>
      <c r="I705" s="273">
        <f>SUMIF('2020'!B:B,B705,'2020'!C:C)+SUMIF('2021'!B:B,B705,'2021'!C:C)+SUMIF('2022'!B:B,B705,'2022'!C:C)</f>
        <v>340306.03</v>
      </c>
      <c r="J705" s="59">
        <v>44925</v>
      </c>
      <c r="K705" s="162" t="s">
        <v>3118</v>
      </c>
    </row>
    <row r="706" spans="1:11" ht="17.25" customHeight="1" x14ac:dyDescent="0.3">
      <c r="A706" s="259">
        <f t="shared" si="31"/>
        <v>618</v>
      </c>
      <c r="B706" s="20" t="s">
        <v>691</v>
      </c>
      <c r="C706" s="162">
        <v>1985</v>
      </c>
      <c r="D706" s="31"/>
      <c r="E706" s="58" t="s">
        <v>3121</v>
      </c>
      <c r="F706" s="58">
        <v>5</v>
      </c>
      <c r="G706" s="58">
        <v>5386.1</v>
      </c>
      <c r="H706" s="9">
        <v>220</v>
      </c>
      <c r="I706" s="273">
        <f>SUMIF('2020'!B:B,B706,'2020'!C:C)+SUMIF('2021'!B:B,B706,'2021'!C:C)+SUMIF('2022'!B:B,B706,'2022'!C:C)</f>
        <v>731524.58</v>
      </c>
      <c r="J706" s="59">
        <v>44925</v>
      </c>
      <c r="K706" s="162" t="s">
        <v>3118</v>
      </c>
    </row>
    <row r="707" spans="1:11" ht="17.25" customHeight="1" x14ac:dyDescent="0.3">
      <c r="A707" s="259">
        <f t="shared" si="31"/>
        <v>619</v>
      </c>
      <c r="B707" s="20" t="s">
        <v>692</v>
      </c>
      <c r="C707" s="162">
        <v>1939</v>
      </c>
      <c r="D707" s="31"/>
      <c r="E707" s="58" t="s">
        <v>3035</v>
      </c>
      <c r="F707" s="58">
        <v>3</v>
      </c>
      <c r="G707" s="58">
        <v>1464.9</v>
      </c>
      <c r="H707" s="9">
        <v>52</v>
      </c>
      <c r="I707" s="273">
        <f>SUMIF('2020'!B:B,B707,'2020'!C:C)+SUMIF('2021'!B:B,B707,'2021'!C:C)+SUMIF('2022'!B:B,B707,'2022'!C:C)</f>
        <v>377070.72</v>
      </c>
      <c r="J707" s="59">
        <v>44925</v>
      </c>
      <c r="K707" s="162" t="s">
        <v>3118</v>
      </c>
    </row>
    <row r="708" spans="1:11" ht="17.25" customHeight="1" x14ac:dyDescent="0.3">
      <c r="A708" s="259">
        <f t="shared" si="31"/>
        <v>620</v>
      </c>
      <c r="B708" s="20" t="s">
        <v>693</v>
      </c>
      <c r="C708" s="162">
        <v>1960</v>
      </c>
      <c r="D708" s="31"/>
      <c r="E708" s="58" t="s">
        <v>3035</v>
      </c>
      <c r="F708" s="58">
        <v>3</v>
      </c>
      <c r="G708" s="58">
        <v>1021.1</v>
      </c>
      <c r="H708" s="9">
        <v>40</v>
      </c>
      <c r="I708" s="273">
        <f>SUMIF('2020'!B:B,B708,'2020'!C:C)+SUMIF('2021'!B:B,B708,'2021'!C:C)+SUMIF('2022'!B:B,B708,'2022'!C:C)</f>
        <v>333544.79000000004</v>
      </c>
      <c r="J708" s="59">
        <v>44925</v>
      </c>
      <c r="K708" s="162" t="s">
        <v>3118</v>
      </c>
    </row>
    <row r="709" spans="1:11" ht="17.25" customHeight="1" x14ac:dyDescent="0.3">
      <c r="A709" s="259">
        <f t="shared" si="31"/>
        <v>621</v>
      </c>
      <c r="B709" s="20" t="s">
        <v>694</v>
      </c>
      <c r="C709" s="162">
        <v>1934</v>
      </c>
      <c r="D709" s="31"/>
      <c r="E709" s="58" t="s">
        <v>3035</v>
      </c>
      <c r="F709" s="58">
        <v>3</v>
      </c>
      <c r="G709" s="58">
        <v>1646.2</v>
      </c>
      <c r="H709" s="9">
        <v>82</v>
      </c>
      <c r="I709" s="273">
        <f>SUMIF('2020'!B:B,B709,'2020'!C:C)+SUMIF('2021'!B:B,B709,'2021'!C:C)+SUMIF('2022'!B:B,B709,'2022'!C:C)</f>
        <v>136084.57</v>
      </c>
      <c r="J709" s="59">
        <v>44925</v>
      </c>
      <c r="K709" s="162" t="s">
        <v>3118</v>
      </c>
    </row>
    <row r="710" spans="1:11" ht="17.25" customHeight="1" x14ac:dyDescent="0.3">
      <c r="A710" s="259">
        <f t="shared" si="31"/>
        <v>622</v>
      </c>
      <c r="B710" s="20" t="s">
        <v>695</v>
      </c>
      <c r="C710" s="162">
        <v>1949</v>
      </c>
      <c r="D710" s="31"/>
      <c r="E710" s="58" t="s">
        <v>3035</v>
      </c>
      <c r="F710" s="58">
        <v>2</v>
      </c>
      <c r="G710" s="58">
        <v>557.29999999999995</v>
      </c>
      <c r="H710" s="9">
        <v>17</v>
      </c>
      <c r="I710" s="273">
        <f>SUMIF('2020'!B:B,B710,'2020'!C:C)+SUMIF('2021'!B:B,B710,'2021'!C:C)+SUMIF('2022'!B:B,B710,'2022'!C:C)</f>
        <v>281075.28000000003</v>
      </c>
      <c r="J710" s="59">
        <v>44925</v>
      </c>
      <c r="K710" s="162" t="s">
        <v>3118</v>
      </c>
    </row>
    <row r="711" spans="1:11" ht="17.25" customHeight="1" x14ac:dyDescent="0.3">
      <c r="A711" s="259">
        <f t="shared" si="31"/>
        <v>623</v>
      </c>
      <c r="B711" s="20" t="s">
        <v>696</v>
      </c>
      <c r="C711" s="162">
        <v>1962</v>
      </c>
      <c r="D711" s="31"/>
      <c r="E711" s="58" t="s">
        <v>3035</v>
      </c>
      <c r="F711" s="58">
        <v>5</v>
      </c>
      <c r="G711" s="58">
        <v>2943.8</v>
      </c>
      <c r="H711" s="9">
        <v>128</v>
      </c>
      <c r="I711" s="273">
        <f>SUMIF('2020'!B:B,B711,'2020'!C:C)+SUMIF('2021'!B:B,B711,'2021'!C:C)+SUMIF('2022'!B:B,B711,'2022'!C:C)</f>
        <v>4862288.53</v>
      </c>
      <c r="J711" s="59">
        <v>44925</v>
      </c>
      <c r="K711" s="162" t="s">
        <v>3118</v>
      </c>
    </row>
    <row r="712" spans="1:11" ht="17.25" customHeight="1" x14ac:dyDescent="0.3">
      <c r="A712" s="259">
        <f t="shared" si="31"/>
        <v>624</v>
      </c>
      <c r="B712" s="20" t="s">
        <v>697</v>
      </c>
      <c r="C712" s="162">
        <v>1951</v>
      </c>
      <c r="D712" s="31"/>
      <c r="E712" s="58" t="s">
        <v>3035</v>
      </c>
      <c r="F712" s="58">
        <v>2</v>
      </c>
      <c r="G712" s="58">
        <v>752.1</v>
      </c>
      <c r="H712" s="9">
        <v>34</v>
      </c>
      <c r="I712" s="273">
        <f>SUMIF('2020'!B:B,B712,'2020'!C:C)+SUMIF('2021'!B:B,B712,'2021'!C:C)+SUMIF('2022'!B:B,B712,'2022'!C:C)</f>
        <v>127835.78</v>
      </c>
      <c r="J712" s="59">
        <v>44925</v>
      </c>
      <c r="K712" s="162" t="s">
        <v>3118</v>
      </c>
    </row>
    <row r="713" spans="1:11" ht="17.25" customHeight="1" x14ac:dyDescent="0.3">
      <c r="A713" s="259">
        <f t="shared" si="31"/>
        <v>625</v>
      </c>
      <c r="B713" s="20" t="s">
        <v>698</v>
      </c>
      <c r="C713" s="162">
        <v>1964</v>
      </c>
      <c r="D713" s="31"/>
      <c r="E713" s="58" t="s">
        <v>3035</v>
      </c>
      <c r="F713" s="58">
        <v>5</v>
      </c>
      <c r="G713" s="58">
        <v>3720.6</v>
      </c>
      <c r="H713" s="9">
        <v>161</v>
      </c>
      <c r="I713" s="273">
        <f>SUMIF('2020'!B:B,B713,'2020'!C:C)+SUMIF('2021'!B:B,B713,'2021'!C:C)+SUMIF('2022'!B:B,B713,'2022'!C:C)</f>
        <v>707397.57000000007</v>
      </c>
      <c r="J713" s="59">
        <v>44925</v>
      </c>
      <c r="K713" s="162" t="s">
        <v>3118</v>
      </c>
    </row>
    <row r="714" spans="1:11" ht="17.25" customHeight="1" x14ac:dyDescent="0.3">
      <c r="A714" s="259">
        <f t="shared" si="31"/>
        <v>626</v>
      </c>
      <c r="B714" s="20" t="s">
        <v>699</v>
      </c>
      <c r="C714" s="162">
        <v>1970</v>
      </c>
      <c r="D714" s="31"/>
      <c r="E714" s="58" t="s">
        <v>3035</v>
      </c>
      <c r="F714" s="58">
        <v>5</v>
      </c>
      <c r="G714" s="58">
        <v>3704.1</v>
      </c>
      <c r="H714" s="9">
        <v>157</v>
      </c>
      <c r="I714" s="273">
        <f>SUMIF('2020'!B:B,B714,'2020'!C:C)+SUMIF('2021'!B:B,B714,'2021'!C:C)+SUMIF('2022'!B:B,B714,'2022'!C:C)</f>
        <v>20117625.849999998</v>
      </c>
      <c r="J714" s="59">
        <v>44925</v>
      </c>
      <c r="K714" s="162" t="s">
        <v>3118</v>
      </c>
    </row>
    <row r="715" spans="1:11" ht="17.25" customHeight="1" x14ac:dyDescent="0.3">
      <c r="A715" s="259">
        <f t="shared" si="31"/>
        <v>627</v>
      </c>
      <c r="B715" s="20" t="s">
        <v>700</v>
      </c>
      <c r="C715" s="162">
        <v>1966</v>
      </c>
      <c r="D715" s="31"/>
      <c r="E715" s="58" t="s">
        <v>3035</v>
      </c>
      <c r="F715" s="58">
        <v>5</v>
      </c>
      <c r="G715" s="58">
        <v>3752.7</v>
      </c>
      <c r="H715" s="9">
        <v>150</v>
      </c>
      <c r="I715" s="273">
        <f>SUMIF('2020'!B:B,B715,'2020'!C:C)+SUMIF('2021'!B:B,B715,'2021'!C:C)+SUMIF('2022'!B:B,B715,'2022'!C:C)</f>
        <v>640339.35</v>
      </c>
      <c r="J715" s="59">
        <v>44925</v>
      </c>
      <c r="K715" s="162" t="s">
        <v>3118</v>
      </c>
    </row>
    <row r="716" spans="1:11" ht="17.25" customHeight="1" x14ac:dyDescent="0.3">
      <c r="A716" s="259">
        <f t="shared" si="31"/>
        <v>628</v>
      </c>
      <c r="B716" s="20" t="s">
        <v>701</v>
      </c>
      <c r="C716" s="162">
        <v>1971</v>
      </c>
      <c r="D716" s="31"/>
      <c r="E716" s="58" t="s">
        <v>3035</v>
      </c>
      <c r="F716" s="58">
        <v>5</v>
      </c>
      <c r="G716" s="58">
        <v>3772.8</v>
      </c>
      <c r="H716" s="9">
        <v>152</v>
      </c>
      <c r="I716" s="273">
        <f>SUMIF('2020'!B:B,B716,'2020'!C:C)+SUMIF('2021'!B:B,B716,'2021'!C:C)+SUMIF('2022'!B:B,B716,'2022'!C:C)</f>
        <v>20093186.66</v>
      </c>
      <c r="J716" s="59">
        <v>44925</v>
      </c>
      <c r="K716" s="162" t="s">
        <v>3118</v>
      </c>
    </row>
    <row r="717" spans="1:11" ht="17.25" customHeight="1" x14ac:dyDescent="0.3">
      <c r="A717" s="259">
        <f t="shared" si="31"/>
        <v>629</v>
      </c>
      <c r="B717" s="20" t="s">
        <v>702</v>
      </c>
      <c r="C717" s="162">
        <v>1971</v>
      </c>
      <c r="D717" s="31"/>
      <c r="E717" s="58" t="s">
        <v>3035</v>
      </c>
      <c r="F717" s="58">
        <v>5</v>
      </c>
      <c r="G717" s="58">
        <v>3692.9</v>
      </c>
      <c r="H717" s="9">
        <v>137</v>
      </c>
      <c r="I717" s="273">
        <f>SUMIF('2020'!B:B,B717,'2020'!C:C)+SUMIF('2021'!B:B,B717,'2021'!C:C)+SUMIF('2022'!B:B,B717,'2022'!C:C)</f>
        <v>593695.43999999994</v>
      </c>
      <c r="J717" s="59">
        <v>44925</v>
      </c>
      <c r="K717" s="162" t="s">
        <v>3118</v>
      </c>
    </row>
    <row r="718" spans="1:11" ht="17.25" customHeight="1" x14ac:dyDescent="0.3">
      <c r="A718" s="259">
        <f t="shared" si="31"/>
        <v>630</v>
      </c>
      <c r="B718" s="20" t="s">
        <v>703</v>
      </c>
      <c r="C718" s="162">
        <v>1974</v>
      </c>
      <c r="D718" s="31"/>
      <c r="E718" s="58" t="s">
        <v>3121</v>
      </c>
      <c r="F718" s="58">
        <v>5</v>
      </c>
      <c r="G718" s="58">
        <v>5232.6000000000004</v>
      </c>
      <c r="H718" s="9">
        <v>193</v>
      </c>
      <c r="I718" s="273">
        <f>SUMIF('2020'!B:B,B718,'2020'!C:C)+SUMIF('2021'!B:B,B718,'2021'!C:C)+SUMIF('2022'!B:B,B718,'2022'!C:C)</f>
        <v>696878.44</v>
      </c>
      <c r="J718" s="59">
        <v>44925</v>
      </c>
      <c r="K718" s="162" t="s">
        <v>3118</v>
      </c>
    </row>
    <row r="719" spans="1:11" ht="17.25" customHeight="1" x14ac:dyDescent="0.3">
      <c r="A719" s="259">
        <f t="shared" si="31"/>
        <v>631</v>
      </c>
      <c r="B719" s="20" t="s">
        <v>704</v>
      </c>
      <c r="C719" s="162">
        <v>1976</v>
      </c>
      <c r="D719" s="31"/>
      <c r="E719" s="58" t="s">
        <v>3121</v>
      </c>
      <c r="F719" s="58">
        <v>5</v>
      </c>
      <c r="G719" s="58">
        <v>3504.4</v>
      </c>
      <c r="H719" s="9">
        <v>134</v>
      </c>
      <c r="I719" s="273">
        <f>SUMIF('2020'!B:B,B719,'2020'!C:C)+SUMIF('2021'!B:B,B719,'2021'!C:C)+SUMIF('2022'!B:B,B719,'2022'!C:C)</f>
        <v>550660.47</v>
      </c>
      <c r="J719" s="59">
        <v>44925</v>
      </c>
      <c r="K719" s="162" t="s">
        <v>3118</v>
      </c>
    </row>
    <row r="720" spans="1:11" ht="17.25" customHeight="1" x14ac:dyDescent="0.3">
      <c r="A720" s="259">
        <f t="shared" si="31"/>
        <v>632</v>
      </c>
      <c r="B720" s="20" t="s">
        <v>705</v>
      </c>
      <c r="C720" s="162">
        <v>1986</v>
      </c>
      <c r="D720" s="31"/>
      <c r="E720" s="58" t="s">
        <v>3121</v>
      </c>
      <c r="F720" s="58">
        <v>5</v>
      </c>
      <c r="G720" s="58">
        <v>5500</v>
      </c>
      <c r="H720" s="9">
        <v>221</v>
      </c>
      <c r="I720" s="273">
        <f>SUMIF('2020'!B:B,B720,'2020'!C:C)+SUMIF('2021'!B:B,B720,'2021'!C:C)+SUMIF('2022'!B:B,B720,'2022'!C:C)</f>
        <v>652560.24</v>
      </c>
      <c r="J720" s="59">
        <v>44925</v>
      </c>
      <c r="K720" s="162" t="s">
        <v>3118</v>
      </c>
    </row>
    <row r="721" spans="1:13" ht="17.25" customHeight="1" x14ac:dyDescent="0.3">
      <c r="A721" s="259">
        <f t="shared" si="31"/>
        <v>633</v>
      </c>
      <c r="B721" s="20" t="s">
        <v>706</v>
      </c>
      <c r="C721" s="162">
        <v>1933</v>
      </c>
      <c r="D721" s="31"/>
      <c r="E721" s="58" t="s">
        <v>3035</v>
      </c>
      <c r="F721" s="58">
        <v>3</v>
      </c>
      <c r="G721" s="58">
        <v>1296.9000000000001</v>
      </c>
      <c r="H721" s="9">
        <v>49</v>
      </c>
      <c r="I721" s="273">
        <f>SUMIF('2020'!B:B,B721,'2020'!C:C)+SUMIF('2021'!B:B,B721,'2021'!C:C)+SUMIF('2022'!B:B,B721,'2022'!C:C)</f>
        <v>115260.12</v>
      </c>
      <c r="J721" s="59">
        <v>44925</v>
      </c>
      <c r="K721" s="162" t="s">
        <v>3118</v>
      </c>
    </row>
    <row r="722" spans="1:13" ht="17.25" customHeight="1" x14ac:dyDescent="0.3">
      <c r="A722" s="259">
        <f t="shared" si="31"/>
        <v>634</v>
      </c>
      <c r="B722" s="20" t="s">
        <v>707</v>
      </c>
      <c r="C722" s="162">
        <v>1985</v>
      </c>
      <c r="D722" s="31"/>
      <c r="E722" s="58" t="s">
        <v>3121</v>
      </c>
      <c r="F722" s="58">
        <v>5</v>
      </c>
      <c r="G722" s="58">
        <v>3648.8</v>
      </c>
      <c r="H722" s="9">
        <v>125</v>
      </c>
      <c r="I722" s="273">
        <f>SUMIF('2020'!B:B,B722,'2020'!C:C)+SUMIF('2021'!B:B,B722,'2021'!C:C)+SUMIF('2022'!B:B,B722,'2022'!C:C)</f>
        <v>547351.04000000004</v>
      </c>
      <c r="J722" s="59">
        <v>44925</v>
      </c>
      <c r="K722" s="162" t="s">
        <v>3118</v>
      </c>
    </row>
    <row r="723" spans="1:13" ht="17.25" customHeight="1" x14ac:dyDescent="0.3">
      <c r="A723" s="15" t="s">
        <v>208</v>
      </c>
      <c r="B723" s="20"/>
      <c r="C723" s="31" t="s">
        <v>3558</v>
      </c>
      <c r="D723" s="31" t="s">
        <v>3558</v>
      </c>
      <c r="E723" s="31" t="s">
        <v>3558</v>
      </c>
      <c r="F723" s="31" t="s">
        <v>3558</v>
      </c>
      <c r="G723" s="56">
        <f>SUM(G661:G722)</f>
        <v>204901.24999999997</v>
      </c>
      <c r="H723" s="173">
        <f>SUM(H661:H722)</f>
        <v>8189</v>
      </c>
      <c r="I723" s="56">
        <f>SUM(I661:I722)</f>
        <v>268703648.14999998</v>
      </c>
      <c r="J723" s="31" t="s">
        <v>3558</v>
      </c>
      <c r="K723" s="31" t="s">
        <v>3558</v>
      </c>
      <c r="L723" s="197">
        <f>I723-'2020'!C183-'2021'!C534-'2022'!C224</f>
        <v>0</v>
      </c>
      <c r="M723" s="197"/>
    </row>
    <row r="724" spans="1:13" ht="17.25" customHeight="1" x14ac:dyDescent="0.3">
      <c r="A724" s="19" t="s">
        <v>708</v>
      </c>
      <c r="B724" s="20"/>
      <c r="C724" s="31"/>
      <c r="D724" s="31"/>
      <c r="E724" s="31"/>
      <c r="F724" s="31"/>
      <c r="G724" s="31"/>
      <c r="H724" s="173"/>
      <c r="I724" s="56"/>
      <c r="J724" s="31"/>
      <c r="K724" s="31"/>
    </row>
    <row r="725" spans="1:13" ht="17.25" customHeight="1" x14ac:dyDescent="0.3">
      <c r="A725" s="259">
        <f>A722+1</f>
        <v>635</v>
      </c>
      <c r="B725" s="20" t="s">
        <v>709</v>
      </c>
      <c r="C725" s="162">
        <v>1984</v>
      </c>
      <c r="D725" s="31"/>
      <c r="E725" s="58" t="s">
        <v>3121</v>
      </c>
      <c r="F725" s="58">
        <v>5</v>
      </c>
      <c r="G725" s="58">
        <v>3631.7</v>
      </c>
      <c r="H725" s="9">
        <v>230</v>
      </c>
      <c r="I725" s="273">
        <f>SUMIF('2020'!B:B,B725,'2020'!C:C)+SUMIF('2021'!B:B,B725,'2021'!C:C)+SUMIF('2022'!B:B,B725,'2022'!C:C)</f>
        <v>27208839.409999996</v>
      </c>
      <c r="J725" s="59">
        <v>44925</v>
      </c>
      <c r="K725" s="162" t="s">
        <v>3118</v>
      </c>
    </row>
    <row r="726" spans="1:13" ht="17.25" customHeight="1" x14ac:dyDescent="0.3">
      <c r="A726" s="259">
        <f>A725+1</f>
        <v>636</v>
      </c>
      <c r="B726" s="20" t="s">
        <v>710</v>
      </c>
      <c r="C726" s="162">
        <v>1994</v>
      </c>
      <c r="D726" s="31"/>
      <c r="E726" s="58" t="s">
        <v>3121</v>
      </c>
      <c r="F726" s="58">
        <v>5</v>
      </c>
      <c r="G726" s="58">
        <v>8348.52</v>
      </c>
      <c r="H726" s="9">
        <v>325</v>
      </c>
      <c r="I726" s="273">
        <f>SUMIF('2020'!B:B,B726,'2020'!C:C)+SUMIF('2021'!B:B,B726,'2021'!C:C)+SUMIF('2022'!B:B,B726,'2022'!C:C)</f>
        <v>58732114.140000001</v>
      </c>
      <c r="J726" s="59">
        <v>44925</v>
      </c>
      <c r="K726" s="162" t="s">
        <v>3118</v>
      </c>
    </row>
    <row r="727" spans="1:13" ht="17.25" customHeight="1" x14ac:dyDescent="0.3">
      <c r="A727" s="259">
        <f>A726+1</f>
        <v>637</v>
      </c>
      <c r="B727" s="20" t="s">
        <v>711</v>
      </c>
      <c r="C727" s="162">
        <v>1969</v>
      </c>
      <c r="D727" s="31"/>
      <c r="E727" s="58" t="s">
        <v>3035</v>
      </c>
      <c r="F727" s="58">
        <v>3</v>
      </c>
      <c r="G727" s="58">
        <v>1679.28</v>
      </c>
      <c r="H727" s="9">
        <v>76</v>
      </c>
      <c r="I727" s="273">
        <f>SUMIF('2020'!B:B,B727,'2020'!C:C)+SUMIF('2021'!B:B,B727,'2021'!C:C)+SUMIF('2022'!B:B,B727,'2022'!C:C)</f>
        <v>182039</v>
      </c>
      <c r="J727" s="59">
        <v>44925</v>
      </c>
      <c r="K727" s="162" t="s">
        <v>3118</v>
      </c>
    </row>
    <row r="728" spans="1:13" ht="17.25" customHeight="1" x14ac:dyDescent="0.3">
      <c r="A728" s="15" t="s">
        <v>208</v>
      </c>
      <c r="B728" s="20"/>
      <c r="C728" s="31" t="s">
        <v>3558</v>
      </c>
      <c r="D728" s="31" t="s">
        <v>3558</v>
      </c>
      <c r="E728" s="31" t="s">
        <v>3558</v>
      </c>
      <c r="F728" s="31" t="s">
        <v>3558</v>
      </c>
      <c r="G728" s="56">
        <f>SUM(G725:G727)</f>
        <v>13659.500000000002</v>
      </c>
      <c r="H728" s="173">
        <f>SUM(H725:H727)</f>
        <v>631</v>
      </c>
      <c r="I728" s="56">
        <f>SUM(I725:I727)</f>
        <v>86122992.549999997</v>
      </c>
      <c r="J728" s="31" t="s">
        <v>3558</v>
      </c>
      <c r="K728" s="31" t="s">
        <v>3558</v>
      </c>
    </row>
    <row r="729" spans="1:13" ht="17.25" customHeight="1" x14ac:dyDescent="0.3">
      <c r="A729" s="19" t="s">
        <v>712</v>
      </c>
      <c r="B729" s="20"/>
      <c r="C729" s="31"/>
      <c r="D729" s="31"/>
      <c r="E729" s="31"/>
      <c r="F729" s="31"/>
      <c r="G729" s="31"/>
      <c r="H729" s="173"/>
      <c r="I729" s="56"/>
      <c r="J729" s="31"/>
      <c r="K729" s="31"/>
    </row>
    <row r="730" spans="1:13" ht="17.25" customHeight="1" x14ac:dyDescent="0.3">
      <c r="A730" s="259">
        <f>A727+1</f>
        <v>638</v>
      </c>
      <c r="B730" s="20" t="s">
        <v>713</v>
      </c>
      <c r="C730" s="162">
        <v>1987</v>
      </c>
      <c r="D730" s="31"/>
      <c r="E730" s="58" t="s">
        <v>3035</v>
      </c>
      <c r="F730" s="162">
        <v>5</v>
      </c>
      <c r="G730" s="162">
        <v>5171.7</v>
      </c>
      <c r="H730" s="48" t="s">
        <v>3089</v>
      </c>
      <c r="I730" s="273">
        <f>SUMIF('2020'!B:B,B730,'2020'!C:C)+SUMIF('2021'!B:B,B730,'2021'!C:C)+SUMIF('2022'!B:B,B730,'2022'!C:C)</f>
        <v>146491.6</v>
      </c>
      <c r="J730" s="59">
        <v>44925</v>
      </c>
      <c r="K730" s="162" t="s">
        <v>3118</v>
      </c>
    </row>
    <row r="731" spans="1:13" ht="17.25" customHeight="1" x14ac:dyDescent="0.3">
      <c r="A731" s="259">
        <f>A730+1</f>
        <v>639</v>
      </c>
      <c r="B731" s="20" t="s">
        <v>714</v>
      </c>
      <c r="C731" s="162">
        <v>1979</v>
      </c>
      <c r="D731" s="31"/>
      <c r="E731" s="58" t="s">
        <v>3035</v>
      </c>
      <c r="F731" s="162">
        <v>5</v>
      </c>
      <c r="G731" s="162">
        <v>3091</v>
      </c>
      <c r="H731" s="48" t="s">
        <v>3158</v>
      </c>
      <c r="I731" s="273">
        <f>SUMIF('2020'!B:B,B731,'2020'!C:C)+SUMIF('2021'!B:B,B731,'2021'!C:C)+SUMIF('2022'!B:B,B731,'2022'!C:C)</f>
        <v>152584</v>
      </c>
      <c r="J731" s="59">
        <v>44925</v>
      </c>
      <c r="K731" s="162" t="s">
        <v>3118</v>
      </c>
    </row>
    <row r="732" spans="1:13" ht="17.25" customHeight="1" x14ac:dyDescent="0.3">
      <c r="A732" s="259">
        <f>A731+1</f>
        <v>640</v>
      </c>
      <c r="B732" s="20" t="s">
        <v>715</v>
      </c>
      <c r="C732" s="162">
        <v>1986</v>
      </c>
      <c r="D732" s="31"/>
      <c r="E732" s="58" t="s">
        <v>3035</v>
      </c>
      <c r="F732" s="162">
        <v>5</v>
      </c>
      <c r="G732" s="162">
        <v>4489.1000000000004</v>
      </c>
      <c r="H732" s="48" t="s">
        <v>3159</v>
      </c>
      <c r="I732" s="273">
        <f>SUMIF('2020'!B:B,B732,'2020'!C:C)+SUMIF('2021'!B:B,B732,'2021'!C:C)+SUMIF('2022'!B:B,B732,'2022'!C:C)</f>
        <v>167213.20000000001</v>
      </c>
      <c r="J732" s="59">
        <v>44925</v>
      </c>
      <c r="K732" s="162" t="s">
        <v>3118</v>
      </c>
    </row>
    <row r="733" spans="1:13" ht="17.25" customHeight="1" x14ac:dyDescent="0.3">
      <c r="A733" s="259">
        <f>A732+1</f>
        <v>641</v>
      </c>
      <c r="B733" s="20" t="s">
        <v>716</v>
      </c>
      <c r="C733" s="162">
        <v>1983</v>
      </c>
      <c r="D733" s="31"/>
      <c r="E733" s="58" t="s">
        <v>3035</v>
      </c>
      <c r="F733" s="162">
        <v>5</v>
      </c>
      <c r="G733" s="162">
        <v>6300.6</v>
      </c>
      <c r="H733" s="48" t="s">
        <v>3160</v>
      </c>
      <c r="I733" s="273">
        <f>SUMIF('2020'!B:B,B733,'2020'!C:C)+SUMIF('2021'!B:B,B733,'2021'!C:C)+SUMIF('2022'!B:B,B733,'2022'!C:C)</f>
        <v>130000</v>
      </c>
      <c r="J733" s="59">
        <v>44925</v>
      </c>
      <c r="K733" s="162" t="s">
        <v>3118</v>
      </c>
    </row>
    <row r="734" spans="1:13" ht="17.25" customHeight="1" x14ac:dyDescent="0.3">
      <c r="A734" s="259">
        <f>A733+1</f>
        <v>642</v>
      </c>
      <c r="B734" s="20" t="s">
        <v>717</v>
      </c>
      <c r="C734" s="162">
        <v>1967</v>
      </c>
      <c r="D734" s="31"/>
      <c r="E734" s="58" t="s">
        <v>3035</v>
      </c>
      <c r="F734" s="162">
        <v>4</v>
      </c>
      <c r="G734" s="162">
        <v>2776.7</v>
      </c>
      <c r="H734" s="48" t="s">
        <v>3161</v>
      </c>
      <c r="I734" s="273">
        <f>SUMIF('2020'!B:B,B734,'2020'!C:C)+SUMIF('2021'!B:B,B734,'2021'!C:C)+SUMIF('2022'!B:B,B734,'2022'!C:C)</f>
        <v>145532.79999999999</v>
      </c>
      <c r="J734" s="59">
        <v>44925</v>
      </c>
      <c r="K734" s="162" t="s">
        <v>3118</v>
      </c>
    </row>
    <row r="735" spans="1:13" ht="17.25" customHeight="1" x14ac:dyDescent="0.3">
      <c r="A735" s="15" t="s">
        <v>208</v>
      </c>
      <c r="B735" s="20"/>
      <c r="C735" s="31" t="s">
        <v>3558</v>
      </c>
      <c r="D735" s="31" t="s">
        <v>3558</v>
      </c>
      <c r="E735" s="31" t="s">
        <v>3558</v>
      </c>
      <c r="F735" s="31" t="s">
        <v>3558</v>
      </c>
      <c r="G735" s="56">
        <f>SUM(G730:G734)</f>
        <v>21829.100000000002</v>
      </c>
      <c r="H735" s="173">
        <f>SUM(H730:H734)</f>
        <v>0</v>
      </c>
      <c r="I735" s="56">
        <f>SUM(I730:I734)</f>
        <v>741821.60000000009</v>
      </c>
      <c r="J735" s="31" t="s">
        <v>3558</v>
      </c>
      <c r="K735" s="31" t="s">
        <v>3558</v>
      </c>
      <c r="L735" s="197">
        <f>I735-'2021'!C547</f>
        <v>0</v>
      </c>
      <c r="M735" s="197"/>
    </row>
    <row r="736" spans="1:13" ht="17.25" customHeight="1" x14ac:dyDescent="0.3">
      <c r="A736" s="19" t="s">
        <v>718</v>
      </c>
      <c r="B736" s="20"/>
      <c r="C736" s="31"/>
      <c r="D736" s="31"/>
      <c r="E736" s="31"/>
      <c r="F736" s="31"/>
      <c r="G736" s="31"/>
      <c r="H736" s="173"/>
      <c r="I736" s="56"/>
      <c r="J736" s="31"/>
      <c r="K736" s="31"/>
    </row>
    <row r="737" spans="1:11" ht="17.25" customHeight="1" x14ac:dyDescent="0.3">
      <c r="A737" s="259">
        <f>A734+1</f>
        <v>643</v>
      </c>
      <c r="B737" s="20" t="s">
        <v>719</v>
      </c>
      <c r="C737" s="162">
        <v>1957</v>
      </c>
      <c r="D737" s="31"/>
      <c r="E737" s="58" t="s">
        <v>3035</v>
      </c>
      <c r="F737" s="58">
        <v>2</v>
      </c>
      <c r="G737" s="58">
        <v>355.4</v>
      </c>
      <c r="H737" s="9">
        <v>21</v>
      </c>
      <c r="I737" s="273">
        <f>SUMIF('2020'!B:B,B737,'2020'!C:C)+SUMIF('2021'!B:B,B737,'2021'!C:C)+SUMIF('2022'!B:B,B737,'2022'!C:C)</f>
        <v>1375294.06</v>
      </c>
      <c r="J737" s="59">
        <v>44925</v>
      </c>
      <c r="K737" s="162" t="s">
        <v>3118</v>
      </c>
    </row>
    <row r="738" spans="1:11" ht="17.25" customHeight="1" x14ac:dyDescent="0.3">
      <c r="A738" s="259">
        <f t="shared" ref="A738:A759" si="32">A737+1</f>
        <v>644</v>
      </c>
      <c r="B738" s="20" t="s">
        <v>720</v>
      </c>
      <c r="C738" s="162">
        <v>1970</v>
      </c>
      <c r="D738" s="31"/>
      <c r="E738" s="58" t="s">
        <v>3035</v>
      </c>
      <c r="F738" s="58">
        <v>2</v>
      </c>
      <c r="G738" s="58">
        <v>970.2</v>
      </c>
      <c r="H738" s="9">
        <v>46</v>
      </c>
      <c r="I738" s="273">
        <f>SUMIF('2020'!B:B,B738,'2020'!C:C)+SUMIF('2021'!B:B,B738,'2021'!C:C)+SUMIF('2022'!B:B,B738,'2022'!C:C)</f>
        <v>127773.2</v>
      </c>
      <c r="J738" s="59">
        <v>44925</v>
      </c>
      <c r="K738" s="162" t="s">
        <v>3118</v>
      </c>
    </row>
    <row r="739" spans="1:11" ht="17.25" customHeight="1" x14ac:dyDescent="0.3">
      <c r="A739" s="259">
        <f t="shared" si="32"/>
        <v>645</v>
      </c>
      <c r="B739" s="20" t="s">
        <v>721</v>
      </c>
      <c r="C739" s="162">
        <v>1972</v>
      </c>
      <c r="D739" s="31"/>
      <c r="E739" s="58" t="s">
        <v>3035</v>
      </c>
      <c r="F739" s="58">
        <v>2</v>
      </c>
      <c r="G739" s="58">
        <v>892</v>
      </c>
      <c r="H739" s="9">
        <v>49</v>
      </c>
      <c r="I739" s="273">
        <f>SUMIF('2020'!B:B,B739,'2020'!C:C)+SUMIF('2021'!B:B,B739,'2021'!C:C)+SUMIF('2022'!B:B,B739,'2022'!C:C)</f>
        <v>344258.92000000004</v>
      </c>
      <c r="J739" s="59">
        <v>44925</v>
      </c>
      <c r="K739" s="162" t="s">
        <v>3118</v>
      </c>
    </row>
    <row r="740" spans="1:11" ht="17.25" customHeight="1" x14ac:dyDescent="0.3">
      <c r="A740" s="259">
        <f t="shared" si="32"/>
        <v>646</v>
      </c>
      <c r="B740" s="20" t="s">
        <v>722</v>
      </c>
      <c r="C740" s="162">
        <v>1973</v>
      </c>
      <c r="D740" s="31"/>
      <c r="E740" s="58" t="s">
        <v>3035</v>
      </c>
      <c r="F740" s="58">
        <v>2</v>
      </c>
      <c r="G740" s="58">
        <v>890.8</v>
      </c>
      <c r="H740" s="9">
        <v>63</v>
      </c>
      <c r="I740" s="273">
        <f>SUMIF('2020'!B:B,B740,'2020'!C:C)+SUMIF('2021'!B:B,B740,'2021'!C:C)+SUMIF('2022'!B:B,B740,'2022'!C:C)</f>
        <v>216364.04</v>
      </c>
      <c r="J740" s="59">
        <v>44925</v>
      </c>
      <c r="K740" s="162" t="s">
        <v>3118</v>
      </c>
    </row>
    <row r="741" spans="1:11" ht="17.25" customHeight="1" x14ac:dyDescent="0.3">
      <c r="A741" s="259">
        <f t="shared" si="32"/>
        <v>647</v>
      </c>
      <c r="B741" s="20" t="s">
        <v>723</v>
      </c>
      <c r="C741" s="162">
        <v>1971</v>
      </c>
      <c r="D741" s="31"/>
      <c r="E741" s="58" t="s">
        <v>3035</v>
      </c>
      <c r="F741" s="58">
        <v>2</v>
      </c>
      <c r="G741" s="58">
        <v>956.4</v>
      </c>
      <c r="H741" s="9">
        <v>46</v>
      </c>
      <c r="I741" s="273">
        <f>SUMIF('2020'!B:B,B741,'2020'!C:C)+SUMIF('2021'!B:B,B741,'2021'!C:C)+SUMIF('2022'!B:B,B741,'2022'!C:C)</f>
        <v>261346.7</v>
      </c>
      <c r="J741" s="59">
        <v>44925</v>
      </c>
      <c r="K741" s="162" t="s">
        <v>3118</v>
      </c>
    </row>
    <row r="742" spans="1:11" ht="17.25" customHeight="1" x14ac:dyDescent="0.3">
      <c r="A742" s="259">
        <f t="shared" si="32"/>
        <v>648</v>
      </c>
      <c r="B742" s="20" t="s">
        <v>724</v>
      </c>
      <c r="C742" s="162">
        <v>1974</v>
      </c>
      <c r="D742" s="31"/>
      <c r="E742" s="58" t="s">
        <v>3035</v>
      </c>
      <c r="F742" s="58">
        <v>3</v>
      </c>
      <c r="G742" s="58">
        <v>1283.5</v>
      </c>
      <c r="H742" s="9">
        <v>67</v>
      </c>
      <c r="I742" s="273">
        <f>SUMIF('2020'!B:B,B742,'2020'!C:C)+SUMIF('2021'!B:B,B742,'2021'!C:C)+SUMIF('2022'!B:B,B742,'2022'!C:C)</f>
        <v>211982.69</v>
      </c>
      <c r="J742" s="59">
        <v>44925</v>
      </c>
      <c r="K742" s="162" t="s">
        <v>3118</v>
      </c>
    </row>
    <row r="743" spans="1:11" ht="17.25" customHeight="1" x14ac:dyDescent="0.3">
      <c r="A743" s="259">
        <f t="shared" si="32"/>
        <v>649</v>
      </c>
      <c r="B743" s="20" t="s">
        <v>725</v>
      </c>
      <c r="C743" s="162">
        <v>1966</v>
      </c>
      <c r="D743" s="31"/>
      <c r="E743" s="58" t="s">
        <v>3035</v>
      </c>
      <c r="F743" s="58">
        <v>5</v>
      </c>
      <c r="G743" s="58">
        <v>3761.85</v>
      </c>
      <c r="H743" s="9">
        <v>166</v>
      </c>
      <c r="I743" s="273">
        <f>SUMIF('2020'!B:B,B743,'2020'!C:C)+SUMIF('2021'!B:B,B743,'2021'!C:C)+SUMIF('2022'!B:B,B743,'2022'!C:C)</f>
        <v>227138.35</v>
      </c>
      <c r="J743" s="59">
        <v>44925</v>
      </c>
      <c r="K743" s="162" t="s">
        <v>3118</v>
      </c>
    </row>
    <row r="744" spans="1:11" ht="17.25" customHeight="1" x14ac:dyDescent="0.3">
      <c r="A744" s="259">
        <f t="shared" si="32"/>
        <v>650</v>
      </c>
      <c r="B744" s="20" t="s">
        <v>726</v>
      </c>
      <c r="C744" s="162">
        <v>1972</v>
      </c>
      <c r="D744" s="31"/>
      <c r="E744" s="58" t="s">
        <v>3035</v>
      </c>
      <c r="F744" s="58">
        <v>2</v>
      </c>
      <c r="G744" s="58">
        <v>759.2</v>
      </c>
      <c r="H744" s="9">
        <v>32</v>
      </c>
      <c r="I744" s="273">
        <f>SUMIF('2020'!B:B,B744,'2020'!C:C)+SUMIF('2021'!B:B,B744,'2021'!C:C)+SUMIF('2022'!B:B,B744,'2022'!C:C)</f>
        <v>4945222.13</v>
      </c>
      <c r="J744" s="59">
        <v>44925</v>
      </c>
      <c r="K744" s="162" t="s">
        <v>3118</v>
      </c>
    </row>
    <row r="745" spans="1:11" ht="17.25" customHeight="1" x14ac:dyDescent="0.3">
      <c r="A745" s="259">
        <f t="shared" si="32"/>
        <v>651</v>
      </c>
      <c r="B745" s="20" t="s">
        <v>727</v>
      </c>
      <c r="C745" s="162">
        <v>1973</v>
      </c>
      <c r="D745" s="31"/>
      <c r="E745" s="58" t="s">
        <v>3035</v>
      </c>
      <c r="F745" s="58">
        <v>2</v>
      </c>
      <c r="G745" s="58">
        <v>509</v>
      </c>
      <c r="H745" s="9">
        <v>28</v>
      </c>
      <c r="I745" s="273">
        <f>SUMIF('2020'!B:B,B745,'2020'!C:C)+SUMIF('2021'!B:B,B745,'2021'!C:C)+SUMIF('2022'!B:B,B745,'2022'!C:C)</f>
        <v>267110.64</v>
      </c>
      <c r="J745" s="59">
        <v>44925</v>
      </c>
      <c r="K745" s="162" t="s">
        <v>3118</v>
      </c>
    </row>
    <row r="746" spans="1:11" ht="17.25" customHeight="1" x14ac:dyDescent="0.3">
      <c r="A746" s="259">
        <f t="shared" si="32"/>
        <v>652</v>
      </c>
      <c r="B746" s="20" t="s">
        <v>728</v>
      </c>
      <c r="C746" s="162">
        <v>1977</v>
      </c>
      <c r="D746" s="31"/>
      <c r="E746" s="58" t="s">
        <v>3035</v>
      </c>
      <c r="F746" s="58">
        <v>2</v>
      </c>
      <c r="G746" s="58">
        <v>886.05</v>
      </c>
      <c r="H746" s="9">
        <v>41</v>
      </c>
      <c r="I746" s="273">
        <f>SUMIF('2020'!B:B,B746,'2020'!C:C)+SUMIF('2021'!B:B,B746,'2021'!C:C)+SUMIF('2022'!B:B,B746,'2022'!C:C)</f>
        <v>216674</v>
      </c>
      <c r="J746" s="59">
        <v>44925</v>
      </c>
      <c r="K746" s="162" t="s">
        <v>3118</v>
      </c>
    </row>
    <row r="747" spans="1:11" ht="17.25" customHeight="1" x14ac:dyDescent="0.3">
      <c r="A747" s="259">
        <f t="shared" si="32"/>
        <v>653</v>
      </c>
      <c r="B747" s="20" t="s">
        <v>729</v>
      </c>
      <c r="C747" s="162">
        <v>1977</v>
      </c>
      <c r="D747" s="31"/>
      <c r="E747" s="58" t="s">
        <v>3035</v>
      </c>
      <c r="F747" s="58">
        <v>2</v>
      </c>
      <c r="G747" s="58">
        <v>827</v>
      </c>
      <c r="H747" s="9">
        <v>42</v>
      </c>
      <c r="I747" s="273">
        <f>SUMIF('2020'!B:B,B747,'2020'!C:C)+SUMIF('2021'!B:B,B747,'2021'!C:C)+SUMIF('2022'!B:B,B747,'2022'!C:C)</f>
        <v>212532.42</v>
      </c>
      <c r="J747" s="59">
        <v>44925</v>
      </c>
      <c r="K747" s="162" t="s">
        <v>3118</v>
      </c>
    </row>
    <row r="748" spans="1:11" ht="17.25" customHeight="1" x14ac:dyDescent="0.3">
      <c r="A748" s="259">
        <f t="shared" si="32"/>
        <v>654</v>
      </c>
      <c r="B748" s="20" t="s">
        <v>730</v>
      </c>
      <c r="C748" s="162">
        <v>1953</v>
      </c>
      <c r="D748" s="31"/>
      <c r="E748" s="58" t="s">
        <v>3120</v>
      </c>
      <c r="F748" s="58">
        <v>2</v>
      </c>
      <c r="G748" s="58">
        <v>137.5</v>
      </c>
      <c r="H748" s="9">
        <v>12</v>
      </c>
      <c r="I748" s="273">
        <f>SUMIF('2020'!B:B,B748,'2020'!C:C)+SUMIF('2021'!B:B,B748,'2021'!C:C)+SUMIF('2022'!B:B,B748,'2022'!C:C)</f>
        <v>130000</v>
      </c>
      <c r="J748" s="59">
        <v>44925</v>
      </c>
      <c r="K748" s="162" t="s">
        <v>3118</v>
      </c>
    </row>
    <row r="749" spans="1:11" ht="17.25" customHeight="1" x14ac:dyDescent="0.3">
      <c r="A749" s="259">
        <f t="shared" si="32"/>
        <v>655</v>
      </c>
      <c r="B749" s="20" t="s">
        <v>731</v>
      </c>
      <c r="C749" s="162">
        <v>1955</v>
      </c>
      <c r="D749" s="31"/>
      <c r="E749" s="58" t="s">
        <v>3035</v>
      </c>
      <c r="F749" s="58">
        <v>2</v>
      </c>
      <c r="G749" s="58">
        <v>560</v>
      </c>
      <c r="H749" s="9">
        <v>18</v>
      </c>
      <c r="I749" s="273">
        <f>SUMIF('2020'!B:B,B749,'2020'!C:C)+SUMIF('2021'!B:B,B749,'2021'!C:C)+SUMIF('2022'!B:B,B749,'2022'!C:C)</f>
        <v>3867354.42</v>
      </c>
      <c r="J749" s="59">
        <v>44925</v>
      </c>
      <c r="K749" s="162" t="s">
        <v>3118</v>
      </c>
    </row>
    <row r="750" spans="1:11" ht="17.25" customHeight="1" x14ac:dyDescent="0.3">
      <c r="A750" s="259">
        <f t="shared" si="32"/>
        <v>656</v>
      </c>
      <c r="B750" s="20" t="s">
        <v>732</v>
      </c>
      <c r="C750" s="162">
        <v>1960</v>
      </c>
      <c r="D750" s="31"/>
      <c r="E750" s="58" t="s">
        <v>3035</v>
      </c>
      <c r="F750" s="58">
        <v>2</v>
      </c>
      <c r="G750" s="58">
        <v>653.29999999999995</v>
      </c>
      <c r="H750" s="9">
        <v>40</v>
      </c>
      <c r="I750" s="273">
        <f>SUMIF('2020'!B:B,B750,'2020'!C:C)+SUMIF('2021'!B:B,B750,'2021'!C:C)+SUMIF('2022'!B:B,B750,'2022'!C:C)</f>
        <v>5051189.42</v>
      </c>
      <c r="J750" s="59">
        <v>44925</v>
      </c>
      <c r="K750" s="162" t="s">
        <v>3118</v>
      </c>
    </row>
    <row r="751" spans="1:11" ht="17.25" customHeight="1" x14ac:dyDescent="0.3">
      <c r="A751" s="259">
        <f t="shared" si="32"/>
        <v>657</v>
      </c>
      <c r="B751" s="20" t="s">
        <v>733</v>
      </c>
      <c r="C751" s="162">
        <v>1964</v>
      </c>
      <c r="D751" s="31"/>
      <c r="E751" s="58" t="s">
        <v>3035</v>
      </c>
      <c r="F751" s="58">
        <v>2</v>
      </c>
      <c r="G751" s="58">
        <v>704.8</v>
      </c>
      <c r="H751" s="9">
        <v>28</v>
      </c>
      <c r="I751" s="273">
        <f>SUMIF('2020'!B:B,B751,'2020'!C:C)+SUMIF('2021'!B:B,B751,'2021'!C:C)+SUMIF('2022'!B:B,B751,'2022'!C:C)</f>
        <v>5014503.91</v>
      </c>
      <c r="J751" s="59">
        <v>44925</v>
      </c>
      <c r="K751" s="162" t="s">
        <v>3118</v>
      </c>
    </row>
    <row r="752" spans="1:11" ht="17.25" customHeight="1" x14ac:dyDescent="0.3">
      <c r="A752" s="259">
        <f t="shared" si="32"/>
        <v>658</v>
      </c>
      <c r="B752" s="20" t="s">
        <v>734</v>
      </c>
      <c r="C752" s="162">
        <v>1956</v>
      </c>
      <c r="D752" s="31"/>
      <c r="E752" s="58" t="s">
        <v>3035</v>
      </c>
      <c r="F752" s="58">
        <v>2</v>
      </c>
      <c r="G752" s="58">
        <v>879.5</v>
      </c>
      <c r="H752" s="9">
        <v>36</v>
      </c>
      <c r="I752" s="273">
        <f>SUMIF('2020'!B:B,B752,'2020'!C:C)+SUMIF('2021'!B:B,B752,'2021'!C:C)+SUMIF('2022'!B:B,B752,'2022'!C:C)</f>
        <v>229577.5</v>
      </c>
      <c r="J752" s="59">
        <v>44925</v>
      </c>
      <c r="K752" s="162" t="s">
        <v>3118</v>
      </c>
    </row>
    <row r="753" spans="1:13" ht="17.25" customHeight="1" x14ac:dyDescent="0.3">
      <c r="A753" s="259">
        <f t="shared" si="32"/>
        <v>659</v>
      </c>
      <c r="B753" s="20" t="s">
        <v>735</v>
      </c>
      <c r="C753" s="162">
        <v>1964</v>
      </c>
      <c r="D753" s="31"/>
      <c r="E753" s="58" t="s">
        <v>3035</v>
      </c>
      <c r="F753" s="58">
        <v>2</v>
      </c>
      <c r="G753" s="58">
        <v>706.9</v>
      </c>
      <c r="H753" s="9">
        <v>38</v>
      </c>
      <c r="I753" s="273">
        <f>SUMIF('2020'!B:B,B753,'2020'!C:C)+SUMIF('2021'!B:B,B753,'2021'!C:C)+SUMIF('2022'!B:B,B753,'2022'!C:C)</f>
        <v>5089704.6400000006</v>
      </c>
      <c r="J753" s="59">
        <v>44925</v>
      </c>
      <c r="K753" s="162" t="s">
        <v>3118</v>
      </c>
    </row>
    <row r="754" spans="1:13" ht="17.25" customHeight="1" x14ac:dyDescent="0.3">
      <c r="A754" s="259">
        <f t="shared" si="32"/>
        <v>660</v>
      </c>
      <c r="B754" s="20" t="s">
        <v>736</v>
      </c>
      <c r="C754" s="162">
        <v>1956</v>
      </c>
      <c r="D754" s="31"/>
      <c r="E754" s="58" t="s">
        <v>3035</v>
      </c>
      <c r="F754" s="58">
        <v>2</v>
      </c>
      <c r="G754" s="58">
        <v>887</v>
      </c>
      <c r="H754" s="9">
        <v>29</v>
      </c>
      <c r="I754" s="273">
        <f>SUMIF('2020'!B:B,B754,'2020'!C:C)+SUMIF('2021'!B:B,B754,'2021'!C:C)+SUMIF('2022'!B:B,B754,'2022'!C:C)</f>
        <v>228780.97</v>
      </c>
      <c r="J754" s="59">
        <v>44925</v>
      </c>
      <c r="K754" s="162" t="s">
        <v>3118</v>
      </c>
    </row>
    <row r="755" spans="1:13" ht="17.25" customHeight="1" x14ac:dyDescent="0.3">
      <c r="A755" s="259">
        <f t="shared" si="32"/>
        <v>661</v>
      </c>
      <c r="B755" s="20" t="s">
        <v>737</v>
      </c>
      <c r="C755" s="162">
        <v>1974</v>
      </c>
      <c r="D755" s="31"/>
      <c r="E755" s="58" t="s">
        <v>3035</v>
      </c>
      <c r="F755" s="58">
        <v>5</v>
      </c>
      <c r="G755" s="58">
        <v>4000.7</v>
      </c>
      <c r="H755" s="9">
        <v>200</v>
      </c>
      <c r="I755" s="273">
        <f>SUMIF('2020'!B:B,B755,'2020'!C:C)+SUMIF('2021'!B:B,B755,'2021'!C:C)+SUMIF('2022'!B:B,B755,'2022'!C:C)</f>
        <v>429586.52</v>
      </c>
      <c r="J755" s="59">
        <v>44925</v>
      </c>
      <c r="K755" s="162" t="s">
        <v>3118</v>
      </c>
    </row>
    <row r="756" spans="1:13" ht="17.25" customHeight="1" x14ac:dyDescent="0.3">
      <c r="A756" s="259">
        <f t="shared" si="32"/>
        <v>662</v>
      </c>
      <c r="B756" s="20" t="s">
        <v>738</v>
      </c>
      <c r="C756" s="162">
        <v>1977</v>
      </c>
      <c r="D756" s="31"/>
      <c r="E756" s="58" t="s">
        <v>3035</v>
      </c>
      <c r="F756" s="58">
        <v>5</v>
      </c>
      <c r="G756" s="58">
        <v>4949.8999999999996</v>
      </c>
      <c r="H756" s="9">
        <v>206</v>
      </c>
      <c r="I756" s="273">
        <f>SUMIF('2020'!B:B,B756,'2020'!C:C)+SUMIF('2021'!B:B,B756,'2021'!C:C)+SUMIF('2022'!B:B,B756,'2022'!C:C)</f>
        <v>726376.61</v>
      </c>
      <c r="J756" s="59">
        <v>44925</v>
      </c>
      <c r="K756" s="162" t="s">
        <v>3118</v>
      </c>
    </row>
    <row r="757" spans="1:13" ht="17.25" customHeight="1" x14ac:dyDescent="0.3">
      <c r="A757" s="259">
        <f t="shared" si="32"/>
        <v>663</v>
      </c>
      <c r="B757" s="20" t="s">
        <v>739</v>
      </c>
      <c r="C757" s="162">
        <v>1977</v>
      </c>
      <c r="D757" s="31"/>
      <c r="E757" s="58" t="s">
        <v>3119</v>
      </c>
      <c r="F757" s="58">
        <v>5</v>
      </c>
      <c r="G757" s="58">
        <v>4001.5</v>
      </c>
      <c r="H757" s="9">
        <v>208</v>
      </c>
      <c r="I757" s="273">
        <f>SUMIF('2020'!B:B,B757,'2020'!C:C)+SUMIF('2021'!B:B,B757,'2021'!C:C)+SUMIF('2022'!B:B,B757,'2022'!C:C)</f>
        <v>188970.86</v>
      </c>
      <c r="J757" s="59">
        <v>44925</v>
      </c>
      <c r="K757" s="162" t="s">
        <v>3118</v>
      </c>
    </row>
    <row r="758" spans="1:13" ht="17.25" customHeight="1" x14ac:dyDescent="0.3">
      <c r="A758" s="259">
        <f t="shared" si="32"/>
        <v>664</v>
      </c>
      <c r="B758" s="20" t="s">
        <v>740</v>
      </c>
      <c r="C758" s="162">
        <v>1977</v>
      </c>
      <c r="D758" s="31"/>
      <c r="E758" s="58" t="s">
        <v>3119</v>
      </c>
      <c r="F758" s="58">
        <v>5</v>
      </c>
      <c r="G758" s="58">
        <v>4011.3</v>
      </c>
      <c r="H758" s="9">
        <v>222</v>
      </c>
      <c r="I758" s="273">
        <f>SUMIF('2020'!B:B,B758,'2020'!C:C)+SUMIF('2021'!B:B,B758,'2021'!C:C)+SUMIF('2022'!B:B,B758,'2022'!C:C)</f>
        <v>398768.24</v>
      </c>
      <c r="J758" s="59">
        <v>44925</v>
      </c>
      <c r="K758" s="162" t="s">
        <v>3118</v>
      </c>
    </row>
    <row r="759" spans="1:13" ht="17.25" customHeight="1" x14ac:dyDescent="0.3">
      <c r="A759" s="259">
        <f t="shared" si="32"/>
        <v>665</v>
      </c>
      <c r="B759" s="20" t="s">
        <v>741</v>
      </c>
      <c r="C759" s="162">
        <v>1941</v>
      </c>
      <c r="D759" s="31"/>
      <c r="E759" s="58" t="s">
        <v>3035</v>
      </c>
      <c r="F759" s="58">
        <v>1</v>
      </c>
      <c r="G759" s="58">
        <v>284.2</v>
      </c>
      <c r="H759" s="9">
        <v>12</v>
      </c>
      <c r="I759" s="273">
        <f>SUMIF('2020'!B:B,B759,'2020'!C:C)+SUMIF('2021'!B:B,B759,'2021'!C:C)+SUMIF('2022'!B:B,B759,'2022'!C:C)</f>
        <v>60536.86</v>
      </c>
      <c r="J759" s="59">
        <v>44925</v>
      </c>
      <c r="K759" s="162" t="s">
        <v>3118</v>
      </c>
    </row>
    <row r="760" spans="1:13" ht="17.25" customHeight="1" x14ac:dyDescent="0.3">
      <c r="A760" s="15" t="s">
        <v>208</v>
      </c>
      <c r="B760" s="20"/>
      <c r="C760" s="31" t="s">
        <v>3558</v>
      </c>
      <c r="D760" s="31" t="s">
        <v>3558</v>
      </c>
      <c r="E760" s="31" t="s">
        <v>3558</v>
      </c>
      <c r="F760" s="31" t="s">
        <v>3558</v>
      </c>
      <c r="G760" s="56">
        <f>SUM(G737:G759)</f>
        <v>33868</v>
      </c>
      <c r="H760" s="173">
        <f>SUM(H737:H759)</f>
        <v>1650</v>
      </c>
      <c r="I760" s="56">
        <f>SUM(I737:I759)</f>
        <v>29821047.099999998</v>
      </c>
      <c r="J760" s="31" t="s">
        <v>3558</v>
      </c>
      <c r="K760" s="31" t="s">
        <v>3558</v>
      </c>
      <c r="L760" s="197"/>
      <c r="M760" s="197"/>
    </row>
    <row r="761" spans="1:13" s="43" customFormat="1" ht="17.25" customHeight="1" x14ac:dyDescent="0.3">
      <c r="A761" s="279" t="s">
        <v>3149</v>
      </c>
      <c r="B761" s="166"/>
      <c r="C761" s="165" t="s">
        <v>3558</v>
      </c>
      <c r="D761" s="165" t="s">
        <v>3558</v>
      </c>
      <c r="E761" s="165" t="s">
        <v>3558</v>
      </c>
      <c r="F761" s="165" t="s">
        <v>3558</v>
      </c>
      <c r="G761" s="164">
        <f>G760+G735+G728+G723+G656+G648+G644+G634+G591+G556+G549+G545+G516+G659</f>
        <v>622024.91000000015</v>
      </c>
      <c r="H761" s="164">
        <f>H760+H735+H728+H723+H656+H648+H644+H634+H591+H556+H549+H545+H516+H659</f>
        <v>24480</v>
      </c>
      <c r="I761" s="164">
        <f>I760+I735+I728+I723+I656+I648+I644+I634+I591+I556+I549+I545+I516+I659</f>
        <v>723581663.87999988</v>
      </c>
      <c r="J761" s="165" t="s">
        <v>3558</v>
      </c>
      <c r="K761" s="165" t="s">
        <v>3558</v>
      </c>
      <c r="L761" s="196">
        <f>I761-'2020'!C192-'2021'!C572-'2022'!C236</f>
        <v>0</v>
      </c>
      <c r="M761" s="196"/>
    </row>
    <row r="762" spans="1:13" s="43" customFormat="1" ht="17.25" customHeight="1" x14ac:dyDescent="0.3">
      <c r="A762" s="303" t="s">
        <v>742</v>
      </c>
      <c r="B762" s="303"/>
      <c r="C762" s="303"/>
      <c r="D762" s="303"/>
      <c r="E762" s="303"/>
      <c r="F762" s="303"/>
      <c r="G762" s="303"/>
      <c r="H762" s="303"/>
      <c r="I762" s="303"/>
      <c r="J762" s="303"/>
      <c r="K762" s="303"/>
      <c r="L762" s="198"/>
      <c r="M762" s="198"/>
    </row>
    <row r="763" spans="1:13" ht="17.25" customHeight="1" x14ac:dyDescent="0.3">
      <c r="A763" s="19" t="s">
        <v>743</v>
      </c>
      <c r="B763" s="34"/>
      <c r="C763" s="31"/>
      <c r="D763" s="31"/>
      <c r="E763" s="31"/>
      <c r="F763" s="31"/>
      <c r="G763" s="31"/>
      <c r="H763" s="173"/>
      <c r="I763" s="56"/>
      <c r="J763" s="31"/>
      <c r="K763" s="31"/>
    </row>
    <row r="764" spans="1:13" ht="17.25" customHeight="1" x14ac:dyDescent="0.3">
      <c r="A764" s="259">
        <f>A759+1</f>
        <v>666</v>
      </c>
      <c r="B764" s="20" t="s">
        <v>744</v>
      </c>
      <c r="C764" s="162">
        <v>1961</v>
      </c>
      <c r="D764" s="162"/>
      <c r="E764" s="162" t="s">
        <v>3119</v>
      </c>
      <c r="F764" s="162">
        <v>3</v>
      </c>
      <c r="G764" s="162">
        <v>930.3</v>
      </c>
      <c r="H764" s="48">
        <v>65</v>
      </c>
      <c r="I764" s="273">
        <f>SUMIF('2020'!B:B,B764,'2020'!C:C)+SUMIF('2021'!B:B,B764,'2021'!C:C)+SUMIF('2022'!B:B,B764,'2022'!C:C)</f>
        <v>3383122.8</v>
      </c>
      <c r="J764" s="59">
        <v>44925</v>
      </c>
      <c r="K764" s="162" t="s">
        <v>3118</v>
      </c>
    </row>
    <row r="765" spans="1:13" ht="17.25" customHeight="1" x14ac:dyDescent="0.3">
      <c r="A765" s="259">
        <f>A764+1</f>
        <v>667</v>
      </c>
      <c r="B765" s="20" t="s">
        <v>745</v>
      </c>
      <c r="C765" s="162">
        <v>1955</v>
      </c>
      <c r="D765" s="162"/>
      <c r="E765" s="162" t="s">
        <v>3035</v>
      </c>
      <c r="F765" s="162">
        <v>2</v>
      </c>
      <c r="G765" s="162">
        <v>614.08000000000004</v>
      </c>
      <c r="H765" s="48">
        <v>65</v>
      </c>
      <c r="I765" s="273">
        <f>SUMIF('2020'!B:B,B765,'2020'!C:C)+SUMIF('2021'!B:B,B765,'2021'!C:C)+SUMIF('2022'!B:B,B765,'2022'!C:C)</f>
        <v>3049371.6</v>
      </c>
      <c r="J765" s="59">
        <v>44925</v>
      </c>
      <c r="K765" s="162" t="s">
        <v>3118</v>
      </c>
    </row>
    <row r="766" spans="1:13" ht="17.25" customHeight="1" x14ac:dyDescent="0.3">
      <c r="A766" s="15" t="s">
        <v>208</v>
      </c>
      <c r="B766" s="20"/>
      <c r="C766" s="31" t="s">
        <v>3558</v>
      </c>
      <c r="D766" s="31" t="s">
        <v>3558</v>
      </c>
      <c r="E766" s="31" t="s">
        <v>3558</v>
      </c>
      <c r="F766" s="31" t="s">
        <v>3558</v>
      </c>
      <c r="G766" s="56">
        <f>SUM(G764:G765)</f>
        <v>1544.38</v>
      </c>
      <c r="H766" s="173">
        <f>SUM(H764:H765)</f>
        <v>130</v>
      </c>
      <c r="I766" s="56">
        <f>SUM(I764:I765)</f>
        <v>6432494.4000000004</v>
      </c>
      <c r="J766" s="31" t="s">
        <v>3558</v>
      </c>
      <c r="K766" s="31" t="s">
        <v>3558</v>
      </c>
      <c r="L766" s="197">
        <f>I766-'2020'!C197</f>
        <v>0</v>
      </c>
      <c r="M766" s="197"/>
    </row>
    <row r="767" spans="1:13" ht="17.25" customHeight="1" x14ac:dyDescent="0.3">
      <c r="A767" s="19" t="s">
        <v>746</v>
      </c>
      <c r="B767" s="140"/>
      <c r="C767" s="31"/>
      <c r="D767" s="31"/>
      <c r="E767" s="31"/>
      <c r="F767" s="31"/>
      <c r="G767" s="31"/>
      <c r="H767" s="173"/>
      <c r="I767" s="56"/>
      <c r="J767" s="31"/>
      <c r="K767" s="31"/>
    </row>
    <row r="768" spans="1:13" ht="17.25" customHeight="1" x14ac:dyDescent="0.3">
      <c r="A768" s="259">
        <f>A765+1</f>
        <v>668</v>
      </c>
      <c r="B768" s="20" t="s">
        <v>747</v>
      </c>
      <c r="C768" s="162">
        <v>1973</v>
      </c>
      <c r="D768" s="31"/>
      <c r="E768" s="217" t="s">
        <v>3035</v>
      </c>
      <c r="F768" s="217">
        <v>5</v>
      </c>
      <c r="G768" s="217">
        <v>1344.91</v>
      </c>
      <c r="H768" s="218">
        <v>57</v>
      </c>
      <c r="I768" s="273">
        <f>SUMIF('2020'!B:B,B768,'2020'!C:C)+SUMIF('2021'!B:B,B768,'2021'!C:C)+SUMIF('2022'!B:B,B768,'2022'!C:C)</f>
        <v>1604810.4</v>
      </c>
      <c r="J768" s="59">
        <v>44925</v>
      </c>
      <c r="K768" s="58" t="s">
        <v>3118</v>
      </c>
    </row>
    <row r="769" spans="1:11" ht="17.25" customHeight="1" x14ac:dyDescent="0.3">
      <c r="A769" s="259">
        <f t="shared" ref="A769:A787" si="33">A768+1</f>
        <v>669</v>
      </c>
      <c r="B769" s="20" t="s">
        <v>748</v>
      </c>
      <c r="C769" s="162">
        <v>1940</v>
      </c>
      <c r="D769" s="31"/>
      <c r="E769" s="217" t="s">
        <v>3035</v>
      </c>
      <c r="F769" s="217">
        <v>6</v>
      </c>
      <c r="G769" s="217">
        <v>2910.22</v>
      </c>
      <c r="H769" s="218">
        <v>80</v>
      </c>
      <c r="I769" s="273">
        <f>SUMIF('2020'!B:B,B769,'2020'!C:C)+SUMIF('2021'!B:B,B769,'2021'!C:C)+SUMIF('2022'!B:B,B769,'2022'!C:C)</f>
        <v>492747.46</v>
      </c>
      <c r="J769" s="59">
        <v>44925</v>
      </c>
      <c r="K769" s="58" t="s">
        <v>3118</v>
      </c>
    </row>
    <row r="770" spans="1:11" ht="17.25" customHeight="1" x14ac:dyDescent="0.3">
      <c r="A770" s="259">
        <f t="shared" si="33"/>
        <v>670</v>
      </c>
      <c r="B770" s="20" t="s">
        <v>749</v>
      </c>
      <c r="C770" s="162">
        <v>1940</v>
      </c>
      <c r="D770" s="31"/>
      <c r="E770" s="217" t="s">
        <v>3035</v>
      </c>
      <c r="F770" s="217">
        <v>6</v>
      </c>
      <c r="G770" s="217">
        <v>3015.7</v>
      </c>
      <c r="H770" s="218">
        <v>83</v>
      </c>
      <c r="I770" s="273">
        <f>SUMIF('2020'!B:B,B770,'2020'!C:C)+SUMIF('2021'!B:B,B770,'2021'!C:C)+SUMIF('2022'!B:B,B770,'2022'!C:C)</f>
        <v>497519.98</v>
      </c>
      <c r="J770" s="59">
        <v>44925</v>
      </c>
      <c r="K770" s="58" t="s">
        <v>3118</v>
      </c>
    </row>
    <row r="771" spans="1:11" ht="17.25" customHeight="1" x14ac:dyDescent="0.3">
      <c r="A771" s="259">
        <f t="shared" si="33"/>
        <v>671</v>
      </c>
      <c r="B771" s="20" t="s">
        <v>750</v>
      </c>
      <c r="C771" s="162">
        <v>1940</v>
      </c>
      <c r="D771" s="31"/>
      <c r="E771" s="217" t="s">
        <v>3035</v>
      </c>
      <c r="F771" s="217" t="s">
        <v>3167</v>
      </c>
      <c r="G771" s="217">
        <v>4315.9399999999996</v>
      </c>
      <c r="H771" s="218">
        <v>137</v>
      </c>
      <c r="I771" s="273">
        <f>SUMIF('2020'!B:B,B771,'2020'!C:C)+SUMIF('2021'!B:B,B771,'2021'!C:C)+SUMIF('2022'!B:B,B771,'2022'!C:C)</f>
        <v>478835.05</v>
      </c>
      <c r="J771" s="59">
        <v>44925</v>
      </c>
      <c r="K771" s="58" t="s">
        <v>3118</v>
      </c>
    </row>
    <row r="772" spans="1:11" ht="17.25" customHeight="1" x14ac:dyDescent="0.3">
      <c r="A772" s="259">
        <f t="shared" si="33"/>
        <v>672</v>
      </c>
      <c r="B772" s="20" t="s">
        <v>751</v>
      </c>
      <c r="C772" s="162">
        <v>1940</v>
      </c>
      <c r="D772" s="31"/>
      <c r="E772" s="217" t="s">
        <v>3035</v>
      </c>
      <c r="F772" s="217">
        <v>7</v>
      </c>
      <c r="G772" s="217">
        <v>1836.44</v>
      </c>
      <c r="H772" s="218">
        <v>72</v>
      </c>
      <c r="I772" s="273">
        <f>SUMIF('2020'!B:B,B772,'2020'!C:C)+SUMIF('2021'!B:B,B772,'2021'!C:C)+SUMIF('2022'!B:B,B772,'2022'!C:C)</f>
        <v>430403.78</v>
      </c>
      <c r="J772" s="59">
        <v>44925</v>
      </c>
      <c r="K772" s="58" t="s">
        <v>3118</v>
      </c>
    </row>
    <row r="773" spans="1:11" ht="17.25" customHeight="1" x14ac:dyDescent="0.3">
      <c r="A773" s="259">
        <f t="shared" si="33"/>
        <v>673</v>
      </c>
      <c r="B773" s="20" t="s">
        <v>752</v>
      </c>
      <c r="C773" s="162">
        <v>1976</v>
      </c>
      <c r="D773" s="31"/>
      <c r="E773" s="217" t="s">
        <v>3035</v>
      </c>
      <c r="F773" s="217">
        <v>9</v>
      </c>
      <c r="G773" s="217">
        <v>6808.74</v>
      </c>
      <c r="H773" s="218">
        <v>243</v>
      </c>
      <c r="I773" s="273">
        <f>SUMIF('2020'!B:B,B773,'2020'!C:C)+SUMIF('2021'!B:B,B773,'2021'!C:C)+SUMIF('2022'!B:B,B773,'2022'!C:C)</f>
        <v>32658538.280000001</v>
      </c>
      <c r="J773" s="59">
        <v>44925</v>
      </c>
      <c r="K773" s="58" t="s">
        <v>3118</v>
      </c>
    </row>
    <row r="774" spans="1:11" ht="17.25" customHeight="1" x14ac:dyDescent="0.3">
      <c r="A774" s="259">
        <f t="shared" si="33"/>
        <v>674</v>
      </c>
      <c r="B774" s="20" t="s">
        <v>753</v>
      </c>
      <c r="C774" s="162">
        <v>1940</v>
      </c>
      <c r="D774" s="31"/>
      <c r="E774" s="259" t="s">
        <v>3035</v>
      </c>
      <c r="F774" s="217">
        <v>6</v>
      </c>
      <c r="G774" s="259">
        <v>2833.18</v>
      </c>
      <c r="H774" s="218">
        <v>103</v>
      </c>
      <c r="I774" s="273">
        <f>SUMIF('2020'!B:B,B774,'2020'!C:C)+SUMIF('2021'!B:B,B774,'2021'!C:C)+SUMIF('2022'!B:B,B774,'2022'!C:C)</f>
        <v>519235.66</v>
      </c>
      <c r="J774" s="59">
        <v>44925</v>
      </c>
      <c r="K774" s="58" t="s">
        <v>3118</v>
      </c>
    </row>
    <row r="775" spans="1:11" ht="17.25" customHeight="1" x14ac:dyDescent="0.3">
      <c r="A775" s="259">
        <f t="shared" si="33"/>
        <v>675</v>
      </c>
      <c r="B775" s="20" t="s">
        <v>754</v>
      </c>
      <c r="C775" s="162">
        <v>1940</v>
      </c>
      <c r="D775" s="31"/>
      <c r="E775" s="217" t="s">
        <v>3035</v>
      </c>
      <c r="F775" s="217">
        <v>6</v>
      </c>
      <c r="G775" s="217">
        <v>3016.4</v>
      </c>
      <c r="H775" s="218">
        <v>94</v>
      </c>
      <c r="I775" s="273">
        <f>SUMIF('2020'!B:B,B775,'2020'!C:C)+SUMIF('2021'!B:B,B775,'2021'!C:C)+SUMIF('2022'!B:B,B775,'2022'!C:C)</f>
        <v>501786.53</v>
      </c>
      <c r="J775" s="59">
        <v>44925</v>
      </c>
      <c r="K775" s="58" t="s">
        <v>3118</v>
      </c>
    </row>
    <row r="776" spans="1:11" ht="17.25" customHeight="1" x14ac:dyDescent="0.3">
      <c r="A776" s="259">
        <f t="shared" si="33"/>
        <v>676</v>
      </c>
      <c r="B776" s="20" t="s">
        <v>755</v>
      </c>
      <c r="C776" s="162">
        <v>1940</v>
      </c>
      <c r="D776" s="31"/>
      <c r="E776" s="217" t="s">
        <v>3035</v>
      </c>
      <c r="F776" s="217">
        <v>7</v>
      </c>
      <c r="G776" s="217">
        <v>2253.15</v>
      </c>
      <c r="H776" s="218">
        <v>83</v>
      </c>
      <c r="I776" s="273">
        <f>SUMIF('2020'!B:B,B776,'2020'!C:C)+SUMIF('2021'!B:B,B776,'2021'!C:C)+SUMIF('2022'!B:B,B776,'2022'!C:C)</f>
        <v>438567.67999999999</v>
      </c>
      <c r="J776" s="59">
        <v>44925</v>
      </c>
      <c r="K776" s="58" t="s">
        <v>3118</v>
      </c>
    </row>
    <row r="777" spans="1:11" ht="17.25" customHeight="1" x14ac:dyDescent="0.3">
      <c r="A777" s="259">
        <f t="shared" si="33"/>
        <v>677</v>
      </c>
      <c r="B777" s="20" t="s">
        <v>756</v>
      </c>
      <c r="C777" s="162">
        <v>1940</v>
      </c>
      <c r="D777" s="31"/>
      <c r="E777" s="224" t="s">
        <v>3035</v>
      </c>
      <c r="F777" s="217">
        <v>5</v>
      </c>
      <c r="G777" s="217">
        <v>4172</v>
      </c>
      <c r="H777" s="218">
        <v>124</v>
      </c>
      <c r="I777" s="273">
        <f>SUMIF('2020'!B:B,B777,'2020'!C:C)+SUMIF('2021'!B:B,B777,'2021'!C:C)+SUMIF('2022'!B:B,B777,'2022'!C:C)</f>
        <v>481891.94</v>
      </c>
      <c r="J777" s="59">
        <v>44925</v>
      </c>
      <c r="K777" s="58" t="s">
        <v>3118</v>
      </c>
    </row>
    <row r="778" spans="1:11" ht="17.25" customHeight="1" x14ac:dyDescent="0.3">
      <c r="A778" s="259">
        <f t="shared" si="33"/>
        <v>678</v>
      </c>
      <c r="B778" s="20" t="s">
        <v>757</v>
      </c>
      <c r="C778" s="162">
        <v>1940</v>
      </c>
      <c r="D778" s="31"/>
      <c r="E778" s="217" t="s">
        <v>3119</v>
      </c>
      <c r="F778" s="217">
        <v>5</v>
      </c>
      <c r="G778" s="217">
        <v>4410.7</v>
      </c>
      <c r="H778" s="218">
        <v>15</v>
      </c>
      <c r="I778" s="273">
        <f>SUMIF('2020'!B:B,B778,'2020'!C:C)+SUMIF('2021'!B:B,B778,'2021'!C:C)+SUMIF('2022'!B:B,B778,'2022'!C:C)</f>
        <v>164759.17000000001</v>
      </c>
      <c r="J778" s="59">
        <v>44925</v>
      </c>
      <c r="K778" s="58" t="s">
        <v>3118</v>
      </c>
    </row>
    <row r="779" spans="1:11" ht="17.25" customHeight="1" x14ac:dyDescent="0.3">
      <c r="A779" s="259">
        <f t="shared" si="33"/>
        <v>679</v>
      </c>
      <c r="B779" s="20" t="s">
        <v>758</v>
      </c>
      <c r="C779" s="162">
        <v>1940</v>
      </c>
      <c r="D779" s="31"/>
      <c r="E779" s="217" t="s">
        <v>3120</v>
      </c>
      <c r="F779" s="217">
        <v>2</v>
      </c>
      <c r="G779" s="217">
        <v>265.23</v>
      </c>
      <c r="H779" s="218">
        <v>8</v>
      </c>
      <c r="I779" s="273">
        <f>SUMIF('2020'!B:B,B779,'2020'!C:C)+SUMIF('2021'!B:B,B779,'2021'!C:C)+SUMIF('2022'!B:B,B779,'2022'!C:C)</f>
        <v>172296.84</v>
      </c>
      <c r="J779" s="59">
        <v>44925</v>
      </c>
      <c r="K779" s="58" t="s">
        <v>3118</v>
      </c>
    </row>
    <row r="780" spans="1:11" ht="17.25" customHeight="1" x14ac:dyDescent="0.3">
      <c r="A780" s="259">
        <f t="shared" si="33"/>
        <v>680</v>
      </c>
      <c r="B780" s="20" t="s">
        <v>759</v>
      </c>
      <c r="C780" s="162">
        <v>1940</v>
      </c>
      <c r="D780" s="31"/>
      <c r="E780" s="217" t="s">
        <v>3035</v>
      </c>
      <c r="F780" s="217">
        <v>2</v>
      </c>
      <c r="G780" s="217">
        <v>340.26</v>
      </c>
      <c r="H780" s="218">
        <v>22</v>
      </c>
      <c r="I780" s="273">
        <f>SUMIF('2020'!B:B,B780,'2020'!C:C)+SUMIF('2021'!B:B,B780,'2021'!C:C)+SUMIF('2022'!B:B,B780,'2022'!C:C)</f>
        <v>181308.13</v>
      </c>
      <c r="J780" s="59">
        <v>44925</v>
      </c>
      <c r="K780" s="58" t="s">
        <v>3118</v>
      </c>
    </row>
    <row r="781" spans="1:11" ht="17.25" customHeight="1" x14ac:dyDescent="0.3">
      <c r="A781" s="259">
        <f t="shared" si="33"/>
        <v>681</v>
      </c>
      <c r="B781" s="20" t="s">
        <v>760</v>
      </c>
      <c r="C781" s="162">
        <v>1962</v>
      </c>
      <c r="D781" s="31"/>
      <c r="E781" s="217" t="s">
        <v>3035</v>
      </c>
      <c r="F781" s="217">
        <v>4</v>
      </c>
      <c r="G781" s="217">
        <v>1028.22</v>
      </c>
      <c r="H781" s="218">
        <v>56</v>
      </c>
      <c r="I781" s="273">
        <f>SUMIF('2020'!B:B,B781,'2020'!C:C)+SUMIF('2021'!B:B,B781,'2021'!C:C)+SUMIF('2022'!B:B,B781,'2022'!C:C)</f>
        <v>7929399.5999999996</v>
      </c>
      <c r="J781" s="59">
        <v>44925</v>
      </c>
      <c r="K781" s="58" t="s">
        <v>3118</v>
      </c>
    </row>
    <row r="782" spans="1:11" ht="17.25" customHeight="1" x14ac:dyDescent="0.3">
      <c r="A782" s="259">
        <f t="shared" si="33"/>
        <v>682</v>
      </c>
      <c r="B782" s="20" t="s">
        <v>761</v>
      </c>
      <c r="C782" s="162">
        <v>1940</v>
      </c>
      <c r="D782" s="31"/>
      <c r="E782" s="224" t="s">
        <v>3035</v>
      </c>
      <c r="F782" s="217">
        <v>2</v>
      </c>
      <c r="G782" s="259">
        <v>291.74</v>
      </c>
      <c r="H782" s="218">
        <v>12</v>
      </c>
      <c r="I782" s="273">
        <f>SUMIF('2020'!B:B,B782,'2020'!C:C)+SUMIF('2021'!B:B,B782,'2021'!C:C)+SUMIF('2022'!B:B,B782,'2022'!C:C)</f>
        <v>183310.64</v>
      </c>
      <c r="J782" s="59">
        <v>44925</v>
      </c>
      <c r="K782" s="58" t="s">
        <v>3118</v>
      </c>
    </row>
    <row r="783" spans="1:11" ht="17.25" customHeight="1" x14ac:dyDescent="0.3">
      <c r="A783" s="259">
        <f t="shared" si="33"/>
        <v>683</v>
      </c>
      <c r="B783" s="20" t="s">
        <v>762</v>
      </c>
      <c r="C783" s="162">
        <v>1940</v>
      </c>
      <c r="D783" s="31"/>
      <c r="E783" s="217" t="s">
        <v>3120</v>
      </c>
      <c r="F783" s="217">
        <v>2</v>
      </c>
      <c r="G783" s="217">
        <v>247.55</v>
      </c>
      <c r="H783" s="218">
        <v>4</v>
      </c>
      <c r="I783" s="273">
        <f>SUMIF('2020'!B:B,B783,'2020'!C:C)+SUMIF('2021'!B:B,B783,'2021'!C:C)+SUMIF('2022'!B:B,B783,'2022'!C:C)</f>
        <v>164980</v>
      </c>
      <c r="J783" s="59">
        <v>44925</v>
      </c>
      <c r="K783" s="58" t="s">
        <v>3118</v>
      </c>
    </row>
    <row r="784" spans="1:11" ht="17.25" customHeight="1" x14ac:dyDescent="0.3">
      <c r="A784" s="259">
        <f t="shared" si="33"/>
        <v>684</v>
      </c>
      <c r="B784" s="20" t="s">
        <v>763</v>
      </c>
      <c r="C784" s="162">
        <v>1940</v>
      </c>
      <c r="D784" s="31"/>
      <c r="E784" s="217" t="s">
        <v>3120</v>
      </c>
      <c r="F784" s="217">
        <v>2</v>
      </c>
      <c r="G784" s="217">
        <v>196.32</v>
      </c>
      <c r="H784" s="218">
        <v>5</v>
      </c>
      <c r="I784" s="273">
        <f>SUMIF('2020'!B:B,B784,'2020'!C:C)+SUMIF('2021'!B:B,B784,'2021'!C:C)+SUMIF('2022'!B:B,B784,'2022'!C:C)</f>
        <v>143645.56</v>
      </c>
      <c r="J784" s="59">
        <v>44925</v>
      </c>
      <c r="K784" s="58" t="s">
        <v>3118</v>
      </c>
    </row>
    <row r="785" spans="1:11" ht="17.25" customHeight="1" x14ac:dyDescent="0.3">
      <c r="A785" s="259">
        <f t="shared" si="33"/>
        <v>685</v>
      </c>
      <c r="B785" s="20" t="s">
        <v>764</v>
      </c>
      <c r="C785" s="162">
        <v>1940</v>
      </c>
      <c r="D785" s="31"/>
      <c r="E785" s="217" t="s">
        <v>3163</v>
      </c>
      <c r="F785" s="217">
        <v>2</v>
      </c>
      <c r="G785" s="217">
        <v>131.65</v>
      </c>
      <c r="H785" s="218">
        <v>15</v>
      </c>
      <c r="I785" s="273">
        <f>SUMIF('2020'!B:B,B785,'2020'!C:C)+SUMIF('2021'!B:B,B785,'2021'!C:C)+SUMIF('2022'!B:B,B785,'2022'!C:C)</f>
        <v>130410.67</v>
      </c>
      <c r="J785" s="59">
        <v>44925</v>
      </c>
      <c r="K785" s="58" t="s">
        <v>3118</v>
      </c>
    </row>
    <row r="786" spans="1:11" ht="17.25" customHeight="1" x14ac:dyDescent="0.3">
      <c r="A786" s="259">
        <f t="shared" si="33"/>
        <v>686</v>
      </c>
      <c r="B786" s="20" t="s">
        <v>3599</v>
      </c>
      <c r="C786" s="162">
        <v>1940</v>
      </c>
      <c r="D786" s="31"/>
      <c r="E786" s="259" t="s">
        <v>3035</v>
      </c>
      <c r="F786" s="217" t="s">
        <v>3168</v>
      </c>
      <c r="G786" s="259">
        <v>5049.51</v>
      </c>
      <c r="H786" s="218">
        <v>150</v>
      </c>
      <c r="I786" s="273">
        <f>SUMIF('2020'!B:B,B786,'2020'!C:C)+SUMIF('2021'!B:B,B786,'2021'!C:C)+SUMIF('2022'!B:B,B786,'2022'!C:C)</f>
        <v>703397.08</v>
      </c>
      <c r="J786" s="59">
        <v>44925</v>
      </c>
      <c r="K786" s="58" t="s">
        <v>3118</v>
      </c>
    </row>
    <row r="787" spans="1:11" ht="17.25" customHeight="1" x14ac:dyDescent="0.3">
      <c r="A787" s="259">
        <f t="shared" si="33"/>
        <v>687</v>
      </c>
      <c r="B787" s="20" t="s">
        <v>3593</v>
      </c>
      <c r="C787" s="162">
        <v>1940</v>
      </c>
      <c r="D787" s="31"/>
      <c r="E787" s="217" t="s">
        <v>3120</v>
      </c>
      <c r="F787" s="217">
        <v>2</v>
      </c>
      <c r="G787" s="217">
        <v>177</v>
      </c>
      <c r="H787" s="10">
        <v>9</v>
      </c>
      <c r="I787" s="273">
        <f>SUMIF('2020'!B:B,B787,'2020'!C:C)+SUMIF('2021'!B:B,B787,'2021'!C:C)+SUMIF('2022'!B:B,B787,'2022'!C:C)</f>
        <v>153982.31</v>
      </c>
      <c r="J787" s="59">
        <v>44925</v>
      </c>
      <c r="K787" s="58" t="s">
        <v>3118</v>
      </c>
    </row>
    <row r="788" spans="1:11" ht="17.25" customHeight="1" x14ac:dyDescent="0.3">
      <c r="A788" s="259">
        <f t="shared" ref="A788:A794" si="34">A787+1</f>
        <v>688</v>
      </c>
      <c r="B788" s="20" t="s">
        <v>765</v>
      </c>
      <c r="C788" s="162">
        <v>1940</v>
      </c>
      <c r="D788" s="31"/>
      <c r="E788" s="217" t="s">
        <v>3035</v>
      </c>
      <c r="F788" s="217">
        <v>6</v>
      </c>
      <c r="G788" s="217">
        <v>6206.68</v>
      </c>
      <c r="H788" s="218">
        <v>145</v>
      </c>
      <c r="I788" s="273">
        <f>SUMIF('2020'!B:B,B788,'2020'!C:C)+SUMIF('2021'!B:B,B788,'2021'!C:C)+SUMIF('2022'!B:B,B788,'2022'!C:C)</f>
        <v>783146.69</v>
      </c>
      <c r="J788" s="59">
        <v>44925</v>
      </c>
      <c r="K788" s="58" t="s">
        <v>3118</v>
      </c>
    </row>
    <row r="789" spans="1:11" ht="17.25" customHeight="1" x14ac:dyDescent="0.3">
      <c r="A789" s="259">
        <f t="shared" si="34"/>
        <v>689</v>
      </c>
      <c r="B789" s="20" t="s">
        <v>766</v>
      </c>
      <c r="C789" s="162">
        <v>1940</v>
      </c>
      <c r="D789" s="31"/>
      <c r="E789" s="217" t="s">
        <v>3035</v>
      </c>
      <c r="F789" s="217">
        <v>5</v>
      </c>
      <c r="G789" s="217">
        <v>2343.73</v>
      </c>
      <c r="H789" s="218">
        <v>43</v>
      </c>
      <c r="I789" s="273">
        <f>SUMIF('2020'!B:B,B789,'2020'!C:C)+SUMIF('2021'!B:B,B789,'2021'!C:C)+SUMIF('2022'!B:B,B789,'2022'!C:C)</f>
        <v>398212.62</v>
      </c>
      <c r="J789" s="59">
        <v>44925</v>
      </c>
      <c r="K789" s="58" t="s">
        <v>3118</v>
      </c>
    </row>
    <row r="790" spans="1:11" ht="17.25" customHeight="1" x14ac:dyDescent="0.3">
      <c r="A790" s="259">
        <f t="shared" si="34"/>
        <v>690</v>
      </c>
      <c r="B790" s="20" t="s">
        <v>767</v>
      </c>
      <c r="C790" s="162">
        <v>1952</v>
      </c>
      <c r="D790" s="31"/>
      <c r="E790" s="217" t="s">
        <v>3035</v>
      </c>
      <c r="F790" s="217">
        <v>3</v>
      </c>
      <c r="G790" s="217">
        <v>1484.87</v>
      </c>
      <c r="H790" s="218">
        <v>34</v>
      </c>
      <c r="I790" s="273">
        <f>SUMIF('2020'!B:B,B790,'2020'!C:C)+SUMIF('2021'!B:B,B790,'2021'!C:C)+SUMIF('2022'!B:B,B790,'2022'!C:C)</f>
        <v>310992.12</v>
      </c>
      <c r="J790" s="59">
        <v>44925</v>
      </c>
      <c r="K790" s="58" t="s">
        <v>3118</v>
      </c>
    </row>
    <row r="791" spans="1:11" ht="17.25" customHeight="1" x14ac:dyDescent="0.3">
      <c r="A791" s="259">
        <f t="shared" si="34"/>
        <v>691</v>
      </c>
      <c r="B791" s="20" t="s">
        <v>768</v>
      </c>
      <c r="C791" s="162">
        <v>1940</v>
      </c>
      <c r="D791" s="31"/>
      <c r="E791" s="217" t="s">
        <v>3035</v>
      </c>
      <c r="F791" s="217">
        <v>5</v>
      </c>
      <c r="G791" s="217">
        <v>4734.7700000000004</v>
      </c>
      <c r="H791" s="218">
        <v>140</v>
      </c>
      <c r="I791" s="273">
        <f>SUMIF('2020'!B:B,B791,'2020'!C:C)+SUMIF('2021'!B:B,B791,'2021'!C:C)+SUMIF('2022'!B:B,B791,'2022'!C:C)</f>
        <v>405677.98</v>
      </c>
      <c r="J791" s="59">
        <v>44925</v>
      </c>
      <c r="K791" s="58" t="s">
        <v>3118</v>
      </c>
    </row>
    <row r="792" spans="1:11" ht="17.25" customHeight="1" x14ac:dyDescent="0.3">
      <c r="A792" s="259">
        <f t="shared" si="34"/>
        <v>692</v>
      </c>
      <c r="B792" s="20" t="s">
        <v>769</v>
      </c>
      <c r="C792" s="162">
        <v>1940</v>
      </c>
      <c r="D792" s="31"/>
      <c r="E792" s="217" t="s">
        <v>3035</v>
      </c>
      <c r="F792" s="217">
        <v>3</v>
      </c>
      <c r="G792" s="217">
        <v>1966.56</v>
      </c>
      <c r="H792" s="218">
        <v>66</v>
      </c>
      <c r="I792" s="273">
        <f>SUMIF('2020'!B:B,B792,'2020'!C:C)+SUMIF('2021'!B:B,B792,'2021'!C:C)+SUMIF('2022'!B:B,B792,'2022'!C:C)</f>
        <v>342376.06</v>
      </c>
      <c r="J792" s="59">
        <v>44925</v>
      </c>
      <c r="K792" s="225" t="s">
        <v>3118</v>
      </c>
    </row>
    <row r="793" spans="1:11" ht="17.25" customHeight="1" x14ac:dyDescent="0.3">
      <c r="A793" s="259">
        <f t="shared" si="34"/>
        <v>693</v>
      </c>
      <c r="B793" s="20" t="s">
        <v>770</v>
      </c>
      <c r="C793" s="162">
        <v>1934</v>
      </c>
      <c r="D793" s="31"/>
      <c r="E793" s="217" t="s">
        <v>3166</v>
      </c>
      <c r="F793" s="217" t="s">
        <v>3169</v>
      </c>
      <c r="G793" s="217">
        <v>5809.49</v>
      </c>
      <c r="H793" s="218">
        <v>167</v>
      </c>
      <c r="I793" s="273">
        <f>SUMIF('2020'!B:B,B793,'2020'!C:C)+SUMIF('2021'!B:B,B793,'2021'!C:C)+SUMIF('2022'!B:B,B793,'2022'!C:C)</f>
        <v>568478.81000000006</v>
      </c>
      <c r="J793" s="59">
        <v>44925</v>
      </c>
      <c r="K793" s="225" t="s">
        <v>3118</v>
      </c>
    </row>
    <row r="794" spans="1:11" ht="17.25" customHeight="1" x14ac:dyDescent="0.3">
      <c r="A794" s="259">
        <f t="shared" si="34"/>
        <v>694</v>
      </c>
      <c r="B794" s="20" t="s">
        <v>771</v>
      </c>
      <c r="C794" s="162">
        <v>1940</v>
      </c>
      <c r="D794" s="31"/>
      <c r="E794" s="217" t="s">
        <v>3035</v>
      </c>
      <c r="F794" s="217">
        <v>7</v>
      </c>
      <c r="G794" s="217">
        <v>2078.11</v>
      </c>
      <c r="H794" s="218">
        <v>67</v>
      </c>
      <c r="I794" s="273">
        <f>SUMIF('2020'!B:B,B794,'2020'!C:C)+SUMIF('2021'!B:B,B794,'2021'!C:C)+SUMIF('2022'!B:B,B794,'2022'!C:C)</f>
        <v>456016.79</v>
      </c>
      <c r="J794" s="59">
        <v>44925</v>
      </c>
      <c r="K794" s="225" t="s">
        <v>3118</v>
      </c>
    </row>
    <row r="795" spans="1:11" ht="17.25" customHeight="1" x14ac:dyDescent="0.3">
      <c r="A795" s="259">
        <f>A794+1</f>
        <v>695</v>
      </c>
      <c r="B795" s="20" t="s">
        <v>772</v>
      </c>
      <c r="C795" s="162">
        <v>1940</v>
      </c>
      <c r="D795" s="31"/>
      <c r="E795" s="217" t="s">
        <v>3035</v>
      </c>
      <c r="F795" s="217">
        <v>3</v>
      </c>
      <c r="G795" s="217">
        <v>1392.16</v>
      </c>
      <c r="H795" s="218">
        <v>71</v>
      </c>
      <c r="I795" s="273">
        <f>SUMIF('2020'!B:B,B795,'2020'!C:C)+SUMIF('2021'!B:B,B795,'2021'!C:C)+SUMIF('2022'!B:B,B795,'2022'!C:C)</f>
        <v>284237.08</v>
      </c>
      <c r="J795" s="59">
        <v>44925</v>
      </c>
      <c r="K795" s="225" t="s">
        <v>3118</v>
      </c>
    </row>
    <row r="796" spans="1:11" ht="17.25" customHeight="1" x14ac:dyDescent="0.3">
      <c r="A796" s="259">
        <f>A795+1</f>
        <v>696</v>
      </c>
      <c r="B796" s="20" t="s">
        <v>773</v>
      </c>
      <c r="C796" s="162">
        <v>1940</v>
      </c>
      <c r="D796" s="31"/>
      <c r="E796" s="217" t="s">
        <v>3035</v>
      </c>
      <c r="F796" s="217">
        <v>7</v>
      </c>
      <c r="G796" s="217">
        <v>2168.2800000000002</v>
      </c>
      <c r="H796" s="218">
        <v>77</v>
      </c>
      <c r="I796" s="273">
        <f>SUMIF('2020'!B:B,B796,'2020'!C:C)+SUMIF('2021'!B:B,B796,'2021'!C:C)+SUMIF('2022'!B:B,B796,'2022'!C:C)</f>
        <v>228205.2</v>
      </c>
      <c r="J796" s="59">
        <v>44925</v>
      </c>
      <c r="K796" s="225" t="s">
        <v>3118</v>
      </c>
    </row>
    <row r="797" spans="1:11" ht="17.25" customHeight="1" x14ac:dyDescent="0.3">
      <c r="A797" s="259">
        <f>A796+1</f>
        <v>697</v>
      </c>
      <c r="B797" s="20" t="s">
        <v>774</v>
      </c>
      <c r="C797" s="162">
        <v>1958</v>
      </c>
      <c r="D797" s="31"/>
      <c r="E797" s="217" t="s">
        <v>3035</v>
      </c>
      <c r="F797" s="217">
        <v>4</v>
      </c>
      <c r="G797" s="217">
        <v>1378.22</v>
      </c>
      <c r="H797" s="218">
        <v>50</v>
      </c>
      <c r="I797" s="273">
        <f>SUMIF('2020'!B:B,B797,'2020'!C:C)+SUMIF('2021'!B:B,B797,'2021'!C:C)+SUMIF('2022'!B:B,B797,'2022'!C:C)</f>
        <v>33602528.359999999</v>
      </c>
      <c r="J797" s="59">
        <v>44925</v>
      </c>
      <c r="K797" s="225" t="s">
        <v>3118</v>
      </c>
    </row>
    <row r="798" spans="1:11" ht="17.25" customHeight="1" x14ac:dyDescent="0.3">
      <c r="A798" s="259">
        <f>A797+1</f>
        <v>698</v>
      </c>
      <c r="B798" s="20" t="s">
        <v>775</v>
      </c>
      <c r="C798" s="162">
        <v>1940</v>
      </c>
      <c r="D798" s="31"/>
      <c r="E798" s="226" t="s">
        <v>3120</v>
      </c>
      <c r="F798" s="217">
        <v>1</v>
      </c>
      <c r="G798" s="226">
        <v>116.56</v>
      </c>
      <c r="H798" s="218">
        <v>3</v>
      </c>
      <c r="I798" s="273">
        <f>SUMIF('2020'!B:B,B798,'2020'!C:C)+SUMIF('2021'!B:B,B798,'2021'!C:C)+SUMIF('2022'!B:B,B798,'2022'!C:C)</f>
        <v>78740.72</v>
      </c>
      <c r="J798" s="59">
        <v>44925</v>
      </c>
      <c r="K798" s="225" t="s">
        <v>3118</v>
      </c>
    </row>
    <row r="799" spans="1:11" ht="17.25" customHeight="1" x14ac:dyDescent="0.3">
      <c r="A799" s="259">
        <f>A798+1</f>
        <v>699</v>
      </c>
      <c r="B799" s="20" t="s">
        <v>776</v>
      </c>
      <c r="C799" s="162">
        <v>1940</v>
      </c>
      <c r="D799" s="31"/>
      <c r="E799" s="226" t="s">
        <v>3120</v>
      </c>
      <c r="F799" s="217">
        <v>2</v>
      </c>
      <c r="G799" s="226">
        <v>276.08</v>
      </c>
      <c r="H799" s="218">
        <v>19</v>
      </c>
      <c r="I799" s="273">
        <f>SUMIF('2020'!B:B,B799,'2020'!C:C)+SUMIF('2021'!B:B,B799,'2021'!C:C)+SUMIF('2022'!B:B,B799,'2022'!C:C)</f>
        <v>172952.18</v>
      </c>
      <c r="J799" s="59">
        <v>44925</v>
      </c>
      <c r="K799" s="225" t="s">
        <v>3118</v>
      </c>
    </row>
    <row r="800" spans="1:11" ht="17.25" customHeight="1" x14ac:dyDescent="0.3">
      <c r="A800" s="259">
        <f t="shared" ref="A800:A831" si="35">A799+1</f>
        <v>700</v>
      </c>
      <c r="B800" s="20" t="s">
        <v>777</v>
      </c>
      <c r="C800" s="162">
        <v>1940</v>
      </c>
      <c r="D800" s="31"/>
      <c r="E800" s="226" t="s">
        <v>3120</v>
      </c>
      <c r="F800" s="217">
        <v>2</v>
      </c>
      <c r="G800" s="226">
        <v>227.4</v>
      </c>
      <c r="H800" s="218">
        <v>16</v>
      </c>
      <c r="I800" s="273">
        <f>SUMIF('2020'!B:B,B800,'2020'!C:C)+SUMIF('2021'!B:B,B800,'2021'!C:C)+SUMIF('2022'!B:B,B800,'2022'!C:C)</f>
        <v>159744.82999999999</v>
      </c>
      <c r="J800" s="59">
        <v>44925</v>
      </c>
      <c r="K800" s="225" t="s">
        <v>3118</v>
      </c>
    </row>
    <row r="801" spans="1:11" ht="17.25" customHeight="1" x14ac:dyDescent="0.3">
      <c r="A801" s="259">
        <f t="shared" si="35"/>
        <v>701</v>
      </c>
      <c r="B801" s="20" t="s">
        <v>778</v>
      </c>
      <c r="C801" s="162">
        <v>1940</v>
      </c>
      <c r="D801" s="31"/>
      <c r="E801" s="226" t="s">
        <v>3120</v>
      </c>
      <c r="F801" s="217">
        <v>2</v>
      </c>
      <c r="G801" s="226">
        <v>211.72</v>
      </c>
      <c r="H801" s="218">
        <v>18</v>
      </c>
      <c r="I801" s="273">
        <f>SUMIF('2020'!B:B,B801,'2020'!C:C)+SUMIF('2021'!B:B,B801,'2021'!C:C)+SUMIF('2022'!B:B,B801,'2022'!C:C)</f>
        <v>152979.44</v>
      </c>
      <c r="J801" s="59">
        <v>44925</v>
      </c>
      <c r="K801" s="225" t="s">
        <v>3118</v>
      </c>
    </row>
    <row r="802" spans="1:11" ht="17.25" customHeight="1" x14ac:dyDescent="0.3">
      <c r="A802" s="259">
        <f t="shared" si="35"/>
        <v>702</v>
      </c>
      <c r="B802" s="20" t="s">
        <v>779</v>
      </c>
      <c r="C802" s="162">
        <v>1940</v>
      </c>
      <c r="D802" s="31"/>
      <c r="E802" s="217" t="s">
        <v>3035</v>
      </c>
      <c r="F802" s="217">
        <v>4</v>
      </c>
      <c r="G802" s="217">
        <v>1810</v>
      </c>
      <c r="H802" s="218">
        <v>42</v>
      </c>
      <c r="I802" s="273">
        <f>SUMIF('2020'!B:B,B802,'2020'!C:C)+SUMIF('2021'!B:B,B802,'2021'!C:C)+SUMIF('2022'!B:B,B802,'2022'!C:C)</f>
        <v>297075.61</v>
      </c>
      <c r="J802" s="59">
        <v>44925</v>
      </c>
      <c r="K802" s="225" t="s">
        <v>3118</v>
      </c>
    </row>
    <row r="803" spans="1:11" ht="17.25" customHeight="1" x14ac:dyDescent="0.3">
      <c r="A803" s="259">
        <f t="shared" si="35"/>
        <v>703</v>
      </c>
      <c r="B803" s="20" t="s">
        <v>780</v>
      </c>
      <c r="C803" s="162">
        <v>1940</v>
      </c>
      <c r="D803" s="31"/>
      <c r="E803" s="32" t="s">
        <v>3120</v>
      </c>
      <c r="F803" s="32">
        <v>2</v>
      </c>
      <c r="G803" s="32">
        <v>242.9</v>
      </c>
      <c r="H803" s="174">
        <v>8</v>
      </c>
      <c r="I803" s="273">
        <f>SUMIF('2020'!B:B,B803,'2020'!C:C)+SUMIF('2021'!B:B,B803,'2021'!C:C)+SUMIF('2022'!B:B,B803,'2022'!C:C)</f>
        <v>130000</v>
      </c>
      <c r="J803" s="59">
        <v>44925</v>
      </c>
      <c r="K803" s="225" t="s">
        <v>3118</v>
      </c>
    </row>
    <row r="804" spans="1:11" ht="17.25" customHeight="1" x14ac:dyDescent="0.3">
      <c r="A804" s="259">
        <f t="shared" si="35"/>
        <v>704</v>
      </c>
      <c r="B804" s="20" t="s">
        <v>781</v>
      </c>
      <c r="C804" s="162">
        <v>1951</v>
      </c>
      <c r="D804" s="31"/>
      <c r="E804" s="217" t="s">
        <v>3120</v>
      </c>
      <c r="F804" s="217">
        <v>2</v>
      </c>
      <c r="G804" s="217">
        <v>249.45</v>
      </c>
      <c r="H804" s="218">
        <v>15</v>
      </c>
      <c r="I804" s="273">
        <f>SUMIF('2020'!B:B,B804,'2020'!C:C)+SUMIF('2021'!B:B,B804,'2021'!C:C)+SUMIF('2022'!B:B,B804,'2022'!C:C)</f>
        <v>169216.38</v>
      </c>
      <c r="J804" s="59">
        <v>44925</v>
      </c>
      <c r="K804" s="58" t="s">
        <v>3118</v>
      </c>
    </row>
    <row r="805" spans="1:11" ht="17.25" customHeight="1" x14ac:dyDescent="0.3">
      <c r="A805" s="259">
        <f t="shared" si="35"/>
        <v>705</v>
      </c>
      <c r="B805" s="20" t="s">
        <v>782</v>
      </c>
      <c r="C805" s="162">
        <v>1966</v>
      </c>
      <c r="D805" s="31"/>
      <c r="E805" s="217" t="s">
        <v>3035</v>
      </c>
      <c r="F805" s="217">
        <v>9</v>
      </c>
      <c r="G805" s="31">
        <v>1993.66</v>
      </c>
      <c r="H805" s="218">
        <v>84</v>
      </c>
      <c r="I805" s="273">
        <f>SUMIF('2020'!B:B,B805,'2020'!C:C)+SUMIF('2021'!B:B,B805,'2021'!C:C)+SUMIF('2022'!B:B,B805,'2022'!C:C)</f>
        <v>130000</v>
      </c>
      <c r="J805" s="59">
        <v>44925</v>
      </c>
      <c r="K805" s="225" t="s">
        <v>3118</v>
      </c>
    </row>
    <row r="806" spans="1:11" ht="17.25" customHeight="1" x14ac:dyDescent="0.3">
      <c r="A806" s="259">
        <f t="shared" si="35"/>
        <v>706</v>
      </c>
      <c r="B806" s="20" t="s">
        <v>783</v>
      </c>
      <c r="C806" s="162">
        <v>1967</v>
      </c>
      <c r="D806" s="31"/>
      <c r="E806" s="217" t="s">
        <v>3035</v>
      </c>
      <c r="F806" s="217">
        <v>9</v>
      </c>
      <c r="G806" s="31">
        <v>2035.73</v>
      </c>
      <c r="H806" s="218">
        <v>89</v>
      </c>
      <c r="I806" s="273">
        <f>SUMIF('2020'!B:B,B806,'2020'!C:C)+SUMIF('2021'!B:B,B806,'2021'!C:C)+SUMIF('2022'!B:B,B806,'2022'!C:C)</f>
        <v>130000</v>
      </c>
      <c r="J806" s="59">
        <v>44925</v>
      </c>
      <c r="K806" s="225" t="s">
        <v>3118</v>
      </c>
    </row>
    <row r="807" spans="1:11" ht="17.25" customHeight="1" x14ac:dyDescent="0.3">
      <c r="A807" s="259">
        <f t="shared" si="35"/>
        <v>707</v>
      </c>
      <c r="B807" s="20" t="s">
        <v>784</v>
      </c>
      <c r="C807" s="162">
        <v>1966</v>
      </c>
      <c r="D807" s="31"/>
      <c r="E807" s="217" t="s">
        <v>3035</v>
      </c>
      <c r="F807" s="217">
        <v>9</v>
      </c>
      <c r="G807" s="217">
        <v>2104.67</v>
      </c>
      <c r="H807" s="218">
        <v>84</v>
      </c>
      <c r="I807" s="273">
        <f>SUMIF('2020'!B:B,B807,'2020'!C:C)+SUMIF('2021'!B:B,B807,'2021'!C:C)+SUMIF('2022'!B:B,B807,'2022'!C:C)</f>
        <v>130000</v>
      </c>
      <c r="J807" s="59">
        <v>44925</v>
      </c>
      <c r="K807" s="225" t="s">
        <v>3118</v>
      </c>
    </row>
    <row r="808" spans="1:11" ht="17.25" customHeight="1" x14ac:dyDescent="0.3">
      <c r="A808" s="259">
        <f t="shared" si="35"/>
        <v>708</v>
      </c>
      <c r="B808" s="20" t="s">
        <v>785</v>
      </c>
      <c r="C808" s="162">
        <v>1959</v>
      </c>
      <c r="D808" s="31"/>
      <c r="E808" s="224" t="s">
        <v>3035</v>
      </c>
      <c r="F808" s="217">
        <v>2</v>
      </c>
      <c r="G808" s="226">
        <v>447</v>
      </c>
      <c r="H808" s="218">
        <v>12</v>
      </c>
      <c r="I808" s="273">
        <f>SUMIF('2020'!B:B,B808,'2020'!C:C)+SUMIF('2021'!B:B,B808,'2021'!C:C)+SUMIF('2022'!B:B,B808,'2022'!C:C)</f>
        <v>2323027.2000000002</v>
      </c>
      <c r="J808" s="59">
        <v>44925</v>
      </c>
      <c r="K808" s="225" t="s">
        <v>3118</v>
      </c>
    </row>
    <row r="809" spans="1:11" ht="17.25" customHeight="1" x14ac:dyDescent="0.3">
      <c r="A809" s="259">
        <f t="shared" si="35"/>
        <v>709</v>
      </c>
      <c r="B809" s="20" t="s">
        <v>786</v>
      </c>
      <c r="C809" s="162">
        <v>1940</v>
      </c>
      <c r="D809" s="31"/>
      <c r="E809" s="224" t="s">
        <v>3035</v>
      </c>
      <c r="F809" s="217">
        <v>2</v>
      </c>
      <c r="G809" s="226">
        <v>521.23</v>
      </c>
      <c r="H809" s="218">
        <v>12</v>
      </c>
      <c r="I809" s="273">
        <f>SUMIF('2020'!B:B,B809,'2020'!C:C)+SUMIF('2021'!B:B,B809,'2021'!C:C)+SUMIF('2022'!B:B,B809,'2022'!C:C)</f>
        <v>205488.84</v>
      </c>
      <c r="J809" s="59">
        <v>44925</v>
      </c>
      <c r="K809" s="225" t="s">
        <v>3118</v>
      </c>
    </row>
    <row r="810" spans="1:11" ht="17.25" customHeight="1" x14ac:dyDescent="0.3">
      <c r="A810" s="259">
        <f t="shared" si="35"/>
        <v>710</v>
      </c>
      <c r="B810" s="20" t="s">
        <v>787</v>
      </c>
      <c r="C810" s="162">
        <v>1948</v>
      </c>
      <c r="D810" s="31"/>
      <c r="E810" s="217" t="s">
        <v>3035</v>
      </c>
      <c r="F810" s="217">
        <v>4</v>
      </c>
      <c r="G810" s="217">
        <v>3274.59</v>
      </c>
      <c r="H810" s="218">
        <v>106</v>
      </c>
      <c r="I810" s="273">
        <f>SUMIF('2020'!B:B,B810,'2020'!C:C)+SUMIF('2021'!B:B,B810,'2021'!C:C)+SUMIF('2022'!B:B,B810,'2022'!C:C)</f>
        <v>403956.01</v>
      </c>
      <c r="J810" s="59">
        <v>44925</v>
      </c>
      <c r="K810" s="225" t="s">
        <v>3118</v>
      </c>
    </row>
    <row r="811" spans="1:11" ht="17.25" customHeight="1" x14ac:dyDescent="0.3">
      <c r="A811" s="259">
        <f t="shared" si="35"/>
        <v>711</v>
      </c>
      <c r="B811" s="20" t="s">
        <v>788</v>
      </c>
      <c r="C811" s="162">
        <v>1940</v>
      </c>
      <c r="D811" s="31"/>
      <c r="E811" s="226" t="s">
        <v>3120</v>
      </c>
      <c r="F811" s="217">
        <v>2</v>
      </c>
      <c r="G811" s="226">
        <v>208.08</v>
      </c>
      <c r="H811" s="227">
        <v>16</v>
      </c>
      <c r="I811" s="273">
        <f>SUMIF('2020'!B:B,B811,'2020'!C:C)+SUMIF('2021'!B:B,B811,'2021'!C:C)+SUMIF('2022'!B:B,B811,'2022'!C:C)</f>
        <v>148574.82</v>
      </c>
      <c r="J811" s="59">
        <v>44925</v>
      </c>
      <c r="K811" s="225" t="s">
        <v>3118</v>
      </c>
    </row>
    <row r="812" spans="1:11" ht="17.25" customHeight="1" x14ac:dyDescent="0.3">
      <c r="A812" s="259">
        <f t="shared" si="35"/>
        <v>712</v>
      </c>
      <c r="B812" s="20" t="s">
        <v>789</v>
      </c>
      <c r="C812" s="162">
        <v>1940</v>
      </c>
      <c r="D812" s="31"/>
      <c r="E812" s="226" t="s">
        <v>3120</v>
      </c>
      <c r="F812" s="217">
        <v>2</v>
      </c>
      <c r="G812" s="226">
        <v>287.77999999999997</v>
      </c>
      <c r="H812" s="227">
        <v>14</v>
      </c>
      <c r="I812" s="273">
        <f>SUMIF('2020'!B:B,B812,'2020'!C:C)+SUMIF('2021'!B:B,B812,'2021'!C:C)+SUMIF('2022'!B:B,B812,'2022'!C:C)</f>
        <v>181693.25</v>
      </c>
      <c r="J812" s="59">
        <v>44925</v>
      </c>
      <c r="K812" s="225" t="s">
        <v>3118</v>
      </c>
    </row>
    <row r="813" spans="1:11" ht="17.25" customHeight="1" x14ac:dyDescent="0.3">
      <c r="A813" s="259">
        <f t="shared" si="35"/>
        <v>713</v>
      </c>
      <c r="B813" s="20" t="s">
        <v>790</v>
      </c>
      <c r="C813" s="162">
        <v>1925</v>
      </c>
      <c r="D813" s="31"/>
      <c r="E813" s="226" t="s">
        <v>3120</v>
      </c>
      <c r="F813" s="217">
        <v>2</v>
      </c>
      <c r="G813" s="226">
        <v>246.4</v>
      </c>
      <c r="H813" s="227">
        <v>14</v>
      </c>
      <c r="I813" s="273">
        <f>SUMIF('2020'!B:B,B813,'2020'!C:C)+SUMIF('2021'!B:B,B813,'2021'!C:C)+SUMIF('2022'!B:B,B813,'2022'!C:C)</f>
        <v>167942.89</v>
      </c>
      <c r="J813" s="59">
        <v>44925</v>
      </c>
      <c r="K813" s="225" t="s">
        <v>3118</v>
      </c>
    </row>
    <row r="814" spans="1:11" ht="17.25" customHeight="1" x14ac:dyDescent="0.3">
      <c r="A814" s="259">
        <f t="shared" si="35"/>
        <v>714</v>
      </c>
      <c r="B814" s="20" t="s">
        <v>791</v>
      </c>
      <c r="C814" s="162">
        <v>1921</v>
      </c>
      <c r="D814" s="31"/>
      <c r="E814" s="226" t="s">
        <v>3120</v>
      </c>
      <c r="F814" s="217">
        <v>2</v>
      </c>
      <c r="G814" s="226">
        <v>215.23</v>
      </c>
      <c r="H814" s="218">
        <v>14</v>
      </c>
      <c r="I814" s="273">
        <f>SUMIF('2020'!B:B,B814,'2020'!C:C)+SUMIF('2021'!B:B,B814,'2021'!C:C)+SUMIF('2022'!B:B,B814,'2022'!C:C)</f>
        <v>154491.70000000001</v>
      </c>
      <c r="J814" s="59">
        <v>44925</v>
      </c>
      <c r="K814" s="225" t="s">
        <v>3118</v>
      </c>
    </row>
    <row r="815" spans="1:11" ht="17.25" customHeight="1" x14ac:dyDescent="0.3">
      <c r="A815" s="259">
        <f t="shared" si="35"/>
        <v>715</v>
      </c>
      <c r="B815" s="20" t="s">
        <v>792</v>
      </c>
      <c r="C815" s="162">
        <v>1940</v>
      </c>
      <c r="D815" s="31"/>
      <c r="E815" s="226" t="s">
        <v>3120</v>
      </c>
      <c r="F815" s="217">
        <v>2</v>
      </c>
      <c r="G815" s="226">
        <v>372.24</v>
      </c>
      <c r="H815" s="218">
        <v>12</v>
      </c>
      <c r="I815" s="273">
        <f>SUMIF('2020'!B:B,B815,'2020'!C:C)+SUMIF('2021'!B:B,B815,'2021'!C:C)+SUMIF('2022'!B:B,B815,'2022'!C:C)</f>
        <v>154600.62</v>
      </c>
      <c r="J815" s="59">
        <v>44925</v>
      </c>
      <c r="K815" s="225" t="s">
        <v>3118</v>
      </c>
    </row>
    <row r="816" spans="1:11" ht="17.25" customHeight="1" x14ac:dyDescent="0.3">
      <c r="A816" s="259">
        <f t="shared" si="35"/>
        <v>716</v>
      </c>
      <c r="B816" s="20" t="s">
        <v>793</v>
      </c>
      <c r="C816" s="162">
        <v>1940</v>
      </c>
      <c r="D816" s="31"/>
      <c r="E816" s="32" t="s">
        <v>3120</v>
      </c>
      <c r="F816" s="32">
        <v>2</v>
      </c>
      <c r="G816" s="32">
        <v>233.4</v>
      </c>
      <c r="H816" s="174">
        <v>5</v>
      </c>
      <c r="I816" s="273">
        <f>SUMIF('2020'!B:B,B816,'2020'!C:C)+SUMIF('2021'!B:B,B816,'2021'!C:C)+SUMIF('2022'!B:B,B816,'2022'!C:C)</f>
        <v>130000</v>
      </c>
      <c r="J816" s="59">
        <v>44925</v>
      </c>
      <c r="K816" s="225" t="s">
        <v>3118</v>
      </c>
    </row>
    <row r="817" spans="1:11" ht="17.25" customHeight="1" x14ac:dyDescent="0.3">
      <c r="A817" s="259">
        <f t="shared" si="35"/>
        <v>717</v>
      </c>
      <c r="B817" s="20" t="s">
        <v>794</v>
      </c>
      <c r="C817" s="162">
        <v>1940</v>
      </c>
      <c r="D817" s="31"/>
      <c r="E817" s="217" t="s">
        <v>3035</v>
      </c>
      <c r="F817" s="217">
        <v>3</v>
      </c>
      <c r="G817" s="217">
        <v>444.3</v>
      </c>
      <c r="H817" s="218">
        <v>11</v>
      </c>
      <c r="I817" s="273">
        <f>SUMIF('2020'!B:B,B817,'2020'!C:C)+SUMIF('2021'!B:B,B817,'2021'!C:C)+SUMIF('2022'!B:B,B817,'2022'!C:C)</f>
        <v>113468.8</v>
      </c>
      <c r="J817" s="59">
        <v>44925</v>
      </c>
      <c r="K817" s="225" t="s">
        <v>3118</v>
      </c>
    </row>
    <row r="818" spans="1:11" ht="17.25" customHeight="1" x14ac:dyDescent="0.3">
      <c r="A818" s="259">
        <f t="shared" si="35"/>
        <v>718</v>
      </c>
      <c r="B818" s="20" t="s">
        <v>795</v>
      </c>
      <c r="C818" s="162">
        <v>1977</v>
      </c>
      <c r="D818" s="31"/>
      <c r="E818" s="217" t="s">
        <v>3119</v>
      </c>
      <c r="F818" s="217">
        <v>5</v>
      </c>
      <c r="G818" s="217">
        <v>4410.7</v>
      </c>
      <c r="H818" s="218">
        <v>220</v>
      </c>
      <c r="I818" s="273">
        <f>SUMIF('2020'!B:B,B818,'2020'!C:C)+SUMIF('2021'!B:B,B818,'2021'!C:C)+SUMIF('2022'!B:B,B818,'2022'!C:C)</f>
        <v>6605808.0999999996</v>
      </c>
      <c r="J818" s="59">
        <v>44925</v>
      </c>
      <c r="K818" s="225" t="s">
        <v>3118</v>
      </c>
    </row>
    <row r="819" spans="1:11" ht="17.25" customHeight="1" x14ac:dyDescent="0.3">
      <c r="A819" s="259">
        <f t="shared" si="35"/>
        <v>719</v>
      </c>
      <c r="B819" s="20" t="s">
        <v>796</v>
      </c>
      <c r="C819" s="162">
        <v>1957</v>
      </c>
      <c r="D819" s="31"/>
      <c r="E819" s="225" t="s">
        <v>3035</v>
      </c>
      <c r="F819" s="217">
        <v>5</v>
      </c>
      <c r="G819" s="225">
        <v>752.02</v>
      </c>
      <c r="H819" s="218">
        <v>15</v>
      </c>
      <c r="I819" s="273">
        <f>SUMIF('2020'!B:B,B819,'2020'!C:C)+SUMIF('2021'!B:B,B819,'2021'!C:C)+SUMIF('2022'!B:B,B819,'2022'!C:C)</f>
        <v>4719641.3</v>
      </c>
      <c r="J819" s="59">
        <v>44925</v>
      </c>
      <c r="K819" s="225" t="s">
        <v>3118</v>
      </c>
    </row>
    <row r="820" spans="1:11" ht="17.25" customHeight="1" x14ac:dyDescent="0.3">
      <c r="A820" s="259">
        <f t="shared" si="35"/>
        <v>720</v>
      </c>
      <c r="B820" s="20" t="s">
        <v>797</v>
      </c>
      <c r="C820" s="162">
        <v>1940</v>
      </c>
      <c r="D820" s="31"/>
      <c r="E820" s="224" t="s">
        <v>3035</v>
      </c>
      <c r="F820" s="217">
        <v>2</v>
      </c>
      <c r="G820" s="217">
        <v>249.2</v>
      </c>
      <c r="H820" s="218">
        <v>12</v>
      </c>
      <c r="I820" s="273">
        <f>SUMIF('2020'!B:B,B820,'2020'!C:C)+SUMIF('2021'!B:B,B820,'2021'!C:C)+SUMIF('2022'!B:B,B820,'2022'!C:C)</f>
        <v>76812.47</v>
      </c>
      <c r="J820" s="59">
        <v>44925</v>
      </c>
      <c r="K820" s="225" t="s">
        <v>3118</v>
      </c>
    </row>
    <row r="821" spans="1:11" ht="17.25" customHeight="1" x14ac:dyDescent="0.3">
      <c r="A821" s="259">
        <f t="shared" si="35"/>
        <v>721</v>
      </c>
      <c r="B821" s="20" t="s">
        <v>798</v>
      </c>
      <c r="C821" s="162">
        <v>1940</v>
      </c>
      <c r="D821" s="31"/>
      <c r="E821" s="224" t="s">
        <v>3035</v>
      </c>
      <c r="F821" s="224">
        <v>3</v>
      </c>
      <c r="G821" s="224">
        <v>846.4</v>
      </c>
      <c r="H821" s="227">
        <v>60</v>
      </c>
      <c r="I821" s="273">
        <f>SUMIF('2020'!B:B,B821,'2020'!C:C)+SUMIF('2021'!B:B,B821,'2021'!C:C)+SUMIF('2022'!B:B,B821,'2022'!C:C)</f>
        <v>110047.36</v>
      </c>
      <c r="J821" s="59">
        <v>44925</v>
      </c>
      <c r="K821" s="225" t="s">
        <v>3118</v>
      </c>
    </row>
    <row r="822" spans="1:11" ht="17.25" customHeight="1" x14ac:dyDescent="0.3">
      <c r="A822" s="259">
        <f t="shared" si="35"/>
        <v>722</v>
      </c>
      <c r="B822" s="20" t="s">
        <v>799</v>
      </c>
      <c r="C822" s="162">
        <v>1973</v>
      </c>
      <c r="D822" s="31"/>
      <c r="E822" s="225" t="s">
        <v>3035</v>
      </c>
      <c r="F822" s="217">
        <v>5</v>
      </c>
      <c r="G822" s="224">
        <v>4551.5</v>
      </c>
      <c r="H822" s="218">
        <v>97</v>
      </c>
      <c r="I822" s="273">
        <f>SUMIF('2020'!B:B,B822,'2020'!C:C)+SUMIF('2021'!B:B,B822,'2021'!C:C)+SUMIF('2022'!B:B,B822,'2022'!C:C)</f>
        <v>15151198.800000003</v>
      </c>
      <c r="J822" s="59">
        <v>44925</v>
      </c>
      <c r="K822" s="225" t="s">
        <v>3118</v>
      </c>
    </row>
    <row r="823" spans="1:11" ht="17.25" customHeight="1" x14ac:dyDescent="0.3">
      <c r="A823" s="259">
        <f t="shared" si="35"/>
        <v>723</v>
      </c>
      <c r="B823" s="20" t="s">
        <v>800</v>
      </c>
      <c r="C823" s="162">
        <v>1940</v>
      </c>
      <c r="D823" s="31"/>
      <c r="E823" s="217" t="s">
        <v>3035</v>
      </c>
      <c r="F823" s="217">
        <v>4</v>
      </c>
      <c r="G823" s="217">
        <v>928.2</v>
      </c>
      <c r="H823" s="218">
        <v>31</v>
      </c>
      <c r="I823" s="273">
        <f>SUMIF('2020'!B:B,B823,'2020'!C:C)+SUMIF('2021'!B:B,B823,'2021'!C:C)+SUMIF('2022'!B:B,B823,'2022'!C:C)</f>
        <v>107983.61</v>
      </c>
      <c r="J823" s="59">
        <v>44925</v>
      </c>
      <c r="K823" s="225" t="s">
        <v>3118</v>
      </c>
    </row>
    <row r="824" spans="1:11" ht="17.25" customHeight="1" x14ac:dyDescent="0.3">
      <c r="A824" s="259">
        <f t="shared" si="35"/>
        <v>724</v>
      </c>
      <c r="B824" s="20" t="s">
        <v>801</v>
      </c>
      <c r="C824" s="162">
        <v>1940</v>
      </c>
      <c r="D824" s="31"/>
      <c r="E824" s="217" t="s">
        <v>3035</v>
      </c>
      <c r="F824" s="217" t="s">
        <v>3170</v>
      </c>
      <c r="G824" s="217">
        <v>864.9</v>
      </c>
      <c r="H824" s="218">
        <v>22</v>
      </c>
      <c r="I824" s="273">
        <f>SUMIF('2020'!B:B,B824,'2020'!C:C)+SUMIF('2021'!B:B,B824,'2021'!C:C)+SUMIF('2022'!B:B,B824,'2022'!C:C)</f>
        <v>100910.21</v>
      </c>
      <c r="J824" s="59">
        <v>44925</v>
      </c>
      <c r="K824" s="225" t="s">
        <v>3118</v>
      </c>
    </row>
    <row r="825" spans="1:11" ht="17.25" customHeight="1" x14ac:dyDescent="0.3">
      <c r="A825" s="259">
        <f t="shared" si="35"/>
        <v>725</v>
      </c>
      <c r="B825" s="20" t="s">
        <v>802</v>
      </c>
      <c r="C825" s="162">
        <v>1940</v>
      </c>
      <c r="D825" s="31"/>
      <c r="E825" s="32" t="s">
        <v>3120</v>
      </c>
      <c r="F825" s="32">
        <v>2</v>
      </c>
      <c r="G825" s="32">
        <v>137.30000000000001</v>
      </c>
      <c r="H825" s="174">
        <v>7</v>
      </c>
      <c r="I825" s="273">
        <f>SUMIF('2020'!B:B,B825,'2020'!C:C)+SUMIF('2021'!B:B,B825,'2021'!C:C)+SUMIF('2022'!B:B,B825,'2022'!C:C)</f>
        <v>130000</v>
      </c>
      <c r="J825" s="59">
        <v>44925</v>
      </c>
      <c r="K825" s="225" t="s">
        <v>3118</v>
      </c>
    </row>
    <row r="826" spans="1:11" ht="17.25" customHeight="1" x14ac:dyDescent="0.3">
      <c r="A826" s="259">
        <f t="shared" si="35"/>
        <v>726</v>
      </c>
      <c r="B826" s="20" t="s">
        <v>803</v>
      </c>
      <c r="C826" s="162">
        <v>1915</v>
      </c>
      <c r="D826" s="31"/>
      <c r="E826" s="32" t="s">
        <v>3120</v>
      </c>
      <c r="F826" s="217">
        <v>2</v>
      </c>
      <c r="G826" s="217">
        <v>461.5</v>
      </c>
      <c r="H826" s="218">
        <v>16</v>
      </c>
      <c r="I826" s="273">
        <f>SUMIF('2020'!B:B,B826,'2020'!C:C)+SUMIF('2021'!B:B,B826,'2021'!C:C)+SUMIF('2022'!B:B,B826,'2022'!C:C)</f>
        <v>130000</v>
      </c>
      <c r="J826" s="59">
        <v>44925</v>
      </c>
      <c r="K826" s="225" t="s">
        <v>3118</v>
      </c>
    </row>
    <row r="827" spans="1:11" ht="17.25" customHeight="1" x14ac:dyDescent="0.3">
      <c r="A827" s="259">
        <f t="shared" si="35"/>
        <v>727</v>
      </c>
      <c r="B827" s="20" t="s">
        <v>804</v>
      </c>
      <c r="C827" s="162">
        <v>1940</v>
      </c>
      <c r="D827" s="31"/>
      <c r="E827" s="226" t="s">
        <v>3120</v>
      </c>
      <c r="F827" s="217">
        <v>2</v>
      </c>
      <c r="G827" s="226">
        <v>216</v>
      </c>
      <c r="H827" s="218">
        <v>6</v>
      </c>
      <c r="I827" s="273">
        <f>SUMIF('2020'!B:B,B827,'2020'!C:C)+SUMIF('2021'!B:B,B827,'2021'!C:C)+SUMIF('2022'!B:B,B827,'2022'!C:C)</f>
        <v>81632.899999999994</v>
      </c>
      <c r="J827" s="59">
        <v>44925</v>
      </c>
      <c r="K827" s="225" t="s">
        <v>3118</v>
      </c>
    </row>
    <row r="828" spans="1:11" ht="17.25" customHeight="1" x14ac:dyDescent="0.3">
      <c r="A828" s="259">
        <f t="shared" si="35"/>
        <v>728</v>
      </c>
      <c r="B828" s="20" t="s">
        <v>805</v>
      </c>
      <c r="C828" s="162">
        <v>1940</v>
      </c>
      <c r="D828" s="31"/>
      <c r="E828" s="226" t="s">
        <v>3120</v>
      </c>
      <c r="F828" s="217">
        <v>2</v>
      </c>
      <c r="G828" s="226">
        <v>283.72000000000003</v>
      </c>
      <c r="H828" s="218">
        <v>7</v>
      </c>
      <c r="I828" s="273">
        <f>SUMIF('2020'!B:B,B828,'2020'!C:C)+SUMIF('2021'!B:B,B828,'2021'!C:C)+SUMIF('2022'!B:B,B828,'2022'!C:C)</f>
        <v>100927.58</v>
      </c>
      <c r="J828" s="59">
        <v>44925</v>
      </c>
      <c r="K828" s="225" t="s">
        <v>3118</v>
      </c>
    </row>
    <row r="829" spans="1:11" ht="17.25" customHeight="1" x14ac:dyDescent="0.3">
      <c r="A829" s="259">
        <f t="shared" si="35"/>
        <v>729</v>
      </c>
      <c r="B829" s="20" t="s">
        <v>806</v>
      </c>
      <c r="C829" s="162">
        <v>1940</v>
      </c>
      <c r="D829" s="31"/>
      <c r="E829" s="217" t="s">
        <v>3119</v>
      </c>
      <c r="F829" s="217">
        <v>5</v>
      </c>
      <c r="G829" s="217" t="s">
        <v>3171</v>
      </c>
      <c r="H829" s="218">
        <v>147</v>
      </c>
      <c r="I829" s="273">
        <f>SUMIF('2020'!B:B,B829,'2020'!C:C)+SUMIF('2021'!B:B,B829,'2021'!C:C)+SUMIF('2022'!B:B,B829,'2022'!C:C)</f>
        <v>166741.09</v>
      </c>
      <c r="J829" s="59">
        <v>44925</v>
      </c>
      <c r="K829" s="225" t="s">
        <v>3118</v>
      </c>
    </row>
    <row r="830" spans="1:11" ht="17.25" customHeight="1" x14ac:dyDescent="0.3">
      <c r="A830" s="259">
        <f t="shared" si="35"/>
        <v>730</v>
      </c>
      <c r="B830" s="20" t="s">
        <v>807</v>
      </c>
      <c r="C830" s="162">
        <v>1940</v>
      </c>
      <c r="D830" s="31"/>
      <c r="E830" s="217" t="s">
        <v>3035</v>
      </c>
      <c r="F830" s="217">
        <v>7</v>
      </c>
      <c r="G830" s="217">
        <v>2244.6999999999998</v>
      </c>
      <c r="H830" s="218">
        <v>63</v>
      </c>
      <c r="I830" s="273">
        <f>SUMIF('2020'!B:B,B830,'2020'!C:C)+SUMIF('2021'!B:B,B830,'2021'!C:C)+SUMIF('2022'!B:B,B830,'2022'!C:C)</f>
        <v>175221.14</v>
      </c>
      <c r="J830" s="59">
        <v>44925</v>
      </c>
      <c r="K830" s="225" t="s">
        <v>3118</v>
      </c>
    </row>
    <row r="831" spans="1:11" ht="17.25" customHeight="1" x14ac:dyDescent="0.3">
      <c r="A831" s="259">
        <f t="shared" si="35"/>
        <v>731</v>
      </c>
      <c r="B831" s="20" t="s">
        <v>808</v>
      </c>
      <c r="C831" s="162">
        <v>1926</v>
      </c>
      <c r="D831" s="31"/>
      <c r="E831" s="217" t="s">
        <v>3120</v>
      </c>
      <c r="F831" s="217">
        <v>2</v>
      </c>
      <c r="G831" s="217">
        <v>368.96</v>
      </c>
      <c r="H831" s="218">
        <v>21</v>
      </c>
      <c r="I831" s="273">
        <f>SUMIF('2020'!B:B,B831,'2020'!C:C)+SUMIF('2021'!B:B,B831,'2021'!C:C)+SUMIF('2022'!B:B,B831,'2022'!C:C)</f>
        <v>93497.78</v>
      </c>
      <c r="J831" s="59">
        <v>44925</v>
      </c>
      <c r="K831" s="225" t="s">
        <v>3118</v>
      </c>
    </row>
    <row r="832" spans="1:11" ht="17.25" customHeight="1" x14ac:dyDescent="0.3">
      <c r="A832" s="259">
        <f t="shared" ref="A832:A863" si="36">A831+1</f>
        <v>732</v>
      </c>
      <c r="B832" s="20" t="s">
        <v>809</v>
      </c>
      <c r="C832" s="162">
        <v>1940</v>
      </c>
      <c r="D832" s="31"/>
      <c r="E832" s="226" t="s">
        <v>3120</v>
      </c>
      <c r="F832" s="217">
        <v>1</v>
      </c>
      <c r="G832" s="226">
        <v>158.26</v>
      </c>
      <c r="H832" s="218">
        <v>3</v>
      </c>
      <c r="I832" s="273">
        <f>SUMIF('2020'!B:B,B832,'2020'!C:C)+SUMIF('2021'!B:B,B832,'2021'!C:C)+SUMIF('2022'!B:B,B832,'2022'!C:C)</f>
        <v>48345.36</v>
      </c>
      <c r="J832" s="59">
        <v>44925</v>
      </c>
      <c r="K832" s="225" t="s">
        <v>3118</v>
      </c>
    </row>
    <row r="833" spans="1:11" ht="17.25" customHeight="1" x14ac:dyDescent="0.3">
      <c r="A833" s="259">
        <f t="shared" si="36"/>
        <v>733</v>
      </c>
      <c r="B833" s="20" t="s">
        <v>810</v>
      </c>
      <c r="C833" s="162">
        <v>1940</v>
      </c>
      <c r="D833" s="31"/>
      <c r="E833" s="217" t="s">
        <v>3035</v>
      </c>
      <c r="F833" s="217" t="s">
        <v>3170</v>
      </c>
      <c r="G833" s="217">
        <v>657.49</v>
      </c>
      <c r="H833" s="218">
        <v>44</v>
      </c>
      <c r="I833" s="273">
        <f>SUMIF('2020'!B:B,B833,'2020'!C:C)+SUMIF('2021'!B:B,B833,'2021'!C:C)+SUMIF('2022'!B:B,B833,'2022'!C:C)</f>
        <v>119167.85</v>
      </c>
      <c r="J833" s="59">
        <v>44925</v>
      </c>
      <c r="K833" s="225" t="s">
        <v>3118</v>
      </c>
    </row>
    <row r="834" spans="1:11" ht="17.25" customHeight="1" x14ac:dyDescent="0.3">
      <c r="A834" s="259">
        <f t="shared" si="36"/>
        <v>734</v>
      </c>
      <c r="B834" s="20" t="s">
        <v>811</v>
      </c>
      <c r="C834" s="162">
        <v>1940</v>
      </c>
      <c r="D834" s="31"/>
      <c r="E834" s="217" t="s">
        <v>3035</v>
      </c>
      <c r="F834" s="217">
        <v>7</v>
      </c>
      <c r="G834" s="217">
        <v>2246.81</v>
      </c>
      <c r="H834" s="218">
        <v>108</v>
      </c>
      <c r="I834" s="273">
        <f>SUMIF('2020'!B:B,B834,'2020'!C:C)+SUMIF('2021'!B:B,B834,'2021'!C:C)+SUMIF('2022'!B:B,B834,'2022'!C:C)</f>
        <v>176200.09</v>
      </c>
      <c r="J834" s="59">
        <v>44925</v>
      </c>
      <c r="K834" s="225" t="s">
        <v>3118</v>
      </c>
    </row>
    <row r="835" spans="1:11" ht="17.25" customHeight="1" x14ac:dyDescent="0.3">
      <c r="A835" s="259">
        <f t="shared" si="36"/>
        <v>735</v>
      </c>
      <c r="B835" s="20" t="s">
        <v>812</v>
      </c>
      <c r="C835" s="162">
        <v>1940</v>
      </c>
      <c r="D835" s="31"/>
      <c r="E835" s="217" t="s">
        <v>3035</v>
      </c>
      <c r="F835" s="217">
        <v>7</v>
      </c>
      <c r="G835" s="217">
        <v>2222.62</v>
      </c>
      <c r="H835" s="218">
        <v>72</v>
      </c>
      <c r="I835" s="273">
        <f>SUMIF('2020'!B:B,B835,'2020'!C:C)+SUMIF('2021'!B:B,B835,'2021'!C:C)+SUMIF('2022'!B:B,B835,'2022'!C:C)</f>
        <v>171625.34</v>
      </c>
      <c r="J835" s="59">
        <v>44925</v>
      </c>
      <c r="K835" s="225" t="s">
        <v>3118</v>
      </c>
    </row>
    <row r="836" spans="1:11" ht="17.25" customHeight="1" x14ac:dyDescent="0.3">
      <c r="A836" s="259">
        <f t="shared" si="36"/>
        <v>736</v>
      </c>
      <c r="B836" s="20" t="s">
        <v>813</v>
      </c>
      <c r="C836" s="162">
        <v>1940</v>
      </c>
      <c r="D836" s="31"/>
      <c r="E836" s="217" t="s">
        <v>3035</v>
      </c>
      <c r="F836" s="217">
        <v>4</v>
      </c>
      <c r="G836" s="217">
        <v>2041.36</v>
      </c>
      <c r="H836" s="218">
        <v>87</v>
      </c>
      <c r="I836" s="273">
        <f>SUMIF('2020'!B:B,B836,'2020'!C:C)+SUMIF('2021'!B:B,B836,'2021'!C:C)+SUMIF('2022'!B:B,B836,'2022'!C:C)</f>
        <v>146486.51999999999</v>
      </c>
      <c r="J836" s="59">
        <v>44925</v>
      </c>
      <c r="K836" s="58" t="s">
        <v>3118</v>
      </c>
    </row>
    <row r="837" spans="1:11" ht="17.25" customHeight="1" x14ac:dyDescent="0.3">
      <c r="A837" s="259">
        <f t="shared" si="36"/>
        <v>737</v>
      </c>
      <c r="B837" s="20" t="s">
        <v>814</v>
      </c>
      <c r="C837" s="162">
        <v>1940</v>
      </c>
      <c r="D837" s="31"/>
      <c r="E837" s="224" t="s">
        <v>3035</v>
      </c>
      <c r="F837" s="217">
        <v>5</v>
      </c>
      <c r="G837" s="224">
        <v>2794</v>
      </c>
      <c r="H837" s="218">
        <v>111</v>
      </c>
      <c r="I837" s="273">
        <f>SUMIF('2020'!B:B,B837,'2020'!C:C)+SUMIF('2021'!B:B,B837,'2021'!C:C)+SUMIF('2022'!B:B,B837,'2022'!C:C)</f>
        <v>214412.2</v>
      </c>
      <c r="J837" s="59">
        <v>44925</v>
      </c>
      <c r="K837" s="225" t="s">
        <v>3118</v>
      </c>
    </row>
    <row r="838" spans="1:11" ht="17.25" customHeight="1" x14ac:dyDescent="0.3">
      <c r="A838" s="259">
        <f t="shared" si="36"/>
        <v>738</v>
      </c>
      <c r="B838" s="20" t="s">
        <v>815</v>
      </c>
      <c r="C838" s="162">
        <v>1951</v>
      </c>
      <c r="D838" s="31"/>
      <c r="E838" s="217" t="s">
        <v>3035</v>
      </c>
      <c r="F838" s="217">
        <v>6</v>
      </c>
      <c r="G838" s="217">
        <v>4142</v>
      </c>
      <c r="H838" s="218">
        <v>121</v>
      </c>
      <c r="I838" s="273">
        <f>SUMIF('2020'!B:B,B838,'2020'!C:C)+SUMIF('2021'!B:B,B838,'2021'!C:C)+SUMIF('2022'!B:B,B838,'2022'!C:C)</f>
        <v>615186.98</v>
      </c>
      <c r="J838" s="59">
        <v>44925</v>
      </c>
      <c r="K838" s="225" t="s">
        <v>3118</v>
      </c>
    </row>
    <row r="839" spans="1:11" ht="17.25" customHeight="1" x14ac:dyDescent="0.3">
      <c r="A839" s="259">
        <f t="shared" si="36"/>
        <v>739</v>
      </c>
      <c r="B839" s="20" t="s">
        <v>816</v>
      </c>
      <c r="C839" s="162">
        <v>1967</v>
      </c>
      <c r="D839" s="31"/>
      <c r="E839" s="217" t="s">
        <v>3035</v>
      </c>
      <c r="F839" s="217">
        <v>9</v>
      </c>
      <c r="G839" s="217">
        <v>1997.03</v>
      </c>
      <c r="H839" s="218">
        <v>74</v>
      </c>
      <c r="I839" s="273">
        <f>SUMIF('2020'!B:B,B839,'2020'!C:C)+SUMIF('2021'!B:B,B839,'2021'!C:C)+SUMIF('2022'!B:B,B839,'2022'!C:C)</f>
        <v>130000</v>
      </c>
      <c r="J839" s="59">
        <v>44925</v>
      </c>
      <c r="K839" s="225" t="s">
        <v>3118</v>
      </c>
    </row>
    <row r="840" spans="1:11" ht="17.25" customHeight="1" x14ac:dyDescent="0.3">
      <c r="A840" s="259">
        <f t="shared" si="36"/>
        <v>740</v>
      </c>
      <c r="B840" s="20" t="s">
        <v>817</v>
      </c>
      <c r="C840" s="162">
        <v>1968</v>
      </c>
      <c r="D840" s="31"/>
      <c r="E840" s="217" t="s">
        <v>3035</v>
      </c>
      <c r="F840" s="217">
        <v>5</v>
      </c>
      <c r="G840" s="217">
        <v>2538.04</v>
      </c>
      <c r="H840" s="218">
        <v>120</v>
      </c>
      <c r="I840" s="273">
        <f>SUMIF('2020'!B:B,B840,'2020'!C:C)+SUMIF('2021'!B:B,B840,'2021'!C:C)+SUMIF('2022'!B:B,B840,'2022'!C:C)</f>
        <v>3060726.82</v>
      </c>
      <c r="J840" s="59">
        <v>44925</v>
      </c>
      <c r="K840" s="225" t="s">
        <v>3118</v>
      </c>
    </row>
    <row r="841" spans="1:11" ht="17.25" customHeight="1" x14ac:dyDescent="0.3">
      <c r="A841" s="259">
        <f t="shared" si="36"/>
        <v>741</v>
      </c>
      <c r="B841" s="20" t="s">
        <v>818</v>
      </c>
      <c r="C841" s="162">
        <v>1940</v>
      </c>
      <c r="D841" s="31"/>
      <c r="E841" s="217" t="s">
        <v>3035</v>
      </c>
      <c r="F841" s="217">
        <v>3</v>
      </c>
      <c r="G841" s="217">
        <v>659.3</v>
      </c>
      <c r="H841" s="218">
        <v>11</v>
      </c>
      <c r="I841" s="273">
        <f>SUMIF('2020'!B:B,B841,'2020'!C:C)+SUMIF('2021'!B:B,B841,'2021'!C:C)+SUMIF('2022'!B:B,B841,'2022'!C:C)</f>
        <v>116485.19</v>
      </c>
      <c r="J841" s="59">
        <v>44925</v>
      </c>
      <c r="K841" s="225" t="s">
        <v>3118</v>
      </c>
    </row>
    <row r="842" spans="1:11" ht="17.25" customHeight="1" x14ac:dyDescent="0.3">
      <c r="A842" s="259">
        <f t="shared" si="36"/>
        <v>742</v>
      </c>
      <c r="B842" s="20" t="s">
        <v>819</v>
      </c>
      <c r="C842" s="162">
        <v>1928</v>
      </c>
      <c r="D842" s="31"/>
      <c r="E842" s="217" t="s">
        <v>3035</v>
      </c>
      <c r="F842" s="217">
        <v>5</v>
      </c>
      <c r="G842" s="217">
        <v>2688</v>
      </c>
      <c r="H842" s="218">
        <v>58</v>
      </c>
      <c r="I842" s="273">
        <f>SUMIF('2020'!B:B,B842,'2020'!C:C)+SUMIF('2021'!B:B,B842,'2021'!C:C)+SUMIF('2022'!B:B,B842,'2022'!C:C)</f>
        <v>158281.03</v>
      </c>
      <c r="J842" s="59">
        <v>44925</v>
      </c>
      <c r="K842" s="225" t="s">
        <v>3118</v>
      </c>
    </row>
    <row r="843" spans="1:11" ht="17.25" customHeight="1" x14ac:dyDescent="0.3">
      <c r="A843" s="259">
        <f t="shared" si="36"/>
        <v>743</v>
      </c>
      <c r="B843" s="20" t="s">
        <v>820</v>
      </c>
      <c r="C843" s="162">
        <v>1957</v>
      </c>
      <c r="D843" s="31"/>
      <c r="E843" s="217" t="s">
        <v>3035</v>
      </c>
      <c r="F843" s="217">
        <v>4</v>
      </c>
      <c r="G843" s="217">
        <v>3142.92</v>
      </c>
      <c r="H843" s="218">
        <v>102</v>
      </c>
      <c r="I843" s="273">
        <f>SUMIF('2020'!B:B,B843,'2020'!C:C)+SUMIF('2021'!B:B,B843,'2021'!C:C)+SUMIF('2022'!B:B,B843,'2022'!C:C)</f>
        <v>11363397.6</v>
      </c>
      <c r="J843" s="59">
        <v>44925</v>
      </c>
      <c r="K843" s="225" t="s">
        <v>3118</v>
      </c>
    </row>
    <row r="844" spans="1:11" ht="17.25" customHeight="1" x14ac:dyDescent="0.3">
      <c r="A844" s="259">
        <f t="shared" si="36"/>
        <v>744</v>
      </c>
      <c r="B844" s="20" t="s">
        <v>821</v>
      </c>
      <c r="C844" s="162">
        <v>1940</v>
      </c>
      <c r="D844" s="31"/>
      <c r="E844" s="224" t="s">
        <v>3035</v>
      </c>
      <c r="F844" s="217">
        <v>4</v>
      </c>
      <c r="G844" s="217">
        <v>186.3</v>
      </c>
      <c r="H844" s="218">
        <v>5</v>
      </c>
      <c r="I844" s="273">
        <f>SUMIF('2020'!B:B,B844,'2020'!C:C)+SUMIF('2021'!B:B,B844,'2021'!C:C)+SUMIF('2022'!B:B,B844,'2022'!C:C)</f>
        <v>59114.239999999998</v>
      </c>
      <c r="J844" s="59">
        <v>44925</v>
      </c>
      <c r="K844" s="225" t="s">
        <v>3118</v>
      </c>
    </row>
    <row r="845" spans="1:11" ht="17.25" customHeight="1" x14ac:dyDescent="0.3">
      <c r="A845" s="259">
        <f t="shared" si="36"/>
        <v>745</v>
      </c>
      <c r="B845" s="20" t="s">
        <v>822</v>
      </c>
      <c r="C845" s="162">
        <v>1940</v>
      </c>
      <c r="D845" s="31"/>
      <c r="E845" s="217" t="s">
        <v>3035</v>
      </c>
      <c r="F845" s="217">
        <v>6</v>
      </c>
      <c r="G845" s="217">
        <v>4793.4399999999996</v>
      </c>
      <c r="H845" s="218">
        <v>122</v>
      </c>
      <c r="I845" s="273">
        <f>SUMIF('2020'!B:B,B845,'2020'!C:C)+SUMIF('2021'!B:B,B845,'2021'!C:C)+SUMIF('2022'!B:B,B845,'2022'!C:C)</f>
        <v>312388.46000000002</v>
      </c>
      <c r="J845" s="59">
        <v>44925</v>
      </c>
      <c r="K845" s="225" t="s">
        <v>3118</v>
      </c>
    </row>
    <row r="846" spans="1:11" ht="17.25" customHeight="1" x14ac:dyDescent="0.3">
      <c r="A846" s="259">
        <f t="shared" si="36"/>
        <v>746</v>
      </c>
      <c r="B846" s="20" t="s">
        <v>823</v>
      </c>
      <c r="C846" s="162">
        <v>1940</v>
      </c>
      <c r="D846" s="31"/>
      <c r="E846" s="217" t="s">
        <v>3035</v>
      </c>
      <c r="F846" s="217">
        <v>4</v>
      </c>
      <c r="G846" s="217">
        <v>636.61</v>
      </c>
      <c r="H846" s="218">
        <v>29</v>
      </c>
      <c r="I846" s="273">
        <f>SUMIF('2020'!B:B,B846,'2020'!C:C)+SUMIF('2021'!B:B,B846,'2021'!C:C)+SUMIF('2022'!B:B,B846,'2022'!C:C)</f>
        <v>19439843.760000002</v>
      </c>
      <c r="J846" s="59">
        <v>44925</v>
      </c>
      <c r="K846" s="225" t="s">
        <v>3118</v>
      </c>
    </row>
    <row r="847" spans="1:11" ht="17.25" customHeight="1" x14ac:dyDescent="0.3">
      <c r="A847" s="259">
        <f t="shared" si="36"/>
        <v>747</v>
      </c>
      <c r="B847" s="20" t="s">
        <v>824</v>
      </c>
      <c r="C847" s="162">
        <v>1940</v>
      </c>
      <c r="D847" s="31"/>
      <c r="E847" s="217" t="s">
        <v>3035</v>
      </c>
      <c r="F847" s="217">
        <v>4</v>
      </c>
      <c r="G847" s="217">
        <v>1738.25</v>
      </c>
      <c r="H847" s="218">
        <v>16</v>
      </c>
      <c r="I847" s="273">
        <f>SUMIF('2020'!B:B,B847,'2020'!C:C)+SUMIF('2021'!B:B,B847,'2021'!C:C)+SUMIF('2022'!B:B,B847,'2022'!C:C)</f>
        <v>130161.61</v>
      </c>
      <c r="J847" s="59">
        <v>44925</v>
      </c>
      <c r="K847" s="225" t="s">
        <v>3118</v>
      </c>
    </row>
    <row r="848" spans="1:11" ht="17.25" customHeight="1" x14ac:dyDescent="0.3">
      <c r="A848" s="259">
        <f t="shared" si="36"/>
        <v>748</v>
      </c>
      <c r="B848" s="20" t="s">
        <v>825</v>
      </c>
      <c r="C848" s="162">
        <v>2013</v>
      </c>
      <c r="D848" s="31"/>
      <c r="E848" s="31" t="s">
        <v>3035</v>
      </c>
      <c r="F848" s="217">
        <v>5</v>
      </c>
      <c r="G848" s="33">
        <v>1447.08</v>
      </c>
      <c r="H848" s="218">
        <v>34</v>
      </c>
      <c r="I848" s="273">
        <f>SUMIF('2020'!B:B,B848,'2020'!C:C)+SUMIF('2021'!B:B,B848,'2021'!C:C)+SUMIF('2022'!B:B,B848,'2022'!C:C)</f>
        <v>5929628.3999999994</v>
      </c>
      <c r="J848" s="59">
        <v>44925</v>
      </c>
      <c r="K848" s="225" t="s">
        <v>3118</v>
      </c>
    </row>
    <row r="849" spans="1:11" ht="17.25" customHeight="1" x14ac:dyDescent="0.3">
      <c r="A849" s="259">
        <f t="shared" si="36"/>
        <v>749</v>
      </c>
      <c r="B849" s="20" t="s">
        <v>826</v>
      </c>
      <c r="C849" s="162">
        <v>1960</v>
      </c>
      <c r="D849" s="31"/>
      <c r="E849" s="31" t="s">
        <v>3204</v>
      </c>
      <c r="F849" s="217">
        <v>5</v>
      </c>
      <c r="G849" s="31">
        <v>1526.2</v>
      </c>
      <c r="H849" s="218">
        <v>81</v>
      </c>
      <c r="I849" s="273">
        <f>SUMIF('2020'!B:B,B849,'2020'!C:C)+SUMIF('2021'!B:B,B849,'2021'!C:C)+SUMIF('2022'!B:B,B849,'2022'!C:C)</f>
        <v>7438613.9999999991</v>
      </c>
      <c r="J849" s="59">
        <v>44925</v>
      </c>
      <c r="K849" s="225" t="s">
        <v>3118</v>
      </c>
    </row>
    <row r="850" spans="1:11" ht="17.25" customHeight="1" x14ac:dyDescent="0.3">
      <c r="A850" s="259">
        <f t="shared" si="36"/>
        <v>750</v>
      </c>
      <c r="B850" s="20" t="s">
        <v>827</v>
      </c>
      <c r="C850" s="162">
        <v>1940</v>
      </c>
      <c r="D850" s="31"/>
      <c r="E850" s="31" t="s">
        <v>3204</v>
      </c>
      <c r="F850" s="217">
        <v>4</v>
      </c>
      <c r="G850" s="31">
        <v>1526.2</v>
      </c>
      <c r="H850" s="218">
        <v>59</v>
      </c>
      <c r="I850" s="273">
        <f>SUMIF('2020'!B:B,B850,'2020'!C:C)+SUMIF('2021'!B:B,B850,'2021'!C:C)+SUMIF('2022'!B:B,B850,'2022'!C:C)</f>
        <v>130000</v>
      </c>
      <c r="J850" s="59">
        <v>44925</v>
      </c>
      <c r="K850" s="225" t="s">
        <v>3118</v>
      </c>
    </row>
    <row r="851" spans="1:11" ht="17.25" customHeight="1" x14ac:dyDescent="0.3">
      <c r="A851" s="259">
        <f t="shared" si="36"/>
        <v>751</v>
      </c>
      <c r="B851" s="20" t="s">
        <v>828</v>
      </c>
      <c r="C851" s="162">
        <v>1940</v>
      </c>
      <c r="D851" s="31"/>
      <c r="E851" s="31" t="s">
        <v>3035</v>
      </c>
      <c r="F851" s="217">
        <v>4</v>
      </c>
      <c r="G851" s="31">
        <v>161</v>
      </c>
      <c r="H851" s="218">
        <v>43</v>
      </c>
      <c r="I851" s="273">
        <f>SUMIF('2020'!B:B,B851,'2020'!C:C)+SUMIF('2021'!B:B,B851,'2021'!C:C)+SUMIF('2022'!B:B,B851,'2022'!C:C)</f>
        <v>130000</v>
      </c>
      <c r="J851" s="59">
        <v>44925</v>
      </c>
      <c r="K851" s="225" t="s">
        <v>3118</v>
      </c>
    </row>
    <row r="852" spans="1:11" ht="17.25" customHeight="1" x14ac:dyDescent="0.3">
      <c r="A852" s="259">
        <f t="shared" si="36"/>
        <v>752</v>
      </c>
      <c r="B852" s="20" t="s">
        <v>829</v>
      </c>
      <c r="C852" s="162">
        <v>1940</v>
      </c>
      <c r="D852" s="31"/>
      <c r="E852" s="217" t="s">
        <v>3035</v>
      </c>
      <c r="F852" s="217">
        <v>3</v>
      </c>
      <c r="G852" s="217" t="s">
        <v>3172</v>
      </c>
      <c r="H852" s="218">
        <v>14</v>
      </c>
      <c r="I852" s="273">
        <f>SUMIF('2020'!B:B,B852,'2020'!C:C)+SUMIF('2021'!B:B,B852,'2021'!C:C)+SUMIF('2022'!B:B,B852,'2022'!C:C)</f>
        <v>99427.48</v>
      </c>
      <c r="J852" s="59">
        <v>44925</v>
      </c>
      <c r="K852" s="225" t="s">
        <v>3118</v>
      </c>
    </row>
    <row r="853" spans="1:11" ht="17.25" customHeight="1" x14ac:dyDescent="0.3">
      <c r="A853" s="259">
        <f t="shared" si="36"/>
        <v>753</v>
      </c>
      <c r="B853" s="20" t="s">
        <v>830</v>
      </c>
      <c r="C853" s="162">
        <v>1940</v>
      </c>
      <c r="D853" s="31"/>
      <c r="E853" s="217" t="s">
        <v>3035</v>
      </c>
      <c r="F853" s="217">
        <v>4</v>
      </c>
      <c r="G853" s="217">
        <v>739.38</v>
      </c>
      <c r="H853" s="218">
        <v>24</v>
      </c>
      <c r="I853" s="273">
        <f>SUMIF('2020'!B:B,B853,'2020'!C:C)+SUMIF('2021'!B:B,B853,'2021'!C:C)+SUMIF('2022'!B:B,B853,'2022'!C:C)</f>
        <v>116511.55</v>
      </c>
      <c r="J853" s="59">
        <v>44925</v>
      </c>
      <c r="K853" s="225" t="s">
        <v>3118</v>
      </c>
    </row>
    <row r="854" spans="1:11" ht="17.25" customHeight="1" x14ac:dyDescent="0.3">
      <c r="A854" s="259">
        <f t="shared" si="36"/>
        <v>754</v>
      </c>
      <c r="B854" s="20" t="s">
        <v>831</v>
      </c>
      <c r="C854" s="162">
        <v>1940</v>
      </c>
      <c r="D854" s="31"/>
      <c r="E854" s="226" t="s">
        <v>3162</v>
      </c>
      <c r="F854" s="217">
        <v>1</v>
      </c>
      <c r="G854" s="226">
        <v>176.6</v>
      </c>
      <c r="H854" s="227">
        <v>3</v>
      </c>
      <c r="I854" s="273">
        <f>SUMIF('2020'!B:B,B854,'2020'!C:C)+SUMIF('2021'!B:B,B854,'2021'!C:C)+SUMIF('2022'!B:B,B854,'2022'!C:C)</f>
        <v>52464.55</v>
      </c>
      <c r="J854" s="59">
        <v>44925</v>
      </c>
      <c r="K854" s="225" t="s">
        <v>3118</v>
      </c>
    </row>
    <row r="855" spans="1:11" ht="17.25" customHeight="1" x14ac:dyDescent="0.3">
      <c r="A855" s="259">
        <f t="shared" si="36"/>
        <v>755</v>
      </c>
      <c r="B855" s="20" t="s">
        <v>832</v>
      </c>
      <c r="C855" s="162">
        <v>1940</v>
      </c>
      <c r="D855" s="31"/>
      <c r="E855" s="226" t="s">
        <v>3162</v>
      </c>
      <c r="F855" s="217">
        <v>4</v>
      </c>
      <c r="G855" s="226">
        <v>240.21</v>
      </c>
      <c r="H855" s="218">
        <v>12</v>
      </c>
      <c r="I855" s="273">
        <f>SUMIF('2020'!B:B,B855,'2020'!C:C)+SUMIF('2021'!B:B,B855,'2021'!C:C)+SUMIF('2022'!B:B,B855,'2022'!C:C)</f>
        <v>85705.63</v>
      </c>
      <c r="J855" s="59">
        <v>44925</v>
      </c>
      <c r="K855" s="225" t="s">
        <v>3118</v>
      </c>
    </row>
    <row r="856" spans="1:11" ht="17.25" customHeight="1" x14ac:dyDescent="0.3">
      <c r="A856" s="259">
        <f t="shared" si="36"/>
        <v>756</v>
      </c>
      <c r="B856" s="20" t="s">
        <v>833</v>
      </c>
      <c r="C856" s="162">
        <v>1940</v>
      </c>
      <c r="D856" s="31"/>
      <c r="E856" s="226" t="s">
        <v>3120</v>
      </c>
      <c r="F856" s="217">
        <v>2</v>
      </c>
      <c r="G856" s="226">
        <v>229.59</v>
      </c>
      <c r="H856" s="218">
        <v>12</v>
      </c>
      <c r="I856" s="273">
        <f>SUMIF('2020'!B:B,B856,'2020'!C:C)+SUMIF('2021'!B:B,B856,'2021'!C:C)+SUMIF('2022'!B:B,B856,'2022'!C:C)</f>
        <v>82825.2</v>
      </c>
      <c r="J856" s="59">
        <v>44925</v>
      </c>
      <c r="K856" s="225" t="s">
        <v>3118</v>
      </c>
    </row>
    <row r="857" spans="1:11" ht="17.25" customHeight="1" x14ac:dyDescent="0.3">
      <c r="A857" s="259">
        <f t="shared" si="36"/>
        <v>757</v>
      </c>
      <c r="B857" s="20" t="s">
        <v>834</v>
      </c>
      <c r="C857" s="162">
        <v>1940</v>
      </c>
      <c r="D857" s="31"/>
      <c r="E857" s="226" t="s">
        <v>3162</v>
      </c>
      <c r="F857" s="217">
        <v>8</v>
      </c>
      <c r="G857" s="226">
        <v>434.51</v>
      </c>
      <c r="H857" s="218">
        <v>27</v>
      </c>
      <c r="I857" s="273">
        <f>SUMIF('2020'!B:B,B857,'2020'!C:C)+SUMIF('2021'!B:B,B857,'2021'!C:C)+SUMIF('2022'!B:B,B857,'2022'!C:C)</f>
        <v>97401.600000000006</v>
      </c>
      <c r="J857" s="59">
        <v>44925</v>
      </c>
      <c r="K857" s="225" t="s">
        <v>3118</v>
      </c>
    </row>
    <row r="858" spans="1:11" ht="17.25" customHeight="1" x14ac:dyDescent="0.3">
      <c r="A858" s="259">
        <f t="shared" si="36"/>
        <v>758</v>
      </c>
      <c r="B858" s="20" t="s">
        <v>835</v>
      </c>
      <c r="C858" s="162">
        <v>1940</v>
      </c>
      <c r="D858" s="31"/>
      <c r="E858" s="226" t="s">
        <v>3120</v>
      </c>
      <c r="F858" s="217">
        <v>9</v>
      </c>
      <c r="G858" s="226">
        <v>195.77</v>
      </c>
      <c r="H858" s="218">
        <v>19</v>
      </c>
      <c r="I858" s="273">
        <f>SUMIF('2020'!B:B,B858,'2020'!C:C)+SUMIF('2021'!B:B,B858,'2021'!C:C)+SUMIF('2022'!B:B,B858,'2022'!C:C)</f>
        <v>73577.66</v>
      </c>
      <c r="J858" s="59">
        <v>44925</v>
      </c>
      <c r="K858" s="225" t="s">
        <v>3118</v>
      </c>
    </row>
    <row r="859" spans="1:11" ht="17.25" customHeight="1" x14ac:dyDescent="0.3">
      <c r="A859" s="259">
        <f t="shared" si="36"/>
        <v>759</v>
      </c>
      <c r="B859" s="20" t="s">
        <v>836</v>
      </c>
      <c r="C859" s="162">
        <v>1940</v>
      </c>
      <c r="D859" s="31"/>
      <c r="E859" s="224" t="s">
        <v>3035</v>
      </c>
      <c r="F859" s="217">
        <v>1</v>
      </c>
      <c r="G859" s="217">
        <v>209.54</v>
      </c>
      <c r="H859" s="218">
        <v>8</v>
      </c>
      <c r="I859" s="273">
        <f>SUMIF('2020'!B:B,B859,'2020'!C:C)+SUMIF('2021'!B:B,B859,'2021'!C:C)+SUMIF('2022'!B:B,B859,'2022'!C:C)</f>
        <v>43976.52</v>
      </c>
      <c r="J859" s="59">
        <v>44925</v>
      </c>
      <c r="K859" s="225" t="s">
        <v>3118</v>
      </c>
    </row>
    <row r="860" spans="1:11" ht="17.25" customHeight="1" x14ac:dyDescent="0.3">
      <c r="A860" s="259">
        <f t="shared" si="36"/>
        <v>760</v>
      </c>
      <c r="B860" s="20" t="s">
        <v>837</v>
      </c>
      <c r="C860" s="162">
        <v>1940</v>
      </c>
      <c r="D860" s="31"/>
      <c r="E860" s="226" t="s">
        <v>3120</v>
      </c>
      <c r="F860" s="217">
        <v>6</v>
      </c>
      <c r="G860" s="226">
        <v>323.77999999999997</v>
      </c>
      <c r="H860" s="218">
        <v>21</v>
      </c>
      <c r="I860" s="273">
        <f>SUMIF('2020'!B:B,B860,'2020'!C:C)+SUMIF('2021'!B:B,B860,'2021'!C:C)+SUMIF('2022'!B:B,B860,'2022'!C:C)</f>
        <v>108496.03</v>
      </c>
      <c r="J860" s="59">
        <v>44925</v>
      </c>
      <c r="K860" s="225" t="s">
        <v>3118</v>
      </c>
    </row>
    <row r="861" spans="1:11" ht="17.25" customHeight="1" x14ac:dyDescent="0.3">
      <c r="A861" s="259">
        <f t="shared" si="36"/>
        <v>761</v>
      </c>
      <c r="B861" s="20" t="s">
        <v>838</v>
      </c>
      <c r="C861" s="162">
        <v>1940</v>
      </c>
      <c r="D861" s="31"/>
      <c r="E861" s="226" t="s">
        <v>3163</v>
      </c>
      <c r="F861" s="217">
        <v>8</v>
      </c>
      <c r="G861" s="226">
        <v>172.32</v>
      </c>
      <c r="H861" s="218">
        <v>8</v>
      </c>
      <c r="I861" s="273">
        <f>SUMIF('2020'!B:B,B861,'2020'!C:C)+SUMIF('2021'!B:B,B861,'2021'!C:C)+SUMIF('2022'!B:B,B861,'2022'!C:C)</f>
        <v>77405.53</v>
      </c>
      <c r="J861" s="59">
        <v>44925</v>
      </c>
      <c r="K861" s="225" t="s">
        <v>3118</v>
      </c>
    </row>
    <row r="862" spans="1:11" ht="17.25" customHeight="1" x14ac:dyDescent="0.3">
      <c r="A862" s="259">
        <f t="shared" si="36"/>
        <v>762</v>
      </c>
      <c r="B862" s="20" t="s">
        <v>839</v>
      </c>
      <c r="C862" s="162">
        <v>1940</v>
      </c>
      <c r="D862" s="31"/>
      <c r="E862" s="224" t="s">
        <v>3035</v>
      </c>
      <c r="F862" s="217">
        <v>2</v>
      </c>
      <c r="G862" s="226">
        <v>402.97</v>
      </c>
      <c r="H862" s="227">
        <v>4</v>
      </c>
      <c r="I862" s="273">
        <f>SUMIF('2020'!B:B,B862,'2020'!C:C)+SUMIF('2021'!B:B,B862,'2021'!C:C)+SUMIF('2022'!B:B,B862,'2022'!C:C)</f>
        <v>91764.53</v>
      </c>
      <c r="J862" s="59">
        <v>44925</v>
      </c>
      <c r="K862" s="225" t="s">
        <v>3118</v>
      </c>
    </row>
    <row r="863" spans="1:11" ht="17.25" customHeight="1" x14ac:dyDescent="0.3">
      <c r="A863" s="259">
        <f t="shared" si="36"/>
        <v>763</v>
      </c>
      <c r="B863" s="20" t="s">
        <v>840</v>
      </c>
      <c r="C863" s="162">
        <v>1940</v>
      </c>
      <c r="D863" s="31"/>
      <c r="E863" s="217" t="s">
        <v>3035</v>
      </c>
      <c r="F863" s="217">
        <v>4</v>
      </c>
      <c r="G863" s="217">
        <v>1176</v>
      </c>
      <c r="H863" s="218">
        <v>33</v>
      </c>
      <c r="I863" s="273">
        <f>SUMIF('2020'!B:B,B863,'2020'!C:C)+SUMIF('2021'!B:B,B863,'2021'!C:C)+SUMIF('2022'!B:B,B863,'2022'!C:C)</f>
        <v>125364.76</v>
      </c>
      <c r="J863" s="59">
        <v>44925</v>
      </c>
      <c r="K863" s="225" t="s">
        <v>3118</v>
      </c>
    </row>
    <row r="864" spans="1:11" ht="17.25" customHeight="1" x14ac:dyDescent="0.3">
      <c r="A864" s="259">
        <f t="shared" ref="A864:A892" si="37">A863+1</f>
        <v>764</v>
      </c>
      <c r="B864" s="20" t="s">
        <v>841</v>
      </c>
      <c r="C864" s="162">
        <v>1966</v>
      </c>
      <c r="D864" s="31"/>
      <c r="E864" s="217" t="s">
        <v>3035</v>
      </c>
      <c r="F864" s="217">
        <v>9</v>
      </c>
      <c r="G864" s="217">
        <v>2044</v>
      </c>
      <c r="H864" s="218">
        <v>65</v>
      </c>
      <c r="I864" s="273">
        <f>SUMIF('2020'!B:B,B864,'2020'!C:C)+SUMIF('2021'!B:B,B864,'2021'!C:C)+SUMIF('2022'!B:B,B864,'2022'!C:C)</f>
        <v>130000</v>
      </c>
      <c r="J864" s="59">
        <v>44925</v>
      </c>
      <c r="K864" s="225" t="s">
        <v>3118</v>
      </c>
    </row>
    <row r="865" spans="1:11" ht="17.25" customHeight="1" x14ac:dyDescent="0.3">
      <c r="A865" s="259">
        <f t="shared" si="37"/>
        <v>765</v>
      </c>
      <c r="B865" s="20" t="s">
        <v>842</v>
      </c>
      <c r="C865" s="162">
        <v>1940</v>
      </c>
      <c r="D865" s="31"/>
      <c r="E865" s="224" t="s">
        <v>3035</v>
      </c>
      <c r="F865" s="224">
        <v>2</v>
      </c>
      <c r="G865" s="224">
        <v>483.56</v>
      </c>
      <c r="H865" s="227">
        <v>12</v>
      </c>
      <c r="I865" s="273">
        <f>SUMIF('2020'!B:B,B865,'2020'!C:C)+SUMIF('2021'!B:B,B865,'2021'!C:C)+SUMIF('2022'!B:B,B865,'2022'!C:C)</f>
        <v>109795.69</v>
      </c>
      <c r="J865" s="59">
        <v>44925</v>
      </c>
      <c r="K865" s="225" t="s">
        <v>3118</v>
      </c>
    </row>
    <row r="866" spans="1:11" ht="17.25" customHeight="1" x14ac:dyDescent="0.3">
      <c r="A866" s="259">
        <f t="shared" si="37"/>
        <v>766</v>
      </c>
      <c r="B866" s="20" t="s">
        <v>843</v>
      </c>
      <c r="C866" s="162">
        <v>1940</v>
      </c>
      <c r="D866" s="31"/>
      <c r="E866" s="217" t="s">
        <v>3035</v>
      </c>
      <c r="F866" s="217">
        <v>3</v>
      </c>
      <c r="G866" s="217">
        <v>1251.5999999999999</v>
      </c>
      <c r="H866" s="218">
        <v>23</v>
      </c>
      <c r="I866" s="273">
        <f>SUMIF('2020'!B:B,B866,'2020'!C:C)+SUMIF('2021'!B:B,B866,'2021'!C:C)+SUMIF('2022'!B:B,B866,'2022'!C:C)</f>
        <v>130000</v>
      </c>
      <c r="J866" s="59">
        <v>44925</v>
      </c>
      <c r="K866" s="225" t="s">
        <v>3118</v>
      </c>
    </row>
    <row r="867" spans="1:11" ht="17.25" customHeight="1" x14ac:dyDescent="0.3">
      <c r="A867" s="259">
        <f t="shared" si="37"/>
        <v>767</v>
      </c>
      <c r="B867" s="20" t="s">
        <v>844</v>
      </c>
      <c r="C867" s="162">
        <v>1997</v>
      </c>
      <c r="D867" s="31"/>
      <c r="E867" s="217" t="s">
        <v>3035</v>
      </c>
      <c r="F867" s="217">
        <v>7</v>
      </c>
      <c r="G867" s="217">
        <v>1685.2</v>
      </c>
      <c r="H867" s="218">
        <v>45</v>
      </c>
      <c r="I867" s="273">
        <f>SUMIF('2020'!B:B,B867,'2020'!C:C)+SUMIF('2021'!B:B,B867,'2021'!C:C)+SUMIF('2022'!B:B,B867,'2022'!C:C)</f>
        <v>130000</v>
      </c>
      <c r="J867" s="59">
        <v>44925</v>
      </c>
      <c r="K867" s="225" t="s">
        <v>3118</v>
      </c>
    </row>
    <row r="868" spans="1:11" ht="17.25" customHeight="1" x14ac:dyDescent="0.3">
      <c r="A868" s="259">
        <f t="shared" si="37"/>
        <v>768</v>
      </c>
      <c r="B868" s="20" t="s">
        <v>845</v>
      </c>
      <c r="C868" s="162">
        <v>1989</v>
      </c>
      <c r="D868" s="31"/>
      <c r="E868" s="217" t="s">
        <v>3119</v>
      </c>
      <c r="F868" s="217">
        <v>5</v>
      </c>
      <c r="G868" s="217">
        <v>3461.5</v>
      </c>
      <c r="H868" s="218">
        <v>162</v>
      </c>
      <c r="I868" s="273">
        <f>SUMIF('2020'!B:B,B868,'2020'!C:C)+SUMIF('2021'!B:B,B868,'2021'!C:C)+SUMIF('2022'!B:B,B868,'2022'!C:C)</f>
        <v>5531298</v>
      </c>
      <c r="J868" s="59">
        <v>44925</v>
      </c>
      <c r="K868" s="225" t="s">
        <v>3118</v>
      </c>
    </row>
    <row r="869" spans="1:11" ht="17.25" customHeight="1" x14ac:dyDescent="0.3">
      <c r="A869" s="259">
        <f t="shared" si="37"/>
        <v>769</v>
      </c>
      <c r="B869" s="20" t="s">
        <v>846</v>
      </c>
      <c r="C869" s="162">
        <v>1989</v>
      </c>
      <c r="D869" s="31"/>
      <c r="E869" s="217" t="s">
        <v>3119</v>
      </c>
      <c r="F869" s="217">
        <v>9</v>
      </c>
      <c r="G869" s="217">
        <v>4002.9</v>
      </c>
      <c r="H869" s="218">
        <v>112</v>
      </c>
      <c r="I869" s="273">
        <f>SUMIF('2020'!B:B,B869,'2020'!C:C)+SUMIF('2021'!B:B,B869,'2021'!C:C)+SUMIF('2022'!B:B,B869,'2022'!C:C)</f>
        <v>130000</v>
      </c>
      <c r="J869" s="59">
        <v>44925</v>
      </c>
      <c r="K869" s="58" t="s">
        <v>3118</v>
      </c>
    </row>
    <row r="870" spans="1:11" ht="17.25" customHeight="1" x14ac:dyDescent="0.3">
      <c r="A870" s="259">
        <f t="shared" si="37"/>
        <v>770</v>
      </c>
      <c r="B870" s="20" t="s">
        <v>847</v>
      </c>
      <c r="C870" s="162">
        <v>1976</v>
      </c>
      <c r="D870" s="31"/>
      <c r="E870" s="31" t="s">
        <v>3035</v>
      </c>
      <c r="F870" s="31">
        <v>5</v>
      </c>
      <c r="G870" s="31">
        <v>9317.4</v>
      </c>
      <c r="H870" s="218">
        <v>498</v>
      </c>
      <c r="I870" s="273">
        <f>SUMIF('2020'!B:B,B870,'2020'!C:C)+SUMIF('2021'!B:B,B870,'2021'!C:C)+SUMIF('2022'!B:B,B870,'2022'!C:C)</f>
        <v>21156898.049999997</v>
      </c>
      <c r="J870" s="59">
        <v>44925</v>
      </c>
      <c r="K870" s="225" t="s">
        <v>3118</v>
      </c>
    </row>
    <row r="871" spans="1:11" ht="17.25" customHeight="1" x14ac:dyDescent="0.3">
      <c r="A871" s="259">
        <f t="shared" si="37"/>
        <v>771</v>
      </c>
      <c r="B871" s="20" t="s">
        <v>848</v>
      </c>
      <c r="C871" s="162">
        <v>1940</v>
      </c>
      <c r="D871" s="31"/>
      <c r="E871" s="217" t="s">
        <v>3035</v>
      </c>
      <c r="F871" s="217">
        <v>3</v>
      </c>
      <c r="G871" s="217">
        <v>1006.04</v>
      </c>
      <c r="H871" s="218">
        <v>43</v>
      </c>
      <c r="I871" s="273">
        <f>SUMIF('2020'!B:B,B871,'2020'!C:C)+SUMIF('2021'!B:B,B871,'2021'!C:C)+SUMIF('2022'!B:B,B871,'2022'!C:C)</f>
        <v>11638263.01</v>
      </c>
      <c r="J871" s="59">
        <v>44925</v>
      </c>
      <c r="K871" s="225" t="s">
        <v>3118</v>
      </c>
    </row>
    <row r="872" spans="1:11" ht="17.25" customHeight="1" x14ac:dyDescent="0.3">
      <c r="A872" s="259">
        <f t="shared" si="37"/>
        <v>772</v>
      </c>
      <c r="B872" s="20" t="s">
        <v>849</v>
      </c>
      <c r="C872" s="162">
        <v>1940</v>
      </c>
      <c r="D872" s="31"/>
      <c r="E872" s="224" t="s">
        <v>3035</v>
      </c>
      <c r="F872" s="217">
        <v>3</v>
      </c>
      <c r="G872" s="217">
        <v>1287.83</v>
      </c>
      <c r="H872" s="218">
        <v>60</v>
      </c>
      <c r="I872" s="273">
        <f>SUMIF('2020'!B:B,B872,'2020'!C:C)+SUMIF('2021'!B:B,B872,'2021'!C:C)+SUMIF('2022'!B:B,B872,'2022'!C:C)</f>
        <v>179765.63</v>
      </c>
      <c r="J872" s="59">
        <v>44925</v>
      </c>
      <c r="K872" s="225" t="s">
        <v>3118</v>
      </c>
    </row>
    <row r="873" spans="1:11" ht="17.25" customHeight="1" x14ac:dyDescent="0.3">
      <c r="A873" s="259">
        <f t="shared" si="37"/>
        <v>773</v>
      </c>
      <c r="B873" s="20" t="s">
        <v>850</v>
      </c>
      <c r="C873" s="162">
        <v>1910</v>
      </c>
      <c r="D873" s="31"/>
      <c r="E873" s="217" t="s">
        <v>3035</v>
      </c>
      <c r="F873" s="217">
        <v>5</v>
      </c>
      <c r="G873" s="217">
        <v>5359.98</v>
      </c>
      <c r="H873" s="218">
        <v>169</v>
      </c>
      <c r="I873" s="273">
        <f>SUMIF('2020'!B:B,B873,'2020'!C:C)+SUMIF('2021'!B:B,B873,'2021'!C:C)+SUMIF('2022'!B:B,B873,'2022'!C:C)</f>
        <v>138322.04</v>
      </c>
      <c r="J873" s="59">
        <v>44925</v>
      </c>
      <c r="K873" s="225" t="s">
        <v>3118</v>
      </c>
    </row>
    <row r="874" spans="1:11" ht="17.25" customHeight="1" x14ac:dyDescent="0.3">
      <c r="A874" s="259">
        <f t="shared" si="37"/>
        <v>774</v>
      </c>
      <c r="B874" s="20" t="s">
        <v>851</v>
      </c>
      <c r="C874" s="162">
        <v>1972</v>
      </c>
      <c r="D874" s="31"/>
      <c r="E874" s="225" t="s">
        <v>3128</v>
      </c>
      <c r="F874" s="217">
        <v>5</v>
      </c>
      <c r="G874" s="225">
        <v>6267.25</v>
      </c>
      <c r="H874" s="218">
        <v>118</v>
      </c>
      <c r="I874" s="273">
        <f>SUMIF('2020'!B:B,B874,'2020'!C:C)+SUMIF('2021'!B:B,B874,'2021'!C:C)+SUMIF('2022'!B:B,B874,'2022'!C:C)</f>
        <v>5847162.6799999997</v>
      </c>
      <c r="J874" s="59">
        <v>44925</v>
      </c>
      <c r="K874" s="225" t="s">
        <v>3118</v>
      </c>
    </row>
    <row r="875" spans="1:11" ht="17.25" customHeight="1" x14ac:dyDescent="0.3">
      <c r="A875" s="259">
        <f t="shared" si="37"/>
        <v>775</v>
      </c>
      <c r="B875" s="20" t="s">
        <v>852</v>
      </c>
      <c r="C875" s="162">
        <v>1997</v>
      </c>
      <c r="D875" s="31"/>
      <c r="E875" s="217" t="s">
        <v>3035</v>
      </c>
      <c r="F875" s="217">
        <v>14</v>
      </c>
      <c r="G875" s="217">
        <v>5099.2</v>
      </c>
      <c r="H875" s="218">
        <v>210</v>
      </c>
      <c r="I875" s="273">
        <f>SUMIF('2020'!B:B,B875,'2020'!C:C)+SUMIF('2021'!B:B,B875,'2021'!C:C)+SUMIF('2022'!B:B,B875,'2022'!C:C)</f>
        <v>3877013.02</v>
      </c>
      <c r="J875" s="59">
        <v>44925</v>
      </c>
      <c r="K875" s="225" t="s">
        <v>3118</v>
      </c>
    </row>
    <row r="876" spans="1:11" ht="17.25" customHeight="1" x14ac:dyDescent="0.3">
      <c r="A876" s="259">
        <f t="shared" si="37"/>
        <v>776</v>
      </c>
      <c r="B876" s="20" t="s">
        <v>853</v>
      </c>
      <c r="C876" s="162">
        <v>1940</v>
      </c>
      <c r="D876" s="31"/>
      <c r="E876" s="217" t="s">
        <v>3035</v>
      </c>
      <c r="F876" s="217">
        <v>6</v>
      </c>
      <c r="G876" s="217">
        <v>1858.67</v>
      </c>
      <c r="H876" s="218">
        <v>43</v>
      </c>
      <c r="I876" s="273">
        <f>SUMIF('2020'!B:B,B876,'2020'!C:C)+SUMIF('2021'!B:B,B876,'2021'!C:C)+SUMIF('2022'!B:B,B876,'2022'!C:C)</f>
        <v>46881187.339999996</v>
      </c>
      <c r="J876" s="59">
        <v>44925</v>
      </c>
      <c r="K876" s="225" t="s">
        <v>3118</v>
      </c>
    </row>
    <row r="877" spans="1:11" ht="17.25" customHeight="1" x14ac:dyDescent="0.3">
      <c r="A877" s="259">
        <f t="shared" si="37"/>
        <v>777</v>
      </c>
      <c r="B877" s="20" t="s">
        <v>854</v>
      </c>
      <c r="C877" s="162">
        <v>1940</v>
      </c>
      <c r="D877" s="31"/>
      <c r="E877" s="217" t="s">
        <v>3035</v>
      </c>
      <c r="F877" s="217">
        <v>2</v>
      </c>
      <c r="G877" s="217">
        <v>498</v>
      </c>
      <c r="H877" s="218">
        <v>14</v>
      </c>
      <c r="I877" s="273">
        <f>SUMIF('2020'!B:B,B877,'2020'!C:C)+SUMIF('2021'!B:B,B877,'2021'!C:C)+SUMIF('2022'!B:B,B877,'2022'!C:C)</f>
        <v>108536.82</v>
      </c>
      <c r="J877" s="59">
        <v>44925</v>
      </c>
      <c r="K877" s="225" t="s">
        <v>3118</v>
      </c>
    </row>
    <row r="878" spans="1:11" ht="17.25" customHeight="1" x14ac:dyDescent="0.3">
      <c r="A878" s="259">
        <f t="shared" si="37"/>
        <v>778</v>
      </c>
      <c r="B878" s="20" t="s">
        <v>855</v>
      </c>
      <c r="C878" s="162">
        <v>1940</v>
      </c>
      <c r="D878" s="31"/>
      <c r="E878" s="224" t="s">
        <v>3035</v>
      </c>
      <c r="F878" s="217">
        <v>4</v>
      </c>
      <c r="G878" s="217">
        <v>1840.4</v>
      </c>
      <c r="H878" s="218">
        <v>47</v>
      </c>
      <c r="I878" s="273">
        <f>SUMIF('2020'!B:B,B878,'2020'!C:C)+SUMIF('2021'!B:B,B878,'2021'!C:C)+SUMIF('2022'!B:B,B878,'2022'!C:C)</f>
        <v>150346.67000000001</v>
      </c>
      <c r="J878" s="59">
        <v>44925</v>
      </c>
      <c r="K878" s="225" t="s">
        <v>3118</v>
      </c>
    </row>
    <row r="879" spans="1:11" ht="17.25" customHeight="1" x14ac:dyDescent="0.3">
      <c r="A879" s="259">
        <f t="shared" si="37"/>
        <v>779</v>
      </c>
      <c r="B879" s="20" t="s">
        <v>856</v>
      </c>
      <c r="C879" s="162">
        <v>1940</v>
      </c>
      <c r="D879" s="31"/>
      <c r="E879" s="217" t="s">
        <v>3035</v>
      </c>
      <c r="F879" s="217">
        <v>2</v>
      </c>
      <c r="G879" s="217">
        <v>599.99</v>
      </c>
      <c r="H879" s="218">
        <v>27</v>
      </c>
      <c r="I879" s="273">
        <f>SUMIF('2020'!B:B,B879,'2020'!C:C)+SUMIF('2021'!B:B,B879,'2021'!C:C)+SUMIF('2022'!B:B,B879,'2022'!C:C)</f>
        <v>117931.54</v>
      </c>
      <c r="J879" s="59">
        <v>44925</v>
      </c>
      <c r="K879" s="225" t="s">
        <v>3118</v>
      </c>
    </row>
    <row r="880" spans="1:11" ht="17.25" customHeight="1" x14ac:dyDescent="0.3">
      <c r="A880" s="259">
        <f t="shared" si="37"/>
        <v>780</v>
      </c>
      <c r="B880" s="20" t="s">
        <v>857</v>
      </c>
      <c r="C880" s="162">
        <v>2013</v>
      </c>
      <c r="D880" s="31"/>
      <c r="E880" s="217" t="s">
        <v>3035</v>
      </c>
      <c r="F880" s="217">
        <v>5</v>
      </c>
      <c r="G880" s="217">
        <v>4503.8</v>
      </c>
      <c r="H880" s="218">
        <v>225</v>
      </c>
      <c r="I880" s="273">
        <f>SUMIF('2020'!B:B,B880,'2020'!C:C)+SUMIF('2021'!B:B,B880,'2021'!C:C)+SUMIF('2022'!B:B,B880,'2022'!C:C)</f>
        <v>16319618.129999999</v>
      </c>
      <c r="J880" s="59">
        <v>44925</v>
      </c>
      <c r="K880" s="225" t="s">
        <v>3118</v>
      </c>
    </row>
    <row r="881" spans="1:11" ht="17.25" customHeight="1" x14ac:dyDescent="0.3">
      <c r="A881" s="259">
        <f t="shared" si="37"/>
        <v>781</v>
      </c>
      <c r="B881" s="20" t="s">
        <v>858</v>
      </c>
      <c r="C881" s="162">
        <v>1940</v>
      </c>
      <c r="D881" s="31"/>
      <c r="E881" s="226" t="s">
        <v>3120</v>
      </c>
      <c r="F881" s="226">
        <v>2</v>
      </c>
      <c r="G881" s="226">
        <v>278.27</v>
      </c>
      <c r="H881" s="227">
        <v>4</v>
      </c>
      <c r="I881" s="273">
        <f>SUMIF('2020'!B:B,B881,'2020'!C:C)+SUMIF('2021'!B:B,B881,'2021'!C:C)+SUMIF('2022'!B:B,B881,'2022'!C:C)</f>
        <v>99345.5</v>
      </c>
      <c r="J881" s="59">
        <v>44925</v>
      </c>
      <c r="K881" s="225" t="s">
        <v>3118</v>
      </c>
    </row>
    <row r="882" spans="1:11" ht="17.25" customHeight="1" x14ac:dyDescent="0.3">
      <c r="A882" s="259">
        <f t="shared" si="37"/>
        <v>782</v>
      </c>
      <c r="B882" s="20" t="s">
        <v>859</v>
      </c>
      <c r="C882" s="162">
        <v>1940</v>
      </c>
      <c r="D882" s="31"/>
      <c r="E882" s="226" t="s">
        <v>3120</v>
      </c>
      <c r="F882" s="226">
        <v>1</v>
      </c>
      <c r="G882" s="226">
        <v>323.36</v>
      </c>
      <c r="H882" s="227">
        <v>3</v>
      </c>
      <c r="I882" s="273">
        <f>SUMIF('2020'!B:B,B882,'2020'!C:C)+SUMIF('2021'!B:B,B882,'2021'!C:C)+SUMIF('2022'!B:B,B882,'2022'!C:C)</f>
        <v>72635.3</v>
      </c>
      <c r="J882" s="59">
        <v>44925</v>
      </c>
      <c r="K882" s="225" t="s">
        <v>3118</v>
      </c>
    </row>
    <row r="883" spans="1:11" ht="17.25" customHeight="1" x14ac:dyDescent="0.3">
      <c r="A883" s="259">
        <f t="shared" si="37"/>
        <v>783</v>
      </c>
      <c r="B883" s="20" t="s">
        <v>860</v>
      </c>
      <c r="C883" s="162">
        <v>1940</v>
      </c>
      <c r="D883" s="31"/>
      <c r="E883" s="31" t="s">
        <v>3120</v>
      </c>
      <c r="F883" s="31">
        <v>2</v>
      </c>
      <c r="G883" s="31">
        <v>191.6</v>
      </c>
      <c r="H883" s="173">
        <v>4</v>
      </c>
      <c r="I883" s="273">
        <f>SUMIF('2020'!B:B,B883,'2020'!C:C)+SUMIF('2021'!B:B,B883,'2021'!C:C)+SUMIF('2022'!B:B,B883,'2022'!C:C)</f>
        <v>130000</v>
      </c>
      <c r="J883" s="59">
        <v>44925</v>
      </c>
      <c r="K883" s="225" t="s">
        <v>3118</v>
      </c>
    </row>
    <row r="884" spans="1:11" ht="17.25" customHeight="1" x14ac:dyDescent="0.3">
      <c r="A884" s="259">
        <f t="shared" si="37"/>
        <v>784</v>
      </c>
      <c r="B884" s="20" t="s">
        <v>861</v>
      </c>
      <c r="C884" s="162">
        <v>1940</v>
      </c>
      <c r="D884" s="31"/>
      <c r="E884" s="226" t="s">
        <v>3163</v>
      </c>
      <c r="F884" s="226">
        <v>2</v>
      </c>
      <c r="G884" s="226">
        <v>390.87</v>
      </c>
      <c r="H884" s="218">
        <v>5</v>
      </c>
      <c r="I884" s="273">
        <f>SUMIF('2020'!B:B,B884,'2020'!C:C)+SUMIF('2021'!B:B,B884,'2021'!C:C)+SUMIF('2022'!B:B,B884,'2022'!C:C)</f>
        <v>92631.44</v>
      </c>
      <c r="J884" s="59">
        <v>44925</v>
      </c>
      <c r="K884" s="225" t="s">
        <v>3118</v>
      </c>
    </row>
    <row r="885" spans="1:11" ht="17.25" customHeight="1" x14ac:dyDescent="0.3">
      <c r="A885" s="259">
        <f t="shared" si="37"/>
        <v>785</v>
      </c>
      <c r="B885" s="20" t="s">
        <v>862</v>
      </c>
      <c r="C885" s="162">
        <v>1940</v>
      </c>
      <c r="D885" s="31"/>
      <c r="E885" s="226" t="s">
        <v>3120</v>
      </c>
      <c r="F885" s="226">
        <v>2</v>
      </c>
      <c r="G885" s="226">
        <v>266.2</v>
      </c>
      <c r="H885" s="218">
        <v>4</v>
      </c>
      <c r="I885" s="273">
        <f>SUMIF('2020'!B:B,B885,'2020'!C:C)+SUMIF('2021'!B:B,B885,'2021'!C:C)+SUMIF('2022'!B:B,B885,'2022'!C:C)</f>
        <v>95868.479999999996</v>
      </c>
      <c r="J885" s="59">
        <v>44925</v>
      </c>
      <c r="K885" s="225" t="s">
        <v>3118</v>
      </c>
    </row>
    <row r="886" spans="1:11" ht="17.25" customHeight="1" x14ac:dyDescent="0.3">
      <c r="A886" s="259">
        <f t="shared" si="37"/>
        <v>786</v>
      </c>
      <c r="B886" s="20" t="s">
        <v>863</v>
      </c>
      <c r="C886" s="162">
        <v>1940</v>
      </c>
      <c r="D886" s="31"/>
      <c r="E886" s="226" t="s">
        <v>3162</v>
      </c>
      <c r="F886" s="226">
        <v>2</v>
      </c>
      <c r="G886" s="226">
        <v>244.57</v>
      </c>
      <c r="H886" s="218">
        <v>7</v>
      </c>
      <c r="I886" s="273">
        <f>SUMIF('2020'!B:B,B886,'2020'!C:C)+SUMIF('2021'!B:B,B886,'2021'!C:C)+SUMIF('2022'!B:B,B886,'2022'!C:C)</f>
        <v>89757.37</v>
      </c>
      <c r="J886" s="59">
        <v>44925</v>
      </c>
      <c r="K886" s="225" t="s">
        <v>3118</v>
      </c>
    </row>
    <row r="887" spans="1:11" ht="17.25" customHeight="1" x14ac:dyDescent="0.3">
      <c r="A887" s="259">
        <f t="shared" si="37"/>
        <v>787</v>
      </c>
      <c r="B887" s="20" t="s">
        <v>864</v>
      </c>
      <c r="C887" s="162">
        <v>1940</v>
      </c>
      <c r="D887" s="31"/>
      <c r="E887" s="226" t="s">
        <v>3120</v>
      </c>
      <c r="F887" s="226">
        <v>2</v>
      </c>
      <c r="G887" s="226">
        <v>229.55</v>
      </c>
      <c r="H887" s="218">
        <v>8</v>
      </c>
      <c r="I887" s="273">
        <f>SUMIF('2020'!B:B,B887,'2020'!C:C)+SUMIF('2021'!B:B,B887,'2021'!C:C)+SUMIF('2022'!B:B,B887,'2022'!C:C)</f>
        <v>85490.11</v>
      </c>
      <c r="J887" s="59">
        <v>44925</v>
      </c>
      <c r="K887" s="225" t="s">
        <v>3118</v>
      </c>
    </row>
    <row r="888" spans="1:11" ht="17.25" customHeight="1" x14ac:dyDescent="0.3">
      <c r="A888" s="259">
        <f t="shared" si="37"/>
        <v>788</v>
      </c>
      <c r="B888" s="20" t="s">
        <v>865</v>
      </c>
      <c r="C888" s="162">
        <v>1940</v>
      </c>
      <c r="D888" s="31"/>
      <c r="E888" s="226" t="s">
        <v>3120</v>
      </c>
      <c r="F888" s="217">
        <v>2</v>
      </c>
      <c r="G888" s="226">
        <v>240.1</v>
      </c>
      <c r="H888" s="218">
        <v>6</v>
      </c>
      <c r="I888" s="273">
        <f>SUMIF('2020'!B:B,B888,'2020'!C:C)+SUMIF('2021'!B:B,B888,'2021'!C:C)+SUMIF('2022'!B:B,B888,'2022'!C:C)</f>
        <v>88492.99</v>
      </c>
      <c r="J888" s="59">
        <v>44925</v>
      </c>
      <c r="K888" s="225" t="s">
        <v>3118</v>
      </c>
    </row>
    <row r="889" spans="1:11" ht="17.25" customHeight="1" x14ac:dyDescent="0.3">
      <c r="A889" s="259">
        <f t="shared" si="37"/>
        <v>789</v>
      </c>
      <c r="B889" s="20" t="s">
        <v>866</v>
      </c>
      <c r="C889" s="162">
        <v>1917</v>
      </c>
      <c r="D889" s="31"/>
      <c r="E889" s="225" t="s">
        <v>3035</v>
      </c>
      <c r="F889" s="259">
        <v>2</v>
      </c>
      <c r="G889" s="224">
        <v>364.2</v>
      </c>
      <c r="H889" s="218">
        <v>11</v>
      </c>
      <c r="I889" s="273">
        <f>SUMIF('2020'!B:B,B889,'2020'!C:C)+SUMIF('2021'!B:B,B889,'2021'!C:C)+SUMIF('2022'!B:B,B889,'2022'!C:C)</f>
        <v>119755.31</v>
      </c>
      <c r="J889" s="59">
        <v>44925</v>
      </c>
      <c r="K889" s="225" t="s">
        <v>3118</v>
      </c>
    </row>
    <row r="890" spans="1:11" ht="17.25" customHeight="1" x14ac:dyDescent="0.3">
      <c r="A890" s="259">
        <f t="shared" si="37"/>
        <v>790</v>
      </c>
      <c r="B890" s="20" t="s">
        <v>867</v>
      </c>
      <c r="C890" s="162">
        <v>1940</v>
      </c>
      <c r="D890" s="31"/>
      <c r="E890" s="225" t="s">
        <v>3035</v>
      </c>
      <c r="F890" s="259">
        <v>2</v>
      </c>
      <c r="G890" s="224">
        <v>384.9</v>
      </c>
      <c r="H890" s="218">
        <v>12</v>
      </c>
      <c r="I890" s="273">
        <f>SUMIF('2020'!B:B,B890,'2020'!C:C)+SUMIF('2021'!B:B,B890,'2021'!C:C)+SUMIF('2022'!B:B,B890,'2022'!C:C)</f>
        <v>91498.61</v>
      </c>
      <c r="J890" s="59">
        <v>44925</v>
      </c>
      <c r="K890" s="225" t="s">
        <v>3118</v>
      </c>
    </row>
    <row r="891" spans="1:11" ht="17.25" customHeight="1" x14ac:dyDescent="0.3">
      <c r="A891" s="259">
        <f t="shared" si="37"/>
        <v>791</v>
      </c>
      <c r="B891" s="20" t="s">
        <v>868</v>
      </c>
      <c r="C891" s="162">
        <v>1917</v>
      </c>
      <c r="D891" s="31"/>
      <c r="E891" s="225" t="s">
        <v>3035</v>
      </c>
      <c r="F891" s="259">
        <v>2</v>
      </c>
      <c r="G891" s="224">
        <v>364.2</v>
      </c>
      <c r="H891" s="218">
        <v>11</v>
      </c>
      <c r="I891" s="273">
        <f>SUMIF('2020'!B:B,B891,'2020'!C:C)+SUMIF('2021'!B:B,B891,'2021'!C:C)+SUMIF('2022'!B:B,B891,'2022'!C:C)</f>
        <v>119755.31</v>
      </c>
      <c r="J891" s="59">
        <v>44925</v>
      </c>
      <c r="K891" s="225" t="s">
        <v>3118</v>
      </c>
    </row>
    <row r="892" spans="1:11" ht="17.25" customHeight="1" x14ac:dyDescent="0.3">
      <c r="A892" s="259">
        <f t="shared" si="37"/>
        <v>792</v>
      </c>
      <c r="B892" s="20" t="s">
        <v>869</v>
      </c>
      <c r="C892" s="162">
        <v>1940</v>
      </c>
      <c r="D892" s="31"/>
      <c r="E892" s="31" t="s">
        <v>3120</v>
      </c>
      <c r="F892" s="31">
        <v>2</v>
      </c>
      <c r="G892" s="31">
        <v>310.10000000000002</v>
      </c>
      <c r="H892" s="173">
        <v>5</v>
      </c>
      <c r="I892" s="273">
        <f>SUMIF('2020'!B:B,B892,'2020'!C:C)+SUMIF('2021'!B:B,B892,'2021'!C:C)+SUMIF('2022'!B:B,B892,'2022'!C:C)</f>
        <v>130000</v>
      </c>
      <c r="J892" s="59">
        <v>44925</v>
      </c>
      <c r="K892" s="225" t="s">
        <v>3118</v>
      </c>
    </row>
    <row r="893" spans="1:11" ht="17.25" customHeight="1" x14ac:dyDescent="0.3">
      <c r="A893" s="259">
        <f t="shared" ref="A893:A902" si="38">A892+1</f>
        <v>793</v>
      </c>
      <c r="B893" s="20" t="s">
        <v>870</v>
      </c>
      <c r="C893" s="162">
        <v>1950</v>
      </c>
      <c r="D893" s="31"/>
      <c r="E893" s="226" t="s">
        <v>3162</v>
      </c>
      <c r="F893" s="217">
        <v>2</v>
      </c>
      <c r="G893" s="226">
        <v>285.39999999999998</v>
      </c>
      <c r="H893" s="218">
        <v>12</v>
      </c>
      <c r="I893" s="273">
        <f>SUMIF('2020'!B:B,B893,'2020'!C:C)+SUMIF('2021'!B:B,B893,'2021'!C:C)+SUMIF('2022'!B:B,B893,'2022'!C:C)</f>
        <v>180691.98</v>
      </c>
      <c r="J893" s="59">
        <v>44925</v>
      </c>
      <c r="K893" s="225" t="s">
        <v>3118</v>
      </c>
    </row>
    <row r="894" spans="1:11" ht="17.25" customHeight="1" x14ac:dyDescent="0.3">
      <c r="A894" s="259">
        <f t="shared" si="38"/>
        <v>794</v>
      </c>
      <c r="B894" s="20" t="s">
        <v>871</v>
      </c>
      <c r="C894" s="162">
        <v>1940</v>
      </c>
      <c r="D894" s="31"/>
      <c r="E894" s="226" t="s">
        <v>3120</v>
      </c>
      <c r="F894" s="217">
        <v>2</v>
      </c>
      <c r="G894" s="226">
        <v>150.86000000000001</v>
      </c>
      <c r="H894" s="218">
        <v>14</v>
      </c>
      <c r="I894" s="273">
        <f>SUMIF('2020'!B:B,B894,'2020'!C:C)+SUMIF('2021'!B:B,B894,'2021'!C:C)+SUMIF('2022'!B:B,B894,'2022'!C:C)</f>
        <v>72334.16</v>
      </c>
      <c r="J894" s="59">
        <v>44925</v>
      </c>
      <c r="K894" s="225" t="s">
        <v>3118</v>
      </c>
    </row>
    <row r="895" spans="1:11" ht="17.25" customHeight="1" x14ac:dyDescent="0.3">
      <c r="A895" s="259">
        <f t="shared" si="38"/>
        <v>795</v>
      </c>
      <c r="B895" s="20" t="s">
        <v>872</v>
      </c>
      <c r="C895" s="162">
        <v>1940</v>
      </c>
      <c r="D895" s="31"/>
      <c r="E895" s="217" t="s">
        <v>3035</v>
      </c>
      <c r="F895" s="217">
        <v>4</v>
      </c>
      <c r="G895" s="217">
        <v>849.76</v>
      </c>
      <c r="H895" s="218">
        <v>23</v>
      </c>
      <c r="I895" s="273">
        <f>SUMIF('2020'!B:B,B895,'2020'!C:C)+SUMIF('2021'!B:B,B895,'2021'!C:C)+SUMIF('2022'!B:B,B895,'2022'!C:C)</f>
        <v>116843.06</v>
      </c>
      <c r="J895" s="59">
        <v>44925</v>
      </c>
      <c r="K895" s="225" t="s">
        <v>3118</v>
      </c>
    </row>
    <row r="896" spans="1:11" ht="17.25" customHeight="1" x14ac:dyDescent="0.3">
      <c r="A896" s="259">
        <f t="shared" si="38"/>
        <v>796</v>
      </c>
      <c r="B896" s="20" t="s">
        <v>873</v>
      </c>
      <c r="C896" s="162">
        <v>1940</v>
      </c>
      <c r="D896" s="31"/>
      <c r="E896" s="226" t="s">
        <v>3120</v>
      </c>
      <c r="F896" s="226">
        <v>2</v>
      </c>
      <c r="G896" s="226">
        <v>501.2</v>
      </c>
      <c r="H896" s="227">
        <v>11</v>
      </c>
      <c r="I896" s="273">
        <f>SUMIF('2020'!B:B,B896,'2020'!C:C)+SUMIF('2021'!B:B,B896,'2021'!C:C)+SUMIF('2022'!B:B,B896,'2022'!C:C)</f>
        <v>113056.87</v>
      </c>
      <c r="J896" s="59">
        <v>44925</v>
      </c>
      <c r="K896" s="225" t="s">
        <v>3118</v>
      </c>
    </row>
    <row r="897" spans="1:13" ht="17.25" customHeight="1" x14ac:dyDescent="0.3">
      <c r="A897" s="259">
        <f t="shared" si="38"/>
        <v>797</v>
      </c>
      <c r="B897" s="20" t="s">
        <v>874</v>
      </c>
      <c r="C897" s="162">
        <v>1915</v>
      </c>
      <c r="D897" s="31"/>
      <c r="E897" s="226" t="s">
        <v>3162</v>
      </c>
      <c r="F897" s="217">
        <v>2</v>
      </c>
      <c r="G897" s="217">
        <v>233.83</v>
      </c>
      <c r="H897" s="218">
        <v>16</v>
      </c>
      <c r="I897" s="273">
        <f>SUMIF('2020'!B:B,B897,'2020'!C:C)+SUMIF('2021'!B:B,B897,'2021'!C:C)+SUMIF('2022'!B:B,B897,'2022'!C:C)</f>
        <v>74032.63</v>
      </c>
      <c r="J897" s="59">
        <v>44925</v>
      </c>
      <c r="K897" s="225" t="s">
        <v>3118</v>
      </c>
    </row>
    <row r="898" spans="1:13" ht="17.25" customHeight="1" x14ac:dyDescent="0.3">
      <c r="A898" s="259">
        <f t="shared" si="38"/>
        <v>798</v>
      </c>
      <c r="B898" s="20" t="s">
        <v>875</v>
      </c>
      <c r="C898" s="162">
        <v>1988</v>
      </c>
      <c r="D898" s="31"/>
      <c r="E898" s="217" t="s">
        <v>3164</v>
      </c>
      <c r="F898" s="217">
        <v>5</v>
      </c>
      <c r="G898" s="217">
        <v>3291.3</v>
      </c>
      <c r="H898" s="218">
        <v>152</v>
      </c>
      <c r="I898" s="273">
        <f>SUMIF('2020'!B:B,B898,'2020'!C:C)+SUMIF('2021'!B:B,B898,'2021'!C:C)+SUMIF('2022'!B:B,B898,'2022'!C:C)</f>
        <v>154311.97</v>
      </c>
      <c r="J898" s="59">
        <v>44925</v>
      </c>
      <c r="K898" s="225" t="s">
        <v>3118</v>
      </c>
    </row>
    <row r="899" spans="1:13" ht="17.25" customHeight="1" x14ac:dyDescent="0.3">
      <c r="A899" s="259">
        <f t="shared" si="38"/>
        <v>799</v>
      </c>
      <c r="B899" s="20" t="s">
        <v>876</v>
      </c>
      <c r="C899" s="162">
        <v>1950</v>
      </c>
      <c r="D899" s="31"/>
      <c r="E899" s="217" t="s">
        <v>3165</v>
      </c>
      <c r="F899" s="217">
        <v>3</v>
      </c>
      <c r="G899" s="217">
        <v>1231.18</v>
      </c>
      <c r="H899" s="218">
        <v>29</v>
      </c>
      <c r="I899" s="273">
        <f>SUMIF('2020'!B:B,B899,'2020'!C:C)+SUMIF('2021'!B:B,B899,'2021'!C:C)+SUMIF('2022'!B:B,B899,'2022'!C:C)</f>
        <v>118962.86</v>
      </c>
      <c r="J899" s="59">
        <v>44925</v>
      </c>
      <c r="K899" s="225" t="s">
        <v>3118</v>
      </c>
    </row>
    <row r="900" spans="1:13" ht="17.25" customHeight="1" x14ac:dyDescent="0.3">
      <c r="A900" s="259">
        <f t="shared" si="38"/>
        <v>800</v>
      </c>
      <c r="B900" s="20" t="s">
        <v>877</v>
      </c>
      <c r="C900" s="162">
        <v>1940</v>
      </c>
      <c r="D900" s="31"/>
      <c r="E900" s="217" t="s">
        <v>3035</v>
      </c>
      <c r="F900" s="217">
        <v>4</v>
      </c>
      <c r="G900" s="217">
        <v>1812.9</v>
      </c>
      <c r="H900" s="218">
        <v>71</v>
      </c>
      <c r="I900" s="273">
        <f>SUMIF('2020'!B:B,B900,'2020'!C:C)+SUMIF('2021'!B:B,B900,'2021'!C:C)+SUMIF('2022'!B:B,B900,'2022'!C:C)</f>
        <v>145791.31</v>
      </c>
      <c r="J900" s="59">
        <v>44925</v>
      </c>
      <c r="K900" s="225" t="s">
        <v>3118</v>
      </c>
    </row>
    <row r="901" spans="1:13" ht="17.25" customHeight="1" x14ac:dyDescent="0.3">
      <c r="A901" s="259">
        <f t="shared" si="38"/>
        <v>801</v>
      </c>
      <c r="B901" s="20" t="s">
        <v>878</v>
      </c>
      <c r="C901" s="162">
        <v>1950</v>
      </c>
      <c r="D901" s="31"/>
      <c r="E901" s="31" t="s">
        <v>3035</v>
      </c>
      <c r="F901" s="31">
        <v>2</v>
      </c>
      <c r="G901" s="31">
        <v>373.4</v>
      </c>
      <c r="H901" s="173">
        <v>12</v>
      </c>
      <c r="I901" s="273">
        <f>SUMIF('2020'!B:B,B901,'2020'!C:C)+SUMIF('2021'!B:B,B901,'2021'!C:C)+SUMIF('2022'!B:B,B901,'2022'!C:C)</f>
        <v>2404747.6</v>
      </c>
      <c r="J901" s="59">
        <v>44925</v>
      </c>
      <c r="K901" s="225" t="s">
        <v>3118</v>
      </c>
    </row>
    <row r="902" spans="1:13" ht="17.25" customHeight="1" x14ac:dyDescent="0.3">
      <c r="A902" s="259">
        <f t="shared" si="38"/>
        <v>802</v>
      </c>
      <c r="B902" s="20" t="s">
        <v>879</v>
      </c>
      <c r="C902" s="162">
        <v>1940</v>
      </c>
      <c r="D902" s="31"/>
      <c r="E902" s="31" t="s">
        <v>3120</v>
      </c>
      <c r="F902" s="31">
        <v>2</v>
      </c>
      <c r="G902" s="31">
        <v>301.7</v>
      </c>
      <c r="H902" s="173">
        <v>4</v>
      </c>
      <c r="I902" s="273">
        <f>SUMIF('2020'!B:B,B902,'2020'!C:C)+SUMIF('2021'!B:B,B902,'2021'!C:C)+SUMIF('2022'!B:B,B902,'2022'!C:C)</f>
        <v>130000</v>
      </c>
      <c r="J902" s="59">
        <v>44925</v>
      </c>
      <c r="K902" s="225" t="s">
        <v>3118</v>
      </c>
    </row>
    <row r="903" spans="1:13" ht="17.25" customHeight="1" x14ac:dyDescent="0.3">
      <c r="A903" s="15" t="s">
        <v>208</v>
      </c>
      <c r="B903" s="20"/>
      <c r="C903" s="162" t="s">
        <v>3558</v>
      </c>
      <c r="D903" s="162" t="s">
        <v>3558</v>
      </c>
      <c r="E903" s="162" t="s">
        <v>3558</v>
      </c>
      <c r="F903" s="162" t="s">
        <v>3558</v>
      </c>
      <c r="G903" s="56">
        <f>SUM(G768:G902)</f>
        <v>210831.59999999998</v>
      </c>
      <c r="H903" s="173">
        <f>SUM(H768:H902)</f>
        <v>7332</v>
      </c>
      <c r="I903" s="56">
        <f>SUM(I768:I902)</f>
        <v>286943202.07000017</v>
      </c>
      <c r="J903" s="31" t="s">
        <v>3558</v>
      </c>
      <c r="K903" s="31" t="s">
        <v>3558</v>
      </c>
      <c r="L903" s="197">
        <f>I903-'2020'!C209-'2021'!C705-'2022'!C244</f>
        <v>2.0861625671386719E-7</v>
      </c>
      <c r="M903" s="197"/>
    </row>
    <row r="904" spans="1:13" ht="17.25" customHeight="1" x14ac:dyDescent="0.3">
      <c r="A904" s="19" t="s">
        <v>880</v>
      </c>
      <c r="B904" s="20"/>
      <c r="C904" s="31"/>
      <c r="D904" s="31"/>
      <c r="E904" s="31"/>
      <c r="F904" s="31"/>
      <c r="G904" s="31"/>
      <c r="H904" s="173"/>
      <c r="I904" s="56"/>
      <c r="J904" s="31"/>
      <c r="K904" s="31"/>
    </row>
    <row r="905" spans="1:13" ht="17.25" customHeight="1" x14ac:dyDescent="0.3">
      <c r="A905" s="259">
        <f>A902+1</f>
        <v>803</v>
      </c>
      <c r="B905" s="20" t="s">
        <v>881</v>
      </c>
      <c r="C905" s="162">
        <v>1968</v>
      </c>
      <c r="D905" s="31"/>
      <c r="E905" s="162" t="s">
        <v>3035</v>
      </c>
      <c r="F905" s="28">
        <v>2</v>
      </c>
      <c r="G905" s="46">
        <v>1021.77</v>
      </c>
      <c r="H905" s="48" t="s">
        <v>3111</v>
      </c>
      <c r="I905" s="273">
        <f>SUMIF('2020'!B:B,B905,'2020'!C:C)+SUMIF('2021'!B:B,B905,'2021'!C:C)+SUMIF('2022'!B:B,B905,'2022'!C:C)</f>
        <v>127898.42</v>
      </c>
      <c r="J905" s="59">
        <v>44925</v>
      </c>
      <c r="K905" s="46" t="s">
        <v>3118</v>
      </c>
    </row>
    <row r="906" spans="1:13" ht="17.25" customHeight="1" x14ac:dyDescent="0.3">
      <c r="A906" s="259">
        <f t="shared" ref="A906:A937" si="39">A905+1</f>
        <v>804</v>
      </c>
      <c r="B906" s="20" t="s">
        <v>882</v>
      </c>
      <c r="C906" s="162">
        <v>1954</v>
      </c>
      <c r="D906" s="31"/>
      <c r="E906" s="162" t="s">
        <v>3035</v>
      </c>
      <c r="F906" s="28">
        <v>2</v>
      </c>
      <c r="G906" s="46">
        <v>328.3</v>
      </c>
      <c r="H906" s="48" t="s">
        <v>3093</v>
      </c>
      <c r="I906" s="273">
        <f>SUMIF('2020'!B:B,B906,'2020'!C:C)+SUMIF('2021'!B:B,B906,'2021'!C:C)+SUMIF('2022'!B:B,B906,'2022'!C:C)</f>
        <v>450355.20000000001</v>
      </c>
      <c r="J906" s="59">
        <v>44925</v>
      </c>
      <c r="K906" s="46" t="s">
        <v>3118</v>
      </c>
      <c r="L906" s="197" t="e">
        <f>I906-'2020'!C211-'2021'!#REF!</f>
        <v>#REF!</v>
      </c>
      <c r="M906" s="197"/>
    </row>
    <row r="907" spans="1:13" ht="17.25" customHeight="1" x14ac:dyDescent="0.3">
      <c r="A907" s="259">
        <f t="shared" si="39"/>
        <v>805</v>
      </c>
      <c r="B907" s="20" t="s">
        <v>883</v>
      </c>
      <c r="C907" s="162">
        <v>1950</v>
      </c>
      <c r="D907" s="31"/>
      <c r="E907" s="162" t="s">
        <v>3035</v>
      </c>
      <c r="F907" s="28">
        <v>2</v>
      </c>
      <c r="G907" s="46">
        <v>475.2</v>
      </c>
      <c r="H907" s="48" t="s">
        <v>3138</v>
      </c>
      <c r="I907" s="273">
        <f>SUMIF('2020'!B:B,B907,'2020'!C:C)+SUMIF('2021'!B:B,B907,'2021'!C:C)+SUMIF('2022'!B:B,B907,'2022'!C:C)</f>
        <v>399288.4</v>
      </c>
      <c r="J907" s="59">
        <v>44925</v>
      </c>
      <c r="K907" s="46" t="s">
        <v>3118</v>
      </c>
      <c r="L907" s="197" t="e">
        <f>I907-'2020'!C212-'2021'!#REF!</f>
        <v>#REF!</v>
      </c>
      <c r="M907" s="197"/>
    </row>
    <row r="908" spans="1:13" ht="17.25" customHeight="1" x14ac:dyDescent="0.3">
      <c r="A908" s="259">
        <f t="shared" si="39"/>
        <v>806</v>
      </c>
      <c r="B908" s="20" t="s">
        <v>884</v>
      </c>
      <c r="C908" s="162">
        <v>1940</v>
      </c>
      <c r="D908" s="31"/>
      <c r="E908" s="162" t="s">
        <v>3120</v>
      </c>
      <c r="F908" s="28">
        <v>2</v>
      </c>
      <c r="G908" s="46">
        <v>248.4</v>
      </c>
      <c r="H908" s="48" t="s">
        <v>3141</v>
      </c>
      <c r="I908" s="273">
        <f>SUMIF('2020'!B:B,B908,'2020'!C:C)+SUMIF('2021'!B:B,B908,'2021'!C:C)+SUMIF('2022'!B:B,B908,'2022'!C:C)</f>
        <v>307883</v>
      </c>
      <c r="J908" s="59">
        <v>44925</v>
      </c>
      <c r="K908" s="46" t="s">
        <v>3118</v>
      </c>
      <c r="L908" s="197">
        <f>I908-'2021'!C708</f>
        <v>0</v>
      </c>
      <c r="M908" s="197"/>
    </row>
    <row r="909" spans="1:13" ht="17.25" customHeight="1" x14ac:dyDescent="0.3">
      <c r="A909" s="259">
        <f t="shared" si="39"/>
        <v>807</v>
      </c>
      <c r="B909" s="20" t="s">
        <v>885</v>
      </c>
      <c r="C909" s="162">
        <v>1970</v>
      </c>
      <c r="D909" s="31"/>
      <c r="E909" s="162" t="s">
        <v>3035</v>
      </c>
      <c r="F909" s="28">
        <v>5</v>
      </c>
      <c r="G909" s="46">
        <v>3469.68</v>
      </c>
      <c r="H909" s="48" t="s">
        <v>3173</v>
      </c>
      <c r="I909" s="273">
        <f>SUMIF('2020'!B:B,B909,'2020'!C:C)+SUMIF('2021'!B:B,B909,'2021'!C:C)+SUMIF('2022'!B:B,B909,'2022'!C:C)</f>
        <v>226163.15</v>
      </c>
      <c r="J909" s="59">
        <v>44925</v>
      </c>
      <c r="K909" s="46" t="s">
        <v>3118</v>
      </c>
      <c r="L909" s="197">
        <f>I909-'2021'!C709</f>
        <v>0</v>
      </c>
      <c r="M909" s="197"/>
    </row>
    <row r="910" spans="1:13" ht="17.25" customHeight="1" x14ac:dyDescent="0.3">
      <c r="A910" s="259">
        <f t="shared" si="39"/>
        <v>808</v>
      </c>
      <c r="B910" s="20" t="s">
        <v>886</v>
      </c>
      <c r="C910" s="162">
        <v>1964</v>
      </c>
      <c r="D910" s="31"/>
      <c r="E910" s="162" t="s">
        <v>3035</v>
      </c>
      <c r="F910" s="28">
        <v>2</v>
      </c>
      <c r="G910" s="46">
        <v>357.42</v>
      </c>
      <c r="H910" s="48" t="s">
        <v>3141</v>
      </c>
      <c r="I910" s="273">
        <f>SUMIF('2020'!B:B,B910,'2020'!C:C)+SUMIF('2021'!B:B,B910,'2021'!C:C)+SUMIF('2022'!B:B,B910,'2022'!C:C)</f>
        <v>274792.5</v>
      </c>
      <c r="J910" s="59">
        <v>44925</v>
      </c>
      <c r="K910" s="46" t="s">
        <v>3118</v>
      </c>
      <c r="L910" s="197" t="e">
        <f>I910-'2020'!C213-'2021'!#REF!</f>
        <v>#REF!</v>
      </c>
      <c r="M910" s="197"/>
    </row>
    <row r="911" spans="1:13" ht="17.25" customHeight="1" x14ac:dyDescent="0.3">
      <c r="A911" s="259">
        <f t="shared" si="39"/>
        <v>809</v>
      </c>
      <c r="B911" s="20" t="s">
        <v>887</v>
      </c>
      <c r="C911" s="162">
        <v>1975</v>
      </c>
      <c r="D911" s="31"/>
      <c r="E911" s="162" t="s">
        <v>3035</v>
      </c>
      <c r="F911" s="28">
        <v>3</v>
      </c>
      <c r="G911" s="46">
        <v>584.70000000000005</v>
      </c>
      <c r="H911" s="48" t="s">
        <v>3109</v>
      </c>
      <c r="I911" s="273">
        <f>SUMIF('2020'!B:B,B911,'2020'!C:C)+SUMIF('2021'!B:B,B911,'2021'!C:C)+SUMIF('2022'!B:B,B911,'2022'!C:C)</f>
        <v>326901.53000000003</v>
      </c>
      <c r="J911" s="59">
        <v>44925</v>
      </c>
      <c r="K911" s="46" t="s">
        <v>3118</v>
      </c>
      <c r="L911" s="197">
        <f>I911-'2021'!C710</f>
        <v>0</v>
      </c>
      <c r="M911" s="197"/>
    </row>
    <row r="912" spans="1:13" ht="17.25" customHeight="1" x14ac:dyDescent="0.3">
      <c r="A912" s="259">
        <f t="shared" si="39"/>
        <v>810</v>
      </c>
      <c r="B912" s="20" t="s">
        <v>888</v>
      </c>
      <c r="C912" s="162">
        <v>1978</v>
      </c>
      <c r="D912" s="31"/>
      <c r="E912" s="162" t="s">
        <v>3035</v>
      </c>
      <c r="F912" s="28">
        <v>2</v>
      </c>
      <c r="G912" s="46">
        <v>414.7</v>
      </c>
      <c r="H912" s="48" t="s">
        <v>3110</v>
      </c>
      <c r="I912" s="273">
        <f>SUMIF('2020'!B:B,B912,'2020'!C:C)+SUMIF('2021'!B:B,B912,'2021'!C:C)+SUMIF('2022'!B:B,B912,'2022'!C:C)</f>
        <v>3227150.14</v>
      </c>
      <c r="J912" s="59">
        <v>44925</v>
      </c>
      <c r="K912" s="46" t="s">
        <v>3118</v>
      </c>
      <c r="L912" s="197" t="e">
        <f>I912-'2021'!#REF!-'2022'!C246</f>
        <v>#REF!</v>
      </c>
      <c r="M912" s="197"/>
    </row>
    <row r="913" spans="1:13" ht="17.25" customHeight="1" x14ac:dyDescent="0.3">
      <c r="A913" s="259">
        <f t="shared" si="39"/>
        <v>811</v>
      </c>
      <c r="B913" s="20" t="s">
        <v>889</v>
      </c>
      <c r="C913" s="162">
        <v>1964</v>
      </c>
      <c r="D913" s="31"/>
      <c r="E913" s="162" t="s">
        <v>3035</v>
      </c>
      <c r="F913" s="28">
        <v>2</v>
      </c>
      <c r="G913" s="46">
        <v>342.36</v>
      </c>
      <c r="H913" s="48" t="s">
        <v>3139</v>
      </c>
      <c r="I913" s="273">
        <f>SUMIF('2020'!B:B,B913,'2020'!C:C)+SUMIF('2021'!B:B,B913,'2021'!C:C)+SUMIF('2022'!B:B,B913,'2022'!C:C)</f>
        <v>404061.5</v>
      </c>
      <c r="J913" s="59">
        <v>44925</v>
      </c>
      <c r="K913" s="46" t="s">
        <v>3118</v>
      </c>
      <c r="L913" s="197" t="e">
        <f>I913-'2020'!C214-'2021'!#REF!</f>
        <v>#REF!</v>
      </c>
      <c r="M913" s="197"/>
    </row>
    <row r="914" spans="1:13" ht="17.25" customHeight="1" x14ac:dyDescent="0.3">
      <c r="A914" s="259">
        <f t="shared" si="39"/>
        <v>812</v>
      </c>
      <c r="B914" s="20" t="s">
        <v>890</v>
      </c>
      <c r="C914" s="162">
        <v>1974</v>
      </c>
      <c r="D914" s="31"/>
      <c r="E914" s="162" t="s">
        <v>3035</v>
      </c>
      <c r="F914" s="28">
        <v>2</v>
      </c>
      <c r="G914" s="46">
        <v>342.36</v>
      </c>
      <c r="H914" s="48" t="s">
        <v>3141</v>
      </c>
      <c r="I914" s="273">
        <f>SUMIF('2020'!B:B,B914,'2020'!C:C)+SUMIF('2021'!B:B,B914,'2021'!C:C)+SUMIF('2022'!B:B,B914,'2022'!C:C)</f>
        <v>445237.13</v>
      </c>
      <c r="J914" s="59">
        <v>44925</v>
      </c>
      <c r="K914" s="46" t="s">
        <v>3118</v>
      </c>
      <c r="L914" s="197">
        <f>I914-'2021'!C711</f>
        <v>0</v>
      </c>
    </row>
    <row r="915" spans="1:13" ht="17.25" customHeight="1" x14ac:dyDescent="0.3">
      <c r="A915" s="259">
        <f t="shared" si="39"/>
        <v>813</v>
      </c>
      <c r="B915" s="20" t="s">
        <v>891</v>
      </c>
      <c r="C915" s="162">
        <v>1965</v>
      </c>
      <c r="D915" s="31"/>
      <c r="E915" s="162" t="s">
        <v>3035</v>
      </c>
      <c r="F915" s="28">
        <v>2</v>
      </c>
      <c r="G915" s="46">
        <v>381.97</v>
      </c>
      <c r="H915" s="48" t="s">
        <v>3139</v>
      </c>
      <c r="I915" s="273">
        <f>SUMIF('2020'!B:B,B915,'2020'!C:C)+SUMIF('2021'!B:B,B915,'2021'!C:C)+SUMIF('2022'!B:B,B915,'2022'!C:C)</f>
        <v>470674.67</v>
      </c>
      <c r="J915" s="59">
        <v>44925</v>
      </c>
      <c r="K915" s="46" t="s">
        <v>3118</v>
      </c>
      <c r="L915" s="197">
        <f>I915-'2021'!C712</f>
        <v>0</v>
      </c>
    </row>
    <row r="916" spans="1:13" ht="17.25" customHeight="1" x14ac:dyDescent="0.3">
      <c r="A916" s="259">
        <f t="shared" si="39"/>
        <v>814</v>
      </c>
      <c r="B916" s="20" t="s">
        <v>892</v>
      </c>
      <c r="C916" s="162">
        <v>1962</v>
      </c>
      <c r="D916" s="31"/>
      <c r="E916" s="162" t="s">
        <v>3035</v>
      </c>
      <c r="F916" s="28">
        <v>4</v>
      </c>
      <c r="G916" s="46">
        <v>1394.56</v>
      </c>
      <c r="H916" s="48" t="s">
        <v>3094</v>
      </c>
      <c r="I916" s="273">
        <f>SUMIF('2020'!B:B,B916,'2020'!C:C)+SUMIF('2021'!B:B,B916,'2021'!C:C)+SUMIF('2022'!B:B,B916,'2022'!C:C)</f>
        <v>9148813.7599999998</v>
      </c>
      <c r="J916" s="59">
        <v>44925</v>
      </c>
      <c r="K916" s="46" t="s">
        <v>3118</v>
      </c>
      <c r="L916" s="197" t="e">
        <f>I916-'2021'!#REF!-'2022'!C247</f>
        <v>#REF!</v>
      </c>
      <c r="M916" s="197"/>
    </row>
    <row r="917" spans="1:13" ht="17.25" customHeight="1" x14ac:dyDescent="0.3">
      <c r="A917" s="259">
        <f t="shared" si="39"/>
        <v>815</v>
      </c>
      <c r="B917" s="20" t="s">
        <v>893</v>
      </c>
      <c r="C917" s="162">
        <v>1968</v>
      </c>
      <c r="D917" s="31"/>
      <c r="E917" s="162" t="s">
        <v>3035</v>
      </c>
      <c r="F917" s="28">
        <v>5</v>
      </c>
      <c r="G917" s="46">
        <v>4147.5</v>
      </c>
      <c r="H917" s="48" t="s">
        <v>2544</v>
      </c>
      <c r="I917" s="273">
        <f>SUMIF('2020'!B:B,B917,'2020'!C:C)+SUMIF('2021'!B:B,B917,'2021'!C:C)+SUMIF('2022'!B:B,B917,'2022'!C:C)</f>
        <v>462201.64</v>
      </c>
      <c r="J917" s="59">
        <v>44925</v>
      </c>
      <c r="K917" s="46" t="s">
        <v>3118</v>
      </c>
      <c r="L917" s="197">
        <f>I917-'2021'!C713</f>
        <v>0</v>
      </c>
    </row>
    <row r="918" spans="1:13" ht="17.25" customHeight="1" x14ac:dyDescent="0.3">
      <c r="A918" s="259">
        <f t="shared" si="39"/>
        <v>816</v>
      </c>
      <c r="B918" s="20" t="s">
        <v>894</v>
      </c>
      <c r="C918" s="162">
        <v>1964</v>
      </c>
      <c r="D918" s="31"/>
      <c r="E918" s="162" t="s">
        <v>3035</v>
      </c>
      <c r="F918" s="28">
        <v>4</v>
      </c>
      <c r="G918" s="46">
        <v>1307.2</v>
      </c>
      <c r="H918" s="48" t="s">
        <v>3073</v>
      </c>
      <c r="I918" s="273">
        <f>SUMIF('2020'!B:B,B918,'2020'!C:C)+SUMIF('2021'!B:B,B918,'2021'!C:C)+SUMIF('2022'!B:B,B918,'2022'!C:C)</f>
        <v>39126.07</v>
      </c>
      <c r="J918" s="59">
        <v>44925</v>
      </c>
      <c r="K918" s="46" t="s">
        <v>3118</v>
      </c>
      <c r="L918" s="197">
        <f>I918-'2021'!C714</f>
        <v>0</v>
      </c>
    </row>
    <row r="919" spans="1:13" ht="17.25" customHeight="1" x14ac:dyDescent="0.3">
      <c r="A919" s="259">
        <f t="shared" si="39"/>
        <v>817</v>
      </c>
      <c r="B919" s="20" t="s">
        <v>895</v>
      </c>
      <c r="C919" s="162">
        <v>1974</v>
      </c>
      <c r="D919" s="31"/>
      <c r="E919" s="162" t="s">
        <v>3119</v>
      </c>
      <c r="F919" s="28">
        <v>5</v>
      </c>
      <c r="G919" s="46">
        <v>2706.9</v>
      </c>
      <c r="H919" s="48" t="s">
        <v>3173</v>
      </c>
      <c r="I919" s="273">
        <f>SUMIF('2020'!B:B,B919,'2020'!C:C)+SUMIF('2021'!B:B,B919,'2021'!C:C)+SUMIF('2022'!B:B,B919,'2022'!C:C)</f>
        <v>490987.91</v>
      </c>
      <c r="J919" s="59">
        <v>44925</v>
      </c>
      <c r="K919" s="46" t="s">
        <v>3118</v>
      </c>
      <c r="L919" s="197">
        <f>I919-'2021'!C715</f>
        <v>0</v>
      </c>
    </row>
    <row r="920" spans="1:13" ht="17.25" customHeight="1" x14ac:dyDescent="0.3">
      <c r="A920" s="259">
        <f t="shared" si="39"/>
        <v>818</v>
      </c>
      <c r="B920" s="20" t="s">
        <v>896</v>
      </c>
      <c r="C920" s="162">
        <v>1976</v>
      </c>
      <c r="D920" s="31"/>
      <c r="E920" s="162" t="s">
        <v>3035</v>
      </c>
      <c r="F920" s="28">
        <v>5</v>
      </c>
      <c r="G920" s="46">
        <v>3121</v>
      </c>
      <c r="H920" s="48" t="s">
        <v>3173</v>
      </c>
      <c r="I920" s="273">
        <f>SUMIF('2020'!B:B,B920,'2020'!C:C)+SUMIF('2021'!B:B,B920,'2021'!C:C)+SUMIF('2022'!B:B,B920,'2022'!C:C)</f>
        <v>403682.64</v>
      </c>
      <c r="J920" s="59">
        <v>44925</v>
      </c>
      <c r="K920" s="46" t="s">
        <v>3118</v>
      </c>
      <c r="L920" s="197">
        <f>I920-'2021'!C716</f>
        <v>0</v>
      </c>
    </row>
    <row r="921" spans="1:13" ht="17.25" customHeight="1" x14ac:dyDescent="0.3">
      <c r="A921" s="259">
        <f t="shared" si="39"/>
        <v>819</v>
      </c>
      <c r="B921" s="20" t="s">
        <v>897</v>
      </c>
      <c r="C921" s="162">
        <v>1975</v>
      </c>
      <c r="D921" s="31"/>
      <c r="E921" s="162" t="s">
        <v>3035</v>
      </c>
      <c r="F921" s="28">
        <v>5</v>
      </c>
      <c r="G921" s="46">
        <v>3303.5</v>
      </c>
      <c r="H921" s="48" t="s">
        <v>3174</v>
      </c>
      <c r="I921" s="273">
        <f>SUMIF('2020'!B:B,B921,'2020'!C:C)+SUMIF('2021'!B:B,B921,'2021'!C:C)+SUMIF('2022'!B:B,B921,'2022'!C:C)</f>
        <v>369814</v>
      </c>
      <c r="J921" s="59">
        <v>44925</v>
      </c>
      <c r="K921" s="46" t="s">
        <v>3118</v>
      </c>
      <c r="L921" s="197">
        <f>I921-'2021'!C717</f>
        <v>0</v>
      </c>
    </row>
    <row r="922" spans="1:13" ht="17.25" customHeight="1" x14ac:dyDescent="0.3">
      <c r="A922" s="259">
        <f t="shared" si="39"/>
        <v>820</v>
      </c>
      <c r="B922" s="20" t="s">
        <v>898</v>
      </c>
      <c r="C922" s="162">
        <v>1970</v>
      </c>
      <c r="D922" s="31"/>
      <c r="E922" s="162" t="s">
        <v>3035</v>
      </c>
      <c r="F922" s="28">
        <v>5</v>
      </c>
      <c r="G922" s="46">
        <v>2090.1</v>
      </c>
      <c r="H922" s="48" t="s">
        <v>3175</v>
      </c>
      <c r="I922" s="273">
        <f>SUMIF('2020'!B:B,B922,'2020'!C:C)+SUMIF('2021'!B:B,B922,'2021'!C:C)+SUMIF('2022'!B:B,B922,'2022'!C:C)</f>
        <v>202963.18</v>
      </c>
      <c r="J922" s="59">
        <v>44925</v>
      </c>
      <c r="K922" s="46" t="s">
        <v>3118</v>
      </c>
      <c r="L922" s="197">
        <f>I922-'2021'!C718</f>
        <v>0</v>
      </c>
    </row>
    <row r="923" spans="1:13" ht="17.25" customHeight="1" x14ac:dyDescent="0.3">
      <c r="A923" s="259">
        <f t="shared" si="39"/>
        <v>821</v>
      </c>
      <c r="B923" s="20" t="s">
        <v>899</v>
      </c>
      <c r="C923" s="162">
        <v>1974</v>
      </c>
      <c r="D923" s="31"/>
      <c r="E923" s="162" t="s">
        <v>3119</v>
      </c>
      <c r="F923" s="28">
        <v>5</v>
      </c>
      <c r="G923" s="46">
        <v>4320.1000000000004</v>
      </c>
      <c r="H923" s="48" t="s">
        <v>3176</v>
      </c>
      <c r="I923" s="273">
        <f>SUMIF('2020'!B:B,B923,'2020'!C:C)+SUMIF('2021'!B:B,B923,'2021'!C:C)+SUMIF('2022'!B:B,B923,'2022'!C:C)</f>
        <v>1430434.13</v>
      </c>
      <c r="J923" s="59">
        <v>44925</v>
      </c>
      <c r="K923" s="46" t="s">
        <v>3118</v>
      </c>
      <c r="L923" s="197">
        <f>I923-'2021'!C719</f>
        <v>0</v>
      </c>
    </row>
    <row r="924" spans="1:13" ht="17.25" customHeight="1" x14ac:dyDescent="0.3">
      <c r="A924" s="259">
        <f t="shared" si="39"/>
        <v>822</v>
      </c>
      <c r="B924" s="20" t="s">
        <v>900</v>
      </c>
      <c r="C924" s="162">
        <v>1980</v>
      </c>
      <c r="D924" s="31"/>
      <c r="E924" s="162" t="s">
        <v>3119</v>
      </c>
      <c r="F924" s="28">
        <v>5</v>
      </c>
      <c r="G924" s="46">
        <v>4446.5</v>
      </c>
      <c r="H924" s="48" t="s">
        <v>3177</v>
      </c>
      <c r="I924" s="273">
        <f>SUMIF('2020'!B:B,B924,'2020'!C:C)+SUMIF('2021'!B:B,B924,'2021'!C:C)+SUMIF('2022'!B:B,B924,'2022'!C:C)</f>
        <v>2640589.92</v>
      </c>
      <c r="J924" s="59">
        <v>44925</v>
      </c>
      <c r="K924" s="46" t="s">
        <v>3118</v>
      </c>
      <c r="L924" s="197">
        <f>I924-'2020'!C215-'2021'!C720</f>
        <v>0</v>
      </c>
      <c r="M924" s="197"/>
    </row>
    <row r="925" spans="1:13" ht="17.25" customHeight="1" x14ac:dyDescent="0.3">
      <c r="A925" s="259">
        <f t="shared" si="39"/>
        <v>823</v>
      </c>
      <c r="B925" s="20" t="s">
        <v>901</v>
      </c>
      <c r="C925" s="162">
        <v>1976</v>
      </c>
      <c r="D925" s="31"/>
      <c r="E925" s="162" t="s">
        <v>3119</v>
      </c>
      <c r="F925" s="28">
        <v>5</v>
      </c>
      <c r="G925" s="46">
        <v>4442.5</v>
      </c>
      <c r="H925" s="48" t="s">
        <v>3178</v>
      </c>
      <c r="I925" s="273">
        <f>SUMIF('2020'!B:B,B925,'2020'!C:C)+SUMIF('2021'!B:B,B925,'2021'!C:C)+SUMIF('2022'!B:B,B925,'2022'!C:C)</f>
        <v>450330.43</v>
      </c>
      <c r="J925" s="59">
        <v>44925</v>
      </c>
      <c r="K925" s="46" t="s">
        <v>3118</v>
      </c>
      <c r="L925" s="197">
        <f>I925-'2021'!C721</f>
        <v>0</v>
      </c>
    </row>
    <row r="926" spans="1:13" ht="17.25" customHeight="1" x14ac:dyDescent="0.3">
      <c r="A926" s="259">
        <f t="shared" si="39"/>
        <v>824</v>
      </c>
      <c r="B926" s="20" t="s">
        <v>902</v>
      </c>
      <c r="C926" s="162">
        <v>1953</v>
      </c>
      <c r="D926" s="31"/>
      <c r="E926" s="162" t="s">
        <v>3035</v>
      </c>
      <c r="F926" s="28">
        <v>2</v>
      </c>
      <c r="G926" s="46">
        <v>247.91</v>
      </c>
      <c r="H926" s="48" t="s">
        <v>3144</v>
      </c>
      <c r="I926" s="273">
        <f>SUMIF('2020'!B:B,B926,'2020'!C:C)+SUMIF('2021'!B:B,B926,'2021'!C:C)+SUMIF('2022'!B:B,B926,'2022'!C:C)</f>
        <v>274792.5</v>
      </c>
      <c r="J926" s="59">
        <v>44925</v>
      </c>
      <c r="K926" s="46" t="s">
        <v>3118</v>
      </c>
      <c r="L926" s="197" t="e">
        <f>I926-'2020'!C216-'2021'!#REF!</f>
        <v>#REF!</v>
      </c>
    </row>
    <row r="927" spans="1:13" ht="17.25" customHeight="1" x14ac:dyDescent="0.3">
      <c r="A927" s="259">
        <f t="shared" si="39"/>
        <v>825</v>
      </c>
      <c r="B927" s="20" t="s">
        <v>903</v>
      </c>
      <c r="C927" s="162">
        <v>1973</v>
      </c>
      <c r="D927" s="31"/>
      <c r="E927" s="162" t="s">
        <v>3035</v>
      </c>
      <c r="F927" s="28">
        <v>2</v>
      </c>
      <c r="G927" s="46">
        <v>894.13</v>
      </c>
      <c r="H927" s="48" t="s">
        <v>3069</v>
      </c>
      <c r="I927" s="273">
        <f>SUMIF('2020'!B:B,B927,'2020'!C:C)+SUMIF('2021'!B:B,B927,'2021'!C:C)+SUMIF('2022'!B:B,B927,'2022'!C:C)</f>
        <v>210297.7</v>
      </c>
      <c r="J927" s="59">
        <v>44925</v>
      </c>
      <c r="K927" s="46" t="s">
        <v>3118</v>
      </c>
    </row>
    <row r="928" spans="1:13" ht="17.25" customHeight="1" x14ac:dyDescent="0.3">
      <c r="A928" s="259">
        <f t="shared" si="39"/>
        <v>826</v>
      </c>
      <c r="B928" s="20" t="s">
        <v>904</v>
      </c>
      <c r="C928" s="162">
        <v>1971</v>
      </c>
      <c r="D928" s="31"/>
      <c r="E928" s="162" t="s">
        <v>3035</v>
      </c>
      <c r="F928" s="28">
        <v>2</v>
      </c>
      <c r="G928" s="46">
        <v>966.6</v>
      </c>
      <c r="H928" s="48" t="s">
        <v>3073</v>
      </c>
      <c r="I928" s="273">
        <f>SUMIF('2020'!B:B,B928,'2020'!C:C)+SUMIF('2021'!B:B,B928,'2021'!C:C)+SUMIF('2022'!B:B,B928,'2022'!C:C)</f>
        <v>116530.1</v>
      </c>
      <c r="J928" s="59">
        <v>44925</v>
      </c>
      <c r="K928" s="46" t="s">
        <v>3118</v>
      </c>
    </row>
    <row r="929" spans="1:13" ht="17.25" customHeight="1" x14ac:dyDescent="0.3">
      <c r="A929" s="259">
        <f t="shared" si="39"/>
        <v>827</v>
      </c>
      <c r="B929" s="20" t="s">
        <v>905</v>
      </c>
      <c r="C929" s="162">
        <v>1980</v>
      </c>
      <c r="D929" s="31"/>
      <c r="E929" s="162" t="s">
        <v>3119</v>
      </c>
      <c r="F929" s="28">
        <v>3</v>
      </c>
      <c r="G929" s="46">
        <v>1444.4</v>
      </c>
      <c r="H929" s="48" t="s">
        <v>3070</v>
      </c>
      <c r="I929" s="273">
        <f>SUMIF('2020'!B:B,B929,'2020'!C:C)+SUMIF('2021'!B:B,B929,'2021'!C:C)+SUMIF('2022'!B:B,B929,'2022'!C:C)</f>
        <v>224911.79</v>
      </c>
      <c r="J929" s="59">
        <v>44925</v>
      </c>
      <c r="K929" s="46" t="s">
        <v>3118</v>
      </c>
    </row>
    <row r="930" spans="1:13" ht="17.25" customHeight="1" x14ac:dyDescent="0.3">
      <c r="A930" s="259">
        <f t="shared" si="39"/>
        <v>828</v>
      </c>
      <c r="B930" s="20" t="s">
        <v>906</v>
      </c>
      <c r="C930" s="162">
        <v>1981</v>
      </c>
      <c r="D930" s="31"/>
      <c r="E930" s="162" t="s">
        <v>3119</v>
      </c>
      <c r="F930" s="28">
        <v>3</v>
      </c>
      <c r="G930" s="46">
        <v>1444.4</v>
      </c>
      <c r="H930" s="48" t="s">
        <v>3063</v>
      </c>
      <c r="I930" s="273">
        <f>SUMIF('2020'!B:B,B930,'2020'!C:C)+SUMIF('2021'!B:B,B930,'2021'!C:C)+SUMIF('2022'!B:B,B930,'2022'!C:C)</f>
        <v>613640.35</v>
      </c>
      <c r="J930" s="59">
        <v>44925</v>
      </c>
      <c r="K930" s="46" t="s">
        <v>3118</v>
      </c>
    </row>
    <row r="931" spans="1:13" ht="17.25" customHeight="1" x14ac:dyDescent="0.3">
      <c r="A931" s="259">
        <f t="shared" si="39"/>
        <v>829</v>
      </c>
      <c r="B931" s="20" t="s">
        <v>907</v>
      </c>
      <c r="C931" s="162">
        <v>1972</v>
      </c>
      <c r="D931" s="31"/>
      <c r="E931" s="162" t="s">
        <v>3035</v>
      </c>
      <c r="F931" s="28">
        <v>2</v>
      </c>
      <c r="G931" s="46">
        <v>769.64</v>
      </c>
      <c r="H931" s="48" t="s">
        <v>3179</v>
      </c>
      <c r="I931" s="273">
        <f>SUMIF('2020'!B:B,B931,'2020'!C:C)+SUMIF('2021'!B:B,B931,'2021'!C:C)+SUMIF('2022'!B:B,B931,'2022'!C:C)</f>
        <v>87327.18</v>
      </c>
      <c r="J931" s="59">
        <v>44925</v>
      </c>
      <c r="K931" s="46" t="s">
        <v>3118</v>
      </c>
    </row>
    <row r="932" spans="1:13" ht="17.25" customHeight="1" x14ac:dyDescent="0.3">
      <c r="A932" s="259">
        <f t="shared" si="39"/>
        <v>830</v>
      </c>
      <c r="B932" s="20" t="s">
        <v>908</v>
      </c>
      <c r="C932" s="162">
        <v>1972</v>
      </c>
      <c r="D932" s="31"/>
      <c r="E932" s="162" t="s">
        <v>3035</v>
      </c>
      <c r="F932" s="28">
        <v>2</v>
      </c>
      <c r="G932" s="46">
        <v>768.28</v>
      </c>
      <c r="H932" s="48" t="s">
        <v>3092</v>
      </c>
      <c r="I932" s="273">
        <f>SUMIF('2020'!B:B,B932,'2020'!C:C)+SUMIF('2021'!B:B,B932,'2021'!C:C)+SUMIF('2022'!B:B,B932,'2022'!C:C)</f>
        <v>86339.46</v>
      </c>
      <c r="J932" s="59">
        <v>44925</v>
      </c>
      <c r="K932" s="46" t="s">
        <v>3118</v>
      </c>
    </row>
    <row r="933" spans="1:13" ht="17.25" customHeight="1" x14ac:dyDescent="0.3">
      <c r="A933" s="259">
        <f t="shared" si="39"/>
        <v>831</v>
      </c>
      <c r="B933" s="20" t="s">
        <v>909</v>
      </c>
      <c r="C933" s="162">
        <v>1978</v>
      </c>
      <c r="D933" s="31"/>
      <c r="E933" s="162" t="s">
        <v>3035</v>
      </c>
      <c r="F933" s="28">
        <v>3</v>
      </c>
      <c r="G933" s="46">
        <v>1745.3</v>
      </c>
      <c r="H933" s="48" t="s">
        <v>3180</v>
      </c>
      <c r="I933" s="273">
        <f>SUMIF('2020'!B:B,B933,'2020'!C:C)+SUMIF('2021'!B:B,B933,'2021'!C:C)+SUMIF('2022'!B:B,B933,'2022'!C:C)</f>
        <v>315287.69</v>
      </c>
      <c r="J933" s="59">
        <v>44925</v>
      </c>
      <c r="K933" s="46" t="s">
        <v>3118</v>
      </c>
    </row>
    <row r="934" spans="1:13" ht="17.25" customHeight="1" x14ac:dyDescent="0.3">
      <c r="A934" s="259">
        <f t="shared" si="39"/>
        <v>832</v>
      </c>
      <c r="B934" s="20" t="s">
        <v>910</v>
      </c>
      <c r="C934" s="162">
        <v>1962</v>
      </c>
      <c r="D934" s="31"/>
      <c r="E934" s="162" t="s">
        <v>3035</v>
      </c>
      <c r="F934" s="28">
        <v>2</v>
      </c>
      <c r="G934" s="46">
        <v>453.3</v>
      </c>
      <c r="H934" s="48" t="s">
        <v>3136</v>
      </c>
      <c r="I934" s="273">
        <f>SUMIF('2020'!B:B,B934,'2020'!C:C)+SUMIF('2021'!B:B,B934,'2021'!C:C)+SUMIF('2022'!B:B,B934,'2022'!C:C)</f>
        <v>114509.46</v>
      </c>
      <c r="J934" s="59">
        <v>44925</v>
      </c>
      <c r="K934" s="46" t="s">
        <v>3118</v>
      </c>
    </row>
    <row r="935" spans="1:13" ht="17.25" customHeight="1" x14ac:dyDescent="0.3">
      <c r="A935" s="259">
        <f t="shared" si="39"/>
        <v>833</v>
      </c>
      <c r="B935" s="20" t="s">
        <v>911</v>
      </c>
      <c r="C935" s="162">
        <v>1967</v>
      </c>
      <c r="D935" s="31"/>
      <c r="E935" s="162" t="s">
        <v>3035</v>
      </c>
      <c r="F935" s="28">
        <v>2</v>
      </c>
      <c r="G935" s="46">
        <v>535.4</v>
      </c>
      <c r="H935" s="48" t="s">
        <v>3049</v>
      </c>
      <c r="I935" s="273">
        <f>SUMIF('2020'!B:B,B935,'2020'!C:C)+SUMIF('2021'!B:B,B935,'2021'!C:C)+SUMIF('2022'!B:B,B935,'2022'!C:C)</f>
        <v>457896</v>
      </c>
      <c r="J935" s="59">
        <v>44925</v>
      </c>
      <c r="K935" s="46" t="s">
        <v>3118</v>
      </c>
    </row>
    <row r="936" spans="1:13" ht="17.25" customHeight="1" x14ac:dyDescent="0.3">
      <c r="A936" s="259">
        <f t="shared" si="39"/>
        <v>834</v>
      </c>
      <c r="B936" s="20" t="s">
        <v>912</v>
      </c>
      <c r="C936" s="162">
        <v>1968</v>
      </c>
      <c r="D936" s="31"/>
      <c r="E936" s="162" t="s">
        <v>3035</v>
      </c>
      <c r="F936" s="28">
        <v>2</v>
      </c>
      <c r="G936" s="46">
        <v>531.15</v>
      </c>
      <c r="H936" s="48" t="s">
        <v>3104</v>
      </c>
      <c r="I936" s="273">
        <f>SUMIF('2020'!B:B,B936,'2020'!C:C)+SUMIF('2021'!B:B,B936,'2021'!C:C)+SUMIF('2022'!B:B,B936,'2022'!C:C)</f>
        <v>502696.8</v>
      </c>
      <c r="J936" s="59">
        <v>44925</v>
      </c>
      <c r="K936" s="46" t="s">
        <v>3118</v>
      </c>
    </row>
    <row r="937" spans="1:13" ht="17.25" customHeight="1" x14ac:dyDescent="0.3">
      <c r="A937" s="259">
        <f t="shared" si="39"/>
        <v>835</v>
      </c>
      <c r="B937" s="20" t="s">
        <v>913</v>
      </c>
      <c r="C937" s="162">
        <v>1969</v>
      </c>
      <c r="D937" s="31"/>
      <c r="E937" s="162" t="s">
        <v>3035</v>
      </c>
      <c r="F937" s="28">
        <v>2</v>
      </c>
      <c r="G937" s="46">
        <v>574.25</v>
      </c>
      <c r="H937" s="48" t="s">
        <v>3072</v>
      </c>
      <c r="I937" s="273">
        <f>SUMIF('2020'!B:B,B937,'2020'!C:C)+SUMIF('2021'!B:B,B937,'2021'!C:C)+SUMIF('2022'!B:B,B937,'2022'!C:C)</f>
        <v>576578.4</v>
      </c>
      <c r="J937" s="59">
        <v>44925</v>
      </c>
      <c r="K937" s="46" t="s">
        <v>3118</v>
      </c>
    </row>
    <row r="938" spans="1:13" ht="17.25" customHeight="1" x14ac:dyDescent="0.3">
      <c r="A938" s="259">
        <f t="shared" ref="A938:A959" si="40">A937+1</f>
        <v>836</v>
      </c>
      <c r="B938" s="20" t="s">
        <v>914</v>
      </c>
      <c r="C938" s="162">
        <v>1970</v>
      </c>
      <c r="D938" s="31"/>
      <c r="E938" s="162" t="s">
        <v>3035</v>
      </c>
      <c r="F938" s="28">
        <v>2</v>
      </c>
      <c r="G938" s="46">
        <v>573.22</v>
      </c>
      <c r="H938" s="48" t="s">
        <v>3071</v>
      </c>
      <c r="I938" s="273">
        <f>SUMIF('2020'!B:B,B938,'2020'!C:C)+SUMIF('2021'!B:B,B938,'2021'!C:C)+SUMIF('2022'!B:B,B938,'2022'!C:C)</f>
        <v>576578.4</v>
      </c>
      <c r="J938" s="59">
        <v>44925</v>
      </c>
      <c r="K938" s="46" t="s">
        <v>3118</v>
      </c>
    </row>
    <row r="939" spans="1:13" ht="17.25" customHeight="1" x14ac:dyDescent="0.3">
      <c r="A939" s="259">
        <f t="shared" si="40"/>
        <v>837</v>
      </c>
      <c r="B939" s="20" t="s">
        <v>915</v>
      </c>
      <c r="C939" s="162">
        <v>1972</v>
      </c>
      <c r="D939" s="31"/>
      <c r="E939" s="162" t="s">
        <v>3035</v>
      </c>
      <c r="F939" s="28" t="s">
        <v>3130</v>
      </c>
      <c r="G939" s="46">
        <v>774.66</v>
      </c>
      <c r="H939" s="48" t="s">
        <v>3082</v>
      </c>
      <c r="I939" s="273">
        <f>SUMIF('2020'!B:B,B939,'2020'!C:C)+SUMIF('2021'!B:B,B939,'2021'!C:C)+SUMIF('2022'!B:B,B939,'2022'!C:C)</f>
        <v>6733372.6399999997</v>
      </c>
      <c r="J939" s="59">
        <v>44925</v>
      </c>
      <c r="K939" s="46" t="s">
        <v>3118</v>
      </c>
      <c r="L939" s="197" t="e">
        <f>I939-'2020'!C221-'2021'!#REF!-'2022'!C248</f>
        <v>#REF!</v>
      </c>
      <c r="M939" s="197"/>
    </row>
    <row r="940" spans="1:13" ht="17.25" customHeight="1" x14ac:dyDescent="0.3">
      <c r="A940" s="259">
        <f t="shared" si="40"/>
        <v>838</v>
      </c>
      <c r="B940" s="20" t="s">
        <v>916</v>
      </c>
      <c r="C940" s="162">
        <v>1978</v>
      </c>
      <c r="D940" s="31"/>
      <c r="E940" s="162" t="s">
        <v>3035</v>
      </c>
      <c r="F940" s="28">
        <v>3</v>
      </c>
      <c r="G940" s="46">
        <v>1934.85</v>
      </c>
      <c r="H940" s="48" t="s">
        <v>3057</v>
      </c>
      <c r="I940" s="273">
        <f>SUMIF('2020'!B:B,B940,'2020'!C:C)+SUMIF('2021'!B:B,B940,'2021'!C:C)+SUMIF('2022'!B:B,B940,'2022'!C:C)</f>
        <v>134041.62</v>
      </c>
      <c r="J940" s="59">
        <v>44925</v>
      </c>
      <c r="K940" s="46" t="s">
        <v>3118</v>
      </c>
    </row>
    <row r="941" spans="1:13" ht="17.25" customHeight="1" x14ac:dyDescent="0.3">
      <c r="A941" s="259">
        <f t="shared" si="40"/>
        <v>839</v>
      </c>
      <c r="B941" s="20" t="s">
        <v>917</v>
      </c>
      <c r="C941" s="162">
        <v>1980</v>
      </c>
      <c r="D941" s="31"/>
      <c r="E941" s="162" t="s">
        <v>3035</v>
      </c>
      <c r="F941" s="28" t="s">
        <v>3131</v>
      </c>
      <c r="G941" s="46">
        <v>1785.2</v>
      </c>
      <c r="H941" s="48" t="s">
        <v>3181</v>
      </c>
      <c r="I941" s="273">
        <f>SUMIF('2020'!B:B,B941,'2020'!C:C)+SUMIF('2021'!B:B,B941,'2021'!C:C)+SUMIF('2022'!B:B,B941,'2022'!C:C)</f>
        <v>236732.82</v>
      </c>
      <c r="J941" s="59">
        <v>44925</v>
      </c>
      <c r="K941" s="46" t="s">
        <v>3118</v>
      </c>
    </row>
    <row r="942" spans="1:13" ht="17.25" customHeight="1" x14ac:dyDescent="0.3">
      <c r="A942" s="259">
        <f t="shared" si="40"/>
        <v>840</v>
      </c>
      <c r="B942" s="20" t="s">
        <v>918</v>
      </c>
      <c r="C942" s="162">
        <v>1977</v>
      </c>
      <c r="D942" s="31"/>
      <c r="E942" s="162" t="s">
        <v>3119</v>
      </c>
      <c r="F942" s="28">
        <v>5</v>
      </c>
      <c r="G942" s="46">
        <v>3222</v>
      </c>
      <c r="H942" s="48" t="s">
        <v>3182</v>
      </c>
      <c r="I942" s="273">
        <f>SUMIF('2020'!B:B,B942,'2020'!C:C)+SUMIF('2021'!B:B,B942,'2021'!C:C)+SUMIF('2022'!B:B,B942,'2022'!C:C)</f>
        <v>1310370.46</v>
      </c>
      <c r="J942" s="59">
        <v>44925</v>
      </c>
      <c r="K942" s="46" t="s">
        <v>3118</v>
      </c>
    </row>
    <row r="943" spans="1:13" ht="17.25" customHeight="1" x14ac:dyDescent="0.3">
      <c r="A943" s="259">
        <f t="shared" si="40"/>
        <v>841</v>
      </c>
      <c r="B943" s="20" t="s">
        <v>919</v>
      </c>
      <c r="C943" s="162">
        <v>1978</v>
      </c>
      <c r="D943" s="31"/>
      <c r="E943" s="162" t="s">
        <v>3119</v>
      </c>
      <c r="F943" s="28">
        <v>5</v>
      </c>
      <c r="G943" s="46">
        <v>3222</v>
      </c>
      <c r="H943" s="48" t="s">
        <v>3183</v>
      </c>
      <c r="I943" s="273">
        <f>SUMIF('2020'!B:B,B943,'2020'!C:C)+SUMIF('2021'!B:B,B943,'2021'!C:C)+SUMIF('2022'!B:B,B943,'2022'!C:C)</f>
        <v>339117.91</v>
      </c>
      <c r="J943" s="59">
        <v>44925</v>
      </c>
      <c r="K943" s="46" t="s">
        <v>3118</v>
      </c>
    </row>
    <row r="944" spans="1:13" ht="17.25" customHeight="1" x14ac:dyDescent="0.3">
      <c r="A944" s="259">
        <f t="shared" si="40"/>
        <v>842</v>
      </c>
      <c r="B944" s="20" t="s">
        <v>920</v>
      </c>
      <c r="C944" s="162">
        <v>1978</v>
      </c>
      <c r="D944" s="31"/>
      <c r="E944" s="162" t="s">
        <v>3119</v>
      </c>
      <c r="F944" s="28">
        <v>5</v>
      </c>
      <c r="G944" s="46">
        <v>2712.5</v>
      </c>
      <c r="H944" s="48" t="s">
        <v>3158</v>
      </c>
      <c r="I944" s="273">
        <f>SUMIF('2020'!B:B,B944,'2020'!C:C)+SUMIF('2021'!B:B,B944,'2021'!C:C)+SUMIF('2022'!B:B,B944,'2022'!C:C)</f>
        <v>308826.86</v>
      </c>
      <c r="J944" s="59">
        <v>44925</v>
      </c>
      <c r="K944" s="46" t="s">
        <v>3118</v>
      </c>
    </row>
    <row r="945" spans="1:13" ht="17.25" customHeight="1" x14ac:dyDescent="0.3">
      <c r="A945" s="259">
        <f t="shared" si="40"/>
        <v>843</v>
      </c>
      <c r="B945" s="20" t="s">
        <v>921</v>
      </c>
      <c r="C945" s="162">
        <v>1966</v>
      </c>
      <c r="D945" s="31"/>
      <c r="E945" s="162" t="s">
        <v>3035</v>
      </c>
      <c r="F945" s="28">
        <v>2</v>
      </c>
      <c r="G945" s="46">
        <v>620.24</v>
      </c>
      <c r="H945" s="48" t="s">
        <v>3072</v>
      </c>
      <c r="I945" s="273">
        <f>SUMIF('2020'!B:B,B945,'2020'!C:C)+SUMIF('2021'!B:B,B945,'2021'!C:C)+SUMIF('2022'!B:B,B945,'2022'!C:C)</f>
        <v>5101516.7999999998</v>
      </c>
      <c r="J945" s="59">
        <v>44925</v>
      </c>
      <c r="K945" s="46" t="s">
        <v>3118</v>
      </c>
      <c r="L945" s="197">
        <f>I945-'2020'!C222-'2022'!C249</f>
        <v>0</v>
      </c>
      <c r="M945" s="197"/>
    </row>
    <row r="946" spans="1:13" ht="17.25" customHeight="1" x14ac:dyDescent="0.3">
      <c r="A946" s="259">
        <f t="shared" si="40"/>
        <v>844</v>
      </c>
      <c r="B946" s="20" t="s">
        <v>922</v>
      </c>
      <c r="C946" s="162">
        <v>1978</v>
      </c>
      <c r="D946" s="31"/>
      <c r="E946" s="162" t="s">
        <v>3119</v>
      </c>
      <c r="F946" s="28">
        <v>3</v>
      </c>
      <c r="G946" s="46">
        <v>1240.5</v>
      </c>
      <c r="H946" s="48" t="s">
        <v>3102</v>
      </c>
      <c r="I946" s="273">
        <f>SUMIF('2020'!B:B,B946,'2020'!C:C)+SUMIF('2021'!B:B,B946,'2021'!C:C)+SUMIF('2022'!B:B,B946,'2022'!C:C)</f>
        <v>254667.82</v>
      </c>
      <c r="J946" s="59">
        <v>44925</v>
      </c>
      <c r="K946" s="46" t="s">
        <v>3118</v>
      </c>
    </row>
    <row r="947" spans="1:13" ht="17.25" customHeight="1" x14ac:dyDescent="0.3">
      <c r="A947" s="259">
        <f t="shared" si="40"/>
        <v>845</v>
      </c>
      <c r="B947" s="20" t="s">
        <v>923</v>
      </c>
      <c r="C947" s="162">
        <v>1978</v>
      </c>
      <c r="D947" s="31"/>
      <c r="E947" s="162" t="s">
        <v>3119</v>
      </c>
      <c r="F947" s="28">
        <v>3</v>
      </c>
      <c r="G947" s="46">
        <v>1240.8</v>
      </c>
      <c r="H947" s="48" t="s">
        <v>3063</v>
      </c>
      <c r="I947" s="273">
        <f>SUMIF('2020'!B:B,B947,'2020'!C:C)+SUMIF('2021'!B:B,B947,'2021'!C:C)+SUMIF('2022'!B:B,B947,'2022'!C:C)</f>
        <v>190088.74</v>
      </c>
      <c r="J947" s="59">
        <v>44925</v>
      </c>
      <c r="K947" s="46" t="s">
        <v>3118</v>
      </c>
    </row>
    <row r="948" spans="1:13" ht="17.25" customHeight="1" x14ac:dyDescent="0.3">
      <c r="A948" s="259">
        <f t="shared" si="40"/>
        <v>846</v>
      </c>
      <c r="B948" s="20" t="s">
        <v>924</v>
      </c>
      <c r="C948" s="162">
        <v>1978</v>
      </c>
      <c r="D948" s="31"/>
      <c r="E948" s="162" t="s">
        <v>3119</v>
      </c>
      <c r="F948" s="28">
        <v>3</v>
      </c>
      <c r="G948" s="46">
        <v>1244.45</v>
      </c>
      <c r="H948" s="48" t="s">
        <v>3184</v>
      </c>
      <c r="I948" s="273">
        <f>SUMIF('2020'!B:B,B948,'2020'!C:C)+SUMIF('2021'!B:B,B948,'2021'!C:C)+SUMIF('2022'!B:B,B948,'2022'!C:C)</f>
        <v>254667.82</v>
      </c>
      <c r="J948" s="59">
        <v>44925</v>
      </c>
      <c r="K948" s="46" t="s">
        <v>3118</v>
      </c>
    </row>
    <row r="949" spans="1:13" ht="17.25" customHeight="1" x14ac:dyDescent="0.3">
      <c r="A949" s="259">
        <f t="shared" si="40"/>
        <v>847</v>
      </c>
      <c r="B949" s="20" t="s">
        <v>925</v>
      </c>
      <c r="C949" s="162">
        <v>1977</v>
      </c>
      <c r="D949" s="31"/>
      <c r="E949" s="162" t="s">
        <v>3119</v>
      </c>
      <c r="F949" s="28">
        <v>5</v>
      </c>
      <c r="G949" s="46">
        <v>3270</v>
      </c>
      <c r="H949" s="48" t="s">
        <v>3185</v>
      </c>
      <c r="I949" s="273">
        <f>SUMIF('2020'!B:B,B949,'2020'!C:C)+SUMIF('2021'!B:B,B949,'2021'!C:C)+SUMIF('2022'!B:B,B949,'2022'!C:C)</f>
        <v>282419.57</v>
      </c>
      <c r="J949" s="59">
        <v>44925</v>
      </c>
      <c r="K949" s="46" t="s">
        <v>3118</v>
      </c>
    </row>
    <row r="950" spans="1:13" ht="17.25" customHeight="1" x14ac:dyDescent="0.3">
      <c r="A950" s="259">
        <f t="shared" si="40"/>
        <v>848</v>
      </c>
      <c r="B950" s="20" t="s">
        <v>926</v>
      </c>
      <c r="C950" s="162">
        <v>1961</v>
      </c>
      <c r="D950" s="31"/>
      <c r="E950" s="162" t="s">
        <v>3035</v>
      </c>
      <c r="F950" s="28">
        <v>2</v>
      </c>
      <c r="G950" s="46">
        <v>443.9</v>
      </c>
      <c r="H950" s="48" t="s">
        <v>3109</v>
      </c>
      <c r="I950" s="273">
        <f>SUMIF('2020'!B:B,B950,'2020'!C:C)+SUMIF('2021'!B:B,B950,'2021'!C:C)+SUMIF('2022'!B:B,B950,'2022'!C:C)</f>
        <v>244141.63</v>
      </c>
      <c r="J950" s="59">
        <v>44925</v>
      </c>
      <c r="K950" s="46" t="s">
        <v>3118</v>
      </c>
    </row>
    <row r="951" spans="1:13" ht="17.25" customHeight="1" x14ac:dyDescent="0.3">
      <c r="A951" s="259">
        <f t="shared" si="40"/>
        <v>849</v>
      </c>
      <c r="B951" s="20" t="s">
        <v>927</v>
      </c>
      <c r="C951" s="162">
        <v>1973</v>
      </c>
      <c r="D951" s="31"/>
      <c r="E951" s="162" t="s">
        <v>3035</v>
      </c>
      <c r="F951" s="28">
        <v>3</v>
      </c>
      <c r="G951" s="46">
        <v>1625.12</v>
      </c>
      <c r="H951" s="48" t="s">
        <v>3186</v>
      </c>
      <c r="I951" s="273">
        <f>SUMIF('2020'!B:B,B951,'2020'!C:C)+SUMIF('2021'!B:B,B951,'2021'!C:C)+SUMIF('2022'!B:B,B951,'2022'!C:C)</f>
        <v>127057.42</v>
      </c>
      <c r="J951" s="59">
        <v>44925</v>
      </c>
      <c r="K951" s="46" t="s">
        <v>3118</v>
      </c>
    </row>
    <row r="952" spans="1:13" ht="17.25" customHeight="1" x14ac:dyDescent="0.3">
      <c r="A952" s="259">
        <f t="shared" si="40"/>
        <v>850</v>
      </c>
      <c r="B952" s="20" t="s">
        <v>928</v>
      </c>
      <c r="C952" s="162">
        <v>1970</v>
      </c>
      <c r="D952" s="31"/>
      <c r="E952" s="162" t="s">
        <v>3035</v>
      </c>
      <c r="F952" s="28">
        <v>3</v>
      </c>
      <c r="G952" s="46">
        <v>952.56</v>
      </c>
      <c r="H952" s="48" t="s">
        <v>3187</v>
      </c>
      <c r="I952" s="273">
        <f>SUMIF('2020'!B:B,B952,'2020'!C:C)+SUMIF('2021'!B:B,B952,'2021'!C:C)+SUMIF('2022'!B:B,B952,'2022'!C:C)</f>
        <v>253716.44999999998</v>
      </c>
      <c r="J952" s="59">
        <v>44925</v>
      </c>
      <c r="K952" s="46" t="s">
        <v>3118</v>
      </c>
    </row>
    <row r="953" spans="1:13" ht="17.25" customHeight="1" x14ac:dyDescent="0.3">
      <c r="A953" s="259">
        <f t="shared" si="40"/>
        <v>851</v>
      </c>
      <c r="B953" s="20" t="s">
        <v>929</v>
      </c>
      <c r="C953" s="162">
        <v>1965</v>
      </c>
      <c r="D953" s="31"/>
      <c r="E953" s="162" t="s">
        <v>3035</v>
      </c>
      <c r="F953" s="28">
        <v>2</v>
      </c>
      <c r="G953" s="46">
        <v>1065.8800000000001</v>
      </c>
      <c r="H953" s="48" t="s">
        <v>3064</v>
      </c>
      <c r="I953" s="273">
        <f>SUMIF('2020'!B:B,B953,'2020'!C:C)+SUMIF('2021'!B:B,B953,'2021'!C:C)+SUMIF('2022'!B:B,B953,'2022'!C:C)</f>
        <v>121203.6</v>
      </c>
      <c r="J953" s="59">
        <v>44925</v>
      </c>
      <c r="K953" s="46" t="s">
        <v>3118</v>
      </c>
    </row>
    <row r="954" spans="1:13" ht="17.25" customHeight="1" x14ac:dyDescent="0.3">
      <c r="A954" s="259">
        <f t="shared" si="40"/>
        <v>852</v>
      </c>
      <c r="B954" s="20" t="s">
        <v>930</v>
      </c>
      <c r="C954" s="162">
        <v>1968</v>
      </c>
      <c r="D954" s="31"/>
      <c r="E954" s="162" t="s">
        <v>3035</v>
      </c>
      <c r="F954" s="28">
        <v>2</v>
      </c>
      <c r="G954" s="46">
        <v>1004.92</v>
      </c>
      <c r="H954" s="48" t="s">
        <v>3094</v>
      </c>
      <c r="I954" s="273">
        <f>SUMIF('2020'!B:B,B954,'2020'!C:C)+SUMIF('2021'!B:B,B954,'2021'!C:C)+SUMIF('2022'!B:B,B954,'2022'!C:C)</f>
        <v>855524.4</v>
      </c>
      <c r="J954" s="59">
        <v>44925</v>
      </c>
      <c r="K954" s="46" t="s">
        <v>3118</v>
      </c>
    </row>
    <row r="955" spans="1:13" ht="17.25" customHeight="1" x14ac:dyDescent="0.3">
      <c r="A955" s="259">
        <f t="shared" si="40"/>
        <v>853</v>
      </c>
      <c r="B955" s="20" t="s">
        <v>931</v>
      </c>
      <c r="C955" s="162">
        <v>1969</v>
      </c>
      <c r="D955" s="31"/>
      <c r="E955" s="162" t="s">
        <v>3035</v>
      </c>
      <c r="F955" s="28">
        <v>2</v>
      </c>
      <c r="G955" s="46">
        <v>1005.64</v>
      </c>
      <c r="H955" s="48" t="s">
        <v>3108</v>
      </c>
      <c r="I955" s="273">
        <f>SUMIF('2020'!B:B,B955,'2020'!C:C)+SUMIF('2021'!B:B,B955,'2021'!C:C)+SUMIF('2022'!B:B,B955,'2022'!C:C)</f>
        <v>843195.6</v>
      </c>
      <c r="J955" s="59">
        <v>44925</v>
      </c>
      <c r="K955" s="46" t="s">
        <v>3118</v>
      </c>
    </row>
    <row r="956" spans="1:13" ht="17.25" customHeight="1" x14ac:dyDescent="0.3">
      <c r="A956" s="259">
        <f t="shared" si="40"/>
        <v>854</v>
      </c>
      <c r="B956" s="20" t="s">
        <v>932</v>
      </c>
      <c r="C956" s="162">
        <v>1971</v>
      </c>
      <c r="D956" s="31"/>
      <c r="E956" s="162" t="s">
        <v>3035</v>
      </c>
      <c r="F956" s="28">
        <v>2</v>
      </c>
      <c r="G956" s="46">
        <v>1023.23</v>
      </c>
      <c r="H956" s="48" t="s">
        <v>3188</v>
      </c>
      <c r="I956" s="273">
        <f>SUMIF('2020'!B:B,B956,'2020'!C:C)+SUMIF('2021'!B:B,B956,'2021'!C:C)+SUMIF('2022'!B:B,B956,'2022'!C:C)</f>
        <v>127192.91</v>
      </c>
      <c r="J956" s="59">
        <v>44925</v>
      </c>
      <c r="K956" s="46" t="s">
        <v>3118</v>
      </c>
    </row>
    <row r="957" spans="1:13" ht="17.25" customHeight="1" x14ac:dyDescent="0.3">
      <c r="A957" s="259">
        <f t="shared" si="40"/>
        <v>855</v>
      </c>
      <c r="B957" s="20" t="s">
        <v>934</v>
      </c>
      <c r="C957" s="162">
        <v>1963</v>
      </c>
      <c r="D957" s="31"/>
      <c r="E957" s="162" t="s">
        <v>3035</v>
      </c>
      <c r="F957" s="28">
        <v>2</v>
      </c>
      <c r="G957" s="46">
        <v>652</v>
      </c>
      <c r="H957" s="48" t="s">
        <v>3096</v>
      </c>
      <c r="I957" s="273">
        <f>SUMIF('2020'!B:B,B957,'2020'!C:C)+SUMIF('2021'!B:B,B957,'2021'!C:C)+SUMIF('2022'!B:B,B957,'2022'!C:C)</f>
        <v>430469.9</v>
      </c>
      <c r="J957" s="59">
        <v>44925</v>
      </c>
      <c r="K957" s="46" t="s">
        <v>3118</v>
      </c>
    </row>
    <row r="958" spans="1:13" ht="17.25" customHeight="1" x14ac:dyDescent="0.3">
      <c r="A958" s="259">
        <f t="shared" si="40"/>
        <v>856</v>
      </c>
      <c r="B958" s="20" t="s">
        <v>935</v>
      </c>
      <c r="C958" s="162">
        <v>1964</v>
      </c>
      <c r="D958" s="31"/>
      <c r="E958" s="162" t="s">
        <v>3035</v>
      </c>
      <c r="F958" s="28">
        <v>2</v>
      </c>
      <c r="G958" s="46">
        <v>652</v>
      </c>
      <c r="H958" s="48" t="s">
        <v>3059</v>
      </c>
      <c r="I958" s="273">
        <f>SUMIF('2020'!B:B,B958,'2020'!C:C)+SUMIF('2021'!B:B,B958,'2021'!C:C)+SUMIF('2022'!B:B,B958,'2022'!C:C)</f>
        <v>314556.10000000003</v>
      </c>
      <c r="J958" s="59">
        <v>44925</v>
      </c>
      <c r="K958" s="46" t="s">
        <v>3118</v>
      </c>
    </row>
    <row r="959" spans="1:13" ht="17.25" customHeight="1" x14ac:dyDescent="0.3">
      <c r="A959" s="259">
        <f t="shared" si="40"/>
        <v>857</v>
      </c>
      <c r="B959" s="20" t="s">
        <v>936</v>
      </c>
      <c r="C959" s="162">
        <v>1973</v>
      </c>
      <c r="D959" s="31"/>
      <c r="E959" s="162" t="s">
        <v>3035</v>
      </c>
      <c r="F959" s="28">
        <v>3</v>
      </c>
      <c r="G959" s="46">
        <v>1834</v>
      </c>
      <c r="H959" s="48" t="s">
        <v>3186</v>
      </c>
      <c r="I959" s="273">
        <f>SUMIF('2020'!B:B,B959,'2020'!C:C)+SUMIF('2021'!B:B,B959,'2021'!C:C)+SUMIF('2022'!B:B,B959,'2022'!C:C)</f>
        <v>1041278.4</v>
      </c>
      <c r="J959" s="59">
        <v>44925</v>
      </c>
      <c r="K959" s="46" t="s">
        <v>3118</v>
      </c>
      <c r="L959" s="197" t="e">
        <f>I959-'2020'!C226-'2021'!#REF!</f>
        <v>#REF!</v>
      </c>
    </row>
    <row r="960" spans="1:13" ht="17.25" customHeight="1" x14ac:dyDescent="0.3">
      <c r="A960" s="15" t="s">
        <v>208</v>
      </c>
      <c r="B960" s="20"/>
      <c r="C960" s="31" t="s">
        <v>3558</v>
      </c>
      <c r="D960" s="31" t="s">
        <v>3558</v>
      </c>
      <c r="E960" s="31" t="s">
        <v>3558</v>
      </c>
      <c r="F960" s="31" t="s">
        <v>3558</v>
      </c>
      <c r="G960" s="56">
        <f>SUM(G905:G959)</f>
        <v>81721.149999999994</v>
      </c>
      <c r="H960" s="173">
        <f>SUM(H905:H959)</f>
        <v>0</v>
      </c>
      <c r="I960" s="56">
        <f>SUM(I905:I959)</f>
        <v>45960894.620000005</v>
      </c>
      <c r="J960" s="59" t="s">
        <v>3558</v>
      </c>
      <c r="K960" s="46" t="s">
        <v>3558</v>
      </c>
      <c r="L960" s="197">
        <f>I960-'2020'!C227-'2021'!C745-'2022'!C250</f>
        <v>0</v>
      </c>
      <c r="M960" s="197"/>
    </row>
    <row r="961" spans="1:12" ht="17.25" customHeight="1" x14ac:dyDescent="0.3">
      <c r="A961" s="19" t="s">
        <v>933</v>
      </c>
      <c r="B961" s="20"/>
      <c r="C961" s="31"/>
      <c r="D961" s="31"/>
      <c r="E961" s="31"/>
      <c r="F961" s="31"/>
      <c r="G961" s="31"/>
      <c r="H961" s="173"/>
      <c r="I961" s="56"/>
      <c r="J961" s="31"/>
      <c r="K961" s="31"/>
    </row>
    <row r="962" spans="1:12" ht="17.25" customHeight="1" x14ac:dyDescent="0.3">
      <c r="A962" s="259">
        <f>A959+1</f>
        <v>858</v>
      </c>
      <c r="B962" s="20" t="s">
        <v>937</v>
      </c>
      <c r="C962" s="162">
        <v>1950</v>
      </c>
      <c r="D962" s="31"/>
      <c r="E962" s="58" t="s">
        <v>3035</v>
      </c>
      <c r="F962" s="58">
        <v>2</v>
      </c>
      <c r="G962" s="46">
        <v>200.2</v>
      </c>
      <c r="H962" s="9">
        <v>17</v>
      </c>
      <c r="I962" s="273">
        <f>SUMIF('2020'!B:B,B962,'2020'!C:C)+SUMIF('2021'!B:B,B962,'2021'!C:C)+SUMIF('2022'!B:B,B962,'2022'!C:C)</f>
        <v>155425.46</v>
      </c>
      <c r="J962" s="59">
        <v>44925</v>
      </c>
      <c r="K962" s="46" t="s">
        <v>3118</v>
      </c>
    </row>
    <row r="963" spans="1:12" ht="17.25" customHeight="1" x14ac:dyDescent="0.3">
      <c r="A963" s="259">
        <f t="shared" ref="A963:A982" si="41">A962+1</f>
        <v>859</v>
      </c>
      <c r="B963" s="20" t="s">
        <v>938</v>
      </c>
      <c r="C963" s="162">
        <v>1951</v>
      </c>
      <c r="D963" s="31"/>
      <c r="E963" s="58" t="s">
        <v>3035</v>
      </c>
      <c r="F963" s="58">
        <v>2</v>
      </c>
      <c r="G963" s="46">
        <v>209.41</v>
      </c>
      <c r="H963" s="9">
        <v>5</v>
      </c>
      <c r="I963" s="273">
        <f>SUMIF('2020'!B:B,B963,'2020'!C:C)+SUMIF('2021'!B:B,B963,'2021'!C:C)+SUMIF('2022'!B:B,B963,'2022'!C:C)</f>
        <v>148761.01</v>
      </c>
      <c r="J963" s="59">
        <v>44925</v>
      </c>
      <c r="K963" s="46" t="s">
        <v>3118</v>
      </c>
    </row>
    <row r="964" spans="1:12" ht="17.25" customHeight="1" x14ac:dyDescent="0.3">
      <c r="A964" s="259">
        <f t="shared" si="41"/>
        <v>860</v>
      </c>
      <c r="B964" s="20" t="s">
        <v>939</v>
      </c>
      <c r="C964" s="162">
        <v>1952</v>
      </c>
      <c r="D964" s="31"/>
      <c r="E964" s="58" t="s">
        <v>3035</v>
      </c>
      <c r="F964" s="58">
        <v>2</v>
      </c>
      <c r="G964" s="46">
        <v>671.6</v>
      </c>
      <c r="H964" s="9">
        <v>33</v>
      </c>
      <c r="I964" s="273">
        <f>SUMIF('2020'!B:B,B964,'2020'!C:C)+SUMIF('2021'!B:B,B964,'2021'!C:C)+SUMIF('2022'!B:B,B964,'2022'!C:C)</f>
        <v>214255.88</v>
      </c>
      <c r="J964" s="59">
        <v>44925</v>
      </c>
      <c r="K964" s="46" t="s">
        <v>3118</v>
      </c>
    </row>
    <row r="965" spans="1:12" ht="17.25" customHeight="1" x14ac:dyDescent="0.3">
      <c r="A965" s="259">
        <f t="shared" si="41"/>
        <v>861</v>
      </c>
      <c r="B965" s="20" t="s">
        <v>940</v>
      </c>
      <c r="C965" s="162">
        <v>1950</v>
      </c>
      <c r="D965" s="31"/>
      <c r="E965" s="58" t="s">
        <v>3035</v>
      </c>
      <c r="F965" s="58">
        <v>2</v>
      </c>
      <c r="G965" s="46">
        <v>212.4</v>
      </c>
      <c r="H965" s="9">
        <v>3</v>
      </c>
      <c r="I965" s="273">
        <f>SUMIF('2020'!B:B,B965,'2020'!C:C)+SUMIF('2021'!B:B,B965,'2021'!C:C)+SUMIF('2022'!B:B,B965,'2022'!C:C)</f>
        <v>143269.1</v>
      </c>
      <c r="J965" s="59">
        <v>44925</v>
      </c>
      <c r="K965" s="46" t="s">
        <v>3118</v>
      </c>
    </row>
    <row r="966" spans="1:12" ht="17.25" customHeight="1" x14ac:dyDescent="0.3">
      <c r="A966" s="259">
        <f t="shared" si="41"/>
        <v>862</v>
      </c>
      <c r="B966" s="20" t="s">
        <v>941</v>
      </c>
      <c r="C966" s="162">
        <v>1987</v>
      </c>
      <c r="D966" s="31"/>
      <c r="E966" s="58" t="s">
        <v>3119</v>
      </c>
      <c r="F966" s="58">
        <v>5</v>
      </c>
      <c r="G966" s="58">
        <v>3600</v>
      </c>
      <c r="H966" s="9">
        <v>174</v>
      </c>
      <c r="I966" s="273">
        <f>SUMIF('2020'!B:B,B966,'2020'!C:C)+SUMIF('2021'!B:B,B966,'2021'!C:C)+SUMIF('2022'!B:B,B966,'2022'!C:C)</f>
        <v>520906.25</v>
      </c>
      <c r="J966" s="59">
        <v>44925</v>
      </c>
      <c r="K966" s="46" t="s">
        <v>3118</v>
      </c>
    </row>
    <row r="967" spans="1:12" ht="17.25" customHeight="1" x14ac:dyDescent="0.3">
      <c r="A967" s="259">
        <f t="shared" si="41"/>
        <v>863</v>
      </c>
      <c r="B967" s="20" t="s">
        <v>942</v>
      </c>
      <c r="C967" s="162">
        <v>1984</v>
      </c>
      <c r="D967" s="31"/>
      <c r="E967" s="58" t="s">
        <v>3035</v>
      </c>
      <c r="F967" s="58">
        <v>3</v>
      </c>
      <c r="G967" s="46">
        <v>1268.0999999999999</v>
      </c>
      <c r="H967" s="9">
        <v>84</v>
      </c>
      <c r="I967" s="273">
        <f>SUMIF('2020'!B:B,B967,'2020'!C:C)+SUMIF('2021'!B:B,B967,'2021'!C:C)+SUMIF('2022'!B:B,B967,'2022'!C:C)</f>
        <v>8539941.2200000007</v>
      </c>
      <c r="J967" s="59">
        <v>44925</v>
      </c>
      <c r="K967" s="46" t="s">
        <v>3118</v>
      </c>
      <c r="L967" s="197">
        <f>I967-'2021'!C752-'2022'!C252</f>
        <v>0</v>
      </c>
    </row>
    <row r="968" spans="1:12" ht="17.25" customHeight="1" x14ac:dyDescent="0.3">
      <c r="A968" s="259">
        <f t="shared" si="41"/>
        <v>864</v>
      </c>
      <c r="B968" s="20" t="s">
        <v>943</v>
      </c>
      <c r="C968" s="162">
        <v>1961</v>
      </c>
      <c r="D968" s="31"/>
      <c r="E968" s="58" t="s">
        <v>3035</v>
      </c>
      <c r="F968" s="58">
        <v>2</v>
      </c>
      <c r="G968" s="46">
        <v>312</v>
      </c>
      <c r="H968" s="9">
        <v>15</v>
      </c>
      <c r="I968" s="273">
        <f>SUMIF('2020'!B:B,B968,'2020'!C:C)+SUMIF('2021'!B:B,B968,'2021'!C:C)+SUMIF('2022'!B:B,B968,'2022'!C:C)</f>
        <v>234881.66999999998</v>
      </c>
      <c r="J968" s="59">
        <v>44925</v>
      </c>
      <c r="K968" s="46" t="s">
        <v>3118</v>
      </c>
    </row>
    <row r="969" spans="1:12" ht="17.25" customHeight="1" x14ac:dyDescent="0.3">
      <c r="A969" s="259">
        <f t="shared" si="41"/>
        <v>865</v>
      </c>
      <c r="B969" s="20" t="s">
        <v>944</v>
      </c>
      <c r="C969" s="162">
        <v>1960</v>
      </c>
      <c r="D969" s="31"/>
      <c r="E969" s="58" t="s">
        <v>3035</v>
      </c>
      <c r="F969" s="58">
        <v>2</v>
      </c>
      <c r="G969" s="58">
        <v>513.29999999999995</v>
      </c>
      <c r="H969" s="9">
        <v>19</v>
      </c>
      <c r="I969" s="273">
        <f>SUMIF('2020'!B:B,B969,'2020'!C:C)+SUMIF('2021'!B:B,B969,'2021'!C:C)+SUMIF('2022'!B:B,B969,'2022'!C:C)</f>
        <v>181842.25999999998</v>
      </c>
      <c r="J969" s="59">
        <v>44925</v>
      </c>
      <c r="K969" s="46" t="s">
        <v>3118</v>
      </c>
    </row>
    <row r="970" spans="1:12" ht="17.25" customHeight="1" x14ac:dyDescent="0.3">
      <c r="A970" s="259">
        <f t="shared" si="41"/>
        <v>866</v>
      </c>
      <c r="B970" s="20" t="s">
        <v>945</v>
      </c>
      <c r="C970" s="162">
        <v>1966</v>
      </c>
      <c r="D970" s="31"/>
      <c r="E970" s="58" t="s">
        <v>3035</v>
      </c>
      <c r="F970" s="58">
        <v>2</v>
      </c>
      <c r="G970" s="58">
        <v>1179</v>
      </c>
      <c r="H970" s="9">
        <v>35</v>
      </c>
      <c r="I970" s="273">
        <f>SUMIF('2020'!B:B,B970,'2020'!C:C)+SUMIF('2021'!B:B,B970,'2021'!C:C)+SUMIF('2022'!B:B,B970,'2022'!C:C)</f>
        <v>289514.79000000004</v>
      </c>
      <c r="J970" s="59">
        <v>44925</v>
      </c>
      <c r="K970" s="46" t="s">
        <v>3118</v>
      </c>
    </row>
    <row r="971" spans="1:12" ht="17.25" customHeight="1" x14ac:dyDescent="0.3">
      <c r="A971" s="259">
        <f t="shared" si="41"/>
        <v>867</v>
      </c>
      <c r="B971" s="20" t="s">
        <v>946</v>
      </c>
      <c r="C971" s="162">
        <v>1986</v>
      </c>
      <c r="D971" s="31"/>
      <c r="E971" s="58" t="s">
        <v>3035</v>
      </c>
      <c r="F971" s="58">
        <v>5</v>
      </c>
      <c r="G971" s="58">
        <v>3794</v>
      </c>
      <c r="H971" s="9">
        <v>172</v>
      </c>
      <c r="I971" s="273">
        <f>SUMIF('2020'!B:B,B971,'2020'!C:C)+SUMIF('2021'!B:B,B971,'2021'!C:C)+SUMIF('2022'!B:B,B971,'2022'!C:C)</f>
        <v>4384184.4000000004</v>
      </c>
      <c r="J971" s="59">
        <v>44925</v>
      </c>
      <c r="K971" s="46" t="s">
        <v>3118</v>
      </c>
    </row>
    <row r="972" spans="1:12" ht="17.25" customHeight="1" x14ac:dyDescent="0.3">
      <c r="A972" s="259">
        <f t="shared" si="41"/>
        <v>868</v>
      </c>
      <c r="B972" s="20" t="s">
        <v>947</v>
      </c>
      <c r="C972" s="162">
        <v>1967</v>
      </c>
      <c r="D972" s="31"/>
      <c r="E972" s="58" t="s">
        <v>3035</v>
      </c>
      <c r="F972" s="58">
        <v>2</v>
      </c>
      <c r="G972" s="58">
        <v>525</v>
      </c>
      <c r="H972" s="9">
        <v>42</v>
      </c>
      <c r="I972" s="273">
        <f>SUMIF('2020'!B:B,B972,'2020'!C:C)+SUMIF('2021'!B:B,B972,'2021'!C:C)+SUMIF('2022'!B:B,B972,'2022'!C:C)</f>
        <v>130000</v>
      </c>
      <c r="J972" s="59">
        <v>44925</v>
      </c>
      <c r="K972" s="46" t="s">
        <v>3118</v>
      </c>
      <c r="L972" s="197">
        <f>I972-'2021'!C757</f>
        <v>0</v>
      </c>
    </row>
    <row r="973" spans="1:12" ht="17.25" customHeight="1" x14ac:dyDescent="0.3">
      <c r="A973" s="259">
        <f t="shared" si="41"/>
        <v>869</v>
      </c>
      <c r="B973" s="20" t="s">
        <v>948</v>
      </c>
      <c r="C973" s="162">
        <v>1967</v>
      </c>
      <c r="D973" s="31"/>
      <c r="E973" s="58" t="s">
        <v>3035</v>
      </c>
      <c r="F973" s="58">
        <v>2</v>
      </c>
      <c r="G973" s="58">
        <v>524.79999999999995</v>
      </c>
      <c r="H973" s="9">
        <v>43</v>
      </c>
      <c r="I973" s="273">
        <f>SUMIF('2020'!B:B,B973,'2020'!C:C)+SUMIF('2021'!B:B,B973,'2021'!C:C)+SUMIF('2022'!B:B,B973,'2022'!C:C)</f>
        <v>130000</v>
      </c>
      <c r="J973" s="59">
        <v>44925</v>
      </c>
      <c r="K973" s="46" t="s">
        <v>3118</v>
      </c>
    </row>
    <row r="974" spans="1:12" ht="17.25" customHeight="1" x14ac:dyDescent="0.3">
      <c r="A974" s="259">
        <f t="shared" si="41"/>
        <v>870</v>
      </c>
      <c r="B974" s="20" t="s">
        <v>949</v>
      </c>
      <c r="C974" s="162">
        <v>1969</v>
      </c>
      <c r="D974" s="31"/>
      <c r="E974" s="58" t="s">
        <v>3035</v>
      </c>
      <c r="F974" s="58">
        <v>2</v>
      </c>
      <c r="G974" s="58">
        <v>525</v>
      </c>
      <c r="H974" s="9">
        <v>29</v>
      </c>
      <c r="I974" s="273">
        <f>SUMIF('2020'!B:B,B974,'2020'!C:C)+SUMIF('2021'!B:B,B974,'2021'!C:C)+SUMIF('2022'!B:B,B974,'2022'!C:C)</f>
        <v>130000</v>
      </c>
      <c r="J974" s="59">
        <v>44925</v>
      </c>
      <c r="K974" s="46" t="s">
        <v>3118</v>
      </c>
    </row>
    <row r="975" spans="1:12" ht="17.25" customHeight="1" x14ac:dyDescent="0.3">
      <c r="A975" s="259">
        <f t="shared" si="41"/>
        <v>871</v>
      </c>
      <c r="B975" s="20" t="s">
        <v>950</v>
      </c>
      <c r="C975" s="162">
        <v>1969</v>
      </c>
      <c r="D975" s="31"/>
      <c r="E975" s="58" t="s">
        <v>3035</v>
      </c>
      <c r="F975" s="58">
        <v>2</v>
      </c>
      <c r="G975" s="58">
        <v>529.6</v>
      </c>
      <c r="H975" s="9">
        <v>35</v>
      </c>
      <c r="I975" s="273">
        <f>SUMIF('2020'!B:B,B975,'2020'!C:C)+SUMIF('2021'!B:B,B975,'2021'!C:C)+SUMIF('2022'!B:B,B975,'2022'!C:C)</f>
        <v>49621.78</v>
      </c>
      <c r="J975" s="59">
        <v>44925</v>
      </c>
      <c r="K975" s="46" t="s">
        <v>3118</v>
      </c>
    </row>
    <row r="976" spans="1:12" ht="17.25" customHeight="1" x14ac:dyDescent="0.3">
      <c r="A976" s="259">
        <f t="shared" si="41"/>
        <v>872</v>
      </c>
      <c r="B976" s="20" t="s">
        <v>951</v>
      </c>
      <c r="C976" s="162">
        <v>1971</v>
      </c>
      <c r="D976" s="31"/>
      <c r="E976" s="58" t="s">
        <v>3119</v>
      </c>
      <c r="F976" s="58">
        <v>5</v>
      </c>
      <c r="G976" s="58">
        <v>3503.2</v>
      </c>
      <c r="H976" s="9">
        <v>171</v>
      </c>
      <c r="I976" s="273">
        <f>SUMIF('2020'!B:B,B976,'2020'!C:C)+SUMIF('2021'!B:B,B976,'2021'!C:C)+SUMIF('2022'!B:B,B976,'2022'!C:C)</f>
        <v>271724.02</v>
      </c>
      <c r="J976" s="59">
        <v>44925</v>
      </c>
      <c r="K976" s="46" t="s">
        <v>3118</v>
      </c>
    </row>
    <row r="977" spans="1:13" ht="17.25" customHeight="1" x14ac:dyDescent="0.3">
      <c r="A977" s="259">
        <f t="shared" si="41"/>
        <v>873</v>
      </c>
      <c r="B977" s="20" t="s">
        <v>952</v>
      </c>
      <c r="C977" s="162">
        <v>1972</v>
      </c>
      <c r="D977" s="31"/>
      <c r="E977" s="58" t="s">
        <v>3119</v>
      </c>
      <c r="F977" s="58">
        <v>5</v>
      </c>
      <c r="G977" s="58">
        <v>3504.7</v>
      </c>
      <c r="H977" s="9">
        <v>177</v>
      </c>
      <c r="I977" s="273">
        <f>SUMIF('2020'!B:B,B977,'2020'!C:C)+SUMIF('2021'!B:B,B977,'2021'!C:C)+SUMIF('2022'!B:B,B977,'2022'!C:C)</f>
        <v>178961.59</v>
      </c>
      <c r="J977" s="59">
        <v>44925</v>
      </c>
      <c r="K977" s="46" t="s">
        <v>3118</v>
      </c>
    </row>
    <row r="978" spans="1:13" ht="17.25" customHeight="1" x14ac:dyDescent="0.3">
      <c r="A978" s="259">
        <f t="shared" si="41"/>
        <v>874</v>
      </c>
      <c r="B978" s="20" t="s">
        <v>953</v>
      </c>
      <c r="C978" s="162">
        <v>1973</v>
      </c>
      <c r="D978" s="31"/>
      <c r="E978" s="58" t="s">
        <v>3119</v>
      </c>
      <c r="F978" s="58">
        <v>5</v>
      </c>
      <c r="G978" s="58">
        <v>3504.7</v>
      </c>
      <c r="H978" s="9">
        <v>154</v>
      </c>
      <c r="I978" s="273">
        <f>SUMIF('2020'!B:B,B978,'2020'!C:C)+SUMIF('2021'!B:B,B978,'2021'!C:C)+SUMIF('2022'!B:B,B978,'2022'!C:C)</f>
        <v>178961.59</v>
      </c>
      <c r="J978" s="59">
        <v>44925</v>
      </c>
      <c r="K978" s="46" t="s">
        <v>3118</v>
      </c>
    </row>
    <row r="979" spans="1:13" ht="17.25" customHeight="1" x14ac:dyDescent="0.3">
      <c r="A979" s="259">
        <f t="shared" si="41"/>
        <v>875</v>
      </c>
      <c r="B979" s="20" t="s">
        <v>954</v>
      </c>
      <c r="C979" s="162">
        <v>1975</v>
      </c>
      <c r="D979" s="31"/>
      <c r="E979" s="58" t="s">
        <v>3119</v>
      </c>
      <c r="F979" s="58">
        <v>5</v>
      </c>
      <c r="G979" s="58">
        <v>3775.2</v>
      </c>
      <c r="H979" s="9">
        <v>175</v>
      </c>
      <c r="I979" s="273">
        <f>SUMIF('2020'!B:B,B979,'2020'!C:C)+SUMIF('2021'!B:B,B979,'2021'!C:C)+SUMIF('2022'!B:B,B979,'2022'!C:C)</f>
        <v>352033.67</v>
      </c>
      <c r="J979" s="59">
        <v>44925</v>
      </c>
      <c r="K979" s="46" t="s">
        <v>3118</v>
      </c>
    </row>
    <row r="980" spans="1:13" ht="17.25" customHeight="1" x14ac:dyDescent="0.3">
      <c r="A980" s="259">
        <f t="shared" si="41"/>
        <v>876</v>
      </c>
      <c r="B980" s="20" t="s">
        <v>955</v>
      </c>
      <c r="C980" s="162">
        <v>1976</v>
      </c>
      <c r="D980" s="31"/>
      <c r="E980" s="58" t="s">
        <v>3119</v>
      </c>
      <c r="F980" s="58">
        <v>5</v>
      </c>
      <c r="G980" s="58">
        <v>3775.2</v>
      </c>
      <c r="H980" s="9">
        <v>176</v>
      </c>
      <c r="I980" s="273">
        <f>SUMIF('2020'!B:B,B980,'2020'!C:C)+SUMIF('2021'!B:B,B980,'2021'!C:C)+SUMIF('2022'!B:B,B980,'2022'!C:C)</f>
        <v>352033.67</v>
      </c>
      <c r="J980" s="59">
        <v>44925</v>
      </c>
      <c r="K980" s="46" t="s">
        <v>3118</v>
      </c>
    </row>
    <row r="981" spans="1:13" ht="17.25" customHeight="1" x14ac:dyDescent="0.3">
      <c r="A981" s="259">
        <f t="shared" si="41"/>
        <v>877</v>
      </c>
      <c r="B981" s="20" t="s">
        <v>956</v>
      </c>
      <c r="C981" s="162">
        <v>1976</v>
      </c>
      <c r="D981" s="31"/>
      <c r="E981" s="58" t="s">
        <v>3119</v>
      </c>
      <c r="F981" s="58">
        <v>5</v>
      </c>
      <c r="G981" s="58">
        <v>3746.7</v>
      </c>
      <c r="H981" s="9">
        <v>170</v>
      </c>
      <c r="I981" s="273">
        <f>SUMIF('2020'!B:B,B981,'2020'!C:C)+SUMIF('2021'!B:B,B981,'2021'!C:C)+SUMIF('2022'!B:B,B981,'2022'!C:C)</f>
        <v>352033.67</v>
      </c>
      <c r="J981" s="59">
        <v>44925</v>
      </c>
      <c r="K981" s="46" t="s">
        <v>3118</v>
      </c>
    </row>
    <row r="982" spans="1:13" ht="17.25" customHeight="1" x14ac:dyDescent="0.3">
      <c r="A982" s="259">
        <f t="shared" si="41"/>
        <v>878</v>
      </c>
      <c r="B982" s="20" t="s">
        <v>957</v>
      </c>
      <c r="C982" s="162">
        <v>1978</v>
      </c>
      <c r="D982" s="31"/>
      <c r="E982" s="58" t="s">
        <v>3119</v>
      </c>
      <c r="F982" s="58">
        <v>5</v>
      </c>
      <c r="G982" s="58">
        <v>3746.7</v>
      </c>
      <c r="H982" s="9">
        <v>173</v>
      </c>
      <c r="I982" s="273">
        <f>SUMIF('2020'!B:B,B982,'2020'!C:C)+SUMIF('2021'!B:B,B982,'2021'!C:C)+SUMIF('2022'!B:B,B982,'2022'!C:C)</f>
        <v>277706</v>
      </c>
      <c r="J982" s="59">
        <v>44925</v>
      </c>
      <c r="K982" s="46" t="s">
        <v>3118</v>
      </c>
    </row>
    <row r="983" spans="1:13" ht="17.25" customHeight="1" x14ac:dyDescent="0.3">
      <c r="A983" s="15" t="s">
        <v>208</v>
      </c>
      <c r="B983" s="20"/>
      <c r="C983" s="31" t="s">
        <v>3558</v>
      </c>
      <c r="D983" s="31" t="s">
        <v>3558</v>
      </c>
      <c r="E983" s="31" t="s">
        <v>3558</v>
      </c>
      <c r="F983" s="31" t="s">
        <v>3558</v>
      </c>
      <c r="G983" s="56">
        <f>SUM(G962:G982)</f>
        <v>39620.81</v>
      </c>
      <c r="H983" s="173">
        <f>SUM(H962:H982)</f>
        <v>1902</v>
      </c>
      <c r="I983" s="56">
        <f>SUM(I962:I982)</f>
        <v>17216058.030000001</v>
      </c>
      <c r="J983" s="31" t="s">
        <v>3558</v>
      </c>
      <c r="K983" s="31" t="s">
        <v>3558</v>
      </c>
      <c r="L983" s="197">
        <f>I983-'2021'!C768-'2022'!C253</f>
        <v>0</v>
      </c>
      <c r="M983" s="197"/>
    </row>
    <row r="984" spans="1:13" ht="17.25" customHeight="1" x14ac:dyDescent="0.3">
      <c r="A984" s="19" t="s">
        <v>958</v>
      </c>
      <c r="B984" s="20"/>
      <c r="C984" s="31"/>
      <c r="D984" s="31"/>
      <c r="E984" s="31"/>
      <c r="F984" s="31"/>
      <c r="G984" s="31"/>
      <c r="H984" s="173"/>
      <c r="I984" s="56"/>
      <c r="J984" s="31"/>
      <c r="K984" s="31"/>
    </row>
    <row r="985" spans="1:13" x14ac:dyDescent="0.3">
      <c r="A985" s="259">
        <f>A982+1</f>
        <v>879</v>
      </c>
      <c r="B985" s="20" t="s">
        <v>959</v>
      </c>
      <c r="C985" s="31">
        <v>1977</v>
      </c>
      <c r="D985" s="31"/>
      <c r="E985" s="58" t="s">
        <v>3035</v>
      </c>
      <c r="F985" s="200">
        <v>4</v>
      </c>
      <c r="G985" s="200">
        <v>1043</v>
      </c>
      <c r="H985" s="201">
        <v>17</v>
      </c>
      <c r="I985" s="273">
        <f>SUMIF('2020'!B:B,B985,'2020'!C:C)+SUMIF('2021'!B:B,B985,'2021'!C:C)+SUMIF('2022'!B:B,B985,'2022'!C:C)</f>
        <v>12099364.23</v>
      </c>
      <c r="J985" s="59">
        <v>44925</v>
      </c>
      <c r="K985" s="46" t="s">
        <v>3118</v>
      </c>
    </row>
    <row r="986" spans="1:13" x14ac:dyDescent="0.3">
      <c r="A986" s="259">
        <f>A985+1</f>
        <v>880</v>
      </c>
      <c r="B986" s="20" t="s">
        <v>960</v>
      </c>
      <c r="C986" s="31">
        <v>1976</v>
      </c>
      <c r="D986" s="31"/>
      <c r="E986" s="58" t="s">
        <v>3035</v>
      </c>
      <c r="F986" s="200">
        <v>4</v>
      </c>
      <c r="G986" s="200">
        <v>758.53</v>
      </c>
      <c r="H986" s="201">
        <v>28</v>
      </c>
      <c r="I986" s="273">
        <f>SUMIF('2020'!B:B,B986,'2020'!C:C)+SUMIF('2021'!B:B,B986,'2021'!C:C)+SUMIF('2022'!B:B,B986,'2022'!C:C)</f>
        <v>12437785.700000001</v>
      </c>
      <c r="J986" s="59">
        <v>44925</v>
      </c>
      <c r="K986" s="46" t="s">
        <v>3118</v>
      </c>
    </row>
    <row r="987" spans="1:13" ht="17.25" customHeight="1" x14ac:dyDescent="0.3">
      <c r="A987" s="15" t="s">
        <v>208</v>
      </c>
      <c r="B987" s="20"/>
      <c r="C987" s="31" t="s">
        <v>3558</v>
      </c>
      <c r="D987" s="31" t="s">
        <v>3558</v>
      </c>
      <c r="E987" s="31" t="s">
        <v>3558</v>
      </c>
      <c r="F987" s="31" t="s">
        <v>3558</v>
      </c>
      <c r="G987" s="56">
        <f>SUM(G985:G986)</f>
        <v>1801.53</v>
      </c>
      <c r="H987" s="173">
        <f>SUM(H985:H986)</f>
        <v>45</v>
      </c>
      <c r="I987" s="56">
        <f>SUM(I985:I986)</f>
        <v>24537149.93</v>
      </c>
      <c r="J987" s="31" t="s">
        <v>3558</v>
      </c>
      <c r="K987" s="31" t="s">
        <v>3558</v>
      </c>
      <c r="L987" s="197">
        <f>I987-'2020'!C231-'2022'!C257</f>
        <v>0</v>
      </c>
      <c r="M987" s="197"/>
    </row>
    <row r="988" spans="1:13" ht="17.25" customHeight="1" x14ac:dyDescent="0.3">
      <c r="A988" s="19" t="s">
        <v>961</v>
      </c>
      <c r="B988" s="20"/>
      <c r="C988" s="31"/>
      <c r="D988" s="31"/>
      <c r="E988" s="31"/>
      <c r="F988" s="31"/>
      <c r="G988" s="31"/>
      <c r="H988" s="173"/>
      <c r="I988" s="56"/>
      <c r="J988" s="31"/>
      <c r="K988" s="31"/>
    </row>
    <row r="989" spans="1:13" ht="17.25" customHeight="1" x14ac:dyDescent="0.3">
      <c r="A989" s="259">
        <f>A986+1</f>
        <v>881</v>
      </c>
      <c r="B989" s="20" t="s">
        <v>962</v>
      </c>
      <c r="C989" s="162">
        <v>1967</v>
      </c>
      <c r="D989" s="31"/>
      <c r="E989" s="31" t="s">
        <v>3035</v>
      </c>
      <c r="F989" s="31">
        <v>2</v>
      </c>
      <c r="G989" s="31">
        <v>452.8</v>
      </c>
      <c r="H989" s="173">
        <v>29</v>
      </c>
      <c r="I989" s="273">
        <f>SUMIF('2020'!B:B,B989,'2020'!C:C)+SUMIF('2021'!B:B,B989,'2021'!C:C)+SUMIF('2022'!B:B,B989,'2022'!C:C)</f>
        <v>336947.38</v>
      </c>
      <c r="J989" s="59">
        <v>44925</v>
      </c>
      <c r="K989" s="46" t="s">
        <v>3118</v>
      </c>
    </row>
    <row r="990" spans="1:13" ht="17.25" customHeight="1" x14ac:dyDescent="0.3">
      <c r="A990" s="259">
        <f>A989+1</f>
        <v>882</v>
      </c>
      <c r="B990" s="20" t="s">
        <v>963</v>
      </c>
      <c r="C990" s="162">
        <v>1956</v>
      </c>
      <c r="D990" s="31"/>
      <c r="E990" s="31" t="s">
        <v>3189</v>
      </c>
      <c r="F990" s="31">
        <v>2</v>
      </c>
      <c r="G990" s="31">
        <v>384.6</v>
      </c>
      <c r="H990" s="173">
        <v>12</v>
      </c>
      <c r="I990" s="273">
        <f>SUMIF('2020'!B:B,B990,'2020'!C:C)+SUMIF('2021'!B:B,B990,'2021'!C:C)+SUMIF('2022'!B:B,B990,'2022'!C:C)</f>
        <v>304655.58</v>
      </c>
      <c r="J990" s="59">
        <v>44925</v>
      </c>
      <c r="K990" s="46" t="s">
        <v>3118</v>
      </c>
    </row>
    <row r="991" spans="1:13" ht="17.25" customHeight="1" x14ac:dyDescent="0.3">
      <c r="A991" s="259">
        <f t="shared" ref="A991:A1020" si="42">A990+1</f>
        <v>883</v>
      </c>
      <c r="B991" s="20" t="s">
        <v>964</v>
      </c>
      <c r="C991" s="162">
        <v>1970</v>
      </c>
      <c r="D991" s="31"/>
      <c r="E991" s="31" t="s">
        <v>3035</v>
      </c>
      <c r="F991" s="31">
        <v>4</v>
      </c>
      <c r="G991" s="31">
        <v>1265</v>
      </c>
      <c r="H991" s="173">
        <v>46</v>
      </c>
      <c r="I991" s="273">
        <f>SUMIF('2020'!B:B,B991,'2020'!C:C)+SUMIF('2021'!B:B,B991,'2021'!C:C)+SUMIF('2022'!B:B,B991,'2022'!C:C)</f>
        <v>123271.21</v>
      </c>
      <c r="J991" s="59">
        <v>44925</v>
      </c>
      <c r="K991" s="46" t="s">
        <v>3118</v>
      </c>
    </row>
    <row r="992" spans="1:13" ht="17.25" customHeight="1" x14ac:dyDescent="0.3">
      <c r="A992" s="259">
        <f t="shared" si="42"/>
        <v>884</v>
      </c>
      <c r="B992" s="20" t="s">
        <v>965</v>
      </c>
      <c r="C992" s="162">
        <v>1971</v>
      </c>
      <c r="D992" s="31"/>
      <c r="E992" s="31" t="s">
        <v>3035</v>
      </c>
      <c r="F992" s="31">
        <v>4</v>
      </c>
      <c r="G992" s="31">
        <v>1282</v>
      </c>
      <c r="H992" s="173">
        <v>52</v>
      </c>
      <c r="I992" s="273">
        <f>SUMIF('2020'!B:B,B992,'2020'!C:C)+SUMIF('2021'!B:B,B992,'2021'!C:C)+SUMIF('2022'!B:B,B992,'2022'!C:C)</f>
        <v>107890.03</v>
      </c>
      <c r="J992" s="59">
        <v>44925</v>
      </c>
      <c r="K992" s="46" t="s">
        <v>3118</v>
      </c>
    </row>
    <row r="993" spans="1:11" ht="17.25" customHeight="1" x14ac:dyDescent="0.3">
      <c r="A993" s="259">
        <f t="shared" si="42"/>
        <v>885</v>
      </c>
      <c r="B993" s="20" t="s">
        <v>966</v>
      </c>
      <c r="C993" s="162">
        <v>1974</v>
      </c>
      <c r="D993" s="31"/>
      <c r="E993" s="31" t="s">
        <v>3035</v>
      </c>
      <c r="F993" s="31">
        <v>5</v>
      </c>
      <c r="G993" s="31">
        <v>2765.3</v>
      </c>
      <c r="H993" s="173">
        <v>94</v>
      </c>
      <c r="I993" s="273">
        <f>SUMIF('2020'!B:B,B993,'2020'!C:C)+SUMIF('2021'!B:B,B993,'2021'!C:C)+SUMIF('2022'!B:B,B993,'2022'!C:C)</f>
        <v>173878.86</v>
      </c>
      <c r="J993" s="59">
        <v>44925</v>
      </c>
      <c r="K993" s="46" t="s">
        <v>3118</v>
      </c>
    </row>
    <row r="994" spans="1:11" ht="17.25" customHeight="1" x14ac:dyDescent="0.3">
      <c r="A994" s="259">
        <f t="shared" si="42"/>
        <v>886</v>
      </c>
      <c r="B994" s="20" t="s">
        <v>967</v>
      </c>
      <c r="C994" s="162">
        <v>1962</v>
      </c>
      <c r="D994" s="31"/>
      <c r="E994" s="31" t="s">
        <v>3035</v>
      </c>
      <c r="F994" s="31">
        <v>5</v>
      </c>
      <c r="G994" s="31">
        <v>3425.8</v>
      </c>
      <c r="H994" s="173">
        <v>122</v>
      </c>
      <c r="I994" s="273">
        <f>SUMIF('2020'!B:B,B994,'2020'!C:C)+SUMIF('2021'!B:B,B994,'2021'!C:C)+SUMIF('2022'!B:B,B994,'2022'!C:C)</f>
        <v>641413.80000000005</v>
      </c>
      <c r="J994" s="59">
        <v>44925</v>
      </c>
      <c r="K994" s="46" t="s">
        <v>3118</v>
      </c>
    </row>
    <row r="995" spans="1:11" ht="17.25" customHeight="1" x14ac:dyDescent="0.3">
      <c r="A995" s="259">
        <f t="shared" si="42"/>
        <v>887</v>
      </c>
      <c r="B995" s="20" t="s">
        <v>968</v>
      </c>
      <c r="C995" s="162">
        <v>1963</v>
      </c>
      <c r="D995" s="31"/>
      <c r="E995" s="31" t="s">
        <v>3035</v>
      </c>
      <c r="F995" s="31">
        <v>4</v>
      </c>
      <c r="G995" s="31">
        <v>2533.08</v>
      </c>
      <c r="H995" s="173">
        <v>82</v>
      </c>
      <c r="I995" s="273">
        <f>SUMIF('2020'!B:B,B995,'2020'!C:C)+SUMIF('2021'!B:B,B995,'2021'!C:C)+SUMIF('2022'!B:B,B995,'2022'!C:C)</f>
        <v>177287.92</v>
      </c>
      <c r="J995" s="59">
        <v>44925</v>
      </c>
      <c r="K995" s="46" t="s">
        <v>3118</v>
      </c>
    </row>
    <row r="996" spans="1:11" ht="17.25" customHeight="1" x14ac:dyDescent="0.3">
      <c r="A996" s="259">
        <f t="shared" si="42"/>
        <v>888</v>
      </c>
      <c r="B996" s="20" t="s">
        <v>969</v>
      </c>
      <c r="C996" s="162">
        <v>1963</v>
      </c>
      <c r="D996" s="31"/>
      <c r="E996" s="31" t="s">
        <v>3035</v>
      </c>
      <c r="F996" s="31">
        <v>4</v>
      </c>
      <c r="G996" s="31">
        <v>2040.29</v>
      </c>
      <c r="H996" s="173">
        <v>95</v>
      </c>
      <c r="I996" s="273">
        <f>SUMIF('2020'!B:B,B996,'2020'!C:C)+SUMIF('2021'!B:B,B996,'2021'!C:C)+SUMIF('2022'!B:B,B996,'2022'!C:C)</f>
        <v>180265.03</v>
      </c>
      <c r="J996" s="59">
        <v>44925</v>
      </c>
      <c r="K996" s="46" t="s">
        <v>3118</v>
      </c>
    </row>
    <row r="997" spans="1:11" ht="17.25" customHeight="1" x14ac:dyDescent="0.3">
      <c r="A997" s="259">
        <f t="shared" si="42"/>
        <v>889</v>
      </c>
      <c r="B997" s="20" t="s">
        <v>970</v>
      </c>
      <c r="C997" s="162">
        <v>1963</v>
      </c>
      <c r="D997" s="31"/>
      <c r="E997" s="31" t="s">
        <v>3035</v>
      </c>
      <c r="F997" s="31">
        <v>4</v>
      </c>
      <c r="G997" s="31">
        <v>2526</v>
      </c>
      <c r="H997" s="173">
        <v>91</v>
      </c>
      <c r="I997" s="273">
        <f>SUMIF('2020'!B:B,B997,'2020'!C:C)+SUMIF('2021'!B:B,B997,'2021'!C:C)+SUMIF('2022'!B:B,B997,'2022'!C:C)</f>
        <v>15464128.970000001</v>
      </c>
      <c r="J997" s="59">
        <v>44925</v>
      </c>
      <c r="K997" s="46" t="s">
        <v>3118</v>
      </c>
    </row>
    <row r="998" spans="1:11" ht="17.25" customHeight="1" x14ac:dyDescent="0.3">
      <c r="A998" s="259">
        <f t="shared" si="42"/>
        <v>890</v>
      </c>
      <c r="B998" s="20" t="s">
        <v>971</v>
      </c>
      <c r="C998" s="162">
        <v>1966</v>
      </c>
      <c r="D998" s="31"/>
      <c r="E998" s="31" t="s">
        <v>3035</v>
      </c>
      <c r="F998" s="31">
        <v>5</v>
      </c>
      <c r="G998" s="31">
        <v>3455</v>
      </c>
      <c r="H998" s="173">
        <v>108</v>
      </c>
      <c r="I998" s="273">
        <f>SUMIF('2020'!B:B,B998,'2020'!C:C)+SUMIF('2021'!B:B,B998,'2021'!C:C)+SUMIF('2022'!B:B,B998,'2022'!C:C)</f>
        <v>590532.91</v>
      </c>
      <c r="J998" s="59">
        <v>44925</v>
      </c>
      <c r="K998" s="46" t="s">
        <v>3118</v>
      </c>
    </row>
    <row r="999" spans="1:11" ht="17.25" customHeight="1" x14ac:dyDescent="0.3">
      <c r="A999" s="259">
        <f t="shared" si="42"/>
        <v>891</v>
      </c>
      <c r="B999" s="20" t="s">
        <v>972</v>
      </c>
      <c r="C999" s="162">
        <v>1964</v>
      </c>
      <c r="D999" s="31"/>
      <c r="E999" s="31" t="s">
        <v>3035</v>
      </c>
      <c r="F999" s="31">
        <v>5</v>
      </c>
      <c r="G999" s="31">
        <v>2735</v>
      </c>
      <c r="H999" s="173">
        <v>115</v>
      </c>
      <c r="I999" s="273">
        <f>SUMIF('2020'!B:B,B999,'2020'!C:C)+SUMIF('2021'!B:B,B999,'2021'!C:C)+SUMIF('2022'!B:B,B999,'2022'!C:C)</f>
        <v>593061.42000000004</v>
      </c>
      <c r="J999" s="59">
        <v>44925</v>
      </c>
      <c r="K999" s="46" t="s">
        <v>3118</v>
      </c>
    </row>
    <row r="1000" spans="1:11" ht="17.25" customHeight="1" x14ac:dyDescent="0.3">
      <c r="A1000" s="259">
        <f t="shared" si="42"/>
        <v>892</v>
      </c>
      <c r="B1000" s="20" t="s">
        <v>973</v>
      </c>
      <c r="C1000" s="162">
        <v>1971</v>
      </c>
      <c r="D1000" s="31"/>
      <c r="E1000" s="31" t="s">
        <v>3035</v>
      </c>
      <c r="F1000" s="31">
        <v>5</v>
      </c>
      <c r="G1000" s="31">
        <v>2556</v>
      </c>
      <c r="H1000" s="173">
        <v>132</v>
      </c>
      <c r="I1000" s="273">
        <f>SUMIF('2020'!B:B,B1000,'2020'!C:C)+SUMIF('2021'!B:B,B1000,'2021'!C:C)+SUMIF('2022'!B:B,B1000,'2022'!C:C)</f>
        <v>205488.92</v>
      </c>
      <c r="J1000" s="59">
        <v>44925</v>
      </c>
      <c r="K1000" s="46" t="s">
        <v>3118</v>
      </c>
    </row>
    <row r="1001" spans="1:11" ht="17.25" customHeight="1" x14ac:dyDescent="0.3">
      <c r="A1001" s="259">
        <f t="shared" si="42"/>
        <v>893</v>
      </c>
      <c r="B1001" s="20" t="s">
        <v>974</v>
      </c>
      <c r="C1001" s="162">
        <v>1968</v>
      </c>
      <c r="D1001" s="31"/>
      <c r="E1001" s="31" t="s">
        <v>3035</v>
      </c>
      <c r="F1001" s="31">
        <v>5</v>
      </c>
      <c r="G1001" s="31">
        <v>3479</v>
      </c>
      <c r="H1001" s="173">
        <v>130</v>
      </c>
      <c r="I1001" s="273">
        <f>SUMIF('2020'!B:B,B1001,'2020'!C:C)+SUMIF('2021'!B:B,B1001,'2021'!C:C)+SUMIF('2022'!B:B,B1001,'2022'!C:C)</f>
        <v>230044.6</v>
      </c>
      <c r="J1001" s="59">
        <v>44925</v>
      </c>
      <c r="K1001" s="46" t="s">
        <v>3118</v>
      </c>
    </row>
    <row r="1002" spans="1:11" ht="17.25" customHeight="1" x14ac:dyDescent="0.3">
      <c r="A1002" s="259">
        <f t="shared" si="42"/>
        <v>894</v>
      </c>
      <c r="B1002" s="20" t="s">
        <v>975</v>
      </c>
      <c r="C1002" s="162">
        <v>1963</v>
      </c>
      <c r="D1002" s="31"/>
      <c r="E1002" s="31" t="s">
        <v>3035</v>
      </c>
      <c r="F1002" s="31">
        <v>2</v>
      </c>
      <c r="G1002" s="31">
        <v>303.2</v>
      </c>
      <c r="H1002" s="173">
        <v>16</v>
      </c>
      <c r="I1002" s="273">
        <f>SUMIF('2020'!B:B,B1002,'2020'!C:C)+SUMIF('2021'!B:B,B1002,'2021'!C:C)+SUMIF('2022'!B:B,B1002,'2022'!C:C)</f>
        <v>84708.72</v>
      </c>
      <c r="J1002" s="59">
        <v>44925</v>
      </c>
      <c r="K1002" s="46" t="s">
        <v>3118</v>
      </c>
    </row>
    <row r="1003" spans="1:11" ht="17.25" customHeight="1" x14ac:dyDescent="0.3">
      <c r="A1003" s="259">
        <f t="shared" si="42"/>
        <v>895</v>
      </c>
      <c r="B1003" s="20" t="s">
        <v>976</v>
      </c>
      <c r="C1003" s="162">
        <v>1963</v>
      </c>
      <c r="D1003" s="31"/>
      <c r="E1003" s="31" t="s">
        <v>3035</v>
      </c>
      <c r="F1003" s="31">
        <v>2</v>
      </c>
      <c r="G1003" s="31">
        <v>309.08999999999997</v>
      </c>
      <c r="H1003" s="173">
        <v>19</v>
      </c>
      <c r="I1003" s="273">
        <f>SUMIF('2020'!B:B,B1003,'2020'!C:C)+SUMIF('2021'!B:B,B1003,'2021'!C:C)+SUMIF('2022'!B:B,B1003,'2022'!C:C)</f>
        <v>87772.07</v>
      </c>
      <c r="J1003" s="59">
        <v>44925</v>
      </c>
      <c r="K1003" s="46" t="s">
        <v>3118</v>
      </c>
    </row>
    <row r="1004" spans="1:11" ht="17.25" customHeight="1" x14ac:dyDescent="0.3">
      <c r="A1004" s="259">
        <f t="shared" si="42"/>
        <v>896</v>
      </c>
      <c r="B1004" s="20" t="s">
        <v>977</v>
      </c>
      <c r="C1004" s="162">
        <v>1954</v>
      </c>
      <c r="D1004" s="31"/>
      <c r="E1004" s="31" t="s">
        <v>3035</v>
      </c>
      <c r="F1004" s="31">
        <v>2</v>
      </c>
      <c r="G1004" s="31">
        <v>391.2</v>
      </c>
      <c r="H1004" s="173">
        <v>14</v>
      </c>
      <c r="I1004" s="273">
        <f>SUMIF('2020'!B:B,B1004,'2020'!C:C)+SUMIF('2021'!B:B,B1004,'2021'!C:C)+SUMIF('2022'!B:B,B1004,'2022'!C:C)</f>
        <v>109038.3</v>
      </c>
      <c r="J1004" s="59">
        <v>44925</v>
      </c>
      <c r="K1004" s="46" t="s">
        <v>3118</v>
      </c>
    </row>
    <row r="1005" spans="1:11" ht="17.25" customHeight="1" x14ac:dyDescent="0.3">
      <c r="A1005" s="259">
        <f t="shared" si="42"/>
        <v>897</v>
      </c>
      <c r="B1005" s="20" t="s">
        <v>978</v>
      </c>
      <c r="C1005" s="162">
        <v>1954</v>
      </c>
      <c r="D1005" s="31"/>
      <c r="E1005" s="31" t="s">
        <v>3035</v>
      </c>
      <c r="F1005" s="31">
        <v>2</v>
      </c>
      <c r="G1005" s="31">
        <v>381.2</v>
      </c>
      <c r="H1005" s="173">
        <v>9</v>
      </c>
      <c r="I1005" s="273">
        <f>SUMIF('2020'!B:B,B1005,'2020'!C:C)+SUMIF('2021'!B:B,B1005,'2021'!C:C)+SUMIF('2022'!B:B,B1005,'2022'!C:C)</f>
        <v>109249.42</v>
      </c>
      <c r="J1005" s="59">
        <v>44925</v>
      </c>
      <c r="K1005" s="46" t="s">
        <v>3118</v>
      </c>
    </row>
    <row r="1006" spans="1:11" ht="17.25" customHeight="1" x14ac:dyDescent="0.3">
      <c r="A1006" s="259">
        <f t="shared" si="42"/>
        <v>898</v>
      </c>
      <c r="B1006" s="20" t="s">
        <v>979</v>
      </c>
      <c r="C1006" s="162">
        <v>1962</v>
      </c>
      <c r="D1006" s="31"/>
      <c r="E1006" s="31" t="s">
        <v>3035</v>
      </c>
      <c r="F1006" s="31">
        <v>2</v>
      </c>
      <c r="G1006" s="31">
        <v>301.89999999999998</v>
      </c>
      <c r="H1006" s="173">
        <v>7</v>
      </c>
      <c r="I1006" s="273">
        <f>SUMIF('2020'!B:B,B1006,'2020'!C:C)+SUMIF('2021'!B:B,B1006,'2021'!C:C)+SUMIF('2022'!B:B,B1006,'2022'!C:C)</f>
        <v>86585.93</v>
      </c>
      <c r="J1006" s="59">
        <v>44925</v>
      </c>
      <c r="K1006" s="46" t="s">
        <v>3118</v>
      </c>
    </row>
    <row r="1007" spans="1:11" ht="17.25" customHeight="1" x14ac:dyDescent="0.3">
      <c r="A1007" s="259">
        <f t="shared" si="42"/>
        <v>899</v>
      </c>
      <c r="B1007" s="20" t="s">
        <v>980</v>
      </c>
      <c r="C1007" s="162">
        <v>1963</v>
      </c>
      <c r="D1007" s="31"/>
      <c r="E1007" s="31" t="s">
        <v>3035</v>
      </c>
      <c r="F1007" s="31">
        <v>2</v>
      </c>
      <c r="G1007" s="31">
        <v>305.3</v>
      </c>
      <c r="H1007" s="173">
        <v>15</v>
      </c>
      <c r="I1007" s="273">
        <f>SUMIF('2020'!B:B,B1007,'2020'!C:C)+SUMIF('2021'!B:B,B1007,'2021'!C:C)+SUMIF('2022'!B:B,B1007,'2022'!C:C)</f>
        <v>92504.83</v>
      </c>
      <c r="J1007" s="59">
        <v>44925</v>
      </c>
      <c r="K1007" s="46" t="s">
        <v>3118</v>
      </c>
    </row>
    <row r="1008" spans="1:11" ht="17.25" customHeight="1" x14ac:dyDescent="0.3">
      <c r="A1008" s="259">
        <f t="shared" si="42"/>
        <v>900</v>
      </c>
      <c r="B1008" s="20" t="s">
        <v>981</v>
      </c>
      <c r="C1008" s="162">
        <v>1965</v>
      </c>
      <c r="D1008" s="31"/>
      <c r="E1008" s="31" t="s">
        <v>3035</v>
      </c>
      <c r="F1008" s="31">
        <v>2</v>
      </c>
      <c r="G1008" s="31">
        <v>317.60000000000002</v>
      </c>
      <c r="H1008" s="173">
        <v>19</v>
      </c>
      <c r="I1008" s="273">
        <f>SUMIF('2020'!B:B,B1008,'2020'!C:C)+SUMIF('2021'!B:B,B1008,'2021'!C:C)+SUMIF('2022'!B:B,B1008,'2022'!C:C)</f>
        <v>73360.39</v>
      </c>
      <c r="J1008" s="59">
        <v>44925</v>
      </c>
      <c r="K1008" s="46" t="s">
        <v>3118</v>
      </c>
    </row>
    <row r="1009" spans="1:11" ht="17.25" customHeight="1" x14ac:dyDescent="0.3">
      <c r="A1009" s="259">
        <f t="shared" si="42"/>
        <v>901</v>
      </c>
      <c r="B1009" s="20" t="s">
        <v>982</v>
      </c>
      <c r="C1009" s="162">
        <v>1978</v>
      </c>
      <c r="D1009" s="31"/>
      <c r="E1009" s="31" t="s">
        <v>3121</v>
      </c>
      <c r="F1009" s="31">
        <v>5</v>
      </c>
      <c r="G1009" s="31">
        <v>5696.6</v>
      </c>
      <c r="H1009" s="173">
        <v>239</v>
      </c>
      <c r="I1009" s="273">
        <f>SUMIF('2020'!B:B,B1009,'2020'!C:C)+SUMIF('2021'!B:B,B1009,'2021'!C:C)+SUMIF('2022'!B:B,B1009,'2022'!C:C)</f>
        <v>414222.46</v>
      </c>
      <c r="J1009" s="59">
        <v>44925</v>
      </c>
      <c r="K1009" s="46" t="s">
        <v>3118</v>
      </c>
    </row>
    <row r="1010" spans="1:11" ht="17.25" customHeight="1" x14ac:dyDescent="0.3">
      <c r="A1010" s="259">
        <f t="shared" si="42"/>
        <v>902</v>
      </c>
      <c r="B1010" s="20" t="s">
        <v>983</v>
      </c>
      <c r="C1010" s="162">
        <v>1962</v>
      </c>
      <c r="D1010" s="31"/>
      <c r="E1010" s="31" t="s">
        <v>3035</v>
      </c>
      <c r="F1010" s="31">
        <v>2</v>
      </c>
      <c r="G1010" s="31">
        <v>306.39999999999998</v>
      </c>
      <c r="H1010" s="173">
        <v>18</v>
      </c>
      <c r="I1010" s="273">
        <f>SUMIF('2020'!B:B,B1010,'2020'!C:C)+SUMIF('2021'!B:B,B1010,'2021'!C:C)+SUMIF('2022'!B:B,B1010,'2022'!C:C)</f>
        <v>255306.72</v>
      </c>
      <c r="J1010" s="59">
        <v>44925</v>
      </c>
      <c r="K1010" s="46" t="s">
        <v>3118</v>
      </c>
    </row>
    <row r="1011" spans="1:11" ht="17.25" customHeight="1" x14ac:dyDescent="0.3">
      <c r="A1011" s="259">
        <f t="shared" si="42"/>
        <v>903</v>
      </c>
      <c r="B1011" s="20" t="s">
        <v>984</v>
      </c>
      <c r="C1011" s="162">
        <v>1966</v>
      </c>
      <c r="D1011" s="31"/>
      <c r="E1011" s="31" t="s">
        <v>3035</v>
      </c>
      <c r="F1011" s="31">
        <v>2</v>
      </c>
      <c r="G1011" s="31">
        <v>322.10000000000002</v>
      </c>
      <c r="H1011" s="173">
        <v>10</v>
      </c>
      <c r="I1011" s="273">
        <f>SUMIF('2020'!B:B,B1011,'2020'!C:C)+SUMIF('2021'!B:B,B1011,'2021'!C:C)+SUMIF('2022'!B:B,B1011,'2022'!C:C)</f>
        <v>271162.04000000004</v>
      </c>
      <c r="J1011" s="59">
        <v>44925</v>
      </c>
      <c r="K1011" s="46" t="s">
        <v>3118</v>
      </c>
    </row>
    <row r="1012" spans="1:11" ht="17.25" customHeight="1" x14ac:dyDescent="0.3">
      <c r="A1012" s="259">
        <f t="shared" si="42"/>
        <v>904</v>
      </c>
      <c r="B1012" s="20" t="s">
        <v>985</v>
      </c>
      <c r="C1012" s="162">
        <v>1968</v>
      </c>
      <c r="D1012" s="31"/>
      <c r="E1012" s="31" t="s">
        <v>3035</v>
      </c>
      <c r="F1012" s="31">
        <v>2</v>
      </c>
      <c r="G1012" s="31">
        <v>465.9</v>
      </c>
      <c r="H1012" s="173">
        <v>23</v>
      </c>
      <c r="I1012" s="273">
        <f>SUMIF('2020'!B:B,B1012,'2020'!C:C)+SUMIF('2021'!B:B,B1012,'2021'!C:C)+SUMIF('2022'!B:B,B1012,'2022'!C:C)</f>
        <v>123227.15</v>
      </c>
      <c r="J1012" s="59">
        <v>44925</v>
      </c>
      <c r="K1012" s="46" t="s">
        <v>3118</v>
      </c>
    </row>
    <row r="1013" spans="1:11" ht="17.25" customHeight="1" x14ac:dyDescent="0.3">
      <c r="A1013" s="259">
        <f t="shared" si="42"/>
        <v>905</v>
      </c>
      <c r="B1013" s="20" t="s">
        <v>986</v>
      </c>
      <c r="C1013" s="162">
        <v>1977</v>
      </c>
      <c r="D1013" s="31"/>
      <c r="E1013" s="31" t="s">
        <v>3035</v>
      </c>
      <c r="F1013" s="31">
        <v>5</v>
      </c>
      <c r="G1013" s="31">
        <v>345.2</v>
      </c>
      <c r="H1013" s="173">
        <v>123</v>
      </c>
      <c r="I1013" s="273">
        <f>SUMIF('2020'!B:B,B1013,'2020'!C:C)+SUMIF('2021'!B:B,B1013,'2021'!C:C)+SUMIF('2022'!B:B,B1013,'2022'!C:C)</f>
        <v>241507.07</v>
      </c>
      <c r="J1013" s="59">
        <v>44925</v>
      </c>
      <c r="K1013" s="46" t="s">
        <v>3118</v>
      </c>
    </row>
    <row r="1014" spans="1:11" ht="17.25" customHeight="1" x14ac:dyDescent="0.3">
      <c r="A1014" s="259">
        <f t="shared" si="42"/>
        <v>906</v>
      </c>
      <c r="B1014" s="20" t="s">
        <v>987</v>
      </c>
      <c r="C1014" s="162">
        <v>1972</v>
      </c>
      <c r="D1014" s="31"/>
      <c r="E1014" s="31" t="s">
        <v>3190</v>
      </c>
      <c r="F1014" s="31">
        <v>5</v>
      </c>
      <c r="G1014" s="31">
        <v>4355.8999999999996</v>
      </c>
      <c r="H1014" s="173">
        <v>188</v>
      </c>
      <c r="I1014" s="273">
        <f>SUMIF('2020'!B:B,B1014,'2020'!C:C)+SUMIF('2021'!B:B,B1014,'2021'!C:C)+SUMIF('2022'!B:B,B1014,'2022'!C:C)</f>
        <v>922018.95</v>
      </c>
      <c r="J1014" s="59">
        <v>44925</v>
      </c>
      <c r="K1014" s="46" t="s">
        <v>3118</v>
      </c>
    </row>
    <row r="1015" spans="1:11" ht="17.25" customHeight="1" x14ac:dyDescent="0.3">
      <c r="A1015" s="259">
        <f t="shared" si="42"/>
        <v>907</v>
      </c>
      <c r="B1015" s="20" t="s">
        <v>988</v>
      </c>
      <c r="C1015" s="162">
        <v>1976</v>
      </c>
      <c r="D1015" s="31"/>
      <c r="E1015" s="31" t="s">
        <v>3190</v>
      </c>
      <c r="F1015" s="31">
        <v>5</v>
      </c>
      <c r="G1015" s="31">
        <v>4391.2</v>
      </c>
      <c r="H1015" s="173">
        <v>190</v>
      </c>
      <c r="I1015" s="273">
        <f>SUMIF('2020'!B:B,B1015,'2020'!C:C)+SUMIF('2021'!B:B,B1015,'2021'!C:C)+SUMIF('2022'!B:B,B1015,'2022'!C:C)</f>
        <v>3718854.41</v>
      </c>
      <c r="J1015" s="59">
        <v>44925</v>
      </c>
      <c r="K1015" s="46" t="s">
        <v>3118</v>
      </c>
    </row>
    <row r="1016" spans="1:11" ht="17.25" customHeight="1" x14ac:dyDescent="0.3">
      <c r="A1016" s="259">
        <f t="shared" si="42"/>
        <v>908</v>
      </c>
      <c r="B1016" s="20" t="s">
        <v>989</v>
      </c>
      <c r="C1016" s="162">
        <v>1974</v>
      </c>
      <c r="D1016" s="31"/>
      <c r="E1016" s="31" t="s">
        <v>3190</v>
      </c>
      <c r="F1016" s="31">
        <v>5</v>
      </c>
      <c r="G1016" s="31">
        <v>4409.2</v>
      </c>
      <c r="H1016" s="173">
        <v>183</v>
      </c>
      <c r="I1016" s="273">
        <f>SUMIF('2020'!B:B,B1016,'2020'!C:C)+SUMIF('2021'!B:B,B1016,'2021'!C:C)+SUMIF('2022'!B:B,B1016,'2022'!C:C)</f>
        <v>278885.56</v>
      </c>
      <c r="J1016" s="59">
        <v>44925</v>
      </c>
      <c r="K1016" s="46" t="s">
        <v>3118</v>
      </c>
    </row>
    <row r="1017" spans="1:11" ht="17.25" customHeight="1" x14ac:dyDescent="0.3">
      <c r="A1017" s="259">
        <f t="shared" si="42"/>
        <v>909</v>
      </c>
      <c r="B1017" s="20" t="s">
        <v>990</v>
      </c>
      <c r="C1017" s="162">
        <v>1981</v>
      </c>
      <c r="D1017" s="31"/>
      <c r="E1017" s="31" t="s">
        <v>3190</v>
      </c>
      <c r="F1017" s="31">
        <v>5</v>
      </c>
      <c r="G1017" s="31">
        <v>3157.7</v>
      </c>
      <c r="H1017" s="173">
        <v>133</v>
      </c>
      <c r="I1017" s="273">
        <f>SUMIF('2020'!B:B,B1017,'2020'!C:C)+SUMIF('2021'!B:B,B1017,'2021'!C:C)+SUMIF('2022'!B:B,B1017,'2022'!C:C)</f>
        <v>13467360.060000001</v>
      </c>
      <c r="J1017" s="59">
        <v>44925</v>
      </c>
      <c r="K1017" s="46" t="s">
        <v>3118</v>
      </c>
    </row>
    <row r="1018" spans="1:11" ht="17.25" customHeight="1" x14ac:dyDescent="0.3">
      <c r="A1018" s="259">
        <f t="shared" si="42"/>
        <v>910</v>
      </c>
      <c r="B1018" s="20" t="s">
        <v>991</v>
      </c>
      <c r="C1018" s="162">
        <v>1969</v>
      </c>
      <c r="D1018" s="31"/>
      <c r="E1018" s="31" t="s">
        <v>3190</v>
      </c>
      <c r="F1018" s="31">
        <v>5</v>
      </c>
      <c r="G1018" s="31">
        <v>3957.71</v>
      </c>
      <c r="H1018" s="173">
        <v>155</v>
      </c>
      <c r="I1018" s="273">
        <f>SUMIF('2020'!B:B,B1018,'2020'!C:C)+SUMIF('2021'!B:B,B1018,'2021'!C:C)+SUMIF('2022'!B:B,B1018,'2022'!C:C)</f>
        <v>4837165.6400000006</v>
      </c>
      <c r="J1018" s="59">
        <v>44925</v>
      </c>
      <c r="K1018" s="46" t="s">
        <v>3118</v>
      </c>
    </row>
    <row r="1019" spans="1:11" ht="17.25" customHeight="1" x14ac:dyDescent="0.3">
      <c r="A1019" s="259">
        <f t="shared" si="42"/>
        <v>911</v>
      </c>
      <c r="B1019" s="20" t="s">
        <v>992</v>
      </c>
      <c r="C1019" s="162">
        <v>1977</v>
      </c>
      <c r="D1019" s="31"/>
      <c r="E1019" s="31" t="s">
        <v>3190</v>
      </c>
      <c r="F1019" s="31">
        <v>5</v>
      </c>
      <c r="G1019" s="31">
        <v>5209.32</v>
      </c>
      <c r="H1019" s="173">
        <v>144</v>
      </c>
      <c r="I1019" s="273">
        <f>SUMIF('2020'!B:B,B1019,'2020'!C:C)+SUMIF('2021'!B:B,B1019,'2021'!C:C)+SUMIF('2022'!B:B,B1019,'2022'!C:C)</f>
        <v>4325354.8</v>
      </c>
      <c r="J1019" s="59">
        <v>44925</v>
      </c>
      <c r="K1019" s="46" t="s">
        <v>3118</v>
      </c>
    </row>
    <row r="1020" spans="1:11" ht="17.25" customHeight="1" x14ac:dyDescent="0.3">
      <c r="A1020" s="259">
        <f t="shared" si="42"/>
        <v>912</v>
      </c>
      <c r="B1020" s="20" t="s">
        <v>993</v>
      </c>
      <c r="C1020" s="162">
        <v>1960</v>
      </c>
      <c r="D1020" s="31"/>
      <c r="E1020" s="31" t="s">
        <v>3035</v>
      </c>
      <c r="F1020" s="31">
        <v>2</v>
      </c>
      <c r="G1020" s="31">
        <v>870.8</v>
      </c>
      <c r="H1020" s="173">
        <v>54</v>
      </c>
      <c r="I1020" s="273">
        <f>SUMIF('2020'!B:B,B1020,'2020'!C:C)+SUMIF('2021'!B:B,B1020,'2021'!C:C)+SUMIF('2022'!B:B,B1020,'2022'!C:C)</f>
        <v>517199.99</v>
      </c>
      <c r="J1020" s="59">
        <v>44925</v>
      </c>
      <c r="K1020" s="46" t="s">
        <v>3118</v>
      </c>
    </row>
    <row r="1021" spans="1:11" ht="17.25" customHeight="1" x14ac:dyDescent="0.3">
      <c r="A1021" s="259">
        <f t="shared" ref="A1021:A1052" si="43">A1020+1</f>
        <v>913</v>
      </c>
      <c r="B1021" s="20" t="s">
        <v>994</v>
      </c>
      <c r="C1021" s="162">
        <v>1963</v>
      </c>
      <c r="D1021" s="31"/>
      <c r="E1021" s="31" t="s">
        <v>3035</v>
      </c>
      <c r="F1021" s="31">
        <v>2</v>
      </c>
      <c r="G1021" s="31">
        <v>722.2</v>
      </c>
      <c r="H1021" s="173">
        <v>54</v>
      </c>
      <c r="I1021" s="273">
        <f>SUMIF('2020'!B:B,B1021,'2020'!C:C)+SUMIF('2021'!B:B,B1021,'2021'!C:C)+SUMIF('2022'!B:B,B1021,'2022'!C:C)</f>
        <v>499832.54</v>
      </c>
      <c r="J1021" s="59">
        <v>44925</v>
      </c>
      <c r="K1021" s="46" t="s">
        <v>3118</v>
      </c>
    </row>
    <row r="1022" spans="1:11" ht="17.25" customHeight="1" x14ac:dyDescent="0.3">
      <c r="A1022" s="259">
        <f t="shared" si="43"/>
        <v>914</v>
      </c>
      <c r="B1022" s="20" t="s">
        <v>995</v>
      </c>
      <c r="C1022" s="162">
        <v>1962</v>
      </c>
      <c r="D1022" s="31"/>
      <c r="E1022" s="31" t="s">
        <v>3035</v>
      </c>
      <c r="F1022" s="31">
        <v>2</v>
      </c>
      <c r="G1022" s="31">
        <v>726.5</v>
      </c>
      <c r="H1022" s="173">
        <v>45</v>
      </c>
      <c r="I1022" s="273">
        <f>SUMIF('2020'!B:B,B1022,'2020'!C:C)+SUMIF('2021'!B:B,B1022,'2021'!C:C)+SUMIF('2022'!B:B,B1022,'2022'!C:C)</f>
        <v>500811.24</v>
      </c>
      <c r="J1022" s="59">
        <v>44925</v>
      </c>
      <c r="K1022" s="46" t="s">
        <v>3118</v>
      </c>
    </row>
    <row r="1023" spans="1:11" ht="17.25" customHeight="1" x14ac:dyDescent="0.3">
      <c r="A1023" s="259">
        <f t="shared" si="43"/>
        <v>915</v>
      </c>
      <c r="B1023" s="20" t="s">
        <v>996</v>
      </c>
      <c r="C1023" s="162">
        <v>1964</v>
      </c>
      <c r="D1023" s="31"/>
      <c r="E1023" s="31" t="s">
        <v>3035</v>
      </c>
      <c r="F1023" s="31">
        <v>2</v>
      </c>
      <c r="G1023" s="31">
        <v>1038.77</v>
      </c>
      <c r="H1023" s="173">
        <v>26</v>
      </c>
      <c r="I1023" s="273">
        <f>SUMIF('2020'!B:B,B1023,'2020'!C:C)+SUMIF('2021'!B:B,B1023,'2021'!C:C)+SUMIF('2022'!B:B,B1023,'2022'!C:C)</f>
        <v>567436.96</v>
      </c>
      <c r="J1023" s="59">
        <v>44925</v>
      </c>
      <c r="K1023" s="46" t="s">
        <v>3118</v>
      </c>
    </row>
    <row r="1024" spans="1:11" ht="17.25" customHeight="1" x14ac:dyDescent="0.3">
      <c r="A1024" s="259">
        <f t="shared" si="43"/>
        <v>916</v>
      </c>
      <c r="B1024" s="20" t="s">
        <v>997</v>
      </c>
      <c r="C1024" s="162">
        <v>1965</v>
      </c>
      <c r="D1024" s="31"/>
      <c r="E1024" s="31" t="s">
        <v>3035</v>
      </c>
      <c r="F1024" s="31">
        <v>2</v>
      </c>
      <c r="G1024" s="31">
        <v>604.13</v>
      </c>
      <c r="H1024" s="173">
        <v>54</v>
      </c>
      <c r="I1024" s="273">
        <f>SUMIF('2020'!B:B,B1024,'2020'!C:C)+SUMIF('2021'!B:B,B1024,'2021'!C:C)+SUMIF('2022'!B:B,B1024,'2022'!C:C)</f>
        <v>491384.11</v>
      </c>
      <c r="J1024" s="59">
        <v>44925</v>
      </c>
      <c r="K1024" s="46" t="s">
        <v>3118</v>
      </c>
    </row>
    <row r="1025" spans="1:11" ht="17.25" customHeight="1" x14ac:dyDescent="0.3">
      <c r="A1025" s="259">
        <f t="shared" si="43"/>
        <v>917</v>
      </c>
      <c r="B1025" s="20" t="s">
        <v>998</v>
      </c>
      <c r="C1025" s="162">
        <v>1965</v>
      </c>
      <c r="D1025" s="31"/>
      <c r="E1025" s="31" t="s">
        <v>3035</v>
      </c>
      <c r="F1025" s="31">
        <v>2</v>
      </c>
      <c r="G1025" s="31">
        <v>613</v>
      </c>
      <c r="H1025" s="173">
        <v>36</v>
      </c>
      <c r="I1025" s="273">
        <f>SUMIF('2020'!B:B,B1025,'2020'!C:C)+SUMIF('2021'!B:B,B1025,'2021'!C:C)+SUMIF('2022'!B:B,B1025,'2022'!C:C)</f>
        <v>505841.22</v>
      </c>
      <c r="J1025" s="59">
        <v>44925</v>
      </c>
      <c r="K1025" s="46" t="s">
        <v>3118</v>
      </c>
    </row>
    <row r="1026" spans="1:11" ht="17.25" customHeight="1" x14ac:dyDescent="0.3">
      <c r="A1026" s="259">
        <f t="shared" si="43"/>
        <v>918</v>
      </c>
      <c r="B1026" s="20" t="s">
        <v>999</v>
      </c>
      <c r="C1026" s="162">
        <v>1970</v>
      </c>
      <c r="D1026" s="31"/>
      <c r="E1026" s="31" t="s">
        <v>3035</v>
      </c>
      <c r="F1026" s="31">
        <v>2</v>
      </c>
      <c r="G1026" s="31">
        <v>739.6</v>
      </c>
      <c r="H1026" s="173">
        <v>19</v>
      </c>
      <c r="I1026" s="273">
        <f>SUMIF('2020'!B:B,B1026,'2020'!C:C)+SUMIF('2021'!B:B,B1026,'2021'!C:C)+SUMIF('2022'!B:B,B1026,'2022'!C:C)</f>
        <v>548949.77</v>
      </c>
      <c r="J1026" s="59">
        <v>44925</v>
      </c>
      <c r="K1026" s="46" t="s">
        <v>3118</v>
      </c>
    </row>
    <row r="1027" spans="1:11" ht="17.25" customHeight="1" x14ac:dyDescent="0.3">
      <c r="A1027" s="259">
        <f t="shared" si="43"/>
        <v>919</v>
      </c>
      <c r="B1027" s="20" t="s">
        <v>1000</v>
      </c>
      <c r="C1027" s="162">
        <v>1970</v>
      </c>
      <c r="D1027" s="31"/>
      <c r="E1027" s="31" t="s">
        <v>3035</v>
      </c>
      <c r="F1027" s="31">
        <v>2</v>
      </c>
      <c r="G1027" s="31">
        <v>738.45</v>
      </c>
      <c r="H1027" s="173">
        <v>57</v>
      </c>
      <c r="I1027" s="273">
        <f>SUMIF('2020'!B:B,B1027,'2020'!C:C)+SUMIF('2021'!B:B,B1027,'2021'!C:C)+SUMIF('2022'!B:B,B1027,'2022'!C:C)</f>
        <v>557918.39</v>
      </c>
      <c r="J1027" s="59">
        <v>44925</v>
      </c>
      <c r="K1027" s="46" t="s">
        <v>3118</v>
      </c>
    </row>
    <row r="1028" spans="1:11" ht="17.25" customHeight="1" x14ac:dyDescent="0.3">
      <c r="A1028" s="259">
        <f t="shared" si="43"/>
        <v>920</v>
      </c>
      <c r="B1028" s="20" t="s">
        <v>1001</v>
      </c>
      <c r="C1028" s="162">
        <v>1973</v>
      </c>
      <c r="D1028" s="31"/>
      <c r="E1028" s="31" t="s">
        <v>3035</v>
      </c>
      <c r="F1028" s="31">
        <v>2</v>
      </c>
      <c r="G1028" s="31">
        <v>735</v>
      </c>
      <c r="H1028" s="173">
        <v>35</v>
      </c>
      <c r="I1028" s="273">
        <f>SUMIF('2020'!B:B,B1028,'2020'!C:C)+SUMIF('2021'!B:B,B1028,'2021'!C:C)+SUMIF('2022'!B:B,B1028,'2022'!C:C)</f>
        <v>210988.63</v>
      </c>
      <c r="J1028" s="59">
        <v>44925</v>
      </c>
      <c r="K1028" s="46" t="s">
        <v>3118</v>
      </c>
    </row>
    <row r="1029" spans="1:11" ht="17.25" customHeight="1" x14ac:dyDescent="0.3">
      <c r="A1029" s="259">
        <f t="shared" si="43"/>
        <v>921</v>
      </c>
      <c r="B1029" s="20" t="s">
        <v>1002</v>
      </c>
      <c r="C1029" s="162">
        <v>1974</v>
      </c>
      <c r="D1029" s="31"/>
      <c r="E1029" s="31" t="s">
        <v>3035</v>
      </c>
      <c r="F1029" s="31">
        <v>2</v>
      </c>
      <c r="G1029" s="31">
        <v>734</v>
      </c>
      <c r="H1029" s="173">
        <v>35</v>
      </c>
      <c r="I1029" s="273">
        <f>SUMIF('2020'!B:B,B1029,'2020'!C:C)+SUMIF('2021'!B:B,B1029,'2021'!C:C)+SUMIF('2022'!B:B,B1029,'2022'!C:C)</f>
        <v>214143.97</v>
      </c>
      <c r="J1029" s="59">
        <v>44925</v>
      </c>
      <c r="K1029" s="46" t="s">
        <v>3118</v>
      </c>
    </row>
    <row r="1030" spans="1:11" ht="17.25" customHeight="1" x14ac:dyDescent="0.3">
      <c r="A1030" s="259">
        <f t="shared" si="43"/>
        <v>922</v>
      </c>
      <c r="B1030" s="20" t="s">
        <v>1003</v>
      </c>
      <c r="C1030" s="162">
        <v>1977</v>
      </c>
      <c r="D1030" s="31"/>
      <c r="E1030" s="31" t="s">
        <v>3119</v>
      </c>
      <c r="F1030" s="31">
        <v>3</v>
      </c>
      <c r="G1030" s="31">
        <v>1284.3</v>
      </c>
      <c r="H1030" s="173">
        <v>58</v>
      </c>
      <c r="I1030" s="273">
        <f>SUMIF('2020'!B:B,B1030,'2020'!C:C)+SUMIF('2021'!B:B,B1030,'2021'!C:C)+SUMIF('2022'!B:B,B1030,'2022'!C:C)</f>
        <v>196638.54</v>
      </c>
      <c r="J1030" s="59">
        <v>44925</v>
      </c>
      <c r="K1030" s="46" t="s">
        <v>3118</v>
      </c>
    </row>
    <row r="1031" spans="1:11" ht="17.25" customHeight="1" x14ac:dyDescent="0.3">
      <c r="A1031" s="259">
        <f t="shared" si="43"/>
        <v>923</v>
      </c>
      <c r="B1031" s="20" t="s">
        <v>1004</v>
      </c>
      <c r="C1031" s="162">
        <v>1977</v>
      </c>
      <c r="D1031" s="31"/>
      <c r="E1031" s="31" t="s">
        <v>3119</v>
      </c>
      <c r="F1031" s="31">
        <v>3</v>
      </c>
      <c r="G1031" s="31">
        <v>1741</v>
      </c>
      <c r="H1031" s="173">
        <v>68</v>
      </c>
      <c r="I1031" s="273">
        <f>SUMIF('2020'!B:B,B1031,'2020'!C:C)+SUMIF('2021'!B:B,B1031,'2021'!C:C)+SUMIF('2022'!B:B,B1031,'2022'!C:C)</f>
        <v>239060.57</v>
      </c>
      <c r="J1031" s="59">
        <v>44925</v>
      </c>
      <c r="K1031" s="46" t="s">
        <v>3118</v>
      </c>
    </row>
    <row r="1032" spans="1:11" ht="17.25" customHeight="1" x14ac:dyDescent="0.3">
      <c r="A1032" s="259">
        <f t="shared" si="43"/>
        <v>924</v>
      </c>
      <c r="B1032" s="20" t="s">
        <v>1005</v>
      </c>
      <c r="C1032" s="162">
        <v>1966</v>
      </c>
      <c r="D1032" s="31"/>
      <c r="E1032" s="31" t="s">
        <v>3035</v>
      </c>
      <c r="F1032" s="31">
        <v>2</v>
      </c>
      <c r="G1032" s="31">
        <v>649.9</v>
      </c>
      <c r="H1032" s="173">
        <v>26</v>
      </c>
      <c r="I1032" s="273">
        <f>SUMIF('2020'!B:B,B1032,'2020'!C:C)+SUMIF('2021'!B:B,B1032,'2021'!C:C)+SUMIF('2022'!B:B,B1032,'2022'!C:C)</f>
        <v>510078.64</v>
      </c>
      <c r="J1032" s="59">
        <v>44925</v>
      </c>
      <c r="K1032" s="46" t="s">
        <v>3118</v>
      </c>
    </row>
    <row r="1033" spans="1:11" ht="17.25" customHeight="1" x14ac:dyDescent="0.3">
      <c r="A1033" s="259">
        <f t="shared" si="43"/>
        <v>925</v>
      </c>
      <c r="B1033" s="20" t="s">
        <v>1006</v>
      </c>
      <c r="C1033" s="162">
        <v>1967</v>
      </c>
      <c r="D1033" s="31"/>
      <c r="E1033" s="31" t="s">
        <v>3035</v>
      </c>
      <c r="F1033" s="31">
        <v>2</v>
      </c>
      <c r="G1033" s="31">
        <v>638.4</v>
      </c>
      <c r="H1033" s="173">
        <v>36</v>
      </c>
      <c r="I1033" s="273">
        <f>SUMIF('2020'!B:B,B1033,'2020'!C:C)+SUMIF('2021'!B:B,B1033,'2021'!C:C)+SUMIF('2022'!B:B,B1033,'2022'!C:C)</f>
        <v>519023.17</v>
      </c>
      <c r="J1033" s="59">
        <v>44925</v>
      </c>
      <c r="K1033" s="46" t="s">
        <v>3118</v>
      </c>
    </row>
    <row r="1034" spans="1:11" ht="17.25" customHeight="1" x14ac:dyDescent="0.3">
      <c r="A1034" s="259">
        <f t="shared" si="43"/>
        <v>926</v>
      </c>
      <c r="B1034" s="20" t="s">
        <v>1007</v>
      </c>
      <c r="C1034" s="162">
        <v>1971</v>
      </c>
      <c r="D1034" s="31"/>
      <c r="E1034" s="259" t="s">
        <v>3035</v>
      </c>
      <c r="F1034" s="259">
        <v>2</v>
      </c>
      <c r="G1034" s="259">
        <v>816.51</v>
      </c>
      <c r="H1034" s="10">
        <v>34</v>
      </c>
      <c r="I1034" s="273">
        <f>SUMIF('2020'!B:B,B1034,'2020'!C:C)+SUMIF('2021'!B:B,B1034,'2021'!C:C)+SUMIF('2022'!B:B,B1034,'2022'!C:C)</f>
        <v>353489.3</v>
      </c>
      <c r="J1034" s="59">
        <v>44925</v>
      </c>
      <c r="K1034" s="46" t="s">
        <v>3118</v>
      </c>
    </row>
    <row r="1035" spans="1:11" ht="17.25" customHeight="1" x14ac:dyDescent="0.3">
      <c r="A1035" s="259">
        <f t="shared" si="43"/>
        <v>927</v>
      </c>
      <c r="B1035" s="20" t="s">
        <v>1008</v>
      </c>
      <c r="C1035" s="162">
        <v>1971</v>
      </c>
      <c r="D1035" s="31"/>
      <c r="E1035" s="31" t="s">
        <v>3119</v>
      </c>
      <c r="F1035" s="31">
        <v>2</v>
      </c>
      <c r="G1035" s="31">
        <v>935.58</v>
      </c>
      <c r="H1035" s="173">
        <v>51</v>
      </c>
      <c r="I1035" s="273">
        <f>SUMIF('2020'!B:B,B1035,'2020'!C:C)+SUMIF('2021'!B:B,B1035,'2021'!C:C)+SUMIF('2022'!B:B,B1035,'2022'!C:C)</f>
        <v>359804.77</v>
      </c>
      <c r="J1035" s="59">
        <v>44925</v>
      </c>
      <c r="K1035" s="46" t="s">
        <v>3118</v>
      </c>
    </row>
    <row r="1036" spans="1:11" ht="17.25" customHeight="1" x14ac:dyDescent="0.3">
      <c r="A1036" s="259">
        <f t="shared" si="43"/>
        <v>928</v>
      </c>
      <c r="B1036" s="20" t="s">
        <v>1009</v>
      </c>
      <c r="C1036" s="162">
        <v>1972</v>
      </c>
      <c r="D1036" s="31"/>
      <c r="E1036" s="31" t="s">
        <v>3119</v>
      </c>
      <c r="F1036" s="31">
        <v>2</v>
      </c>
      <c r="G1036" s="31">
        <v>761.2</v>
      </c>
      <c r="H1036" s="173">
        <v>39</v>
      </c>
      <c r="I1036" s="273">
        <f>SUMIF('2020'!B:B,B1036,'2020'!C:C)+SUMIF('2021'!B:B,B1036,'2021'!C:C)+SUMIF('2022'!B:B,B1036,'2022'!C:C)</f>
        <v>177164.9</v>
      </c>
      <c r="J1036" s="59">
        <v>44925</v>
      </c>
      <c r="K1036" s="46" t="s">
        <v>3118</v>
      </c>
    </row>
    <row r="1037" spans="1:11" ht="17.25" customHeight="1" x14ac:dyDescent="0.3">
      <c r="A1037" s="259">
        <f t="shared" si="43"/>
        <v>929</v>
      </c>
      <c r="B1037" s="20" t="s">
        <v>1010</v>
      </c>
      <c r="C1037" s="162">
        <v>1972</v>
      </c>
      <c r="D1037" s="31"/>
      <c r="E1037" s="31" t="s">
        <v>3119</v>
      </c>
      <c r="F1037" s="31">
        <v>2</v>
      </c>
      <c r="G1037" s="31">
        <v>767</v>
      </c>
      <c r="H1037" s="173">
        <v>42</v>
      </c>
      <c r="I1037" s="273">
        <f>SUMIF('2020'!B:B,B1037,'2020'!C:C)+SUMIF('2021'!B:B,B1037,'2021'!C:C)+SUMIF('2022'!B:B,B1037,'2022'!C:C)</f>
        <v>176422.03</v>
      </c>
      <c r="J1037" s="59">
        <v>44925</v>
      </c>
      <c r="K1037" s="46" t="s">
        <v>3118</v>
      </c>
    </row>
    <row r="1038" spans="1:11" ht="17.25" customHeight="1" x14ac:dyDescent="0.3">
      <c r="A1038" s="259">
        <f t="shared" si="43"/>
        <v>930</v>
      </c>
      <c r="B1038" s="20" t="s">
        <v>1011</v>
      </c>
      <c r="C1038" s="162">
        <v>1975</v>
      </c>
      <c r="D1038" s="31"/>
      <c r="E1038" s="31" t="s">
        <v>3035</v>
      </c>
      <c r="F1038" s="31">
        <v>3</v>
      </c>
      <c r="G1038" s="31">
        <v>917.67</v>
      </c>
      <c r="H1038" s="173">
        <v>32</v>
      </c>
      <c r="I1038" s="273">
        <f>SUMIF('2020'!B:B,B1038,'2020'!C:C)+SUMIF('2021'!B:B,B1038,'2021'!C:C)+SUMIF('2022'!B:B,B1038,'2022'!C:C)</f>
        <v>201568.37</v>
      </c>
      <c r="J1038" s="59">
        <v>44925</v>
      </c>
      <c r="K1038" s="46" t="s">
        <v>3118</v>
      </c>
    </row>
    <row r="1039" spans="1:11" ht="17.25" customHeight="1" x14ac:dyDescent="0.3">
      <c r="A1039" s="259">
        <f t="shared" si="43"/>
        <v>931</v>
      </c>
      <c r="B1039" s="20" t="s">
        <v>1012</v>
      </c>
      <c r="C1039" s="162">
        <v>1965</v>
      </c>
      <c r="D1039" s="31"/>
      <c r="E1039" s="31" t="s">
        <v>3035</v>
      </c>
      <c r="F1039" s="31">
        <v>2</v>
      </c>
      <c r="G1039" s="31">
        <v>640.1</v>
      </c>
      <c r="H1039" s="173">
        <v>23</v>
      </c>
      <c r="I1039" s="273">
        <f>SUMIF('2020'!B:B,B1039,'2020'!C:C)+SUMIF('2021'!B:B,B1039,'2021'!C:C)+SUMIF('2022'!B:B,B1039,'2022'!C:C)</f>
        <v>3189187.73</v>
      </c>
      <c r="J1039" s="59">
        <v>44925</v>
      </c>
      <c r="K1039" s="46" t="s">
        <v>3118</v>
      </c>
    </row>
    <row r="1040" spans="1:11" ht="17.25" customHeight="1" x14ac:dyDescent="0.3">
      <c r="A1040" s="259">
        <f t="shared" si="43"/>
        <v>932</v>
      </c>
      <c r="B1040" s="20" t="s">
        <v>1013</v>
      </c>
      <c r="C1040" s="162">
        <v>1965</v>
      </c>
      <c r="D1040" s="31"/>
      <c r="E1040" s="31" t="s">
        <v>3119</v>
      </c>
      <c r="F1040" s="31">
        <v>2</v>
      </c>
      <c r="G1040" s="31">
        <v>654.29999999999995</v>
      </c>
      <c r="H1040" s="173">
        <v>25</v>
      </c>
      <c r="I1040" s="273">
        <f>SUMIF('2020'!B:B,B1040,'2020'!C:C)+SUMIF('2021'!B:B,B1040,'2021'!C:C)+SUMIF('2022'!B:B,B1040,'2022'!C:C)</f>
        <v>293640.74</v>
      </c>
      <c r="J1040" s="59">
        <v>44925</v>
      </c>
      <c r="K1040" s="46" t="s">
        <v>3118</v>
      </c>
    </row>
    <row r="1041" spans="1:11" ht="17.25" customHeight="1" x14ac:dyDescent="0.3">
      <c r="A1041" s="259">
        <f t="shared" si="43"/>
        <v>933</v>
      </c>
      <c r="B1041" s="20" t="s">
        <v>1014</v>
      </c>
      <c r="C1041" s="162">
        <v>1969</v>
      </c>
      <c r="D1041" s="31"/>
      <c r="E1041" s="31" t="s">
        <v>3119</v>
      </c>
      <c r="F1041" s="31">
        <v>2</v>
      </c>
      <c r="G1041" s="31">
        <v>656.5</v>
      </c>
      <c r="H1041" s="173">
        <v>26</v>
      </c>
      <c r="I1041" s="273">
        <f>SUMIF('2020'!B:B,B1041,'2020'!C:C)+SUMIF('2021'!B:B,B1041,'2021'!C:C)+SUMIF('2022'!B:B,B1041,'2022'!C:C)</f>
        <v>294197.53999999998</v>
      </c>
      <c r="J1041" s="59">
        <v>44925</v>
      </c>
      <c r="K1041" s="46" t="s">
        <v>3118</v>
      </c>
    </row>
    <row r="1042" spans="1:11" ht="17.25" customHeight="1" x14ac:dyDescent="0.3">
      <c r="A1042" s="259">
        <f t="shared" si="43"/>
        <v>934</v>
      </c>
      <c r="B1042" s="20" t="s">
        <v>1015</v>
      </c>
      <c r="C1042" s="162">
        <v>1969</v>
      </c>
      <c r="D1042" s="31"/>
      <c r="E1042" s="31" t="s">
        <v>3035</v>
      </c>
      <c r="F1042" s="31">
        <v>2</v>
      </c>
      <c r="G1042" s="31">
        <v>655.20000000000005</v>
      </c>
      <c r="H1042" s="173">
        <v>27</v>
      </c>
      <c r="I1042" s="273">
        <f>SUMIF('2020'!B:B,B1042,'2020'!C:C)+SUMIF('2021'!B:B,B1042,'2021'!C:C)+SUMIF('2022'!B:B,B1042,'2022'!C:C)</f>
        <v>180960.48</v>
      </c>
      <c r="J1042" s="59">
        <v>44925</v>
      </c>
      <c r="K1042" s="46" t="s">
        <v>3118</v>
      </c>
    </row>
    <row r="1043" spans="1:11" ht="17.25" customHeight="1" x14ac:dyDescent="0.3">
      <c r="A1043" s="259">
        <f t="shared" si="43"/>
        <v>935</v>
      </c>
      <c r="B1043" s="20" t="s">
        <v>1016</v>
      </c>
      <c r="C1043" s="162">
        <v>1970</v>
      </c>
      <c r="D1043" s="31"/>
      <c r="E1043" s="31" t="s">
        <v>3119</v>
      </c>
      <c r="F1043" s="31">
        <v>2</v>
      </c>
      <c r="G1043" s="31">
        <v>411.3</v>
      </c>
      <c r="H1043" s="173">
        <v>16</v>
      </c>
      <c r="I1043" s="273">
        <f>SUMIF('2020'!B:B,B1043,'2020'!C:C)+SUMIF('2021'!B:B,B1043,'2021'!C:C)+SUMIF('2022'!B:B,B1043,'2022'!C:C)</f>
        <v>201333.24</v>
      </c>
      <c r="J1043" s="59">
        <v>44925</v>
      </c>
      <c r="K1043" s="46" t="s">
        <v>3118</v>
      </c>
    </row>
    <row r="1044" spans="1:11" ht="17.25" customHeight="1" x14ac:dyDescent="0.3">
      <c r="A1044" s="259">
        <f t="shared" si="43"/>
        <v>936</v>
      </c>
      <c r="B1044" s="20" t="s">
        <v>1017</v>
      </c>
      <c r="C1044" s="162">
        <v>1972</v>
      </c>
      <c r="D1044" s="31"/>
      <c r="E1044" s="31" t="s">
        <v>3191</v>
      </c>
      <c r="F1044" s="31">
        <v>5</v>
      </c>
      <c r="G1044" s="31">
        <v>4328.95</v>
      </c>
      <c r="H1044" s="173">
        <v>188</v>
      </c>
      <c r="I1044" s="273">
        <f>SUMIF('2020'!B:B,B1044,'2020'!C:C)+SUMIF('2021'!B:B,B1044,'2021'!C:C)+SUMIF('2022'!B:B,B1044,'2022'!C:C)</f>
        <v>417575.52</v>
      </c>
      <c r="J1044" s="59">
        <v>44925</v>
      </c>
      <c r="K1044" s="46" t="s">
        <v>3118</v>
      </c>
    </row>
    <row r="1045" spans="1:11" ht="17.25" customHeight="1" x14ac:dyDescent="0.3">
      <c r="A1045" s="259">
        <f t="shared" si="43"/>
        <v>937</v>
      </c>
      <c r="B1045" s="20" t="s">
        <v>1018</v>
      </c>
      <c r="C1045" s="162">
        <v>1969</v>
      </c>
      <c r="D1045" s="31"/>
      <c r="E1045" s="31" t="s">
        <v>3191</v>
      </c>
      <c r="F1045" s="31">
        <v>5</v>
      </c>
      <c r="G1045" s="31">
        <v>4370.95</v>
      </c>
      <c r="H1045" s="173">
        <v>196</v>
      </c>
      <c r="I1045" s="273">
        <f>SUMIF('2020'!B:B,B1045,'2020'!C:C)+SUMIF('2021'!B:B,B1045,'2021'!C:C)+SUMIF('2022'!B:B,B1045,'2022'!C:C)</f>
        <v>419314.38</v>
      </c>
      <c r="J1045" s="59">
        <v>44925</v>
      </c>
      <c r="K1045" s="46" t="s">
        <v>3118</v>
      </c>
    </row>
    <row r="1046" spans="1:11" ht="17.25" customHeight="1" x14ac:dyDescent="0.3">
      <c r="A1046" s="259">
        <f t="shared" si="43"/>
        <v>938</v>
      </c>
      <c r="B1046" s="20" t="s">
        <v>1019</v>
      </c>
      <c r="C1046" s="162">
        <v>1972</v>
      </c>
      <c r="D1046" s="31"/>
      <c r="E1046" s="31" t="s">
        <v>3191</v>
      </c>
      <c r="F1046" s="31">
        <v>5</v>
      </c>
      <c r="G1046" s="31">
        <v>4467.2</v>
      </c>
      <c r="H1046" s="173">
        <v>197</v>
      </c>
      <c r="I1046" s="273">
        <f>SUMIF('2020'!B:B,B1046,'2020'!C:C)+SUMIF('2021'!B:B,B1046,'2021'!C:C)+SUMIF('2022'!B:B,B1046,'2022'!C:C)</f>
        <v>387283.57</v>
      </c>
      <c r="J1046" s="59">
        <v>44925</v>
      </c>
      <c r="K1046" s="46" t="s">
        <v>3118</v>
      </c>
    </row>
    <row r="1047" spans="1:11" ht="17.25" customHeight="1" x14ac:dyDescent="0.3">
      <c r="A1047" s="259">
        <f t="shared" si="43"/>
        <v>939</v>
      </c>
      <c r="B1047" s="20" t="s">
        <v>1020</v>
      </c>
      <c r="C1047" s="162">
        <v>1982</v>
      </c>
      <c r="D1047" s="31"/>
      <c r="E1047" s="31" t="s">
        <v>3119</v>
      </c>
      <c r="F1047" s="31">
        <v>5</v>
      </c>
      <c r="G1047" s="31">
        <v>4854.2</v>
      </c>
      <c r="H1047" s="173">
        <v>166</v>
      </c>
      <c r="I1047" s="273">
        <f>SUMIF('2020'!B:B,B1047,'2020'!C:C)+SUMIF('2021'!B:B,B1047,'2021'!C:C)+SUMIF('2022'!B:B,B1047,'2022'!C:C)</f>
        <v>4357798.75</v>
      </c>
      <c r="J1047" s="59">
        <v>44925</v>
      </c>
      <c r="K1047" s="46" t="s">
        <v>3118</v>
      </c>
    </row>
    <row r="1048" spans="1:11" ht="17.25" customHeight="1" x14ac:dyDescent="0.3">
      <c r="A1048" s="259">
        <f t="shared" si="43"/>
        <v>940</v>
      </c>
      <c r="B1048" s="20" t="s">
        <v>1021</v>
      </c>
      <c r="C1048" s="162">
        <v>1982</v>
      </c>
      <c r="D1048" s="31"/>
      <c r="E1048" s="31" t="s">
        <v>3035</v>
      </c>
      <c r="F1048" s="31">
        <v>5</v>
      </c>
      <c r="G1048" s="31">
        <v>5708.5</v>
      </c>
      <c r="H1048" s="173">
        <v>241</v>
      </c>
      <c r="I1048" s="273">
        <f>SUMIF('2020'!B:B,B1048,'2020'!C:C)+SUMIF('2021'!B:B,B1048,'2021'!C:C)+SUMIF('2022'!B:B,B1048,'2022'!C:C)</f>
        <v>6498508.6800000006</v>
      </c>
      <c r="J1048" s="59">
        <v>44925</v>
      </c>
      <c r="K1048" s="46" t="s">
        <v>3118</v>
      </c>
    </row>
    <row r="1049" spans="1:11" ht="17.25" customHeight="1" x14ac:dyDescent="0.3">
      <c r="A1049" s="259">
        <f t="shared" si="43"/>
        <v>941</v>
      </c>
      <c r="B1049" s="20" t="s">
        <v>1022</v>
      </c>
      <c r="C1049" s="162">
        <v>1967</v>
      </c>
      <c r="D1049" s="31"/>
      <c r="E1049" s="31" t="s">
        <v>3035</v>
      </c>
      <c r="F1049" s="31">
        <v>2</v>
      </c>
      <c r="G1049" s="31">
        <v>625.9</v>
      </c>
      <c r="H1049" s="173">
        <v>17</v>
      </c>
      <c r="I1049" s="273">
        <f>SUMIF('2020'!B:B,B1049,'2020'!C:C)+SUMIF('2021'!B:B,B1049,'2021'!C:C)+SUMIF('2022'!B:B,B1049,'2022'!C:C)</f>
        <v>190899.77</v>
      </c>
      <c r="J1049" s="59">
        <v>44925</v>
      </c>
      <c r="K1049" s="46" t="s">
        <v>3118</v>
      </c>
    </row>
    <row r="1050" spans="1:11" ht="17.25" customHeight="1" x14ac:dyDescent="0.3">
      <c r="A1050" s="259">
        <f t="shared" si="43"/>
        <v>942</v>
      </c>
      <c r="B1050" s="20" t="s">
        <v>1023</v>
      </c>
      <c r="C1050" s="162">
        <v>1967</v>
      </c>
      <c r="D1050" s="31"/>
      <c r="E1050" s="31" t="s">
        <v>3035</v>
      </c>
      <c r="F1050" s="31">
        <v>2</v>
      </c>
      <c r="G1050" s="31">
        <v>627.5</v>
      </c>
      <c r="H1050" s="173">
        <v>26</v>
      </c>
      <c r="I1050" s="273">
        <f>SUMIF('2020'!B:B,B1050,'2020'!C:C)+SUMIF('2021'!B:B,B1050,'2021'!C:C)+SUMIF('2022'!B:B,B1050,'2022'!C:C)</f>
        <v>190584.22</v>
      </c>
      <c r="J1050" s="59">
        <v>44925</v>
      </c>
      <c r="K1050" s="46" t="s">
        <v>3118</v>
      </c>
    </row>
    <row r="1051" spans="1:11" ht="17.25" customHeight="1" x14ac:dyDescent="0.3">
      <c r="A1051" s="259">
        <f t="shared" si="43"/>
        <v>943</v>
      </c>
      <c r="B1051" s="20" t="s">
        <v>1024</v>
      </c>
      <c r="C1051" s="162">
        <v>1972</v>
      </c>
      <c r="D1051" s="31"/>
      <c r="E1051" s="31" t="s">
        <v>3035</v>
      </c>
      <c r="F1051" s="31">
        <v>2</v>
      </c>
      <c r="G1051" s="31">
        <v>529.5</v>
      </c>
      <c r="H1051" s="173">
        <v>17</v>
      </c>
      <c r="I1051" s="273">
        <f>SUMIF('2020'!B:B,B1051,'2020'!C:C)+SUMIF('2021'!B:B,B1051,'2021'!C:C)+SUMIF('2022'!B:B,B1051,'2022'!C:C)</f>
        <v>172335.95</v>
      </c>
      <c r="J1051" s="59">
        <v>44925</v>
      </c>
      <c r="K1051" s="46" t="s">
        <v>3118</v>
      </c>
    </row>
    <row r="1052" spans="1:11" ht="17.25" customHeight="1" x14ac:dyDescent="0.3">
      <c r="A1052" s="259">
        <f t="shared" si="43"/>
        <v>944</v>
      </c>
      <c r="B1052" s="20" t="s">
        <v>1025</v>
      </c>
      <c r="C1052" s="162">
        <v>1966</v>
      </c>
      <c r="D1052" s="31"/>
      <c r="E1052" s="31" t="s">
        <v>3035</v>
      </c>
      <c r="F1052" s="31">
        <v>2</v>
      </c>
      <c r="G1052" s="31">
        <v>520.12</v>
      </c>
      <c r="H1052" s="173">
        <v>16</v>
      </c>
      <c r="I1052" s="273">
        <f>SUMIF('2020'!B:B,B1052,'2020'!C:C)+SUMIF('2021'!B:B,B1052,'2021'!C:C)+SUMIF('2022'!B:B,B1052,'2022'!C:C)</f>
        <v>485883.22</v>
      </c>
      <c r="J1052" s="59">
        <v>44925</v>
      </c>
      <c r="K1052" s="46" t="s">
        <v>3118</v>
      </c>
    </row>
    <row r="1053" spans="1:11" ht="17.25" customHeight="1" x14ac:dyDescent="0.3">
      <c r="A1053" s="259">
        <f t="shared" ref="A1053:A1059" si="44">A1052+1</f>
        <v>945</v>
      </c>
      <c r="B1053" s="20" t="s">
        <v>1026</v>
      </c>
      <c r="C1053" s="162">
        <v>1978</v>
      </c>
      <c r="D1053" s="31"/>
      <c r="E1053" s="31" t="s">
        <v>3035</v>
      </c>
      <c r="F1053" s="31">
        <v>4</v>
      </c>
      <c r="G1053" s="31">
        <v>817.03</v>
      </c>
      <c r="H1053" s="173">
        <v>35</v>
      </c>
      <c r="I1053" s="273">
        <f>SUMIF('2020'!B:B,B1053,'2020'!C:C)+SUMIF('2021'!B:B,B1053,'2021'!C:C)+SUMIF('2022'!B:B,B1053,'2022'!C:C)</f>
        <v>699296</v>
      </c>
      <c r="J1053" s="59">
        <v>44925</v>
      </c>
      <c r="K1053" s="46" t="s">
        <v>3118</v>
      </c>
    </row>
    <row r="1054" spans="1:11" ht="17.25" customHeight="1" x14ac:dyDescent="0.3">
      <c r="A1054" s="259">
        <f t="shared" si="44"/>
        <v>946</v>
      </c>
      <c r="B1054" s="20" t="s">
        <v>1027</v>
      </c>
      <c r="C1054" s="162">
        <v>1966</v>
      </c>
      <c r="D1054" s="31"/>
      <c r="E1054" s="31" t="s">
        <v>3035</v>
      </c>
      <c r="F1054" s="31">
        <v>2</v>
      </c>
      <c r="G1054" s="31">
        <v>510.35</v>
      </c>
      <c r="H1054" s="173">
        <v>35</v>
      </c>
      <c r="I1054" s="273">
        <f>SUMIF('2020'!B:B,B1054,'2020'!C:C)+SUMIF('2021'!B:B,B1054,'2021'!C:C)+SUMIF('2022'!B:B,B1054,'2022'!C:C)</f>
        <v>440432.33</v>
      </c>
      <c r="J1054" s="59">
        <v>44925</v>
      </c>
      <c r="K1054" s="46" t="s">
        <v>3118</v>
      </c>
    </row>
    <row r="1055" spans="1:11" ht="17.25" customHeight="1" x14ac:dyDescent="0.3">
      <c r="A1055" s="259">
        <f t="shared" si="44"/>
        <v>947</v>
      </c>
      <c r="B1055" s="20" t="s">
        <v>1028</v>
      </c>
      <c r="C1055" s="162">
        <v>1968</v>
      </c>
      <c r="D1055" s="31"/>
      <c r="E1055" s="31" t="s">
        <v>3035</v>
      </c>
      <c r="F1055" s="31">
        <v>2</v>
      </c>
      <c r="G1055" s="31">
        <v>524</v>
      </c>
      <c r="H1055" s="173">
        <v>22</v>
      </c>
      <c r="I1055" s="273">
        <f>SUMIF('2020'!B:B,B1055,'2020'!C:C)+SUMIF('2021'!B:B,B1055,'2021'!C:C)+SUMIF('2022'!B:B,B1055,'2022'!C:C)</f>
        <v>441204.86</v>
      </c>
      <c r="J1055" s="59">
        <v>44925</v>
      </c>
      <c r="K1055" s="46" t="s">
        <v>3118</v>
      </c>
    </row>
    <row r="1056" spans="1:11" ht="17.25" customHeight="1" x14ac:dyDescent="0.3">
      <c r="A1056" s="259">
        <f t="shared" si="44"/>
        <v>948</v>
      </c>
      <c r="B1056" s="20" t="s">
        <v>1029</v>
      </c>
      <c r="C1056" s="162">
        <v>1968</v>
      </c>
      <c r="D1056" s="31"/>
      <c r="E1056" s="31" t="s">
        <v>3035</v>
      </c>
      <c r="F1056" s="31">
        <v>2</v>
      </c>
      <c r="G1056" s="31">
        <v>532</v>
      </c>
      <c r="H1056" s="173">
        <v>21</v>
      </c>
      <c r="I1056" s="273">
        <f>SUMIF('2020'!B:B,B1056,'2020'!C:C)+SUMIF('2021'!B:B,B1056,'2021'!C:C)+SUMIF('2022'!B:B,B1056,'2022'!C:C)</f>
        <v>441204.86</v>
      </c>
      <c r="J1056" s="59">
        <v>44925</v>
      </c>
      <c r="K1056" s="46" t="s">
        <v>3118</v>
      </c>
    </row>
    <row r="1057" spans="1:13" ht="17.25" customHeight="1" x14ac:dyDescent="0.3">
      <c r="A1057" s="259">
        <f t="shared" si="44"/>
        <v>949</v>
      </c>
      <c r="B1057" s="20" t="s">
        <v>1030</v>
      </c>
      <c r="C1057" s="162">
        <v>1977</v>
      </c>
      <c r="D1057" s="31"/>
      <c r="E1057" s="31" t="s">
        <v>3119</v>
      </c>
      <c r="F1057" s="31">
        <v>3</v>
      </c>
      <c r="G1057" s="31">
        <v>1341.1</v>
      </c>
      <c r="H1057" s="173">
        <v>59</v>
      </c>
      <c r="I1057" s="273">
        <f>SUMIF('2020'!B:B,B1057,'2020'!C:C)+SUMIF('2021'!B:B,B1057,'2021'!C:C)+SUMIF('2022'!B:B,B1057,'2022'!C:C)</f>
        <v>662992.56000000006</v>
      </c>
      <c r="J1057" s="59">
        <v>44925</v>
      </c>
      <c r="K1057" s="46" t="s">
        <v>3118</v>
      </c>
    </row>
    <row r="1058" spans="1:13" ht="17.25" customHeight="1" x14ac:dyDescent="0.3">
      <c r="A1058" s="259">
        <f t="shared" si="44"/>
        <v>950</v>
      </c>
      <c r="B1058" s="20" t="s">
        <v>1031</v>
      </c>
      <c r="C1058" s="162">
        <v>1976</v>
      </c>
      <c r="D1058" s="31"/>
      <c r="E1058" s="31" t="s">
        <v>3035</v>
      </c>
      <c r="F1058" s="31">
        <v>3</v>
      </c>
      <c r="G1058" s="31">
        <v>1316.6</v>
      </c>
      <c r="H1058" s="173">
        <v>39</v>
      </c>
      <c r="I1058" s="273">
        <f>SUMIF('2020'!B:B,B1058,'2020'!C:C)+SUMIF('2021'!B:B,B1058,'2021'!C:C)+SUMIF('2022'!B:B,B1058,'2022'!C:C)</f>
        <v>606890.9</v>
      </c>
      <c r="J1058" s="59">
        <v>44925</v>
      </c>
      <c r="K1058" s="46" t="s">
        <v>3118</v>
      </c>
    </row>
    <row r="1059" spans="1:13" ht="17.25" customHeight="1" x14ac:dyDescent="0.3">
      <c r="A1059" s="259">
        <f t="shared" si="44"/>
        <v>951</v>
      </c>
      <c r="B1059" s="20" t="s">
        <v>1032</v>
      </c>
      <c r="C1059" s="162">
        <v>1978</v>
      </c>
      <c r="D1059" s="31"/>
      <c r="E1059" s="31" t="s">
        <v>3035</v>
      </c>
      <c r="F1059" s="31">
        <v>3</v>
      </c>
      <c r="G1059" s="31">
        <v>1361.6</v>
      </c>
      <c r="H1059" s="173">
        <v>54</v>
      </c>
      <c r="I1059" s="273">
        <f>SUMIF('2020'!B:B,B1059,'2020'!C:C)+SUMIF('2021'!B:B,B1059,'2021'!C:C)+SUMIF('2022'!B:B,B1059,'2022'!C:C)</f>
        <v>610229.59</v>
      </c>
      <c r="J1059" s="59">
        <v>44925</v>
      </c>
      <c r="K1059" s="46" t="s">
        <v>3118</v>
      </c>
    </row>
    <row r="1060" spans="1:13" ht="17.25" customHeight="1" x14ac:dyDescent="0.3">
      <c r="A1060" s="15" t="s">
        <v>208</v>
      </c>
      <c r="B1060" s="20"/>
      <c r="C1060" s="31" t="s">
        <v>3558</v>
      </c>
      <c r="D1060" s="31" t="s">
        <v>3558</v>
      </c>
      <c r="E1060" s="31" t="s">
        <v>3558</v>
      </c>
      <c r="F1060" s="31" t="s">
        <v>3558</v>
      </c>
      <c r="G1060" s="56">
        <f>SUM(G989:G1059)</f>
        <v>115313.5</v>
      </c>
      <c r="H1060" s="173">
        <f>SUM(H989:H1059)</f>
        <v>4860</v>
      </c>
      <c r="I1060" s="56">
        <f>SUM(I989:I1059)</f>
        <v>77156663.150000021</v>
      </c>
      <c r="J1060" s="31" t="s">
        <v>3558</v>
      </c>
      <c r="K1060" s="31" t="s">
        <v>3558</v>
      </c>
      <c r="L1060" s="197">
        <f>I1060-'2020'!C238-'2021'!C840-'2022'!C261</f>
        <v>2.9802322387695313E-8</v>
      </c>
      <c r="M1060" s="197"/>
    </row>
    <row r="1061" spans="1:13" ht="17.25" customHeight="1" x14ac:dyDescent="0.3">
      <c r="A1061" s="19" t="s">
        <v>1033</v>
      </c>
      <c r="B1061" s="20"/>
      <c r="C1061" s="31"/>
      <c r="D1061" s="31"/>
      <c r="E1061" s="31"/>
      <c r="F1061" s="31"/>
      <c r="G1061" s="31"/>
      <c r="H1061" s="173"/>
      <c r="I1061" s="56"/>
      <c r="J1061" s="31"/>
      <c r="K1061" s="31"/>
    </row>
    <row r="1062" spans="1:13" ht="17.25" customHeight="1" x14ac:dyDescent="0.3">
      <c r="A1062" s="259">
        <f>A1059+1</f>
        <v>952</v>
      </c>
      <c r="B1062" s="20" t="s">
        <v>1034</v>
      </c>
      <c r="C1062" s="162">
        <v>1939</v>
      </c>
      <c r="D1062" s="31"/>
      <c r="E1062" s="200" t="s">
        <v>3035</v>
      </c>
      <c r="F1062" s="200">
        <v>2</v>
      </c>
      <c r="G1062" s="200">
        <v>869</v>
      </c>
      <c r="H1062" s="201">
        <v>35</v>
      </c>
      <c r="I1062" s="273">
        <f>SUMIF('2020'!B:B,B1062,'2020'!C:C)+SUMIF('2021'!B:B,B1062,'2021'!C:C)+SUMIF('2022'!B:B,B1062,'2022'!C:C)</f>
        <v>189845.3</v>
      </c>
      <c r="J1062" s="59">
        <v>44925</v>
      </c>
      <c r="K1062" s="46" t="s">
        <v>3118</v>
      </c>
    </row>
    <row r="1063" spans="1:13" ht="17.25" customHeight="1" x14ac:dyDescent="0.3">
      <c r="A1063" s="15" t="s">
        <v>208</v>
      </c>
      <c r="B1063" s="20"/>
      <c r="C1063" s="31" t="s">
        <v>3558</v>
      </c>
      <c r="D1063" s="31" t="s">
        <v>3558</v>
      </c>
      <c r="E1063" s="31" t="s">
        <v>3558</v>
      </c>
      <c r="F1063" s="31" t="s">
        <v>3558</v>
      </c>
      <c r="G1063" s="56">
        <f>SUM(G1062:G1062)</f>
        <v>869</v>
      </c>
      <c r="H1063" s="173">
        <f>SUM(H1062:H1062)</f>
        <v>35</v>
      </c>
      <c r="I1063" s="56">
        <f>SUM(I1062:I1062)</f>
        <v>189845.3</v>
      </c>
      <c r="J1063" s="31" t="s">
        <v>3558</v>
      </c>
      <c r="K1063" s="31" t="s">
        <v>3558</v>
      </c>
      <c r="L1063" s="197">
        <f>I1063-'2021'!C843</f>
        <v>0</v>
      </c>
    </row>
    <row r="1064" spans="1:13" ht="17.25" customHeight="1" x14ac:dyDescent="0.3">
      <c r="A1064" s="19" t="s">
        <v>1035</v>
      </c>
      <c r="B1064" s="20"/>
      <c r="C1064" s="31"/>
      <c r="D1064" s="31"/>
      <c r="E1064" s="31"/>
      <c r="F1064" s="31"/>
      <c r="G1064" s="31"/>
      <c r="H1064" s="173"/>
      <c r="I1064" s="56"/>
      <c r="J1064" s="31"/>
      <c r="K1064" s="31"/>
    </row>
    <row r="1065" spans="1:13" ht="17.25" customHeight="1" x14ac:dyDescent="0.3">
      <c r="A1065" s="259">
        <f>A1062+1</f>
        <v>953</v>
      </c>
      <c r="B1065" s="20" t="s">
        <v>1036</v>
      </c>
      <c r="C1065" s="162">
        <v>1981</v>
      </c>
      <c r="D1065" s="31"/>
      <c r="E1065" s="200" t="s">
        <v>3119</v>
      </c>
      <c r="F1065" s="200">
        <v>5</v>
      </c>
      <c r="G1065" s="200">
        <v>7504.4</v>
      </c>
      <c r="H1065" s="201">
        <v>174</v>
      </c>
      <c r="I1065" s="273">
        <f>SUMIF('2020'!B:B,B1065,'2020'!C:C)+SUMIF('2021'!B:B,B1065,'2021'!C:C)+SUMIF('2022'!B:B,B1065,'2022'!C:C)</f>
        <v>23319506.920000002</v>
      </c>
      <c r="J1065" s="59">
        <v>44925</v>
      </c>
      <c r="K1065" s="46" t="s">
        <v>3118</v>
      </c>
    </row>
    <row r="1066" spans="1:13" ht="17.25" customHeight="1" x14ac:dyDescent="0.3">
      <c r="A1066" s="259">
        <f t="shared" ref="A1066:A1085" si="45">A1065+1</f>
        <v>954</v>
      </c>
      <c r="B1066" s="20" t="s">
        <v>1037</v>
      </c>
      <c r="C1066" s="162">
        <v>1978</v>
      </c>
      <c r="D1066" s="31"/>
      <c r="E1066" s="200" t="s">
        <v>3192</v>
      </c>
      <c r="F1066" s="200">
        <v>5</v>
      </c>
      <c r="G1066" s="200">
        <v>4419</v>
      </c>
      <c r="H1066" s="201">
        <v>209</v>
      </c>
      <c r="I1066" s="273">
        <f>SUMIF('2020'!B:B,B1066,'2020'!C:C)+SUMIF('2021'!B:B,B1066,'2021'!C:C)+SUMIF('2022'!B:B,B1066,'2022'!C:C)</f>
        <v>22779531.84</v>
      </c>
      <c r="J1066" s="59">
        <v>44925</v>
      </c>
      <c r="K1066" s="46" t="s">
        <v>3118</v>
      </c>
    </row>
    <row r="1067" spans="1:13" ht="17.25" customHeight="1" x14ac:dyDescent="0.3">
      <c r="A1067" s="259">
        <f t="shared" si="45"/>
        <v>955</v>
      </c>
      <c r="B1067" s="20" t="s">
        <v>1038</v>
      </c>
      <c r="C1067" s="162">
        <v>1979</v>
      </c>
      <c r="D1067" s="31"/>
      <c r="E1067" s="200" t="s">
        <v>3119</v>
      </c>
      <c r="F1067" s="200">
        <v>5</v>
      </c>
      <c r="G1067" s="200">
        <v>4446.3</v>
      </c>
      <c r="H1067" s="201">
        <v>221</v>
      </c>
      <c r="I1067" s="273">
        <f>SUMIF('2020'!B:B,B1067,'2020'!C:C)+SUMIF('2021'!B:B,B1067,'2021'!C:C)+SUMIF('2022'!B:B,B1067,'2022'!C:C)</f>
        <v>22112919.16</v>
      </c>
      <c r="J1067" s="59">
        <v>44925</v>
      </c>
      <c r="K1067" s="46" t="s">
        <v>3118</v>
      </c>
    </row>
    <row r="1068" spans="1:13" ht="17.25" customHeight="1" x14ac:dyDescent="0.3">
      <c r="A1068" s="259">
        <f t="shared" si="45"/>
        <v>956</v>
      </c>
      <c r="B1068" s="20" t="s">
        <v>1039</v>
      </c>
      <c r="C1068" s="162">
        <v>1960</v>
      </c>
      <c r="D1068" s="31"/>
      <c r="E1068" s="200" t="s">
        <v>3035</v>
      </c>
      <c r="F1068" s="200">
        <v>3</v>
      </c>
      <c r="G1068" s="200">
        <v>1365.88</v>
      </c>
      <c r="H1068" s="201">
        <v>178</v>
      </c>
      <c r="I1068" s="273">
        <f>SUMIF('2020'!B:B,B1068,'2020'!C:C)+SUMIF('2021'!B:B,B1068,'2021'!C:C)+SUMIF('2022'!B:B,B1068,'2022'!C:C)</f>
        <v>13899080.760000002</v>
      </c>
      <c r="J1068" s="59">
        <v>44925</v>
      </c>
      <c r="K1068" s="46" t="s">
        <v>3118</v>
      </c>
    </row>
    <row r="1069" spans="1:13" ht="17.25" customHeight="1" x14ac:dyDescent="0.3">
      <c r="A1069" s="259">
        <f t="shared" si="45"/>
        <v>957</v>
      </c>
      <c r="B1069" s="20" t="s">
        <v>1040</v>
      </c>
      <c r="C1069" s="162">
        <v>1973</v>
      </c>
      <c r="D1069" s="31"/>
      <c r="E1069" s="200" t="s">
        <v>3035</v>
      </c>
      <c r="F1069" s="200">
        <v>5</v>
      </c>
      <c r="G1069" s="200">
        <v>2667.82</v>
      </c>
      <c r="H1069" s="201">
        <v>208</v>
      </c>
      <c r="I1069" s="273">
        <f>SUMIF('2020'!B:B,B1069,'2020'!C:C)+SUMIF('2021'!B:B,B1069,'2021'!C:C)+SUMIF('2022'!B:B,B1069,'2022'!C:C)</f>
        <v>19983850.32</v>
      </c>
      <c r="J1069" s="59">
        <v>44925</v>
      </c>
      <c r="K1069" s="46" t="s">
        <v>3118</v>
      </c>
    </row>
    <row r="1070" spans="1:13" ht="17.25" customHeight="1" x14ac:dyDescent="0.3">
      <c r="A1070" s="259">
        <f t="shared" si="45"/>
        <v>958</v>
      </c>
      <c r="B1070" s="20" t="s">
        <v>1041</v>
      </c>
      <c r="C1070" s="162">
        <v>1971</v>
      </c>
      <c r="D1070" s="31"/>
      <c r="E1070" s="200" t="s">
        <v>3035</v>
      </c>
      <c r="F1070" s="200">
        <v>5</v>
      </c>
      <c r="G1070" s="200">
        <v>6015.29</v>
      </c>
      <c r="H1070" s="201">
        <v>292</v>
      </c>
      <c r="I1070" s="273">
        <f>SUMIF('2020'!B:B,B1070,'2020'!C:C)+SUMIF('2021'!B:B,B1070,'2021'!C:C)+SUMIF('2022'!B:B,B1070,'2022'!C:C)</f>
        <v>34075665.5</v>
      </c>
      <c r="J1070" s="59">
        <v>44925</v>
      </c>
      <c r="K1070" s="46" t="s">
        <v>3118</v>
      </c>
    </row>
    <row r="1071" spans="1:13" ht="17.25" customHeight="1" x14ac:dyDescent="0.3">
      <c r="A1071" s="259">
        <f t="shared" si="45"/>
        <v>959</v>
      </c>
      <c r="B1071" s="20" t="s">
        <v>1042</v>
      </c>
      <c r="C1071" s="162">
        <v>1940</v>
      </c>
      <c r="D1071" s="31"/>
      <c r="E1071" s="200" t="s">
        <v>3120</v>
      </c>
      <c r="F1071" s="200">
        <v>2</v>
      </c>
      <c r="G1071" s="200">
        <v>274.60000000000002</v>
      </c>
      <c r="H1071" s="201">
        <v>5</v>
      </c>
      <c r="I1071" s="273">
        <f>SUMIF('2020'!B:B,B1071,'2020'!C:C)+SUMIF('2021'!B:B,B1071,'2021'!C:C)+SUMIF('2022'!B:B,B1071,'2022'!C:C)</f>
        <v>192553</v>
      </c>
      <c r="J1071" s="59">
        <v>44925</v>
      </c>
      <c r="K1071" s="46" t="s">
        <v>3118</v>
      </c>
    </row>
    <row r="1072" spans="1:13" ht="17.25" customHeight="1" x14ac:dyDescent="0.3">
      <c r="A1072" s="259">
        <f t="shared" si="45"/>
        <v>960</v>
      </c>
      <c r="B1072" s="20" t="s">
        <v>1043</v>
      </c>
      <c r="C1072" s="162">
        <v>1940</v>
      </c>
      <c r="D1072" s="31"/>
      <c r="E1072" s="200" t="s">
        <v>3120</v>
      </c>
      <c r="F1072" s="200">
        <v>2</v>
      </c>
      <c r="G1072" s="200">
        <v>241.36</v>
      </c>
      <c r="H1072" s="201">
        <v>8</v>
      </c>
      <c r="I1072" s="273">
        <f>SUMIF('2020'!B:B,B1072,'2020'!C:C)+SUMIF('2021'!B:B,B1072,'2021'!C:C)+SUMIF('2022'!B:B,B1072,'2022'!C:C)</f>
        <v>139640.56</v>
      </c>
      <c r="J1072" s="59">
        <v>44925</v>
      </c>
      <c r="K1072" s="46" t="s">
        <v>3118</v>
      </c>
    </row>
    <row r="1073" spans="1:13" ht="17.25" customHeight="1" x14ac:dyDescent="0.3">
      <c r="A1073" s="259">
        <f t="shared" si="45"/>
        <v>961</v>
      </c>
      <c r="B1073" s="20" t="s">
        <v>1044</v>
      </c>
      <c r="C1073" s="162">
        <v>1940</v>
      </c>
      <c r="D1073" s="31"/>
      <c r="E1073" s="200" t="s">
        <v>3120</v>
      </c>
      <c r="F1073" s="31">
        <v>2</v>
      </c>
      <c r="G1073" s="31">
        <v>204.3</v>
      </c>
      <c r="H1073" s="173">
        <v>7</v>
      </c>
      <c r="I1073" s="273">
        <f>SUMIF('2020'!B:B,B1073,'2020'!C:C)+SUMIF('2021'!B:B,B1073,'2021'!C:C)+SUMIF('2022'!B:B,B1073,'2022'!C:C)</f>
        <v>141468.95000000001</v>
      </c>
      <c r="J1073" s="59">
        <v>44925</v>
      </c>
      <c r="K1073" s="46" t="s">
        <v>3118</v>
      </c>
    </row>
    <row r="1074" spans="1:13" ht="17.25" customHeight="1" x14ac:dyDescent="0.3">
      <c r="A1074" s="259">
        <f t="shared" si="45"/>
        <v>962</v>
      </c>
      <c r="B1074" s="20" t="s">
        <v>1045</v>
      </c>
      <c r="C1074" s="162">
        <v>1948</v>
      </c>
      <c r="D1074" s="31"/>
      <c r="E1074" s="31" t="s">
        <v>3120</v>
      </c>
      <c r="F1074" s="31">
        <v>2</v>
      </c>
      <c r="G1074" s="31">
        <v>191.53</v>
      </c>
      <c r="H1074" s="173">
        <v>13</v>
      </c>
      <c r="I1074" s="273">
        <f>SUMIF('2020'!B:B,B1074,'2020'!C:C)+SUMIF('2021'!B:B,B1074,'2021'!C:C)+SUMIF('2022'!B:B,B1074,'2022'!C:C)</f>
        <v>143702.12</v>
      </c>
      <c r="J1074" s="59">
        <v>44925</v>
      </c>
      <c r="K1074" s="46" t="s">
        <v>3118</v>
      </c>
    </row>
    <row r="1075" spans="1:13" ht="17.25" customHeight="1" x14ac:dyDescent="0.3">
      <c r="A1075" s="259">
        <f t="shared" si="45"/>
        <v>963</v>
      </c>
      <c r="B1075" s="20" t="s">
        <v>1046</v>
      </c>
      <c r="C1075" s="162">
        <v>1940</v>
      </c>
      <c r="D1075" s="31"/>
      <c r="E1075" s="31" t="s">
        <v>3036</v>
      </c>
      <c r="F1075" s="31">
        <v>2</v>
      </c>
      <c r="G1075" s="31">
        <v>327.08999999999997</v>
      </c>
      <c r="H1075" s="173">
        <v>15</v>
      </c>
      <c r="I1075" s="273">
        <f>SUMIF('2020'!B:B,B1075,'2020'!C:C)+SUMIF('2021'!B:B,B1075,'2021'!C:C)+SUMIF('2022'!B:B,B1075,'2022'!C:C)</f>
        <v>180152.84</v>
      </c>
      <c r="J1075" s="59">
        <v>44925</v>
      </c>
      <c r="K1075" s="46" t="s">
        <v>3118</v>
      </c>
    </row>
    <row r="1076" spans="1:13" ht="17.25" customHeight="1" x14ac:dyDescent="0.3">
      <c r="A1076" s="259">
        <f t="shared" si="45"/>
        <v>964</v>
      </c>
      <c r="B1076" s="20" t="s">
        <v>1047</v>
      </c>
      <c r="C1076" s="162">
        <v>1940</v>
      </c>
      <c r="D1076" s="31"/>
      <c r="E1076" s="31" t="s">
        <v>3036</v>
      </c>
      <c r="F1076" s="31">
        <v>2</v>
      </c>
      <c r="G1076" s="31">
        <v>332.84</v>
      </c>
      <c r="H1076" s="173">
        <v>14</v>
      </c>
      <c r="I1076" s="273">
        <f>SUMIF('2020'!B:B,B1076,'2020'!C:C)+SUMIF('2021'!B:B,B1076,'2021'!C:C)+SUMIF('2022'!B:B,B1076,'2022'!C:C)</f>
        <v>180460.94</v>
      </c>
      <c r="J1076" s="59">
        <v>44925</v>
      </c>
      <c r="K1076" s="46" t="s">
        <v>3118</v>
      </c>
    </row>
    <row r="1077" spans="1:13" ht="17.25" customHeight="1" x14ac:dyDescent="0.3">
      <c r="A1077" s="259">
        <f t="shared" si="45"/>
        <v>965</v>
      </c>
      <c r="B1077" s="20" t="s">
        <v>1048</v>
      </c>
      <c r="C1077" s="162">
        <v>1940</v>
      </c>
      <c r="D1077" s="31"/>
      <c r="E1077" s="31" t="s">
        <v>3036</v>
      </c>
      <c r="F1077" s="31">
        <v>2</v>
      </c>
      <c r="G1077" s="31">
        <v>655.39</v>
      </c>
      <c r="H1077" s="173">
        <v>17</v>
      </c>
      <c r="I1077" s="273">
        <f>SUMIF('2020'!B:B,B1077,'2020'!C:C)+SUMIF('2021'!B:B,B1077,'2021'!C:C)+SUMIF('2022'!B:B,B1077,'2022'!C:C)</f>
        <v>203073.5</v>
      </c>
      <c r="J1077" s="59">
        <v>44925</v>
      </c>
      <c r="K1077" s="46" t="s">
        <v>3118</v>
      </c>
    </row>
    <row r="1078" spans="1:13" ht="17.25" customHeight="1" x14ac:dyDescent="0.3">
      <c r="A1078" s="259">
        <f t="shared" si="45"/>
        <v>966</v>
      </c>
      <c r="B1078" s="20" t="s">
        <v>1049</v>
      </c>
      <c r="C1078" s="162">
        <v>1952</v>
      </c>
      <c r="D1078" s="31"/>
      <c r="E1078" s="31" t="s">
        <v>3036</v>
      </c>
      <c r="F1078" s="31">
        <v>2</v>
      </c>
      <c r="G1078" s="31">
        <v>392.34</v>
      </c>
      <c r="H1078" s="173">
        <v>14</v>
      </c>
      <c r="I1078" s="273">
        <f>SUMIF('2020'!B:B,B1078,'2020'!C:C)+SUMIF('2021'!B:B,B1078,'2021'!C:C)+SUMIF('2022'!B:B,B1078,'2022'!C:C)</f>
        <v>206031.43</v>
      </c>
      <c r="J1078" s="59">
        <v>44925</v>
      </c>
      <c r="K1078" s="46" t="s">
        <v>3118</v>
      </c>
    </row>
    <row r="1079" spans="1:13" ht="17.25" customHeight="1" x14ac:dyDescent="0.3">
      <c r="A1079" s="259">
        <f t="shared" si="45"/>
        <v>967</v>
      </c>
      <c r="B1079" s="20" t="s">
        <v>1050</v>
      </c>
      <c r="C1079" s="162">
        <v>1949</v>
      </c>
      <c r="D1079" s="31"/>
      <c r="E1079" s="31" t="s">
        <v>3036</v>
      </c>
      <c r="F1079" s="31">
        <v>2</v>
      </c>
      <c r="G1079" s="31">
        <v>401.88</v>
      </c>
      <c r="H1079" s="173">
        <v>15</v>
      </c>
      <c r="I1079" s="273">
        <f>SUMIF('2020'!B:B,B1079,'2020'!C:C)+SUMIF('2021'!B:B,B1079,'2021'!C:C)+SUMIF('2022'!B:B,B1079,'2022'!C:C)</f>
        <v>204028.93</v>
      </c>
      <c r="J1079" s="59">
        <v>44925</v>
      </c>
      <c r="K1079" s="46" t="s">
        <v>3118</v>
      </c>
    </row>
    <row r="1080" spans="1:13" ht="17.25" customHeight="1" x14ac:dyDescent="0.3">
      <c r="A1080" s="259">
        <f t="shared" si="45"/>
        <v>968</v>
      </c>
      <c r="B1080" s="20" t="s">
        <v>3534</v>
      </c>
      <c r="C1080" s="162"/>
      <c r="D1080" s="31"/>
      <c r="E1080" s="31"/>
      <c r="F1080" s="31"/>
      <c r="G1080" s="31"/>
      <c r="H1080" s="173"/>
      <c r="I1080" s="273">
        <f>SUMIF('2020'!B:B,B1080,'2020'!C:C)+SUMIF('2021'!B:B,B1080,'2021'!C:C)+SUMIF('2022'!B:B,B1080,'2022'!C:C)</f>
        <v>2775182.12</v>
      </c>
      <c r="J1080" s="59">
        <v>44925</v>
      </c>
      <c r="K1080" s="46" t="s">
        <v>3118</v>
      </c>
    </row>
    <row r="1081" spans="1:13" ht="17.25" customHeight="1" x14ac:dyDescent="0.3">
      <c r="A1081" s="259">
        <f t="shared" si="45"/>
        <v>969</v>
      </c>
      <c r="B1081" s="20" t="s">
        <v>1051</v>
      </c>
      <c r="C1081" s="162">
        <v>1952</v>
      </c>
      <c r="D1081" s="31"/>
      <c r="E1081" s="31" t="s">
        <v>3036</v>
      </c>
      <c r="F1081" s="31">
        <v>2</v>
      </c>
      <c r="G1081" s="31">
        <v>387.4</v>
      </c>
      <c r="H1081" s="173">
        <v>13</v>
      </c>
      <c r="I1081" s="273">
        <f>SUMIF('2020'!B:B,B1081,'2020'!C:C)+SUMIF('2021'!B:B,B1081,'2021'!C:C)+SUMIF('2022'!B:B,B1081,'2022'!C:C)</f>
        <v>206031.43</v>
      </c>
      <c r="J1081" s="59">
        <v>44925</v>
      </c>
      <c r="K1081" s="46" t="s">
        <v>3118</v>
      </c>
    </row>
    <row r="1082" spans="1:13" ht="17.25" customHeight="1" x14ac:dyDescent="0.3">
      <c r="A1082" s="259">
        <f t="shared" si="45"/>
        <v>970</v>
      </c>
      <c r="B1082" s="20" t="s">
        <v>1052</v>
      </c>
      <c r="C1082" s="162">
        <v>1949</v>
      </c>
      <c r="D1082" s="31"/>
      <c r="E1082" s="31" t="s">
        <v>3036</v>
      </c>
      <c r="F1082" s="31">
        <v>2</v>
      </c>
      <c r="G1082" s="31">
        <v>406.6</v>
      </c>
      <c r="H1082" s="173">
        <v>14</v>
      </c>
      <c r="I1082" s="273">
        <f>SUMIF('2020'!B:B,B1082,'2020'!C:C)+SUMIF('2021'!B:B,B1082,'2021'!C:C)+SUMIF('2022'!B:B,B1082,'2022'!C:C)</f>
        <v>206031.43</v>
      </c>
      <c r="J1082" s="59">
        <v>44925</v>
      </c>
      <c r="K1082" s="46" t="s">
        <v>3118</v>
      </c>
    </row>
    <row r="1083" spans="1:13" ht="17.25" customHeight="1" x14ac:dyDescent="0.3">
      <c r="A1083" s="259">
        <f t="shared" si="45"/>
        <v>971</v>
      </c>
      <c r="B1083" s="20" t="s">
        <v>1053</v>
      </c>
      <c r="C1083" s="162">
        <v>1949</v>
      </c>
      <c r="D1083" s="31"/>
      <c r="E1083" s="31" t="s">
        <v>3036</v>
      </c>
      <c r="F1083" s="31">
        <v>2</v>
      </c>
      <c r="G1083" s="31">
        <v>398.84</v>
      </c>
      <c r="H1083" s="173">
        <v>12</v>
      </c>
      <c r="I1083" s="273">
        <f>SUMIF('2020'!B:B,B1083,'2020'!C:C)+SUMIF('2021'!B:B,B1083,'2021'!C:C)+SUMIF('2022'!B:B,B1083,'2022'!C:C)</f>
        <v>206031.43</v>
      </c>
      <c r="J1083" s="59">
        <v>44925</v>
      </c>
      <c r="K1083" s="46" t="s">
        <v>3118</v>
      </c>
    </row>
    <row r="1084" spans="1:13" ht="17.25" customHeight="1" x14ac:dyDescent="0.3">
      <c r="A1084" s="259">
        <f t="shared" si="45"/>
        <v>972</v>
      </c>
      <c r="B1084" s="20" t="s">
        <v>1054</v>
      </c>
      <c r="C1084" s="162">
        <v>1940</v>
      </c>
      <c r="D1084" s="31"/>
      <c r="E1084" s="31" t="s">
        <v>3120</v>
      </c>
      <c r="F1084" s="31">
        <v>2</v>
      </c>
      <c r="G1084" s="31">
        <v>289.29000000000002</v>
      </c>
      <c r="H1084" s="173">
        <v>5</v>
      </c>
      <c r="I1084" s="273">
        <f>SUMIF('2020'!B:B,B1084,'2020'!C:C)+SUMIF('2021'!B:B,B1084,'2021'!C:C)+SUMIF('2022'!B:B,B1084,'2022'!C:C)</f>
        <v>149267.99</v>
      </c>
      <c r="J1084" s="59">
        <v>44925</v>
      </c>
      <c r="K1084" s="46" t="s">
        <v>3118</v>
      </c>
    </row>
    <row r="1085" spans="1:13" ht="17.25" customHeight="1" x14ac:dyDescent="0.3">
      <c r="A1085" s="259">
        <f t="shared" si="45"/>
        <v>973</v>
      </c>
      <c r="B1085" s="20" t="s">
        <v>1055</v>
      </c>
      <c r="C1085" s="162">
        <v>1978</v>
      </c>
      <c r="D1085" s="31"/>
      <c r="E1085" s="31" t="s">
        <v>3119</v>
      </c>
      <c r="F1085" s="31">
        <v>5</v>
      </c>
      <c r="G1085" s="31">
        <v>4836.2700000000004</v>
      </c>
      <c r="H1085" s="173">
        <v>279</v>
      </c>
      <c r="I1085" s="273">
        <f>SUMIF('2020'!B:B,B1085,'2020'!C:C)+SUMIF('2021'!B:B,B1085,'2021'!C:C)+SUMIF('2022'!B:B,B1085,'2022'!C:C)</f>
        <v>23916094.859999999</v>
      </c>
      <c r="J1085" s="59">
        <v>44925</v>
      </c>
      <c r="K1085" s="46" t="s">
        <v>3118</v>
      </c>
    </row>
    <row r="1086" spans="1:13" ht="17.25" customHeight="1" x14ac:dyDescent="0.3">
      <c r="A1086" s="15" t="s">
        <v>208</v>
      </c>
      <c r="B1086" s="20"/>
      <c r="C1086" s="31" t="s">
        <v>3558</v>
      </c>
      <c r="D1086" s="31" t="s">
        <v>3558</v>
      </c>
      <c r="E1086" s="31" t="s">
        <v>3558</v>
      </c>
      <c r="F1086" s="31" t="s">
        <v>3558</v>
      </c>
      <c r="G1086" s="56">
        <f>SUM(G1065:G1085)</f>
        <v>35758.42</v>
      </c>
      <c r="H1086" s="173">
        <f>SUM(H1065:H1085)</f>
        <v>1713</v>
      </c>
      <c r="I1086" s="56">
        <f>SUM(I1065:I1085)</f>
        <v>165220306.03000003</v>
      </c>
      <c r="J1086" s="31" t="s">
        <v>3558</v>
      </c>
      <c r="K1086" s="31" t="s">
        <v>3558</v>
      </c>
      <c r="L1086" s="197">
        <f>I1086-'2020'!C245-'2021'!C853-'2022'!C277</f>
        <v>0</v>
      </c>
      <c r="M1086" s="197"/>
    </row>
    <row r="1087" spans="1:13" ht="17.25" customHeight="1" x14ac:dyDescent="0.3">
      <c r="A1087" s="19" t="s">
        <v>1056</v>
      </c>
      <c r="B1087" s="20"/>
      <c r="C1087" s="31"/>
      <c r="D1087" s="31"/>
      <c r="E1087" s="31"/>
      <c r="F1087" s="31"/>
      <c r="G1087" s="31"/>
      <c r="H1087" s="173"/>
      <c r="I1087" s="56"/>
      <c r="J1087" s="31"/>
      <c r="K1087" s="31"/>
    </row>
    <row r="1088" spans="1:13" ht="17.25" customHeight="1" x14ac:dyDescent="0.3">
      <c r="A1088" s="259">
        <f>A1085+1</f>
        <v>974</v>
      </c>
      <c r="B1088" s="20" t="s">
        <v>1057</v>
      </c>
      <c r="C1088" s="162">
        <v>1970</v>
      </c>
      <c r="D1088" s="31"/>
      <c r="E1088" s="200" t="s">
        <v>3035</v>
      </c>
      <c r="F1088" s="200">
        <v>2</v>
      </c>
      <c r="G1088" s="200">
        <v>527</v>
      </c>
      <c r="H1088" s="201">
        <v>30</v>
      </c>
      <c r="I1088" s="273">
        <f>SUMIF('2020'!B:B,B1088,'2020'!C:C)+SUMIF('2021'!B:B,B1088,'2021'!C:C)+SUMIF('2022'!B:B,B1088,'2022'!C:C)</f>
        <v>130000</v>
      </c>
      <c r="J1088" s="59">
        <v>44925</v>
      </c>
      <c r="K1088" s="46" t="s">
        <v>3118</v>
      </c>
    </row>
    <row r="1089" spans="1:11" ht="17.25" customHeight="1" x14ac:dyDescent="0.3">
      <c r="A1089" s="259">
        <f t="shared" ref="A1089:A1112" si="46">A1088+1</f>
        <v>975</v>
      </c>
      <c r="B1089" s="20" t="s">
        <v>1058</v>
      </c>
      <c r="C1089" s="162">
        <v>1970</v>
      </c>
      <c r="D1089" s="31"/>
      <c r="E1089" s="200" t="s">
        <v>3035</v>
      </c>
      <c r="F1089" s="200">
        <v>2</v>
      </c>
      <c r="G1089" s="200">
        <v>515.79999999999995</v>
      </c>
      <c r="H1089" s="201">
        <v>23</v>
      </c>
      <c r="I1089" s="273">
        <f>SUMIF('2020'!B:B,B1089,'2020'!C:C)+SUMIF('2021'!B:B,B1089,'2021'!C:C)+SUMIF('2022'!B:B,B1089,'2022'!C:C)</f>
        <v>130000</v>
      </c>
      <c r="J1089" s="59">
        <v>44925</v>
      </c>
      <c r="K1089" s="46" t="s">
        <v>3118</v>
      </c>
    </row>
    <row r="1090" spans="1:11" ht="17.25" customHeight="1" x14ac:dyDescent="0.3">
      <c r="A1090" s="259">
        <f t="shared" si="46"/>
        <v>976</v>
      </c>
      <c r="B1090" s="20" t="s">
        <v>1059</v>
      </c>
      <c r="C1090" s="162">
        <v>1968</v>
      </c>
      <c r="D1090" s="31"/>
      <c r="E1090" s="200" t="s">
        <v>3193</v>
      </c>
      <c r="F1090" s="200">
        <v>2</v>
      </c>
      <c r="G1090" s="200">
        <v>515.6</v>
      </c>
      <c r="H1090" s="201">
        <v>31</v>
      </c>
      <c r="I1090" s="273">
        <f>SUMIF('2020'!B:B,B1090,'2020'!C:C)+SUMIF('2021'!B:B,B1090,'2021'!C:C)+SUMIF('2022'!B:B,B1090,'2022'!C:C)</f>
        <v>615580.67000000004</v>
      </c>
      <c r="J1090" s="59">
        <v>44925</v>
      </c>
      <c r="K1090" s="46" t="s">
        <v>3118</v>
      </c>
    </row>
    <row r="1091" spans="1:11" ht="17.25" customHeight="1" x14ac:dyDescent="0.3">
      <c r="A1091" s="259">
        <f t="shared" si="46"/>
        <v>977</v>
      </c>
      <c r="B1091" s="20" t="s">
        <v>1060</v>
      </c>
      <c r="C1091" s="162">
        <v>1976</v>
      </c>
      <c r="D1091" s="31"/>
      <c r="E1091" s="200" t="s">
        <v>3119</v>
      </c>
      <c r="F1091" s="200">
        <v>5</v>
      </c>
      <c r="G1091" s="202">
        <v>3852.9</v>
      </c>
      <c r="H1091" s="201">
        <v>183</v>
      </c>
      <c r="I1091" s="273">
        <f>SUMIF('2020'!B:B,B1091,'2020'!C:C)+SUMIF('2021'!B:B,B1091,'2021'!C:C)+SUMIF('2022'!B:B,B1091,'2022'!C:C)</f>
        <v>242721.35</v>
      </c>
      <c r="J1091" s="59">
        <v>44925</v>
      </c>
      <c r="K1091" s="46" t="s">
        <v>3118</v>
      </c>
    </row>
    <row r="1092" spans="1:11" ht="17.25" customHeight="1" x14ac:dyDescent="0.3">
      <c r="A1092" s="259">
        <f t="shared" si="46"/>
        <v>978</v>
      </c>
      <c r="B1092" s="20" t="s">
        <v>1061</v>
      </c>
      <c r="C1092" s="162">
        <v>1977</v>
      </c>
      <c r="D1092" s="31"/>
      <c r="E1092" s="200" t="s">
        <v>3119</v>
      </c>
      <c r="F1092" s="200">
        <v>5</v>
      </c>
      <c r="G1092" s="202">
        <v>3479.1</v>
      </c>
      <c r="H1092" s="201">
        <v>160</v>
      </c>
      <c r="I1092" s="273">
        <f>SUMIF('2020'!B:B,B1092,'2020'!C:C)+SUMIF('2021'!B:B,B1092,'2021'!C:C)+SUMIF('2022'!B:B,B1092,'2022'!C:C)</f>
        <v>5307326.6000000006</v>
      </c>
      <c r="J1092" s="59">
        <v>44925</v>
      </c>
      <c r="K1092" s="46" t="s">
        <v>3118</v>
      </c>
    </row>
    <row r="1093" spans="1:11" ht="17.25" customHeight="1" x14ac:dyDescent="0.3">
      <c r="A1093" s="259">
        <f t="shared" si="46"/>
        <v>979</v>
      </c>
      <c r="B1093" s="20" t="s">
        <v>1062</v>
      </c>
      <c r="C1093" s="162">
        <v>1978</v>
      </c>
      <c r="D1093" s="31"/>
      <c r="E1093" s="200" t="s">
        <v>3119</v>
      </c>
      <c r="F1093" s="200">
        <v>5</v>
      </c>
      <c r="G1093" s="200" t="s">
        <v>3196</v>
      </c>
      <c r="H1093" s="201">
        <v>120</v>
      </c>
      <c r="I1093" s="273">
        <f>SUMIF('2020'!B:B,B1093,'2020'!C:C)+SUMIF('2021'!B:B,B1093,'2021'!C:C)+SUMIF('2022'!B:B,B1093,'2022'!C:C)</f>
        <v>320369.53000000003</v>
      </c>
      <c r="J1093" s="59">
        <v>44925</v>
      </c>
      <c r="K1093" s="46" t="s">
        <v>3118</v>
      </c>
    </row>
    <row r="1094" spans="1:11" ht="17.25" customHeight="1" x14ac:dyDescent="0.3">
      <c r="A1094" s="259">
        <f t="shared" si="46"/>
        <v>980</v>
      </c>
      <c r="B1094" s="20" t="s">
        <v>1063</v>
      </c>
      <c r="C1094" s="162">
        <v>1956</v>
      </c>
      <c r="D1094" s="31"/>
      <c r="E1094" s="200" t="s">
        <v>3035</v>
      </c>
      <c r="F1094" s="200">
        <v>2</v>
      </c>
      <c r="G1094" s="200">
        <v>373.4</v>
      </c>
      <c r="H1094" s="201">
        <v>30</v>
      </c>
      <c r="I1094" s="273">
        <f>SUMIF('2020'!B:B,B1094,'2020'!C:C)+SUMIF('2021'!B:B,B1094,'2021'!C:C)+SUMIF('2022'!B:B,B1094,'2022'!C:C)</f>
        <v>684819.14</v>
      </c>
      <c r="J1094" s="59">
        <v>44925</v>
      </c>
      <c r="K1094" s="46" t="s">
        <v>3118</v>
      </c>
    </row>
    <row r="1095" spans="1:11" ht="17.25" customHeight="1" x14ac:dyDescent="0.3">
      <c r="A1095" s="259">
        <f t="shared" si="46"/>
        <v>981</v>
      </c>
      <c r="B1095" s="20" t="s">
        <v>1064</v>
      </c>
      <c r="C1095" s="162">
        <v>1972</v>
      </c>
      <c r="D1095" s="31"/>
      <c r="E1095" s="200" t="s">
        <v>3035</v>
      </c>
      <c r="F1095" s="200">
        <v>2</v>
      </c>
      <c r="G1095" s="200">
        <v>773.2</v>
      </c>
      <c r="H1095" s="201">
        <v>35</v>
      </c>
      <c r="I1095" s="273">
        <f>SUMIF('2020'!B:B,B1095,'2020'!C:C)+SUMIF('2021'!B:B,B1095,'2021'!C:C)+SUMIF('2022'!B:B,B1095,'2022'!C:C)</f>
        <v>130000</v>
      </c>
      <c r="J1095" s="59">
        <v>44925</v>
      </c>
      <c r="K1095" s="46" t="s">
        <v>3118</v>
      </c>
    </row>
    <row r="1096" spans="1:11" ht="17.25" customHeight="1" x14ac:dyDescent="0.3">
      <c r="A1096" s="259">
        <f t="shared" si="46"/>
        <v>982</v>
      </c>
      <c r="B1096" s="20" t="s">
        <v>1065</v>
      </c>
      <c r="C1096" s="162">
        <v>1964</v>
      </c>
      <c r="D1096" s="31"/>
      <c r="E1096" s="200" t="s">
        <v>3194</v>
      </c>
      <c r="F1096" s="200">
        <v>2</v>
      </c>
      <c r="G1096" s="200">
        <v>620.5</v>
      </c>
      <c r="H1096" s="201">
        <v>25</v>
      </c>
      <c r="I1096" s="273">
        <f>SUMIF('2020'!B:B,B1096,'2020'!C:C)+SUMIF('2021'!B:B,B1096,'2021'!C:C)+SUMIF('2022'!B:B,B1096,'2022'!C:C)</f>
        <v>726653.2</v>
      </c>
      <c r="J1096" s="59">
        <v>44925</v>
      </c>
      <c r="K1096" s="46" t="s">
        <v>3118</v>
      </c>
    </row>
    <row r="1097" spans="1:11" ht="17.25" customHeight="1" x14ac:dyDescent="0.3">
      <c r="A1097" s="259">
        <f t="shared" si="46"/>
        <v>983</v>
      </c>
      <c r="B1097" s="20" t="s">
        <v>1066</v>
      </c>
      <c r="C1097" s="162">
        <v>1976</v>
      </c>
      <c r="D1097" s="31"/>
      <c r="E1097" s="200" t="s">
        <v>3195</v>
      </c>
      <c r="F1097" s="200">
        <v>2</v>
      </c>
      <c r="G1097" s="200">
        <v>795.7</v>
      </c>
      <c r="H1097" s="201">
        <v>41</v>
      </c>
      <c r="I1097" s="273">
        <f>SUMIF('2020'!B:B,B1097,'2020'!C:C)+SUMIF('2021'!B:B,B1097,'2021'!C:C)+SUMIF('2022'!B:B,B1097,'2022'!C:C)</f>
        <v>5569098.54</v>
      </c>
      <c r="J1097" s="59">
        <v>44925</v>
      </c>
      <c r="K1097" s="46" t="s">
        <v>3118</v>
      </c>
    </row>
    <row r="1098" spans="1:11" ht="17.25" customHeight="1" x14ac:dyDescent="0.3">
      <c r="A1098" s="259">
        <f t="shared" si="46"/>
        <v>984</v>
      </c>
      <c r="B1098" s="20" t="s">
        <v>1067</v>
      </c>
      <c r="C1098" s="162">
        <v>1979</v>
      </c>
      <c r="D1098" s="31"/>
      <c r="E1098" s="200" t="s">
        <v>3119</v>
      </c>
      <c r="F1098" s="200">
        <v>3</v>
      </c>
      <c r="G1098" s="200" t="s">
        <v>3197</v>
      </c>
      <c r="H1098" s="201">
        <v>67</v>
      </c>
      <c r="I1098" s="273">
        <f>SUMIF('2020'!B:B,B1098,'2020'!C:C)+SUMIF('2021'!B:B,B1098,'2021'!C:C)+SUMIF('2022'!B:B,B1098,'2022'!C:C)</f>
        <v>6029424.1299999999</v>
      </c>
      <c r="J1098" s="59">
        <v>44925</v>
      </c>
      <c r="K1098" s="46" t="s">
        <v>3118</v>
      </c>
    </row>
    <row r="1099" spans="1:11" ht="17.25" customHeight="1" x14ac:dyDescent="0.3">
      <c r="A1099" s="259">
        <f t="shared" si="46"/>
        <v>985</v>
      </c>
      <c r="B1099" s="20" t="s">
        <v>1068</v>
      </c>
      <c r="C1099" s="162">
        <v>1991</v>
      </c>
      <c r="D1099" s="31"/>
      <c r="E1099" s="200" t="s">
        <v>3035</v>
      </c>
      <c r="F1099" s="200">
        <v>3</v>
      </c>
      <c r="G1099" s="200" t="s">
        <v>3198</v>
      </c>
      <c r="H1099" s="201">
        <v>67</v>
      </c>
      <c r="I1099" s="273">
        <f>SUMIF('2020'!B:B,B1099,'2020'!C:C)+SUMIF('2021'!B:B,B1099,'2021'!C:C)+SUMIF('2022'!B:B,B1099,'2022'!C:C)</f>
        <v>6022412.8199999994</v>
      </c>
      <c r="J1099" s="59">
        <v>44925</v>
      </c>
      <c r="K1099" s="46" t="s">
        <v>3118</v>
      </c>
    </row>
    <row r="1100" spans="1:11" ht="17.25" customHeight="1" x14ac:dyDescent="0.3">
      <c r="A1100" s="259">
        <f t="shared" si="46"/>
        <v>986</v>
      </c>
      <c r="B1100" s="20" t="s">
        <v>1069</v>
      </c>
      <c r="C1100" s="162">
        <v>1961</v>
      </c>
      <c r="D1100" s="31"/>
      <c r="E1100" s="200" t="s">
        <v>3035</v>
      </c>
      <c r="F1100" s="200">
        <v>2</v>
      </c>
      <c r="G1100" s="200">
        <v>461</v>
      </c>
      <c r="H1100" s="201">
        <v>21</v>
      </c>
      <c r="I1100" s="273">
        <f>SUMIF('2020'!B:B,B1100,'2020'!C:C)+SUMIF('2021'!B:B,B1100,'2021'!C:C)+SUMIF('2022'!B:B,B1100,'2022'!C:C)</f>
        <v>700424.8</v>
      </c>
      <c r="J1100" s="59">
        <v>44925</v>
      </c>
      <c r="K1100" s="46" t="s">
        <v>3118</v>
      </c>
    </row>
    <row r="1101" spans="1:11" ht="17.25" customHeight="1" x14ac:dyDescent="0.3">
      <c r="A1101" s="259">
        <f t="shared" si="46"/>
        <v>987</v>
      </c>
      <c r="B1101" s="20" t="s">
        <v>1070</v>
      </c>
      <c r="C1101" s="162">
        <v>1967</v>
      </c>
      <c r="D1101" s="31"/>
      <c r="E1101" s="200" t="s">
        <v>3035</v>
      </c>
      <c r="F1101" s="200">
        <v>5</v>
      </c>
      <c r="G1101" s="200" t="s">
        <v>3199</v>
      </c>
      <c r="H1101" s="201">
        <v>145</v>
      </c>
      <c r="I1101" s="273">
        <f>SUMIF('2020'!B:B,B1101,'2020'!C:C)+SUMIF('2021'!B:B,B1101,'2021'!C:C)+SUMIF('2022'!B:B,B1101,'2022'!C:C)</f>
        <v>15472951.040000001</v>
      </c>
      <c r="J1101" s="59">
        <v>44925</v>
      </c>
      <c r="K1101" s="46" t="s">
        <v>3118</v>
      </c>
    </row>
    <row r="1102" spans="1:11" ht="17.25" customHeight="1" x14ac:dyDescent="0.3">
      <c r="A1102" s="259">
        <f t="shared" si="46"/>
        <v>988</v>
      </c>
      <c r="B1102" s="20" t="s">
        <v>1071</v>
      </c>
      <c r="C1102" s="162">
        <v>1969</v>
      </c>
      <c r="D1102" s="31"/>
      <c r="E1102" s="200" t="s">
        <v>3119</v>
      </c>
      <c r="F1102" s="200">
        <v>5</v>
      </c>
      <c r="G1102" s="200" t="s">
        <v>3200</v>
      </c>
      <c r="H1102" s="201">
        <v>229</v>
      </c>
      <c r="I1102" s="273">
        <f>SUMIF('2020'!B:B,B1102,'2020'!C:C)+SUMIF('2021'!B:B,B1102,'2021'!C:C)+SUMIF('2022'!B:B,B1102,'2022'!C:C)</f>
        <v>248818.34</v>
      </c>
      <c r="J1102" s="59">
        <v>44925</v>
      </c>
      <c r="K1102" s="46" t="s">
        <v>3118</v>
      </c>
    </row>
    <row r="1103" spans="1:11" ht="17.25" customHeight="1" x14ac:dyDescent="0.3">
      <c r="A1103" s="259">
        <f t="shared" si="46"/>
        <v>989</v>
      </c>
      <c r="B1103" s="20" t="s">
        <v>1072</v>
      </c>
      <c r="C1103" s="162">
        <v>1972</v>
      </c>
      <c r="D1103" s="31"/>
      <c r="E1103" s="200" t="s">
        <v>3119</v>
      </c>
      <c r="F1103" s="200">
        <v>5</v>
      </c>
      <c r="G1103" s="200" t="s">
        <v>3201</v>
      </c>
      <c r="H1103" s="201">
        <v>136</v>
      </c>
      <c r="I1103" s="273">
        <f>SUMIF('2020'!B:B,B1103,'2020'!C:C)+SUMIF('2021'!B:B,B1103,'2021'!C:C)+SUMIF('2022'!B:B,B1103,'2022'!C:C)</f>
        <v>20050902.879999999</v>
      </c>
      <c r="J1103" s="59">
        <v>44925</v>
      </c>
      <c r="K1103" s="46" t="s">
        <v>3118</v>
      </c>
    </row>
    <row r="1104" spans="1:11" ht="17.25" customHeight="1" x14ac:dyDescent="0.3">
      <c r="A1104" s="259">
        <f t="shared" si="46"/>
        <v>990</v>
      </c>
      <c r="B1104" s="20" t="s">
        <v>1073</v>
      </c>
      <c r="C1104" s="162">
        <v>1972</v>
      </c>
      <c r="D1104" s="31"/>
      <c r="E1104" s="200" t="s">
        <v>3119</v>
      </c>
      <c r="F1104" s="200">
        <v>5</v>
      </c>
      <c r="G1104" s="200" t="s">
        <v>3201</v>
      </c>
      <c r="H1104" s="201">
        <v>152</v>
      </c>
      <c r="I1104" s="273">
        <f>SUMIF('2020'!B:B,B1104,'2020'!C:C)+SUMIF('2021'!B:B,B1104,'2021'!C:C)+SUMIF('2022'!B:B,B1104,'2022'!C:C)</f>
        <v>20050902.879999999</v>
      </c>
      <c r="J1104" s="59">
        <v>44925</v>
      </c>
      <c r="K1104" s="46" t="s">
        <v>3118</v>
      </c>
    </row>
    <row r="1105" spans="1:13" ht="17.25" customHeight="1" x14ac:dyDescent="0.3">
      <c r="A1105" s="259">
        <f t="shared" si="46"/>
        <v>991</v>
      </c>
      <c r="B1105" s="20" t="s">
        <v>1074</v>
      </c>
      <c r="C1105" s="162">
        <v>1969</v>
      </c>
      <c r="D1105" s="31"/>
      <c r="E1105" s="200" t="s">
        <v>3119</v>
      </c>
      <c r="F1105" s="200">
        <v>5</v>
      </c>
      <c r="G1105" s="200" t="s">
        <v>3200</v>
      </c>
      <c r="H1105" s="201">
        <v>179</v>
      </c>
      <c r="I1105" s="273">
        <f>SUMIF('2020'!B:B,B1105,'2020'!C:C)+SUMIF('2021'!B:B,B1105,'2021'!C:C)+SUMIF('2022'!B:B,B1105,'2022'!C:C)</f>
        <v>3103212</v>
      </c>
      <c r="J1105" s="59">
        <v>44925</v>
      </c>
      <c r="K1105" s="46" t="s">
        <v>3118</v>
      </c>
    </row>
    <row r="1106" spans="1:13" ht="17.25" customHeight="1" x14ac:dyDescent="0.3">
      <c r="A1106" s="259">
        <f t="shared" si="46"/>
        <v>992</v>
      </c>
      <c r="B1106" s="20" t="s">
        <v>1075</v>
      </c>
      <c r="C1106" s="162">
        <v>1978</v>
      </c>
      <c r="D1106" s="31"/>
      <c r="E1106" s="200" t="s">
        <v>3119</v>
      </c>
      <c r="F1106" s="200">
        <v>5</v>
      </c>
      <c r="G1106" s="200" t="s">
        <v>3202</v>
      </c>
      <c r="H1106" s="201">
        <v>67</v>
      </c>
      <c r="I1106" s="273">
        <f>SUMIF('2020'!B:B,B1106,'2020'!C:C)+SUMIF('2021'!B:B,B1106,'2021'!C:C)+SUMIF('2022'!B:B,B1106,'2022'!C:C)</f>
        <v>248371.09</v>
      </c>
      <c r="J1106" s="59">
        <v>44925</v>
      </c>
      <c r="K1106" s="46" t="s">
        <v>3118</v>
      </c>
    </row>
    <row r="1107" spans="1:13" ht="17.25" customHeight="1" x14ac:dyDescent="0.3">
      <c r="A1107" s="259">
        <f t="shared" si="46"/>
        <v>993</v>
      </c>
      <c r="B1107" s="20" t="s">
        <v>1076</v>
      </c>
      <c r="C1107" s="162">
        <v>1973</v>
      </c>
      <c r="D1107" s="31"/>
      <c r="E1107" s="200" t="s">
        <v>3035</v>
      </c>
      <c r="F1107" s="200">
        <v>2</v>
      </c>
      <c r="G1107" s="200">
        <v>730.6</v>
      </c>
      <c r="H1107" s="201">
        <v>47</v>
      </c>
      <c r="I1107" s="273">
        <f>SUMIF('2020'!B:B,B1107,'2020'!C:C)+SUMIF('2021'!B:B,B1107,'2021'!C:C)+SUMIF('2022'!B:B,B1107,'2022'!C:C)</f>
        <v>330120.14</v>
      </c>
      <c r="J1107" s="59">
        <v>44925</v>
      </c>
      <c r="K1107" s="46" t="s">
        <v>3118</v>
      </c>
    </row>
    <row r="1108" spans="1:13" ht="17.25" customHeight="1" x14ac:dyDescent="0.3">
      <c r="A1108" s="259">
        <f t="shared" si="46"/>
        <v>994</v>
      </c>
      <c r="B1108" s="20" t="s">
        <v>1077</v>
      </c>
      <c r="C1108" s="162">
        <v>1973</v>
      </c>
      <c r="D1108" s="31"/>
      <c r="E1108" s="200" t="s">
        <v>3035</v>
      </c>
      <c r="F1108" s="200">
        <v>2</v>
      </c>
      <c r="G1108" s="200">
        <v>738.7</v>
      </c>
      <c r="H1108" s="201">
        <v>30</v>
      </c>
      <c r="I1108" s="273">
        <f>SUMIF('2020'!B:B,B1108,'2020'!C:C)+SUMIF('2021'!B:B,B1108,'2021'!C:C)+SUMIF('2022'!B:B,B1108,'2022'!C:C)</f>
        <v>330584.14</v>
      </c>
      <c r="J1108" s="59">
        <v>44925</v>
      </c>
      <c r="K1108" s="46" t="s">
        <v>3118</v>
      </c>
    </row>
    <row r="1109" spans="1:13" ht="17.25" customHeight="1" x14ac:dyDescent="0.3">
      <c r="A1109" s="259">
        <f t="shared" si="46"/>
        <v>995</v>
      </c>
      <c r="B1109" s="20" t="s">
        <v>1078</v>
      </c>
      <c r="C1109" s="162">
        <v>1975</v>
      </c>
      <c r="D1109" s="31"/>
      <c r="E1109" s="200" t="s">
        <v>3035</v>
      </c>
      <c r="F1109" s="200">
        <v>2</v>
      </c>
      <c r="G1109" s="200">
        <v>733.4</v>
      </c>
      <c r="H1109" s="201">
        <v>40</v>
      </c>
      <c r="I1109" s="273">
        <f>SUMIF('2020'!B:B,B1109,'2020'!C:C)+SUMIF('2021'!B:B,B1109,'2021'!C:C)+SUMIF('2022'!B:B,B1109,'2022'!C:C)</f>
        <v>204940.94</v>
      </c>
      <c r="J1109" s="59">
        <v>44925</v>
      </c>
      <c r="K1109" s="46" t="s">
        <v>3118</v>
      </c>
    </row>
    <row r="1110" spans="1:13" ht="17.25" customHeight="1" x14ac:dyDescent="0.3">
      <c r="A1110" s="259">
        <f t="shared" si="46"/>
        <v>996</v>
      </c>
      <c r="B1110" s="20" t="s">
        <v>1079</v>
      </c>
      <c r="C1110" s="162">
        <v>1975</v>
      </c>
      <c r="D1110" s="31"/>
      <c r="E1110" s="200" t="s">
        <v>3035</v>
      </c>
      <c r="F1110" s="200">
        <v>2</v>
      </c>
      <c r="G1110" s="200">
        <v>740.4</v>
      </c>
      <c r="H1110" s="201">
        <v>49</v>
      </c>
      <c r="I1110" s="273">
        <f>SUMIF('2020'!B:B,B1110,'2020'!C:C)+SUMIF('2021'!B:B,B1110,'2021'!C:C)+SUMIF('2022'!B:B,B1110,'2022'!C:C)</f>
        <v>204940.94</v>
      </c>
      <c r="J1110" s="59">
        <v>44925</v>
      </c>
      <c r="K1110" s="46" t="s">
        <v>3118</v>
      </c>
    </row>
    <row r="1111" spans="1:13" ht="17.25" customHeight="1" x14ac:dyDescent="0.3">
      <c r="A1111" s="259">
        <f t="shared" si="46"/>
        <v>997</v>
      </c>
      <c r="B1111" s="20" t="s">
        <v>1080</v>
      </c>
      <c r="C1111" s="162">
        <v>1975</v>
      </c>
      <c r="D1111" s="31"/>
      <c r="E1111" s="200" t="s">
        <v>3035</v>
      </c>
      <c r="F1111" s="200">
        <v>2</v>
      </c>
      <c r="G1111" s="200">
        <v>745.7</v>
      </c>
      <c r="H1111" s="201">
        <v>37</v>
      </c>
      <c r="I1111" s="273">
        <f>SUMIF('2020'!B:B,B1111,'2020'!C:C)+SUMIF('2021'!B:B,B1111,'2021'!C:C)+SUMIF('2022'!B:B,B1111,'2022'!C:C)</f>
        <v>204940.94</v>
      </c>
      <c r="J1111" s="59">
        <v>44925</v>
      </c>
      <c r="K1111" s="46" t="s">
        <v>3118</v>
      </c>
    </row>
    <row r="1112" spans="1:13" ht="17.25" customHeight="1" x14ac:dyDescent="0.3">
      <c r="A1112" s="259">
        <f t="shared" si="46"/>
        <v>998</v>
      </c>
      <c r="B1112" s="20" t="s">
        <v>1081</v>
      </c>
      <c r="C1112" s="162">
        <v>1978</v>
      </c>
      <c r="D1112" s="31"/>
      <c r="E1112" s="200" t="s">
        <v>3035</v>
      </c>
      <c r="F1112" s="200">
        <v>2</v>
      </c>
      <c r="G1112" s="200" t="s">
        <v>3203</v>
      </c>
      <c r="H1112" s="201">
        <v>48</v>
      </c>
      <c r="I1112" s="273">
        <f>SUMIF('2020'!B:B,B1112,'2020'!C:C)+SUMIF('2021'!B:B,B1112,'2021'!C:C)+SUMIF('2022'!B:B,B1112,'2022'!C:C)</f>
        <v>3468296.33</v>
      </c>
      <c r="J1112" s="59">
        <v>44925</v>
      </c>
      <c r="K1112" s="46" t="s">
        <v>3118</v>
      </c>
    </row>
    <row r="1113" spans="1:13" ht="17.25" customHeight="1" x14ac:dyDescent="0.3">
      <c r="A1113" s="15" t="s">
        <v>208</v>
      </c>
      <c r="B1113" s="20"/>
      <c r="C1113" s="31" t="s">
        <v>3558</v>
      </c>
      <c r="D1113" s="31" t="s">
        <v>3558</v>
      </c>
      <c r="E1113" s="31" t="s">
        <v>3558</v>
      </c>
      <c r="F1113" s="31" t="s">
        <v>3558</v>
      </c>
      <c r="G1113" s="56">
        <f>SUM(G1088:G1112)</f>
        <v>15603.000000000002</v>
      </c>
      <c r="H1113" s="173">
        <f>SUM(H1088:H1112)</f>
        <v>1992</v>
      </c>
      <c r="I1113" s="56">
        <f>SUM(I1088:I1112)</f>
        <v>90527812.439999998</v>
      </c>
      <c r="J1113" s="31" t="s">
        <v>3558</v>
      </c>
      <c r="K1113" s="31" t="s">
        <v>3558</v>
      </c>
      <c r="L1113" s="197">
        <f>I1113-'2020'!C256-'2021'!C859-'2022'!C303</f>
        <v>-8.3819031715393066E-9</v>
      </c>
      <c r="M1113" s="197"/>
    </row>
    <row r="1114" spans="1:13" ht="17.25" customHeight="1" x14ac:dyDescent="0.3">
      <c r="A1114" s="19" t="s">
        <v>1082</v>
      </c>
      <c r="B1114" s="253"/>
      <c r="C1114" s="31"/>
      <c r="D1114" s="31"/>
      <c r="E1114" s="31"/>
      <c r="F1114" s="31"/>
      <c r="G1114" s="31"/>
      <c r="H1114" s="173"/>
      <c r="I1114" s="56"/>
      <c r="J1114" s="31"/>
      <c r="K1114" s="31"/>
    </row>
    <row r="1115" spans="1:13" ht="17.25" customHeight="1" x14ac:dyDescent="0.3">
      <c r="A1115" s="259">
        <f>A1112+1</f>
        <v>999</v>
      </c>
      <c r="B1115" s="20" t="s">
        <v>1083</v>
      </c>
      <c r="C1115" s="162">
        <v>1981</v>
      </c>
      <c r="D1115" s="31"/>
      <c r="E1115" s="31" t="s">
        <v>3121</v>
      </c>
      <c r="F1115" s="31">
        <v>3</v>
      </c>
      <c r="G1115" s="56">
        <v>1679.1</v>
      </c>
      <c r="H1115" s="173">
        <v>49</v>
      </c>
      <c r="I1115" s="273">
        <f>SUMIF('2020'!B:B,B1115,'2020'!C:C)+SUMIF('2021'!B:B,B1115,'2021'!C:C)+SUMIF('2022'!B:B,B1115,'2022'!C:C)</f>
        <v>1413588</v>
      </c>
      <c r="J1115" s="59">
        <v>44925</v>
      </c>
      <c r="K1115" s="46" t="s">
        <v>3118</v>
      </c>
    </row>
    <row r="1116" spans="1:13" ht="17.25" customHeight="1" x14ac:dyDescent="0.3">
      <c r="A1116" s="259">
        <f>A1115+1</f>
        <v>1000</v>
      </c>
      <c r="B1116" s="124" t="s">
        <v>3546</v>
      </c>
      <c r="C1116" s="162"/>
      <c r="D1116" s="31"/>
      <c r="E1116" s="31"/>
      <c r="F1116" s="31"/>
      <c r="G1116" s="56"/>
      <c r="H1116" s="173"/>
      <c r="I1116" s="273">
        <f>SUMIF('2020'!B:B,B1116,'2020'!C:C)+SUMIF('2021'!B:B,B1116,'2021'!C:C)+SUMIF('2022'!B:B,B1116,'2022'!C:C)</f>
        <v>71735080.930000007</v>
      </c>
      <c r="J1116" s="59">
        <v>44925</v>
      </c>
      <c r="K1116" s="46" t="s">
        <v>3118</v>
      </c>
    </row>
    <row r="1117" spans="1:13" ht="17.25" customHeight="1" x14ac:dyDescent="0.3">
      <c r="A1117" s="15" t="s">
        <v>208</v>
      </c>
      <c r="B1117" s="20"/>
      <c r="C1117" s="31" t="s">
        <v>3558</v>
      </c>
      <c r="D1117" s="31" t="s">
        <v>3558</v>
      </c>
      <c r="E1117" s="31" t="s">
        <v>3558</v>
      </c>
      <c r="F1117" s="31" t="s">
        <v>3558</v>
      </c>
      <c r="G1117" s="56">
        <f>SUM(G1115:G1116)</f>
        <v>1679.1</v>
      </c>
      <c r="H1117" s="60">
        <f>SUM(H1115:H1116)</f>
        <v>49</v>
      </c>
      <c r="I1117" s="56">
        <f>SUM(I1115:I1116)</f>
        <v>73148668.930000007</v>
      </c>
      <c r="J1117" s="31" t="s">
        <v>3558</v>
      </c>
      <c r="K1117" s="31" t="s">
        <v>3558</v>
      </c>
      <c r="L1117" s="197">
        <f>I1117-'2021'!C863-'2022'!C306</f>
        <v>0</v>
      </c>
    </row>
    <row r="1118" spans="1:13" s="43" customFormat="1" ht="17.25" customHeight="1" x14ac:dyDescent="0.3">
      <c r="A1118" s="279" t="s">
        <v>1084</v>
      </c>
      <c r="B1118" s="253"/>
      <c r="C1118" s="165" t="s">
        <v>3558</v>
      </c>
      <c r="D1118" s="165" t="s">
        <v>3558</v>
      </c>
      <c r="E1118" s="165" t="s">
        <v>3558</v>
      </c>
      <c r="F1118" s="165" t="s">
        <v>3558</v>
      </c>
      <c r="G1118" s="164">
        <f>G1117+G1113+G1086+G1063+G1060+G987+G983+G960+G903+G766</f>
        <v>504742.49</v>
      </c>
      <c r="H1118" s="164">
        <f>H1117+H1113+H1086+H1063+H1060+H987+H983+H960+H903+H766</f>
        <v>18058</v>
      </c>
      <c r="I1118" s="164">
        <f>I1117+I1113+I1086+I1063+I1060+I987+I983+I960+I903+I766</f>
        <v>787333094.90000021</v>
      </c>
      <c r="J1118" s="165" t="s">
        <v>3558</v>
      </c>
      <c r="K1118" s="165" t="s">
        <v>3558</v>
      </c>
      <c r="L1118" s="196">
        <f>I1118-'2020'!C257-'2021'!C864-'2022'!C307</f>
        <v>2.384185791015625E-7</v>
      </c>
      <c r="M1118" s="196"/>
    </row>
    <row r="1119" spans="1:13" s="43" customFormat="1" x14ac:dyDescent="0.3">
      <c r="A1119" s="292" t="s">
        <v>1085</v>
      </c>
      <c r="B1119" s="292"/>
      <c r="C1119" s="292"/>
      <c r="D1119" s="292"/>
      <c r="E1119" s="292"/>
      <c r="F1119" s="292"/>
      <c r="G1119" s="292"/>
      <c r="H1119" s="292"/>
      <c r="I1119" s="292"/>
      <c r="J1119" s="292"/>
      <c r="K1119" s="292"/>
      <c r="L1119" s="198"/>
      <c r="M1119" s="198"/>
    </row>
    <row r="1120" spans="1:13" x14ac:dyDescent="0.3">
      <c r="A1120" s="298" t="s">
        <v>1086</v>
      </c>
      <c r="B1120" s="298"/>
      <c r="C1120" s="273"/>
      <c r="D1120" s="273"/>
      <c r="E1120" s="273"/>
      <c r="F1120" s="273"/>
      <c r="G1120" s="273"/>
      <c r="H1120" s="10"/>
      <c r="I1120" s="273"/>
      <c r="J1120" s="273"/>
      <c r="K1120" s="273"/>
    </row>
    <row r="1121" spans="1:11" x14ac:dyDescent="0.3">
      <c r="A1121" s="259">
        <f>A1116+1</f>
        <v>1001</v>
      </c>
      <c r="B1121" s="20" t="s">
        <v>1087</v>
      </c>
      <c r="C1121" s="162">
        <v>1980</v>
      </c>
      <c r="D1121" s="273"/>
      <c r="E1121" s="273" t="s">
        <v>3121</v>
      </c>
      <c r="F1121" s="50">
        <v>5</v>
      </c>
      <c r="G1121" s="273">
        <v>6603</v>
      </c>
      <c r="H1121" s="10">
        <v>165</v>
      </c>
      <c r="I1121" s="273">
        <f>SUMIF('2020'!B:B,B1121,'2020'!C:C)+SUMIF('2021'!B:B,B1121,'2021'!C:C)+SUMIF('2022'!B:B,B1121,'2022'!C:C)</f>
        <v>4138510.8</v>
      </c>
      <c r="J1121" s="59">
        <v>44925</v>
      </c>
      <c r="K1121" s="273" t="s">
        <v>3118</v>
      </c>
    </row>
    <row r="1122" spans="1:11" x14ac:dyDescent="0.3">
      <c r="A1122" s="259">
        <f>A1121+1</f>
        <v>1002</v>
      </c>
      <c r="B1122" s="20" t="s">
        <v>1088</v>
      </c>
      <c r="C1122" s="162">
        <v>1948</v>
      </c>
      <c r="D1122" s="273"/>
      <c r="E1122" s="273" t="s">
        <v>3123</v>
      </c>
      <c r="F1122" s="50">
        <v>2</v>
      </c>
      <c r="G1122" s="273">
        <v>521.20000000000005</v>
      </c>
      <c r="H1122" s="10">
        <v>16</v>
      </c>
      <c r="I1122" s="273">
        <f>SUMIF('2020'!B:B,B1122,'2020'!C:C)+SUMIF('2021'!B:B,B1122,'2021'!C:C)+SUMIF('2022'!B:B,B1122,'2022'!C:C)</f>
        <v>217688.41</v>
      </c>
      <c r="J1122" s="59">
        <v>44925</v>
      </c>
      <c r="K1122" s="273" t="s">
        <v>3118</v>
      </c>
    </row>
    <row r="1123" spans="1:11" x14ac:dyDescent="0.3">
      <c r="A1123" s="259">
        <f t="shared" ref="A1123:A1130" si="47">A1121+1</f>
        <v>1002</v>
      </c>
      <c r="B1123" s="20" t="s">
        <v>1089</v>
      </c>
      <c r="C1123" s="162">
        <v>1948</v>
      </c>
      <c r="D1123" s="273"/>
      <c r="E1123" s="273" t="s">
        <v>3123</v>
      </c>
      <c r="F1123" s="50">
        <v>2</v>
      </c>
      <c r="G1123" s="273">
        <v>515.5</v>
      </c>
      <c r="H1123" s="10">
        <v>30</v>
      </c>
      <c r="I1123" s="273">
        <f>SUMIF('2020'!B:B,B1123,'2020'!C:C)+SUMIF('2021'!B:B,B1123,'2021'!C:C)+SUMIF('2022'!B:B,B1123,'2022'!C:C)</f>
        <v>208296.47</v>
      </c>
      <c r="J1123" s="59">
        <v>44925</v>
      </c>
      <c r="K1123" s="273" t="s">
        <v>3118</v>
      </c>
    </row>
    <row r="1124" spans="1:11" x14ac:dyDescent="0.3">
      <c r="A1124" s="259">
        <f t="shared" si="47"/>
        <v>1003</v>
      </c>
      <c r="B1124" s="20" t="s">
        <v>1090</v>
      </c>
      <c r="C1124" s="162">
        <v>1948</v>
      </c>
      <c r="D1124" s="273"/>
      <c r="E1124" s="273" t="s">
        <v>3123</v>
      </c>
      <c r="F1124" s="50">
        <v>2</v>
      </c>
      <c r="G1124" s="273">
        <v>529.5</v>
      </c>
      <c r="H1124" s="10">
        <v>26</v>
      </c>
      <c r="I1124" s="273">
        <f>SUMIF('2020'!B:B,B1124,'2020'!C:C)+SUMIF('2021'!B:B,B1124,'2021'!C:C)+SUMIF('2022'!B:B,B1124,'2022'!C:C)</f>
        <v>170863.45</v>
      </c>
      <c r="J1124" s="59">
        <v>44925</v>
      </c>
      <c r="K1124" s="273" t="s">
        <v>3118</v>
      </c>
    </row>
    <row r="1125" spans="1:11" x14ac:dyDescent="0.3">
      <c r="A1125" s="259">
        <f t="shared" si="47"/>
        <v>1003</v>
      </c>
      <c r="B1125" s="20" t="s">
        <v>1091</v>
      </c>
      <c r="C1125" s="162">
        <v>1969</v>
      </c>
      <c r="D1125" s="273"/>
      <c r="E1125" s="273" t="s">
        <v>3123</v>
      </c>
      <c r="F1125" s="50">
        <v>2</v>
      </c>
      <c r="G1125" s="273">
        <v>559.29999999999995</v>
      </c>
      <c r="H1125" s="10">
        <v>34</v>
      </c>
      <c r="I1125" s="273">
        <f>SUMIF('2020'!B:B,B1125,'2020'!C:C)+SUMIF('2021'!B:B,B1125,'2021'!C:C)+SUMIF('2022'!B:B,B1125,'2022'!C:C)</f>
        <v>6820077.5999999996</v>
      </c>
      <c r="J1125" s="59">
        <v>44925</v>
      </c>
      <c r="K1125" s="273" t="s">
        <v>3118</v>
      </c>
    </row>
    <row r="1126" spans="1:11" x14ac:dyDescent="0.3">
      <c r="A1126" s="259">
        <f t="shared" si="47"/>
        <v>1004</v>
      </c>
      <c r="B1126" s="20" t="s">
        <v>1092</v>
      </c>
      <c r="C1126" s="162">
        <v>1975</v>
      </c>
      <c r="D1126" s="273"/>
      <c r="E1126" s="273" t="s">
        <v>3123</v>
      </c>
      <c r="F1126" s="50">
        <v>3</v>
      </c>
      <c r="G1126" s="273">
        <v>1096.3</v>
      </c>
      <c r="H1126" s="10">
        <v>43</v>
      </c>
      <c r="I1126" s="273">
        <f>SUMIF('2020'!B:B,B1126,'2020'!C:C)+SUMIF('2021'!B:B,B1126,'2021'!C:C)+SUMIF('2022'!B:B,B1126,'2022'!C:C)</f>
        <v>640762.55000000005</v>
      </c>
      <c r="J1126" s="59">
        <v>44925</v>
      </c>
      <c r="K1126" s="273" t="s">
        <v>3118</v>
      </c>
    </row>
    <row r="1127" spans="1:11" x14ac:dyDescent="0.3">
      <c r="A1127" s="259">
        <f t="shared" si="47"/>
        <v>1004</v>
      </c>
      <c r="B1127" s="20" t="s">
        <v>1093</v>
      </c>
      <c r="C1127" s="162">
        <v>1970</v>
      </c>
      <c r="D1127" s="273"/>
      <c r="E1127" s="273" t="s">
        <v>3123</v>
      </c>
      <c r="F1127" s="50">
        <v>2</v>
      </c>
      <c r="G1127" s="273">
        <v>580.4</v>
      </c>
      <c r="H1127" s="10">
        <v>28</v>
      </c>
      <c r="I1127" s="273">
        <f>SUMIF('2020'!B:B,B1127,'2020'!C:C)+SUMIF('2021'!B:B,B1127,'2021'!C:C)+SUMIF('2022'!B:B,B1127,'2022'!C:C)</f>
        <v>7073756.4000000004</v>
      </c>
      <c r="J1127" s="59">
        <v>44925</v>
      </c>
      <c r="K1127" s="273" t="s">
        <v>3118</v>
      </c>
    </row>
    <row r="1128" spans="1:11" x14ac:dyDescent="0.3">
      <c r="A1128" s="259">
        <f t="shared" si="47"/>
        <v>1005</v>
      </c>
      <c r="B1128" s="20" t="s">
        <v>1094</v>
      </c>
      <c r="C1128" s="162">
        <v>1978</v>
      </c>
      <c r="D1128" s="273"/>
      <c r="E1128" s="273" t="s">
        <v>3123</v>
      </c>
      <c r="F1128" s="50">
        <v>2</v>
      </c>
      <c r="G1128" s="273">
        <v>566.5</v>
      </c>
      <c r="H1128" s="10">
        <v>28</v>
      </c>
      <c r="I1128" s="273">
        <f>SUMIF('2020'!B:B,B1128,'2020'!C:C)+SUMIF('2021'!B:B,B1128,'2021'!C:C)+SUMIF('2022'!B:B,B1128,'2022'!C:C)</f>
        <v>7337902.7999999998</v>
      </c>
      <c r="J1128" s="59">
        <v>44925</v>
      </c>
      <c r="K1128" s="273" t="s">
        <v>3118</v>
      </c>
    </row>
    <row r="1129" spans="1:11" x14ac:dyDescent="0.3">
      <c r="A1129" s="259">
        <f t="shared" si="47"/>
        <v>1005</v>
      </c>
      <c r="B1129" s="20" t="s">
        <v>1095</v>
      </c>
      <c r="C1129" s="162">
        <v>1973</v>
      </c>
      <c r="D1129" s="273"/>
      <c r="E1129" s="273" t="s">
        <v>3123</v>
      </c>
      <c r="F1129" s="50">
        <v>2</v>
      </c>
      <c r="G1129" s="273">
        <v>817</v>
      </c>
      <c r="H1129" s="10">
        <v>31</v>
      </c>
      <c r="I1129" s="273">
        <f>SUMIF('2020'!B:B,B1129,'2020'!C:C)+SUMIF('2021'!B:B,B1129,'2021'!C:C)+SUMIF('2022'!B:B,B1129,'2022'!C:C)</f>
        <v>9026756.3999999985</v>
      </c>
      <c r="J1129" s="59">
        <v>44925</v>
      </c>
      <c r="K1129" s="273" t="s">
        <v>3118</v>
      </c>
    </row>
    <row r="1130" spans="1:11" x14ac:dyDescent="0.3">
      <c r="A1130" s="259">
        <f t="shared" si="47"/>
        <v>1006</v>
      </c>
      <c r="B1130" s="20" t="s">
        <v>1096</v>
      </c>
      <c r="C1130" s="162">
        <v>1978</v>
      </c>
      <c r="D1130" s="273"/>
      <c r="E1130" s="273" t="s">
        <v>3123</v>
      </c>
      <c r="F1130" s="50">
        <v>2</v>
      </c>
      <c r="G1130" s="273">
        <v>836.4</v>
      </c>
      <c r="H1130" s="10">
        <v>39</v>
      </c>
      <c r="I1130" s="273">
        <f>SUMIF('2020'!B:B,B1130,'2020'!C:C)+SUMIF('2021'!B:B,B1130,'2021'!C:C)+SUMIF('2022'!B:B,B1130,'2022'!C:C)</f>
        <v>11629146</v>
      </c>
      <c r="J1130" s="59">
        <v>44925</v>
      </c>
      <c r="K1130" s="273" t="s">
        <v>3118</v>
      </c>
    </row>
    <row r="1131" spans="1:11" x14ac:dyDescent="0.3">
      <c r="A1131" s="259"/>
      <c r="B1131" s="20" t="s">
        <v>208</v>
      </c>
      <c r="C1131" s="273" t="s">
        <v>3558</v>
      </c>
      <c r="D1131" s="273" t="s">
        <v>3558</v>
      </c>
      <c r="E1131" s="273" t="s">
        <v>3558</v>
      </c>
      <c r="F1131" s="273" t="s">
        <v>3558</v>
      </c>
      <c r="G1131" s="273">
        <f>SUM(G1121:G1130)</f>
        <v>12625.099999999999</v>
      </c>
      <c r="H1131" s="10">
        <f>SUM(H1121:H1130)</f>
        <v>440</v>
      </c>
      <c r="I1131" s="273">
        <f>SUM(I1121:I1130)</f>
        <v>47263760.879999995</v>
      </c>
      <c r="J1131" s="273" t="s">
        <v>3558</v>
      </c>
      <c r="K1131" s="273" t="s">
        <v>3558</v>
      </c>
    </row>
    <row r="1132" spans="1:11" x14ac:dyDescent="0.3">
      <c r="A1132" s="296" t="s">
        <v>1097</v>
      </c>
      <c r="B1132" s="296"/>
      <c r="C1132" s="170"/>
      <c r="D1132" s="273"/>
      <c r="E1132" s="273"/>
      <c r="F1132" s="273"/>
      <c r="G1132" s="273"/>
      <c r="H1132" s="10"/>
      <c r="I1132" s="273"/>
      <c r="J1132" s="273"/>
      <c r="K1132" s="273"/>
    </row>
    <row r="1133" spans="1:11" x14ac:dyDescent="0.3">
      <c r="A1133" s="259">
        <f>A1130+1</f>
        <v>1007</v>
      </c>
      <c r="B1133" s="20" t="s">
        <v>1098</v>
      </c>
      <c r="C1133" s="162">
        <v>1967</v>
      </c>
      <c r="D1133" s="273"/>
      <c r="E1133" s="273" t="s">
        <v>3123</v>
      </c>
      <c r="F1133" s="50">
        <v>2</v>
      </c>
      <c r="G1133" s="273">
        <v>362.7</v>
      </c>
      <c r="H1133" s="10">
        <v>20</v>
      </c>
      <c r="I1133" s="273">
        <f>SUMIF('2020'!B:B,B1133,'2020'!C:C)+SUMIF('2021'!B:B,B1133,'2021'!C:C)+SUMIF('2022'!B:B,B1133,'2022'!C:C)</f>
        <v>1866070.8</v>
      </c>
      <c r="J1133" s="59">
        <v>44925</v>
      </c>
      <c r="K1133" s="273" t="s">
        <v>3118</v>
      </c>
    </row>
    <row r="1134" spans="1:11" x14ac:dyDescent="0.3">
      <c r="A1134" s="259">
        <f>A1133+1</f>
        <v>1008</v>
      </c>
      <c r="B1134" s="20" t="s">
        <v>1099</v>
      </c>
      <c r="C1134" s="162">
        <v>1967</v>
      </c>
      <c r="D1134" s="273"/>
      <c r="E1134" s="273" t="s">
        <v>3123</v>
      </c>
      <c r="F1134" s="50">
        <v>2</v>
      </c>
      <c r="G1134" s="273">
        <v>362</v>
      </c>
      <c r="H1134" s="10">
        <v>20</v>
      </c>
      <c r="I1134" s="273">
        <f>SUMIF('2020'!B:B,B1134,'2020'!C:C)+SUMIF('2021'!B:B,B1134,'2021'!C:C)+SUMIF('2022'!B:B,B1134,'2022'!C:C)</f>
        <v>1866070.8</v>
      </c>
      <c r="J1134" s="59">
        <v>44925</v>
      </c>
      <c r="K1134" s="273" t="s">
        <v>3118</v>
      </c>
    </row>
    <row r="1135" spans="1:11" x14ac:dyDescent="0.3">
      <c r="A1135" s="259">
        <f>A1133+1</f>
        <v>1008</v>
      </c>
      <c r="B1135" s="20" t="s">
        <v>1100</v>
      </c>
      <c r="C1135" s="162">
        <v>1967</v>
      </c>
      <c r="D1135" s="273"/>
      <c r="E1135" s="273" t="s">
        <v>3123</v>
      </c>
      <c r="F1135" s="50">
        <v>2</v>
      </c>
      <c r="G1135" s="273">
        <v>391.6</v>
      </c>
      <c r="H1135" s="10">
        <v>20</v>
      </c>
      <c r="I1135" s="273">
        <f>SUMIF('2020'!B:B,B1135,'2020'!C:C)+SUMIF('2021'!B:B,B1135,'2021'!C:C)+SUMIF('2022'!B:B,B1135,'2022'!C:C)</f>
        <v>4798983.5999999996</v>
      </c>
      <c r="J1135" s="59">
        <v>44925</v>
      </c>
      <c r="K1135" s="273" t="s">
        <v>3118</v>
      </c>
    </row>
    <row r="1136" spans="1:11" x14ac:dyDescent="0.3">
      <c r="A1136" s="259"/>
      <c r="B1136" s="20" t="s">
        <v>208</v>
      </c>
      <c r="C1136" s="273" t="s">
        <v>3558</v>
      </c>
      <c r="D1136" s="273" t="s">
        <v>3558</v>
      </c>
      <c r="E1136" s="273" t="s">
        <v>3558</v>
      </c>
      <c r="F1136" s="273" t="s">
        <v>3558</v>
      </c>
      <c r="G1136" s="273">
        <f>SUM(G1133:G1135)</f>
        <v>1116.3000000000002</v>
      </c>
      <c r="H1136" s="10">
        <f>SUM(H1133:H1135)</f>
        <v>60</v>
      </c>
      <c r="I1136" s="273">
        <f>SUM(I1133:I1135)</f>
        <v>8531125.1999999993</v>
      </c>
      <c r="J1136" s="273" t="s">
        <v>3558</v>
      </c>
      <c r="K1136" s="273" t="s">
        <v>3558</v>
      </c>
    </row>
    <row r="1137" spans="1:11" x14ac:dyDescent="0.3">
      <c r="A1137" s="297" t="s">
        <v>1101</v>
      </c>
      <c r="B1137" s="297"/>
      <c r="C1137" s="273"/>
      <c r="D1137" s="273"/>
      <c r="E1137" s="273"/>
      <c r="F1137" s="273"/>
      <c r="G1137" s="273"/>
      <c r="H1137" s="10"/>
      <c r="I1137" s="273"/>
      <c r="J1137" s="273"/>
      <c r="K1137" s="273"/>
    </row>
    <row r="1138" spans="1:11" x14ac:dyDescent="0.3">
      <c r="A1138" s="259">
        <f>A1135+1</f>
        <v>1009</v>
      </c>
      <c r="B1138" s="20" t="s">
        <v>1102</v>
      </c>
      <c r="C1138" s="162">
        <v>1954</v>
      </c>
      <c r="D1138" s="273"/>
      <c r="E1138" s="273" t="s">
        <v>3123</v>
      </c>
      <c r="F1138" s="50">
        <v>2</v>
      </c>
      <c r="G1138" s="273">
        <v>366.7</v>
      </c>
      <c r="H1138" s="10">
        <v>17</v>
      </c>
      <c r="I1138" s="273">
        <f>SUMIF('2020'!B:B,B1138,'2020'!C:C)+SUMIF('2021'!B:B,B1138,'2021'!C:C)+SUMIF('2022'!B:B,B1138,'2022'!C:C)</f>
        <v>112993.34</v>
      </c>
      <c r="J1138" s="59">
        <v>44925</v>
      </c>
      <c r="K1138" s="273" t="s">
        <v>3118</v>
      </c>
    </row>
    <row r="1139" spans="1:11" x14ac:dyDescent="0.3">
      <c r="A1139" s="259">
        <f t="shared" ref="A1139:A1147" si="48">A1138+1</f>
        <v>1010</v>
      </c>
      <c r="B1139" s="20" t="s">
        <v>1103</v>
      </c>
      <c r="C1139" s="162">
        <v>1958</v>
      </c>
      <c r="D1139" s="273"/>
      <c r="E1139" s="273" t="s">
        <v>3123</v>
      </c>
      <c r="F1139" s="50">
        <v>3</v>
      </c>
      <c r="G1139" s="273">
        <v>1601</v>
      </c>
      <c r="H1139" s="10">
        <v>84</v>
      </c>
      <c r="I1139" s="273">
        <f>SUMIF('2020'!B:B,B1139,'2020'!C:C)+SUMIF('2021'!B:B,B1139,'2021'!C:C)+SUMIF('2022'!B:B,B1139,'2022'!C:C)</f>
        <v>143671.07</v>
      </c>
      <c r="J1139" s="59">
        <v>44925</v>
      </c>
      <c r="K1139" s="273" t="s">
        <v>3118</v>
      </c>
    </row>
    <row r="1140" spans="1:11" x14ac:dyDescent="0.3">
      <c r="A1140" s="259">
        <f t="shared" si="48"/>
        <v>1011</v>
      </c>
      <c r="B1140" s="20" t="s">
        <v>1104</v>
      </c>
      <c r="C1140" s="162">
        <v>1958</v>
      </c>
      <c r="D1140" s="273"/>
      <c r="E1140" s="273" t="s">
        <v>3123</v>
      </c>
      <c r="F1140" s="50">
        <v>3</v>
      </c>
      <c r="G1140" s="273">
        <v>1601</v>
      </c>
      <c r="H1140" s="10">
        <v>84</v>
      </c>
      <c r="I1140" s="273">
        <f>SUMIF('2020'!B:B,B1140,'2020'!C:C)+SUMIF('2021'!B:B,B1140,'2021'!C:C)+SUMIF('2022'!B:B,B1140,'2022'!C:C)</f>
        <v>281210.59000000003</v>
      </c>
      <c r="J1140" s="59">
        <v>44925</v>
      </c>
      <c r="K1140" s="273" t="s">
        <v>3118</v>
      </c>
    </row>
    <row r="1141" spans="1:11" x14ac:dyDescent="0.3">
      <c r="A1141" s="259">
        <f t="shared" si="48"/>
        <v>1012</v>
      </c>
      <c r="B1141" s="20" t="s">
        <v>1105</v>
      </c>
      <c r="C1141" s="162">
        <v>1957</v>
      </c>
      <c r="D1141" s="273"/>
      <c r="E1141" s="273" t="s">
        <v>3123</v>
      </c>
      <c r="F1141" s="50">
        <v>2</v>
      </c>
      <c r="G1141" s="273">
        <v>637</v>
      </c>
      <c r="H1141" s="10">
        <v>25</v>
      </c>
      <c r="I1141" s="273">
        <f>SUMIF('2020'!B:B,B1141,'2020'!C:C)+SUMIF('2021'!B:B,B1141,'2021'!C:C)+SUMIF('2022'!B:B,B1141,'2022'!C:C)</f>
        <v>225238.99</v>
      </c>
      <c r="J1141" s="59">
        <v>44925</v>
      </c>
      <c r="K1141" s="273" t="s">
        <v>3118</v>
      </c>
    </row>
    <row r="1142" spans="1:11" x14ac:dyDescent="0.3">
      <c r="A1142" s="259">
        <f t="shared" si="48"/>
        <v>1013</v>
      </c>
      <c r="B1142" s="20" t="s">
        <v>1106</v>
      </c>
      <c r="C1142" s="162">
        <v>1960</v>
      </c>
      <c r="D1142" s="273"/>
      <c r="E1142" s="273" t="s">
        <v>3123</v>
      </c>
      <c r="F1142" s="50">
        <v>3</v>
      </c>
      <c r="G1142" s="273">
        <v>1601</v>
      </c>
      <c r="H1142" s="10">
        <v>91</v>
      </c>
      <c r="I1142" s="273">
        <f>SUMIF('2020'!B:B,B1142,'2020'!C:C)+SUMIF('2021'!B:B,B1142,'2021'!C:C)+SUMIF('2022'!B:B,B1142,'2022'!C:C)</f>
        <v>281210.59000000003</v>
      </c>
      <c r="J1142" s="59">
        <v>44925</v>
      </c>
      <c r="K1142" s="273" t="s">
        <v>3118</v>
      </c>
    </row>
    <row r="1143" spans="1:11" x14ac:dyDescent="0.3">
      <c r="A1143" s="259">
        <f t="shared" si="48"/>
        <v>1014</v>
      </c>
      <c r="B1143" s="20" t="s">
        <v>1107</v>
      </c>
      <c r="C1143" s="162">
        <v>1960</v>
      </c>
      <c r="D1143" s="273"/>
      <c r="E1143" s="273" t="s">
        <v>3123</v>
      </c>
      <c r="F1143" s="50">
        <v>3</v>
      </c>
      <c r="G1143" s="273">
        <v>1601</v>
      </c>
      <c r="H1143" s="10">
        <v>68</v>
      </c>
      <c r="I1143" s="273">
        <f>SUMIF('2020'!B:B,B1143,'2020'!C:C)+SUMIF('2021'!B:B,B1143,'2021'!C:C)+SUMIF('2022'!B:B,B1143,'2022'!C:C)</f>
        <v>281210.59000000003</v>
      </c>
      <c r="J1143" s="59">
        <v>44925</v>
      </c>
      <c r="K1143" s="273" t="s">
        <v>3118</v>
      </c>
    </row>
    <row r="1144" spans="1:11" x14ac:dyDescent="0.3">
      <c r="A1144" s="259">
        <f t="shared" si="48"/>
        <v>1015</v>
      </c>
      <c r="B1144" s="20" t="s">
        <v>1108</v>
      </c>
      <c r="C1144" s="162">
        <v>1958</v>
      </c>
      <c r="D1144" s="273"/>
      <c r="E1144" s="273" t="s">
        <v>3123</v>
      </c>
      <c r="F1144" s="50">
        <v>3</v>
      </c>
      <c r="G1144" s="273">
        <v>1601</v>
      </c>
      <c r="H1144" s="10">
        <v>66</v>
      </c>
      <c r="I1144" s="273">
        <f>SUMIF('2020'!B:B,B1144,'2020'!C:C)+SUMIF('2021'!B:B,B1144,'2021'!C:C)+SUMIF('2022'!B:B,B1144,'2022'!C:C)</f>
        <v>281210.59000000003</v>
      </c>
      <c r="J1144" s="59">
        <v>44925</v>
      </c>
      <c r="K1144" s="273" t="s">
        <v>3118</v>
      </c>
    </row>
    <row r="1145" spans="1:11" x14ac:dyDescent="0.3">
      <c r="A1145" s="259">
        <f t="shared" si="48"/>
        <v>1016</v>
      </c>
      <c r="B1145" s="20" t="s">
        <v>1109</v>
      </c>
      <c r="C1145" s="162">
        <v>1959</v>
      </c>
      <c r="D1145" s="273"/>
      <c r="E1145" s="273" t="s">
        <v>3123</v>
      </c>
      <c r="F1145" s="50">
        <v>3</v>
      </c>
      <c r="G1145" s="273">
        <v>1604</v>
      </c>
      <c r="H1145" s="10">
        <v>58</v>
      </c>
      <c r="I1145" s="273">
        <f>SUMIF('2020'!B:B,B1145,'2020'!C:C)+SUMIF('2021'!B:B,B1145,'2021'!C:C)+SUMIF('2022'!B:B,B1145,'2022'!C:C)</f>
        <v>281210.59000000003</v>
      </c>
      <c r="J1145" s="59">
        <v>44925</v>
      </c>
      <c r="K1145" s="273" t="s">
        <v>3118</v>
      </c>
    </row>
    <row r="1146" spans="1:11" x14ac:dyDescent="0.3">
      <c r="A1146" s="259">
        <f t="shared" si="48"/>
        <v>1017</v>
      </c>
      <c r="B1146" s="20" t="s">
        <v>1110</v>
      </c>
      <c r="C1146" s="162">
        <v>1974</v>
      </c>
      <c r="D1146" s="273"/>
      <c r="E1146" s="273" t="s">
        <v>3123</v>
      </c>
      <c r="F1146" s="50">
        <v>5</v>
      </c>
      <c r="G1146" s="273">
        <v>3513</v>
      </c>
      <c r="H1146" s="10">
        <v>153</v>
      </c>
      <c r="I1146" s="273">
        <f>SUMIF('2020'!B:B,B1146,'2020'!C:C)+SUMIF('2021'!B:B,B1146,'2021'!C:C)+SUMIF('2022'!B:B,B1146,'2022'!C:C)</f>
        <v>354454.19</v>
      </c>
      <c r="J1146" s="59">
        <v>44925</v>
      </c>
      <c r="K1146" s="273" t="s">
        <v>3118</v>
      </c>
    </row>
    <row r="1147" spans="1:11" x14ac:dyDescent="0.3">
      <c r="A1147" s="259">
        <f t="shared" si="48"/>
        <v>1018</v>
      </c>
      <c r="B1147" s="20" t="s">
        <v>1111</v>
      </c>
      <c r="C1147" s="162">
        <v>1983</v>
      </c>
      <c r="D1147" s="273"/>
      <c r="E1147" s="273" t="s">
        <v>3123</v>
      </c>
      <c r="F1147" s="50">
        <v>5</v>
      </c>
      <c r="G1147" s="273">
        <v>3983</v>
      </c>
      <c r="H1147" s="10">
        <v>211</v>
      </c>
      <c r="I1147" s="273">
        <f>SUMIF('2020'!B:B,B1147,'2020'!C:C)+SUMIF('2021'!B:B,B1147,'2021'!C:C)+SUMIF('2022'!B:B,B1147,'2022'!C:C)</f>
        <v>443743.93</v>
      </c>
      <c r="J1147" s="59">
        <v>44925</v>
      </c>
      <c r="K1147" s="273" t="s">
        <v>3118</v>
      </c>
    </row>
    <row r="1148" spans="1:11" x14ac:dyDescent="0.3">
      <c r="A1148" s="259"/>
      <c r="B1148" s="20" t="s">
        <v>208</v>
      </c>
      <c r="C1148" s="273" t="s">
        <v>3558</v>
      </c>
      <c r="D1148" s="273" t="s">
        <v>3558</v>
      </c>
      <c r="E1148" s="273" t="s">
        <v>3558</v>
      </c>
      <c r="F1148" s="273" t="s">
        <v>3558</v>
      </c>
      <c r="G1148" s="273">
        <f>SUM(G1138:G1147)</f>
        <v>18108.7</v>
      </c>
      <c r="H1148" s="10">
        <f>SUM(H1138:H1147)</f>
        <v>857</v>
      </c>
      <c r="I1148" s="273">
        <f>SUM(I1138:I1147)</f>
        <v>2686154.4700000007</v>
      </c>
      <c r="J1148" s="273" t="s">
        <v>3558</v>
      </c>
      <c r="K1148" s="273" t="s">
        <v>3558</v>
      </c>
    </row>
    <row r="1149" spans="1:11" x14ac:dyDescent="0.3">
      <c r="A1149" s="298" t="s">
        <v>1112</v>
      </c>
      <c r="B1149" s="298"/>
      <c r="C1149" s="162"/>
      <c r="D1149" s="273"/>
      <c r="E1149" s="273"/>
      <c r="F1149" s="273"/>
      <c r="G1149" s="273"/>
      <c r="H1149" s="10"/>
      <c r="I1149" s="273"/>
      <c r="J1149" s="273"/>
      <c r="K1149" s="273"/>
    </row>
    <row r="1150" spans="1:11" x14ac:dyDescent="0.3">
      <c r="A1150" s="259">
        <f>A1147+1</f>
        <v>1019</v>
      </c>
      <c r="B1150" s="20" t="s">
        <v>1113</v>
      </c>
      <c r="C1150" s="162">
        <v>1917</v>
      </c>
      <c r="D1150" s="273"/>
      <c r="E1150" s="273" t="s">
        <v>3437</v>
      </c>
      <c r="F1150" s="50">
        <v>2</v>
      </c>
      <c r="G1150" s="273">
        <v>206.7</v>
      </c>
      <c r="H1150" s="10">
        <v>17</v>
      </c>
      <c r="I1150" s="273">
        <f>SUMIF('2020'!B:B,B1150,'2020'!C:C)+SUMIF('2021'!B:B,B1150,'2021'!C:C)+SUMIF('2022'!B:B,B1150,'2022'!C:C)</f>
        <v>145283.96</v>
      </c>
      <c r="J1150" s="59">
        <v>44925</v>
      </c>
      <c r="K1150" s="273" t="s">
        <v>3118</v>
      </c>
    </row>
    <row r="1151" spans="1:11" x14ac:dyDescent="0.3">
      <c r="A1151" s="259">
        <f t="shared" ref="A1151:A1165" si="49">A1150+1</f>
        <v>1020</v>
      </c>
      <c r="B1151" s="20" t="s">
        <v>1114</v>
      </c>
      <c r="C1151" s="162">
        <v>1950</v>
      </c>
      <c r="D1151" s="273"/>
      <c r="E1151" s="273" t="s">
        <v>3437</v>
      </c>
      <c r="F1151" s="50">
        <v>2</v>
      </c>
      <c r="G1151" s="273">
        <v>234</v>
      </c>
      <c r="H1151" s="10">
        <v>11</v>
      </c>
      <c r="I1151" s="273">
        <f>SUMIF('2020'!B:B,B1151,'2020'!C:C)+SUMIF('2021'!B:B,B1151,'2021'!C:C)+SUMIF('2022'!B:B,B1151,'2022'!C:C)</f>
        <v>140416.57999999999</v>
      </c>
      <c r="J1151" s="59">
        <v>44925</v>
      </c>
      <c r="K1151" s="273" t="s">
        <v>3118</v>
      </c>
    </row>
    <row r="1152" spans="1:11" x14ac:dyDescent="0.3">
      <c r="A1152" s="259">
        <f t="shared" si="49"/>
        <v>1021</v>
      </c>
      <c r="B1152" s="20" t="s">
        <v>1115</v>
      </c>
      <c r="C1152" s="162">
        <v>1937</v>
      </c>
      <c r="D1152" s="273"/>
      <c r="E1152" s="273" t="s">
        <v>3437</v>
      </c>
      <c r="F1152" s="50">
        <v>2</v>
      </c>
      <c r="G1152" s="273">
        <v>243</v>
      </c>
      <c r="H1152" s="10">
        <v>12</v>
      </c>
      <c r="I1152" s="273">
        <f>SUMIF('2020'!B:B,B1152,'2020'!C:C)+SUMIF('2021'!B:B,B1152,'2021'!C:C)+SUMIF('2022'!B:B,B1152,'2022'!C:C)</f>
        <v>156387.59</v>
      </c>
      <c r="J1152" s="59">
        <v>44925</v>
      </c>
      <c r="K1152" s="273" t="s">
        <v>3118</v>
      </c>
    </row>
    <row r="1153" spans="1:11" x14ac:dyDescent="0.3">
      <c r="A1153" s="259">
        <f t="shared" si="49"/>
        <v>1022</v>
      </c>
      <c r="B1153" s="20" t="s">
        <v>1116</v>
      </c>
      <c r="C1153" s="162">
        <v>1917</v>
      </c>
      <c r="D1153" s="273"/>
      <c r="E1153" s="273" t="s">
        <v>3437</v>
      </c>
      <c r="F1153" s="50">
        <v>2</v>
      </c>
      <c r="G1153" s="273">
        <v>461</v>
      </c>
      <c r="H1153" s="10">
        <v>29</v>
      </c>
      <c r="I1153" s="273">
        <f>SUMIF('2020'!B:B,B1153,'2020'!C:C)+SUMIF('2021'!B:B,B1153,'2021'!C:C)+SUMIF('2022'!B:B,B1153,'2022'!C:C)</f>
        <v>200814.72</v>
      </c>
      <c r="J1153" s="59">
        <v>44925</v>
      </c>
      <c r="K1153" s="273" t="s">
        <v>3118</v>
      </c>
    </row>
    <row r="1154" spans="1:11" x14ac:dyDescent="0.3">
      <c r="A1154" s="259">
        <f t="shared" si="49"/>
        <v>1023</v>
      </c>
      <c r="B1154" s="20" t="s">
        <v>1117</v>
      </c>
      <c r="C1154" s="162">
        <v>1917</v>
      </c>
      <c r="D1154" s="273"/>
      <c r="E1154" s="273" t="s">
        <v>3437</v>
      </c>
      <c r="F1154" s="50">
        <v>2</v>
      </c>
      <c r="G1154" s="273">
        <v>338.9</v>
      </c>
      <c r="H1154" s="10">
        <v>17</v>
      </c>
      <c r="I1154" s="273">
        <f>SUMIF('2020'!B:B,B1154,'2020'!C:C)+SUMIF('2021'!B:B,B1154,'2021'!C:C)+SUMIF('2022'!B:B,B1154,'2022'!C:C)</f>
        <v>166351.03</v>
      </c>
      <c r="J1154" s="59">
        <v>44925</v>
      </c>
      <c r="K1154" s="273" t="s">
        <v>3118</v>
      </c>
    </row>
    <row r="1155" spans="1:11" x14ac:dyDescent="0.3">
      <c r="A1155" s="259">
        <f t="shared" si="49"/>
        <v>1024</v>
      </c>
      <c r="B1155" s="20" t="s">
        <v>1118</v>
      </c>
      <c r="C1155" s="162">
        <v>1938</v>
      </c>
      <c r="D1155" s="273"/>
      <c r="E1155" s="273" t="s">
        <v>3437</v>
      </c>
      <c r="F1155" s="50">
        <v>2</v>
      </c>
      <c r="G1155" s="273">
        <v>305.8</v>
      </c>
      <c r="H1155" s="10">
        <v>23</v>
      </c>
      <c r="I1155" s="273">
        <f>SUMIF('2020'!B:B,B1155,'2020'!C:C)+SUMIF('2021'!B:B,B1155,'2021'!C:C)+SUMIF('2022'!B:B,B1155,'2022'!C:C)</f>
        <v>150591.64000000001</v>
      </c>
      <c r="J1155" s="59">
        <v>44925</v>
      </c>
      <c r="K1155" s="273" t="s">
        <v>3118</v>
      </c>
    </row>
    <row r="1156" spans="1:11" x14ac:dyDescent="0.3">
      <c r="A1156" s="259">
        <f t="shared" si="49"/>
        <v>1025</v>
      </c>
      <c r="B1156" s="20" t="s">
        <v>1119</v>
      </c>
      <c r="C1156" s="162">
        <v>1917</v>
      </c>
      <c r="D1156" s="273"/>
      <c r="E1156" s="273" t="s">
        <v>3437</v>
      </c>
      <c r="F1156" s="50">
        <v>2</v>
      </c>
      <c r="G1156" s="273">
        <v>521.70000000000005</v>
      </c>
      <c r="H1156" s="10">
        <v>39</v>
      </c>
      <c r="I1156" s="273">
        <f>SUMIF('2020'!B:B,B1156,'2020'!C:C)+SUMIF('2021'!B:B,B1156,'2021'!C:C)+SUMIF('2022'!B:B,B1156,'2022'!C:C)</f>
        <v>216096.56</v>
      </c>
      <c r="J1156" s="59">
        <v>44925</v>
      </c>
      <c r="K1156" s="273" t="s">
        <v>3118</v>
      </c>
    </row>
    <row r="1157" spans="1:11" x14ac:dyDescent="0.3">
      <c r="A1157" s="259">
        <f t="shared" si="49"/>
        <v>1026</v>
      </c>
      <c r="B1157" s="20" t="s">
        <v>1120</v>
      </c>
      <c r="C1157" s="162">
        <v>1917</v>
      </c>
      <c r="D1157" s="273"/>
      <c r="E1157" s="273" t="s">
        <v>3437</v>
      </c>
      <c r="F1157" s="50">
        <v>2</v>
      </c>
      <c r="G1157" s="273">
        <v>175.4</v>
      </c>
      <c r="H1157" s="10">
        <v>10</v>
      </c>
      <c r="I1157" s="273">
        <f>SUMIF('2020'!B:B,B1157,'2020'!C:C)+SUMIF('2021'!B:B,B1157,'2021'!C:C)+SUMIF('2022'!B:B,B1157,'2022'!C:C)</f>
        <v>134162.89000000001</v>
      </c>
      <c r="J1157" s="59">
        <v>44925</v>
      </c>
      <c r="K1157" s="273" t="s">
        <v>3118</v>
      </c>
    </row>
    <row r="1158" spans="1:11" x14ac:dyDescent="0.3">
      <c r="A1158" s="259">
        <f t="shared" si="49"/>
        <v>1027</v>
      </c>
      <c r="B1158" s="20" t="s">
        <v>1121</v>
      </c>
      <c r="C1158" s="162">
        <v>1917</v>
      </c>
      <c r="D1158" s="273"/>
      <c r="E1158" s="273" t="s">
        <v>3437</v>
      </c>
      <c r="F1158" s="50">
        <v>2</v>
      </c>
      <c r="G1158" s="273">
        <v>286.89999999999998</v>
      </c>
      <c r="H1158" s="10">
        <v>22</v>
      </c>
      <c r="I1158" s="273">
        <f>SUMIF('2020'!B:B,B1158,'2020'!C:C)+SUMIF('2021'!B:B,B1158,'2021'!C:C)+SUMIF('2022'!B:B,B1158,'2022'!C:C)</f>
        <v>154252.92000000001</v>
      </c>
      <c r="J1158" s="59">
        <v>44925</v>
      </c>
      <c r="K1158" s="273" t="s">
        <v>3118</v>
      </c>
    </row>
    <row r="1159" spans="1:11" x14ac:dyDescent="0.3">
      <c r="A1159" s="259">
        <f t="shared" si="49"/>
        <v>1028</v>
      </c>
      <c r="B1159" s="20" t="s">
        <v>1122</v>
      </c>
      <c r="C1159" s="162">
        <v>1917</v>
      </c>
      <c r="D1159" s="273"/>
      <c r="E1159" s="273" t="s">
        <v>3437</v>
      </c>
      <c r="F1159" s="50">
        <v>2</v>
      </c>
      <c r="G1159" s="273">
        <v>202.5</v>
      </c>
      <c r="H1159" s="10">
        <v>12</v>
      </c>
      <c r="I1159" s="273">
        <f>SUMIF('2020'!B:B,B1159,'2020'!C:C)+SUMIF('2021'!B:B,B1159,'2021'!C:C)+SUMIF('2022'!B:B,B1159,'2022'!C:C)</f>
        <v>132623.5</v>
      </c>
      <c r="J1159" s="59">
        <v>44925</v>
      </c>
      <c r="K1159" s="273" t="s">
        <v>3118</v>
      </c>
    </row>
    <row r="1160" spans="1:11" x14ac:dyDescent="0.3">
      <c r="A1160" s="259">
        <f t="shared" si="49"/>
        <v>1029</v>
      </c>
      <c r="B1160" s="20" t="s">
        <v>1123</v>
      </c>
      <c r="C1160" s="162">
        <v>1917</v>
      </c>
      <c r="D1160" s="273"/>
      <c r="E1160" s="273" t="s">
        <v>3437</v>
      </c>
      <c r="F1160" s="50">
        <v>2</v>
      </c>
      <c r="G1160" s="273">
        <v>322.89999999999998</v>
      </c>
      <c r="H1160" s="10">
        <v>10</v>
      </c>
      <c r="I1160" s="273">
        <f>SUMIF('2020'!B:B,B1160,'2020'!C:C)+SUMIF('2021'!B:B,B1160,'2021'!C:C)+SUMIF('2022'!B:B,B1160,'2022'!C:C)</f>
        <v>159665.23000000001</v>
      </c>
      <c r="J1160" s="59">
        <v>44925</v>
      </c>
      <c r="K1160" s="273" t="s">
        <v>3118</v>
      </c>
    </row>
    <row r="1161" spans="1:11" x14ac:dyDescent="0.3">
      <c r="A1161" s="259">
        <f t="shared" si="49"/>
        <v>1030</v>
      </c>
      <c r="B1161" s="20" t="s">
        <v>1124</v>
      </c>
      <c r="C1161" s="162">
        <v>1972</v>
      </c>
      <c r="D1161" s="273"/>
      <c r="E1161" s="273" t="s">
        <v>3437</v>
      </c>
      <c r="F1161" s="50">
        <v>2</v>
      </c>
      <c r="G1161" s="273">
        <v>351.8</v>
      </c>
      <c r="H1161" s="10">
        <v>18</v>
      </c>
      <c r="I1161" s="273">
        <f>SUMIF('2020'!B:B,B1161,'2020'!C:C)+SUMIF('2021'!B:B,B1161,'2021'!C:C)+SUMIF('2022'!B:B,B1161,'2022'!C:C)</f>
        <v>3104283.5999999996</v>
      </c>
      <c r="J1161" s="59">
        <v>44925</v>
      </c>
      <c r="K1161" s="273" t="s">
        <v>3118</v>
      </c>
    </row>
    <row r="1162" spans="1:11" x14ac:dyDescent="0.3">
      <c r="A1162" s="259">
        <f t="shared" si="49"/>
        <v>1031</v>
      </c>
      <c r="B1162" s="20" t="s">
        <v>1125</v>
      </c>
      <c r="C1162" s="162">
        <v>1917</v>
      </c>
      <c r="D1162" s="273"/>
      <c r="E1162" s="273" t="s">
        <v>3437</v>
      </c>
      <c r="F1162" s="50">
        <v>2</v>
      </c>
      <c r="G1162" s="273">
        <v>270.5</v>
      </c>
      <c r="H1162" s="10">
        <v>9</v>
      </c>
      <c r="I1162" s="273">
        <f>SUMIF('2020'!B:B,B1162,'2020'!C:C)+SUMIF('2021'!B:B,B1162,'2021'!C:C)+SUMIF('2022'!B:B,B1162,'2022'!C:C)</f>
        <v>144542.6</v>
      </c>
      <c r="J1162" s="59">
        <v>44925</v>
      </c>
      <c r="K1162" s="273" t="s">
        <v>3118</v>
      </c>
    </row>
    <row r="1163" spans="1:11" x14ac:dyDescent="0.3">
      <c r="A1163" s="259">
        <f t="shared" si="49"/>
        <v>1032</v>
      </c>
      <c r="B1163" s="20" t="s">
        <v>1126</v>
      </c>
      <c r="C1163" s="162">
        <v>1917</v>
      </c>
      <c r="D1163" s="273"/>
      <c r="E1163" s="273" t="s">
        <v>3437</v>
      </c>
      <c r="F1163" s="50">
        <v>2</v>
      </c>
      <c r="G1163" s="273">
        <v>167.2</v>
      </c>
      <c r="H1163" s="10">
        <v>8</v>
      </c>
      <c r="I1163" s="273">
        <f>SUMIF('2020'!B:B,B1163,'2020'!C:C)+SUMIF('2021'!B:B,B1163,'2021'!C:C)+SUMIF('2022'!B:B,B1163,'2022'!C:C)</f>
        <v>131084.14000000001</v>
      </c>
      <c r="J1163" s="59">
        <v>44925</v>
      </c>
      <c r="K1163" s="273" t="s">
        <v>3118</v>
      </c>
    </row>
    <row r="1164" spans="1:11" x14ac:dyDescent="0.3">
      <c r="A1164" s="259">
        <f t="shared" si="49"/>
        <v>1033</v>
      </c>
      <c r="B1164" s="20" t="s">
        <v>1127</v>
      </c>
      <c r="C1164" s="162">
        <v>1940</v>
      </c>
      <c r="D1164" s="273"/>
      <c r="E1164" s="273" t="s">
        <v>3437</v>
      </c>
      <c r="F1164" s="50">
        <v>2</v>
      </c>
      <c r="G1164" s="273">
        <v>267.39999999999998</v>
      </c>
      <c r="H1164" s="10">
        <v>20</v>
      </c>
      <c r="I1164" s="273">
        <f>SUMIF('2020'!B:B,B1164,'2020'!C:C)+SUMIF('2021'!B:B,B1164,'2021'!C:C)+SUMIF('2022'!B:B,B1164,'2022'!C:C)</f>
        <v>149875.32</v>
      </c>
      <c r="J1164" s="59">
        <v>44925</v>
      </c>
      <c r="K1164" s="273" t="s">
        <v>3118</v>
      </c>
    </row>
    <row r="1165" spans="1:11" x14ac:dyDescent="0.3">
      <c r="A1165" s="259">
        <f t="shared" si="49"/>
        <v>1034</v>
      </c>
      <c r="B1165" s="20" t="s">
        <v>1128</v>
      </c>
      <c r="C1165" s="162">
        <v>1917</v>
      </c>
      <c r="D1165" s="273"/>
      <c r="E1165" s="273" t="s">
        <v>3437</v>
      </c>
      <c r="F1165" s="50">
        <v>2</v>
      </c>
      <c r="G1165" s="273">
        <v>133.19999999999999</v>
      </c>
      <c r="H1165" s="10">
        <v>14</v>
      </c>
      <c r="I1165" s="273">
        <f>SUMIF('2020'!B:B,B1165,'2020'!C:C)+SUMIF('2021'!B:B,B1165,'2021'!C:C)+SUMIF('2022'!B:B,B1165,'2022'!C:C)</f>
        <v>115016.95</v>
      </c>
      <c r="J1165" s="59">
        <v>44925</v>
      </c>
      <c r="K1165" s="273" t="s">
        <v>3118</v>
      </c>
    </row>
    <row r="1166" spans="1:11" x14ac:dyDescent="0.3">
      <c r="A1166" s="259"/>
      <c r="B1166" s="20" t="s">
        <v>208</v>
      </c>
      <c r="C1166" s="273" t="s">
        <v>3558</v>
      </c>
      <c r="D1166" s="273" t="s">
        <v>3558</v>
      </c>
      <c r="E1166" s="273" t="s">
        <v>3558</v>
      </c>
      <c r="F1166" s="273" t="s">
        <v>3558</v>
      </c>
      <c r="G1166" s="273">
        <f>SUM(G1150:G1165)</f>
        <v>4488.8999999999996</v>
      </c>
      <c r="H1166" s="10">
        <f>SUM(H1150:H1165)</f>
        <v>271</v>
      </c>
      <c r="I1166" s="273">
        <f>SUM(I1150:I1165)</f>
        <v>5401449.2299999995</v>
      </c>
      <c r="J1166" s="273" t="s">
        <v>3558</v>
      </c>
      <c r="K1166" s="273" t="s">
        <v>3558</v>
      </c>
    </row>
    <row r="1167" spans="1:11" x14ac:dyDescent="0.3">
      <c r="A1167" s="298" t="s">
        <v>1129</v>
      </c>
      <c r="B1167" s="298"/>
      <c r="C1167" s="162"/>
      <c r="D1167" s="273"/>
      <c r="E1167" s="273"/>
      <c r="F1167" s="273"/>
      <c r="G1167" s="273"/>
      <c r="H1167" s="10"/>
      <c r="I1167" s="273"/>
      <c r="J1167" s="273"/>
      <c r="K1167" s="273"/>
    </row>
    <row r="1168" spans="1:11" x14ac:dyDescent="0.3">
      <c r="A1168" s="259">
        <f>A1165+1</f>
        <v>1035</v>
      </c>
      <c r="B1168" s="20" t="s">
        <v>1130</v>
      </c>
      <c r="C1168" s="162">
        <v>1972</v>
      </c>
      <c r="D1168" s="273"/>
      <c r="E1168" s="162" t="s">
        <v>3190</v>
      </c>
      <c r="F1168" s="48">
        <v>5</v>
      </c>
      <c r="G1168" s="46">
        <v>2682.9</v>
      </c>
      <c r="H1168" s="51">
        <v>141</v>
      </c>
      <c r="I1168" s="273">
        <f>SUMIF('2020'!B:B,B1168,'2020'!C:C)+SUMIF('2021'!B:B,B1168,'2021'!C:C)+SUMIF('2022'!B:B,B1168,'2022'!C:C)</f>
        <v>305877.14</v>
      </c>
      <c r="J1168" s="59">
        <v>44925</v>
      </c>
      <c r="K1168" s="162" t="s">
        <v>3118</v>
      </c>
    </row>
    <row r="1169" spans="1:11" x14ac:dyDescent="0.3">
      <c r="A1169" s="259">
        <f t="shared" ref="A1169:A1232" si="50">A1168+1</f>
        <v>1036</v>
      </c>
      <c r="B1169" s="20" t="s">
        <v>1131</v>
      </c>
      <c r="C1169" s="162">
        <v>1965</v>
      </c>
      <c r="D1169" s="273"/>
      <c r="E1169" s="162" t="s">
        <v>3438</v>
      </c>
      <c r="F1169" s="48">
        <v>5</v>
      </c>
      <c r="G1169" s="46">
        <v>3519</v>
      </c>
      <c r="H1169" s="51">
        <v>159</v>
      </c>
      <c r="I1169" s="273">
        <f>SUMIF('2020'!B:B,B1169,'2020'!C:C)+SUMIF('2021'!B:B,B1169,'2021'!C:C)+SUMIF('2022'!B:B,B1169,'2022'!C:C)</f>
        <v>188870.58</v>
      </c>
      <c r="J1169" s="59">
        <v>44925</v>
      </c>
      <c r="K1169" s="162" t="s">
        <v>3118</v>
      </c>
    </row>
    <row r="1170" spans="1:11" x14ac:dyDescent="0.3">
      <c r="A1170" s="259">
        <f t="shared" si="50"/>
        <v>1037</v>
      </c>
      <c r="B1170" s="20" t="s">
        <v>1133</v>
      </c>
      <c r="C1170" s="162">
        <v>1965</v>
      </c>
      <c r="D1170" s="273"/>
      <c r="E1170" s="162" t="s">
        <v>3438</v>
      </c>
      <c r="F1170" s="48">
        <v>4</v>
      </c>
      <c r="G1170" s="46">
        <v>2756.2</v>
      </c>
      <c r="H1170" s="51">
        <v>131</v>
      </c>
      <c r="I1170" s="273">
        <f>SUMIF('2020'!B:B,B1170,'2020'!C:C)+SUMIF('2021'!B:B,B1170,'2021'!C:C)+SUMIF('2022'!B:B,B1170,'2022'!C:C)</f>
        <v>250776.89</v>
      </c>
      <c r="J1170" s="59">
        <v>44925</v>
      </c>
      <c r="K1170" s="162" t="s">
        <v>3118</v>
      </c>
    </row>
    <row r="1171" spans="1:11" x14ac:dyDescent="0.3">
      <c r="A1171" s="259">
        <f t="shared" si="50"/>
        <v>1038</v>
      </c>
      <c r="B1171" s="20" t="s">
        <v>1134</v>
      </c>
      <c r="C1171" s="162">
        <v>1966</v>
      </c>
      <c r="D1171" s="273"/>
      <c r="E1171" s="162" t="s">
        <v>3438</v>
      </c>
      <c r="F1171" s="48">
        <v>4</v>
      </c>
      <c r="G1171" s="46">
        <v>2726.6</v>
      </c>
      <c r="H1171" s="51">
        <v>114</v>
      </c>
      <c r="I1171" s="273">
        <f>SUMIF('2020'!B:B,B1171,'2020'!C:C)+SUMIF('2021'!B:B,B1171,'2021'!C:C)+SUMIF('2022'!B:B,B1171,'2022'!C:C)</f>
        <v>175928.71</v>
      </c>
      <c r="J1171" s="59">
        <v>44925</v>
      </c>
      <c r="K1171" s="162" t="s">
        <v>3118</v>
      </c>
    </row>
    <row r="1172" spans="1:11" x14ac:dyDescent="0.3">
      <c r="A1172" s="259">
        <f t="shared" si="50"/>
        <v>1039</v>
      </c>
      <c r="B1172" s="20" t="s">
        <v>1135</v>
      </c>
      <c r="C1172" s="162">
        <v>1964</v>
      </c>
      <c r="D1172" s="273"/>
      <c r="E1172" s="162" t="s">
        <v>3438</v>
      </c>
      <c r="F1172" s="48">
        <v>4</v>
      </c>
      <c r="G1172" s="46">
        <v>2759.6</v>
      </c>
      <c r="H1172" s="51">
        <v>135</v>
      </c>
      <c r="I1172" s="273">
        <f>SUMIF('2020'!B:B,B1172,'2020'!C:C)+SUMIF('2021'!B:B,B1172,'2021'!C:C)+SUMIF('2022'!B:B,B1172,'2022'!C:C)</f>
        <v>172349.7</v>
      </c>
      <c r="J1172" s="59">
        <v>44925</v>
      </c>
      <c r="K1172" s="162" t="s">
        <v>3118</v>
      </c>
    </row>
    <row r="1173" spans="1:11" x14ac:dyDescent="0.3">
      <c r="A1173" s="259">
        <f t="shared" si="50"/>
        <v>1040</v>
      </c>
      <c r="B1173" s="20" t="s">
        <v>1136</v>
      </c>
      <c r="C1173" s="162">
        <v>1976</v>
      </c>
      <c r="D1173" s="273"/>
      <c r="E1173" s="162" t="s">
        <v>3190</v>
      </c>
      <c r="F1173" s="48">
        <v>5</v>
      </c>
      <c r="G1173" s="46">
        <v>1610</v>
      </c>
      <c r="H1173" s="51">
        <v>62</v>
      </c>
      <c r="I1173" s="273">
        <f>SUMIF('2020'!B:B,B1173,'2020'!C:C)+SUMIF('2021'!B:B,B1173,'2021'!C:C)+SUMIF('2022'!B:B,B1173,'2022'!C:C)</f>
        <v>229603.07</v>
      </c>
      <c r="J1173" s="59">
        <v>44925</v>
      </c>
      <c r="K1173" s="162" t="s">
        <v>3118</v>
      </c>
    </row>
    <row r="1174" spans="1:11" x14ac:dyDescent="0.3">
      <c r="A1174" s="259">
        <f t="shared" si="50"/>
        <v>1041</v>
      </c>
      <c r="B1174" s="20" t="s">
        <v>1137</v>
      </c>
      <c r="C1174" s="162">
        <v>1917</v>
      </c>
      <c r="D1174" s="273"/>
      <c r="E1174" s="162" t="s">
        <v>3438</v>
      </c>
      <c r="F1174" s="48">
        <v>2</v>
      </c>
      <c r="G1174" s="46">
        <v>3174.76</v>
      </c>
      <c r="H1174" s="48">
        <v>32</v>
      </c>
      <c r="I1174" s="273">
        <f>SUMIF('2020'!B:B,B1174,'2020'!C:C)+SUMIF('2021'!B:B,B1174,'2021'!C:C)+SUMIF('2022'!B:B,B1174,'2022'!C:C)</f>
        <v>17565429.599999998</v>
      </c>
      <c r="J1174" s="59">
        <v>44925</v>
      </c>
      <c r="K1174" s="228" t="s">
        <v>3118</v>
      </c>
    </row>
    <row r="1175" spans="1:11" x14ac:dyDescent="0.3">
      <c r="A1175" s="259">
        <f t="shared" si="50"/>
        <v>1042</v>
      </c>
      <c r="B1175" s="20" t="s">
        <v>1138</v>
      </c>
      <c r="C1175" s="162">
        <v>1917</v>
      </c>
      <c r="D1175" s="273"/>
      <c r="E1175" s="162" t="s">
        <v>3438</v>
      </c>
      <c r="F1175" s="48">
        <v>2</v>
      </c>
      <c r="G1175" s="46">
        <v>1150.54</v>
      </c>
      <c r="H1175" s="48">
        <v>13</v>
      </c>
      <c r="I1175" s="273">
        <f>SUMIF('2020'!B:B,B1175,'2020'!C:C)+SUMIF('2021'!B:B,B1175,'2021'!C:C)+SUMIF('2022'!B:B,B1175,'2022'!C:C)</f>
        <v>9275113.2000000011</v>
      </c>
      <c r="J1175" s="59">
        <v>44925</v>
      </c>
      <c r="K1175" s="162" t="s">
        <v>3118</v>
      </c>
    </row>
    <row r="1176" spans="1:11" x14ac:dyDescent="0.3">
      <c r="A1176" s="259">
        <f t="shared" si="50"/>
        <v>1043</v>
      </c>
      <c r="B1176" s="20" t="s">
        <v>1139</v>
      </c>
      <c r="C1176" s="162">
        <v>1917</v>
      </c>
      <c r="D1176" s="273"/>
      <c r="E1176" s="162" t="s">
        <v>3438</v>
      </c>
      <c r="F1176" s="48">
        <v>3</v>
      </c>
      <c r="G1176" s="46">
        <v>2205.36</v>
      </c>
      <c r="H1176" s="48">
        <v>21</v>
      </c>
      <c r="I1176" s="273">
        <f>SUMIF('2020'!B:B,B1176,'2020'!C:C)+SUMIF('2021'!B:B,B1176,'2021'!C:C)+SUMIF('2022'!B:B,B1176,'2022'!C:C)</f>
        <v>3565346.8000000003</v>
      </c>
      <c r="J1176" s="59">
        <v>44925</v>
      </c>
      <c r="K1176" s="162" t="s">
        <v>3118</v>
      </c>
    </row>
    <row r="1177" spans="1:11" x14ac:dyDescent="0.3">
      <c r="A1177" s="259">
        <f t="shared" si="50"/>
        <v>1044</v>
      </c>
      <c r="B1177" s="20" t="s">
        <v>1140</v>
      </c>
      <c r="C1177" s="162">
        <v>1962</v>
      </c>
      <c r="D1177" s="273"/>
      <c r="E1177" s="162" t="s">
        <v>3438</v>
      </c>
      <c r="F1177" s="48">
        <v>4</v>
      </c>
      <c r="G1177" s="46">
        <v>3795.46</v>
      </c>
      <c r="H1177" s="48">
        <v>83</v>
      </c>
      <c r="I1177" s="273">
        <f>SUMIF('2020'!B:B,B1177,'2020'!C:C)+SUMIF('2021'!B:B,B1177,'2021'!C:C)+SUMIF('2022'!B:B,B1177,'2022'!C:C)</f>
        <v>279186.73</v>
      </c>
      <c r="J1177" s="59">
        <v>44925</v>
      </c>
      <c r="K1177" s="162" t="s">
        <v>3118</v>
      </c>
    </row>
    <row r="1178" spans="1:11" x14ac:dyDescent="0.3">
      <c r="A1178" s="259">
        <f t="shared" si="50"/>
        <v>1045</v>
      </c>
      <c r="B1178" s="20" t="s">
        <v>1141</v>
      </c>
      <c r="C1178" s="162">
        <v>1959</v>
      </c>
      <c r="D1178" s="273"/>
      <c r="E1178" s="162" t="s">
        <v>3438</v>
      </c>
      <c r="F1178" s="48">
        <v>3</v>
      </c>
      <c r="G1178" s="46">
        <v>3289.3</v>
      </c>
      <c r="H1178" s="48">
        <v>38</v>
      </c>
      <c r="I1178" s="273">
        <f>SUMIF('2020'!B:B,B1178,'2020'!C:C)+SUMIF('2021'!B:B,B1178,'2021'!C:C)+SUMIF('2022'!B:B,B1178,'2022'!C:C)</f>
        <v>110755.03</v>
      </c>
      <c r="J1178" s="59">
        <v>44925</v>
      </c>
      <c r="K1178" s="162" t="s">
        <v>3118</v>
      </c>
    </row>
    <row r="1179" spans="1:11" x14ac:dyDescent="0.3">
      <c r="A1179" s="259">
        <f t="shared" si="50"/>
        <v>1046</v>
      </c>
      <c r="B1179" s="20" t="s">
        <v>1142</v>
      </c>
      <c r="C1179" s="162">
        <v>1958</v>
      </c>
      <c r="D1179" s="273"/>
      <c r="E1179" s="162" t="s">
        <v>3438</v>
      </c>
      <c r="F1179" s="48">
        <v>3</v>
      </c>
      <c r="G1179" s="46">
        <v>2256.4</v>
      </c>
      <c r="H1179" s="48">
        <v>30</v>
      </c>
      <c r="I1179" s="273">
        <f>SUMIF('2020'!B:B,B1179,'2020'!C:C)+SUMIF('2021'!B:B,B1179,'2021'!C:C)+SUMIF('2022'!B:B,B1179,'2022'!C:C)</f>
        <v>0</v>
      </c>
      <c r="J1179" s="59">
        <v>44925</v>
      </c>
      <c r="K1179" s="162" t="s">
        <v>3118</v>
      </c>
    </row>
    <row r="1180" spans="1:11" x14ac:dyDescent="0.3">
      <c r="A1180" s="259">
        <f t="shared" si="50"/>
        <v>1047</v>
      </c>
      <c r="B1180" s="20" t="s">
        <v>1143</v>
      </c>
      <c r="C1180" s="162">
        <v>1917</v>
      </c>
      <c r="D1180" s="273"/>
      <c r="E1180" s="162" t="s">
        <v>3438</v>
      </c>
      <c r="F1180" s="48">
        <v>3</v>
      </c>
      <c r="G1180" s="46">
        <v>1205</v>
      </c>
      <c r="H1180" s="48">
        <v>31</v>
      </c>
      <c r="I1180" s="273">
        <f>SUMIF('2020'!B:B,B1180,'2020'!C:C)+SUMIF('2021'!B:B,B1180,'2021'!C:C)+SUMIF('2022'!B:B,B1180,'2022'!C:C)</f>
        <v>1082130.45</v>
      </c>
      <c r="J1180" s="59">
        <v>44925</v>
      </c>
      <c r="K1180" s="162" t="s">
        <v>3118</v>
      </c>
    </row>
    <row r="1181" spans="1:11" x14ac:dyDescent="0.3">
      <c r="A1181" s="259">
        <f t="shared" si="50"/>
        <v>1048</v>
      </c>
      <c r="B1181" s="20" t="s">
        <v>1144</v>
      </c>
      <c r="C1181" s="162">
        <v>1957</v>
      </c>
      <c r="D1181" s="273"/>
      <c r="E1181" s="162" t="s">
        <v>3438</v>
      </c>
      <c r="F1181" s="48">
        <v>3</v>
      </c>
      <c r="G1181" s="46">
        <v>2504.1799999999998</v>
      </c>
      <c r="H1181" s="48">
        <v>26</v>
      </c>
      <c r="I1181" s="273">
        <f>SUMIF('2020'!B:B,B1181,'2020'!C:C)+SUMIF('2021'!B:B,B1181,'2021'!C:C)+SUMIF('2022'!B:B,B1181,'2022'!C:C)</f>
        <v>145477.82</v>
      </c>
      <c r="J1181" s="59">
        <v>44925</v>
      </c>
      <c r="K1181" s="162" t="s">
        <v>3118</v>
      </c>
    </row>
    <row r="1182" spans="1:11" x14ac:dyDescent="0.3">
      <c r="A1182" s="259">
        <f t="shared" si="50"/>
        <v>1049</v>
      </c>
      <c r="B1182" s="20" t="s">
        <v>1145</v>
      </c>
      <c r="C1182" s="162">
        <v>1963</v>
      </c>
      <c r="D1182" s="273"/>
      <c r="E1182" s="162" t="s">
        <v>3438</v>
      </c>
      <c r="F1182" s="48">
        <v>4</v>
      </c>
      <c r="G1182" s="46">
        <v>2665.45</v>
      </c>
      <c r="H1182" s="48">
        <v>48</v>
      </c>
      <c r="I1182" s="273">
        <f>SUMIF('2020'!B:B,B1182,'2020'!C:C)+SUMIF('2021'!B:B,B1182,'2021'!C:C)+SUMIF('2022'!B:B,B1182,'2022'!C:C)</f>
        <v>113130.74</v>
      </c>
      <c r="J1182" s="59">
        <v>44925</v>
      </c>
      <c r="K1182" s="162" t="s">
        <v>3118</v>
      </c>
    </row>
    <row r="1183" spans="1:11" x14ac:dyDescent="0.3">
      <c r="A1183" s="259">
        <f t="shared" si="50"/>
        <v>1050</v>
      </c>
      <c r="B1183" s="20" t="s">
        <v>1146</v>
      </c>
      <c r="C1183" s="162">
        <v>1957</v>
      </c>
      <c r="D1183" s="273"/>
      <c r="E1183" s="162" t="s">
        <v>3438</v>
      </c>
      <c r="F1183" s="48">
        <v>4</v>
      </c>
      <c r="G1183" s="46">
        <v>2624.4</v>
      </c>
      <c r="H1183" s="48">
        <v>68</v>
      </c>
      <c r="I1183" s="273">
        <f>SUMIF('2020'!B:B,B1183,'2020'!C:C)+SUMIF('2021'!B:B,B1183,'2021'!C:C)+SUMIF('2022'!B:B,B1183,'2022'!C:C)</f>
        <v>396921.74</v>
      </c>
      <c r="J1183" s="59">
        <v>44925</v>
      </c>
      <c r="K1183" s="162" t="s">
        <v>3118</v>
      </c>
    </row>
    <row r="1184" spans="1:11" x14ac:dyDescent="0.3">
      <c r="A1184" s="259">
        <f t="shared" si="50"/>
        <v>1051</v>
      </c>
      <c r="B1184" s="20" t="s">
        <v>1147</v>
      </c>
      <c r="C1184" s="162">
        <v>1975</v>
      </c>
      <c r="D1184" s="273"/>
      <c r="E1184" s="162" t="s">
        <v>3190</v>
      </c>
      <c r="F1184" s="48">
        <v>5</v>
      </c>
      <c r="G1184" s="46">
        <v>1886.59</v>
      </c>
      <c r="H1184" s="48">
        <v>62</v>
      </c>
      <c r="I1184" s="273">
        <f>SUMIF('2020'!B:B,B1184,'2020'!C:C)+SUMIF('2021'!B:B,B1184,'2021'!C:C)+SUMIF('2022'!B:B,B1184,'2022'!C:C)</f>
        <v>237948.24</v>
      </c>
      <c r="J1184" s="59">
        <v>44925</v>
      </c>
      <c r="K1184" s="162" t="s">
        <v>3118</v>
      </c>
    </row>
    <row r="1185" spans="1:11" x14ac:dyDescent="0.3">
      <c r="A1185" s="259">
        <f t="shared" si="50"/>
        <v>1052</v>
      </c>
      <c r="B1185" s="20" t="s">
        <v>1148</v>
      </c>
      <c r="C1185" s="162">
        <v>1975</v>
      </c>
      <c r="D1185" s="273"/>
      <c r="E1185" s="162" t="s">
        <v>3190</v>
      </c>
      <c r="F1185" s="48">
        <v>5</v>
      </c>
      <c r="G1185" s="46">
        <v>1369.25</v>
      </c>
      <c r="H1185" s="48">
        <v>62</v>
      </c>
      <c r="I1185" s="273">
        <f>SUMIF('2020'!B:B,B1185,'2020'!C:C)+SUMIF('2021'!B:B,B1185,'2021'!C:C)+SUMIF('2022'!B:B,B1185,'2022'!C:C)</f>
        <v>237948.24</v>
      </c>
      <c r="J1185" s="59">
        <v>44925</v>
      </c>
      <c r="K1185" s="162" t="s">
        <v>3118</v>
      </c>
    </row>
    <row r="1186" spans="1:11" x14ac:dyDescent="0.3">
      <c r="A1186" s="259">
        <f t="shared" si="50"/>
        <v>1053</v>
      </c>
      <c r="B1186" s="20" t="s">
        <v>1149</v>
      </c>
      <c r="C1186" s="162">
        <v>1986</v>
      </c>
      <c r="D1186" s="273"/>
      <c r="E1186" s="162" t="s">
        <v>3190</v>
      </c>
      <c r="F1186" s="48">
        <v>9</v>
      </c>
      <c r="G1186" s="46">
        <v>5436</v>
      </c>
      <c r="H1186" s="48">
        <v>180</v>
      </c>
      <c r="I1186" s="273">
        <f>SUMIF('2020'!B:B,B1186,'2020'!C:C)+SUMIF('2021'!B:B,B1186,'2021'!C:C)+SUMIF('2022'!B:B,B1186,'2022'!C:C)</f>
        <v>4690050</v>
      </c>
      <c r="J1186" s="59">
        <v>44925</v>
      </c>
      <c r="K1186" s="162" t="s">
        <v>3118</v>
      </c>
    </row>
    <row r="1187" spans="1:11" x14ac:dyDescent="0.3">
      <c r="A1187" s="259">
        <f t="shared" si="50"/>
        <v>1054</v>
      </c>
      <c r="B1187" s="20" t="s">
        <v>1150</v>
      </c>
      <c r="C1187" s="162">
        <v>1966</v>
      </c>
      <c r="D1187" s="273"/>
      <c r="E1187" s="162" t="s">
        <v>3438</v>
      </c>
      <c r="F1187" s="48">
        <v>5</v>
      </c>
      <c r="G1187" s="46">
        <v>4601.2</v>
      </c>
      <c r="H1187" s="48">
        <v>145</v>
      </c>
      <c r="I1187" s="273">
        <f>SUMIF('2020'!B:B,B1187,'2020'!C:C)+SUMIF('2021'!B:B,B1187,'2021'!C:C)+SUMIF('2022'!B:B,B1187,'2022'!C:C)</f>
        <v>194792.59</v>
      </c>
      <c r="J1187" s="59">
        <v>44925</v>
      </c>
      <c r="K1187" s="162" t="s">
        <v>3118</v>
      </c>
    </row>
    <row r="1188" spans="1:11" x14ac:dyDescent="0.3">
      <c r="A1188" s="259">
        <f t="shared" si="50"/>
        <v>1055</v>
      </c>
      <c r="B1188" s="20" t="s">
        <v>1151</v>
      </c>
      <c r="C1188" s="162">
        <v>1989</v>
      </c>
      <c r="D1188" s="273"/>
      <c r="E1188" s="162" t="s">
        <v>3190</v>
      </c>
      <c r="F1188" s="48">
        <v>9</v>
      </c>
      <c r="G1188" s="46">
        <v>6121.3</v>
      </c>
      <c r="H1188" s="51">
        <v>189</v>
      </c>
      <c r="I1188" s="273">
        <f>SUMIF('2020'!B:B,B1188,'2020'!C:C)+SUMIF('2021'!B:B,B1188,'2021'!C:C)+SUMIF('2022'!B:B,B1188,'2022'!C:C)</f>
        <v>12819744</v>
      </c>
      <c r="J1188" s="59">
        <v>44925</v>
      </c>
      <c r="K1188" s="162" t="s">
        <v>3118</v>
      </c>
    </row>
    <row r="1189" spans="1:11" x14ac:dyDescent="0.3">
      <c r="A1189" s="259">
        <f t="shared" si="50"/>
        <v>1056</v>
      </c>
      <c r="B1189" s="20" t="s">
        <v>1152</v>
      </c>
      <c r="C1189" s="162">
        <v>1962</v>
      </c>
      <c r="D1189" s="273"/>
      <c r="E1189" s="162" t="s">
        <v>3438</v>
      </c>
      <c r="F1189" s="48">
        <v>4</v>
      </c>
      <c r="G1189" s="46">
        <v>2011.55</v>
      </c>
      <c r="H1189" s="48">
        <v>121</v>
      </c>
      <c r="I1189" s="273">
        <f>SUMIF('2020'!B:B,B1189,'2020'!C:C)+SUMIF('2021'!B:B,B1189,'2021'!C:C)+SUMIF('2022'!B:B,B1189,'2022'!C:C)</f>
        <v>307855.31</v>
      </c>
      <c r="J1189" s="59">
        <v>44925</v>
      </c>
      <c r="K1189" s="162" t="s">
        <v>3118</v>
      </c>
    </row>
    <row r="1190" spans="1:11" x14ac:dyDescent="0.3">
      <c r="A1190" s="259">
        <f t="shared" si="50"/>
        <v>1057</v>
      </c>
      <c r="B1190" s="20" t="s">
        <v>1153</v>
      </c>
      <c r="C1190" s="162">
        <v>1993</v>
      </c>
      <c r="D1190" s="273"/>
      <c r="E1190" s="162" t="s">
        <v>3438</v>
      </c>
      <c r="F1190" s="48">
        <v>6</v>
      </c>
      <c r="G1190" s="46">
        <v>8442.6</v>
      </c>
      <c r="H1190" s="48">
        <v>226</v>
      </c>
      <c r="I1190" s="273">
        <f>SUMIF('2020'!B:B,B1190,'2020'!C:C)+SUMIF('2021'!B:B,B1190,'2021'!C:C)+SUMIF('2022'!B:B,B1190,'2022'!C:C)</f>
        <v>5714776.7999999998</v>
      </c>
      <c r="J1190" s="59">
        <v>44925</v>
      </c>
      <c r="K1190" s="162" t="s">
        <v>3118</v>
      </c>
    </row>
    <row r="1191" spans="1:11" x14ac:dyDescent="0.3">
      <c r="A1191" s="259">
        <f t="shared" si="50"/>
        <v>1058</v>
      </c>
      <c r="B1191" s="20" t="s">
        <v>1154</v>
      </c>
      <c r="C1191" s="162">
        <v>1988</v>
      </c>
      <c r="D1191" s="273"/>
      <c r="E1191" s="162" t="s">
        <v>3438</v>
      </c>
      <c r="F1191" s="48">
        <v>6</v>
      </c>
      <c r="G1191" s="46">
        <v>8316.1</v>
      </c>
      <c r="H1191" s="48">
        <v>200</v>
      </c>
      <c r="I1191" s="273">
        <f>SUMIF('2020'!B:B,B1191,'2020'!C:C)+SUMIF('2021'!B:B,B1191,'2021'!C:C)+SUMIF('2022'!B:B,B1191,'2022'!C:C)</f>
        <v>9440697.5999999996</v>
      </c>
      <c r="J1191" s="59">
        <v>44925</v>
      </c>
      <c r="K1191" s="162" t="s">
        <v>3118</v>
      </c>
    </row>
    <row r="1192" spans="1:11" x14ac:dyDescent="0.3">
      <c r="A1192" s="259">
        <f t="shared" si="50"/>
        <v>1059</v>
      </c>
      <c r="B1192" s="20" t="s">
        <v>1155</v>
      </c>
      <c r="C1192" s="162">
        <v>1917</v>
      </c>
      <c r="D1192" s="273"/>
      <c r="E1192" s="162" t="s">
        <v>3438</v>
      </c>
      <c r="F1192" s="48">
        <v>2</v>
      </c>
      <c r="G1192" s="46">
        <v>509.2</v>
      </c>
      <c r="H1192" s="48">
        <v>46</v>
      </c>
      <c r="I1192" s="273">
        <f>SUMIF('2020'!B:B,B1192,'2020'!C:C)+SUMIF('2021'!B:B,B1192,'2021'!C:C)+SUMIF('2022'!B:B,B1192,'2022'!C:C)</f>
        <v>6729049.1999999993</v>
      </c>
      <c r="J1192" s="59">
        <v>44925</v>
      </c>
      <c r="K1192" s="162" t="s">
        <v>3118</v>
      </c>
    </row>
    <row r="1193" spans="1:11" x14ac:dyDescent="0.3">
      <c r="A1193" s="259">
        <f t="shared" si="50"/>
        <v>1060</v>
      </c>
      <c r="B1193" s="20" t="s">
        <v>1156</v>
      </c>
      <c r="C1193" s="162">
        <v>1941</v>
      </c>
      <c r="D1193" s="273"/>
      <c r="E1193" s="162" t="s">
        <v>3438</v>
      </c>
      <c r="F1193" s="48">
        <v>4</v>
      </c>
      <c r="G1193" s="46">
        <v>3562.78</v>
      </c>
      <c r="H1193" s="48">
        <v>89</v>
      </c>
      <c r="I1193" s="273">
        <f>SUMIF('2020'!B:B,B1193,'2020'!C:C)+SUMIF('2021'!B:B,B1193,'2021'!C:C)+SUMIF('2022'!B:B,B1193,'2022'!C:C)</f>
        <v>153509.10999999999</v>
      </c>
      <c r="J1193" s="59">
        <v>44925</v>
      </c>
      <c r="K1193" s="162" t="s">
        <v>3118</v>
      </c>
    </row>
    <row r="1194" spans="1:11" x14ac:dyDescent="0.3">
      <c r="A1194" s="259">
        <f t="shared" si="50"/>
        <v>1061</v>
      </c>
      <c r="B1194" s="20" t="s">
        <v>1157</v>
      </c>
      <c r="C1194" s="162">
        <v>1972</v>
      </c>
      <c r="D1194" s="273"/>
      <c r="E1194" s="162" t="s">
        <v>3438</v>
      </c>
      <c r="F1194" s="48">
        <v>5</v>
      </c>
      <c r="G1194" s="46">
        <v>4292.3999999999996</v>
      </c>
      <c r="H1194" s="48">
        <v>289</v>
      </c>
      <c r="I1194" s="273">
        <f>SUMIF('2020'!B:B,B1194,'2020'!C:C)+SUMIF('2021'!B:B,B1194,'2021'!C:C)+SUMIF('2022'!B:B,B1194,'2022'!C:C)</f>
        <v>17458878.120000001</v>
      </c>
      <c r="J1194" s="59">
        <v>44925</v>
      </c>
      <c r="K1194" s="162" t="s">
        <v>3118</v>
      </c>
    </row>
    <row r="1195" spans="1:11" x14ac:dyDescent="0.3">
      <c r="A1195" s="259">
        <f t="shared" si="50"/>
        <v>1062</v>
      </c>
      <c r="B1195" s="20" t="s">
        <v>1158</v>
      </c>
      <c r="C1195" s="162">
        <v>1941</v>
      </c>
      <c r="D1195" s="273"/>
      <c r="E1195" s="162" t="s">
        <v>3438</v>
      </c>
      <c r="F1195" s="48">
        <v>4</v>
      </c>
      <c r="G1195" s="46">
        <v>2173.1</v>
      </c>
      <c r="H1195" s="48">
        <v>103</v>
      </c>
      <c r="I1195" s="273">
        <f>SUMIF('2020'!B:B,B1195,'2020'!C:C)+SUMIF('2021'!B:B,B1195,'2021'!C:C)+SUMIF('2022'!B:B,B1195,'2022'!C:C)</f>
        <v>152815.82</v>
      </c>
      <c r="J1195" s="59">
        <v>44925</v>
      </c>
      <c r="K1195" s="162" t="s">
        <v>3118</v>
      </c>
    </row>
    <row r="1196" spans="1:11" x14ac:dyDescent="0.3">
      <c r="A1196" s="259">
        <f t="shared" si="50"/>
        <v>1063</v>
      </c>
      <c r="B1196" s="20" t="s">
        <v>1159</v>
      </c>
      <c r="C1196" s="162">
        <v>1941</v>
      </c>
      <c r="D1196" s="273"/>
      <c r="E1196" s="162" t="s">
        <v>3438</v>
      </c>
      <c r="F1196" s="48">
        <v>4</v>
      </c>
      <c r="G1196" s="46">
        <v>3611</v>
      </c>
      <c r="H1196" s="48">
        <v>87</v>
      </c>
      <c r="I1196" s="273">
        <f>SUMIF('2020'!B:B,B1196,'2020'!C:C)+SUMIF('2021'!B:B,B1196,'2021'!C:C)+SUMIF('2022'!B:B,B1196,'2022'!C:C)</f>
        <v>347639.38</v>
      </c>
      <c r="J1196" s="59">
        <v>44925</v>
      </c>
      <c r="K1196" s="162" t="s">
        <v>3118</v>
      </c>
    </row>
    <row r="1197" spans="1:11" x14ac:dyDescent="0.3">
      <c r="A1197" s="259">
        <f t="shared" si="50"/>
        <v>1064</v>
      </c>
      <c r="B1197" s="20" t="s">
        <v>1160</v>
      </c>
      <c r="C1197" s="162">
        <v>1963</v>
      </c>
      <c r="D1197" s="273"/>
      <c r="E1197" s="162" t="s">
        <v>3438</v>
      </c>
      <c r="F1197" s="48">
        <v>4</v>
      </c>
      <c r="G1197" s="46">
        <v>3327</v>
      </c>
      <c r="H1197" s="48">
        <v>86</v>
      </c>
      <c r="I1197" s="273">
        <f>SUMIF('2020'!B:B,B1197,'2020'!C:C)+SUMIF('2021'!B:B,B1197,'2021'!C:C)+SUMIF('2022'!B:B,B1197,'2022'!C:C)</f>
        <v>9686792.6500000004</v>
      </c>
      <c r="J1197" s="59">
        <v>44925</v>
      </c>
      <c r="K1197" s="162" t="s">
        <v>3118</v>
      </c>
    </row>
    <row r="1198" spans="1:11" x14ac:dyDescent="0.3">
      <c r="A1198" s="259">
        <f t="shared" si="50"/>
        <v>1065</v>
      </c>
      <c r="B1198" s="20" t="s">
        <v>1161</v>
      </c>
      <c r="C1198" s="162">
        <v>1939</v>
      </c>
      <c r="D1198" s="273"/>
      <c r="E1198" s="162" t="s">
        <v>3438</v>
      </c>
      <c r="F1198" s="48">
        <v>4</v>
      </c>
      <c r="G1198" s="46">
        <v>2137</v>
      </c>
      <c r="H1198" s="48">
        <v>137</v>
      </c>
      <c r="I1198" s="273">
        <f>SUMIF('2020'!B:B,B1198,'2020'!C:C)+SUMIF('2021'!B:B,B1198,'2021'!C:C)+SUMIF('2022'!B:B,B1198,'2022'!C:C)</f>
        <v>10532060.400000002</v>
      </c>
      <c r="J1198" s="59">
        <v>44925</v>
      </c>
      <c r="K1198" s="162" t="s">
        <v>3118</v>
      </c>
    </row>
    <row r="1199" spans="1:11" x14ac:dyDescent="0.3">
      <c r="A1199" s="259">
        <f t="shared" si="50"/>
        <v>1066</v>
      </c>
      <c r="B1199" s="20" t="s">
        <v>1162</v>
      </c>
      <c r="C1199" s="162">
        <v>1917</v>
      </c>
      <c r="D1199" s="273"/>
      <c r="E1199" s="162" t="s">
        <v>3438</v>
      </c>
      <c r="F1199" s="48">
        <v>2</v>
      </c>
      <c r="G1199" s="46">
        <v>633.74</v>
      </c>
      <c r="H1199" s="48">
        <v>33</v>
      </c>
      <c r="I1199" s="273">
        <f>SUMIF('2020'!B:B,B1199,'2020'!C:C)+SUMIF('2021'!B:B,B1199,'2021'!C:C)+SUMIF('2022'!B:B,B1199,'2022'!C:C)</f>
        <v>310526.41000000003</v>
      </c>
      <c r="J1199" s="59">
        <v>44925</v>
      </c>
      <c r="K1199" s="162" t="s">
        <v>3118</v>
      </c>
    </row>
    <row r="1200" spans="1:11" x14ac:dyDescent="0.3">
      <c r="A1200" s="259">
        <f t="shared" si="50"/>
        <v>1067</v>
      </c>
      <c r="B1200" s="20" t="s">
        <v>1163</v>
      </c>
      <c r="C1200" s="162">
        <v>1977</v>
      </c>
      <c r="D1200" s="273"/>
      <c r="E1200" s="162" t="s">
        <v>3438</v>
      </c>
      <c r="F1200" s="48">
        <v>5</v>
      </c>
      <c r="G1200" s="46">
        <v>4646</v>
      </c>
      <c r="H1200" s="48">
        <v>199</v>
      </c>
      <c r="I1200" s="273">
        <f>SUMIF('2020'!B:B,B1200,'2020'!C:C)+SUMIF('2021'!B:B,B1200,'2021'!C:C)+SUMIF('2022'!B:B,B1200,'2022'!C:C)</f>
        <v>279135.68</v>
      </c>
      <c r="J1200" s="59">
        <v>44925</v>
      </c>
      <c r="K1200" s="162" t="s">
        <v>3118</v>
      </c>
    </row>
    <row r="1201" spans="1:11" x14ac:dyDescent="0.3">
      <c r="A1201" s="259">
        <f t="shared" si="50"/>
        <v>1068</v>
      </c>
      <c r="B1201" s="20" t="s">
        <v>1164</v>
      </c>
      <c r="C1201" s="162">
        <v>1962</v>
      </c>
      <c r="D1201" s="273"/>
      <c r="E1201" s="162" t="s">
        <v>3438</v>
      </c>
      <c r="F1201" s="48">
        <v>2</v>
      </c>
      <c r="G1201" s="46">
        <v>641.89</v>
      </c>
      <c r="H1201" s="48">
        <v>44</v>
      </c>
      <c r="I1201" s="273">
        <f>SUMIF('2020'!B:B,B1201,'2020'!C:C)+SUMIF('2021'!B:B,B1201,'2021'!C:C)+SUMIF('2022'!B:B,B1201,'2022'!C:C)</f>
        <v>731555.38</v>
      </c>
      <c r="J1201" s="59">
        <v>44925</v>
      </c>
      <c r="K1201" s="162" t="s">
        <v>3118</v>
      </c>
    </row>
    <row r="1202" spans="1:11" x14ac:dyDescent="0.3">
      <c r="A1202" s="259">
        <f t="shared" si="50"/>
        <v>1069</v>
      </c>
      <c r="B1202" s="20" t="s">
        <v>1165</v>
      </c>
      <c r="C1202" s="162">
        <v>1917</v>
      </c>
      <c r="D1202" s="273"/>
      <c r="E1202" s="162" t="s">
        <v>3440</v>
      </c>
      <c r="F1202" s="48">
        <v>2</v>
      </c>
      <c r="G1202" s="46">
        <v>452.88</v>
      </c>
      <c r="H1202" s="48">
        <v>33</v>
      </c>
      <c r="I1202" s="273">
        <f>SUMIF('2020'!B:B,B1202,'2020'!C:C)+SUMIF('2021'!B:B,B1202,'2021'!C:C)+SUMIF('2022'!B:B,B1202,'2022'!C:C)</f>
        <v>90091.16</v>
      </c>
      <c r="J1202" s="59">
        <v>44925</v>
      </c>
      <c r="K1202" s="162" t="s">
        <v>3118</v>
      </c>
    </row>
    <row r="1203" spans="1:11" x14ac:dyDescent="0.3">
      <c r="A1203" s="259">
        <f t="shared" si="50"/>
        <v>1070</v>
      </c>
      <c r="B1203" s="20" t="s">
        <v>1166</v>
      </c>
      <c r="C1203" s="162">
        <v>1949</v>
      </c>
      <c r="D1203" s="273"/>
      <c r="E1203" s="162" t="s">
        <v>3440</v>
      </c>
      <c r="F1203" s="48">
        <v>2</v>
      </c>
      <c r="G1203" s="46">
        <v>507.6</v>
      </c>
      <c r="H1203" s="48">
        <v>30</v>
      </c>
      <c r="I1203" s="273">
        <f>SUMIF('2020'!B:B,B1203,'2020'!C:C)+SUMIF('2021'!B:B,B1203,'2021'!C:C)+SUMIF('2022'!B:B,B1203,'2022'!C:C)</f>
        <v>160541.71</v>
      </c>
      <c r="J1203" s="59">
        <v>44925</v>
      </c>
      <c r="K1203" s="162" t="s">
        <v>3118</v>
      </c>
    </row>
    <row r="1204" spans="1:11" x14ac:dyDescent="0.3">
      <c r="A1204" s="259">
        <f t="shared" si="50"/>
        <v>1071</v>
      </c>
      <c r="B1204" s="20" t="s">
        <v>1167</v>
      </c>
      <c r="C1204" s="162">
        <v>1963</v>
      </c>
      <c r="D1204" s="273"/>
      <c r="E1204" s="162" t="s">
        <v>3438</v>
      </c>
      <c r="F1204" s="48">
        <v>2</v>
      </c>
      <c r="G1204" s="46">
        <v>281.8</v>
      </c>
      <c r="H1204" s="51">
        <v>10</v>
      </c>
      <c r="I1204" s="273">
        <f>SUMIF('2020'!B:B,B1204,'2020'!C:C)+SUMIF('2021'!B:B,B1204,'2021'!C:C)+SUMIF('2022'!B:B,B1204,'2022'!C:C)</f>
        <v>83330.09</v>
      </c>
      <c r="J1204" s="59">
        <v>44925</v>
      </c>
      <c r="K1204" s="162" t="s">
        <v>3118</v>
      </c>
    </row>
    <row r="1205" spans="1:11" x14ac:dyDescent="0.3">
      <c r="A1205" s="259">
        <f t="shared" si="50"/>
        <v>1072</v>
      </c>
      <c r="B1205" s="20" t="s">
        <v>1168</v>
      </c>
      <c r="C1205" s="162">
        <v>1974</v>
      </c>
      <c r="D1205" s="273"/>
      <c r="E1205" s="162" t="s">
        <v>3190</v>
      </c>
      <c r="F1205" s="48">
        <v>5</v>
      </c>
      <c r="G1205" s="46">
        <v>4438.54</v>
      </c>
      <c r="H1205" s="48">
        <v>249</v>
      </c>
      <c r="I1205" s="273">
        <f>SUMIF('2020'!B:B,B1205,'2020'!C:C)+SUMIF('2021'!B:B,B1205,'2021'!C:C)+SUMIF('2022'!B:B,B1205,'2022'!C:C)</f>
        <v>432342.32</v>
      </c>
      <c r="J1205" s="59">
        <v>44925</v>
      </c>
      <c r="K1205" s="162" t="s">
        <v>3118</v>
      </c>
    </row>
    <row r="1206" spans="1:11" x14ac:dyDescent="0.3">
      <c r="A1206" s="259">
        <f t="shared" si="50"/>
        <v>1073</v>
      </c>
      <c r="B1206" s="20" t="s">
        <v>1169</v>
      </c>
      <c r="C1206" s="162">
        <v>1963</v>
      </c>
      <c r="D1206" s="273"/>
      <c r="E1206" s="162" t="s">
        <v>3438</v>
      </c>
      <c r="F1206" s="48">
        <v>4</v>
      </c>
      <c r="G1206" s="46">
        <v>1938.87</v>
      </c>
      <c r="H1206" s="48">
        <v>87</v>
      </c>
      <c r="I1206" s="273">
        <f>SUMIF('2020'!B:B,B1206,'2020'!C:C)+SUMIF('2021'!B:B,B1206,'2021'!C:C)+SUMIF('2022'!B:B,B1206,'2022'!C:C)</f>
        <v>474426</v>
      </c>
      <c r="J1206" s="59">
        <v>44925</v>
      </c>
      <c r="K1206" s="162" t="s">
        <v>3118</v>
      </c>
    </row>
    <row r="1207" spans="1:11" x14ac:dyDescent="0.3">
      <c r="A1207" s="259">
        <f t="shared" si="50"/>
        <v>1074</v>
      </c>
      <c r="B1207" s="20" t="s">
        <v>1170</v>
      </c>
      <c r="C1207" s="162">
        <v>1968</v>
      </c>
      <c r="D1207" s="273"/>
      <c r="E1207" s="162" t="s">
        <v>3438</v>
      </c>
      <c r="F1207" s="48">
        <v>5</v>
      </c>
      <c r="G1207" s="46">
        <v>3329.8</v>
      </c>
      <c r="H1207" s="48">
        <v>168</v>
      </c>
      <c r="I1207" s="273">
        <f>SUMIF('2020'!B:B,B1207,'2020'!C:C)+SUMIF('2021'!B:B,B1207,'2021'!C:C)+SUMIF('2022'!B:B,B1207,'2022'!C:C)</f>
        <v>343339.09</v>
      </c>
      <c r="J1207" s="59">
        <v>44925</v>
      </c>
      <c r="K1207" s="162" t="s">
        <v>3118</v>
      </c>
    </row>
    <row r="1208" spans="1:11" x14ac:dyDescent="0.3">
      <c r="A1208" s="259">
        <f t="shared" si="50"/>
        <v>1075</v>
      </c>
      <c r="B1208" s="20" t="s">
        <v>1171</v>
      </c>
      <c r="C1208" s="162">
        <v>1973</v>
      </c>
      <c r="D1208" s="273"/>
      <c r="E1208" s="162" t="s">
        <v>3438</v>
      </c>
      <c r="F1208" s="48">
        <v>5</v>
      </c>
      <c r="G1208" s="46">
        <v>2769.3</v>
      </c>
      <c r="H1208" s="48">
        <v>129</v>
      </c>
      <c r="I1208" s="273">
        <f>SUMIF('2020'!B:B,B1208,'2020'!C:C)+SUMIF('2021'!B:B,B1208,'2021'!C:C)+SUMIF('2022'!B:B,B1208,'2022'!C:C)</f>
        <v>335165.51</v>
      </c>
      <c r="J1208" s="59">
        <v>44925</v>
      </c>
      <c r="K1208" s="162" t="s">
        <v>3118</v>
      </c>
    </row>
    <row r="1209" spans="1:11" x14ac:dyDescent="0.3">
      <c r="A1209" s="259">
        <f t="shared" si="50"/>
        <v>1076</v>
      </c>
      <c r="B1209" s="20" t="s">
        <v>1172</v>
      </c>
      <c r="C1209" s="162">
        <v>1967</v>
      </c>
      <c r="D1209" s="273"/>
      <c r="E1209" s="162" t="s">
        <v>3190</v>
      </c>
      <c r="F1209" s="48">
        <v>5</v>
      </c>
      <c r="G1209" s="46">
        <v>5144.53</v>
      </c>
      <c r="H1209" s="48">
        <v>249</v>
      </c>
      <c r="I1209" s="273">
        <f>SUMIF('2020'!B:B,B1209,'2020'!C:C)+SUMIF('2021'!B:B,B1209,'2021'!C:C)+SUMIF('2022'!B:B,B1209,'2022'!C:C)</f>
        <v>253994.58</v>
      </c>
      <c r="J1209" s="59">
        <v>44925</v>
      </c>
      <c r="K1209" s="162" t="s">
        <v>3118</v>
      </c>
    </row>
    <row r="1210" spans="1:11" x14ac:dyDescent="0.3">
      <c r="A1210" s="259">
        <f t="shared" si="50"/>
        <v>1077</v>
      </c>
      <c r="B1210" s="20" t="s">
        <v>1173</v>
      </c>
      <c r="C1210" s="162">
        <v>1970</v>
      </c>
      <c r="D1210" s="273"/>
      <c r="E1210" s="162" t="s">
        <v>3190</v>
      </c>
      <c r="F1210" s="48">
        <v>5</v>
      </c>
      <c r="G1210" s="46">
        <v>2694.01</v>
      </c>
      <c r="H1210" s="48">
        <v>169</v>
      </c>
      <c r="I1210" s="273">
        <f>SUMIF('2020'!B:B,B1210,'2020'!C:C)+SUMIF('2021'!B:B,B1210,'2021'!C:C)+SUMIF('2022'!B:B,B1210,'2022'!C:C)</f>
        <v>161721.32</v>
      </c>
      <c r="J1210" s="59">
        <v>44925</v>
      </c>
      <c r="K1210" s="162" t="s">
        <v>3118</v>
      </c>
    </row>
    <row r="1211" spans="1:11" x14ac:dyDescent="0.3">
      <c r="A1211" s="259">
        <f t="shared" si="50"/>
        <v>1078</v>
      </c>
      <c r="B1211" s="20" t="s">
        <v>1174</v>
      </c>
      <c r="C1211" s="162">
        <v>1964</v>
      </c>
      <c r="D1211" s="273"/>
      <c r="E1211" s="162" t="s">
        <v>3438</v>
      </c>
      <c r="F1211" s="48">
        <v>4</v>
      </c>
      <c r="G1211" s="46">
        <v>2005.94</v>
      </c>
      <c r="H1211" s="48">
        <v>74</v>
      </c>
      <c r="I1211" s="273">
        <f>SUMIF('2020'!B:B,B1211,'2020'!C:C)+SUMIF('2021'!B:B,B1211,'2021'!C:C)+SUMIF('2022'!B:B,B1211,'2022'!C:C)</f>
        <v>1175681.22</v>
      </c>
      <c r="J1211" s="59">
        <v>44925</v>
      </c>
      <c r="K1211" s="162" t="s">
        <v>3118</v>
      </c>
    </row>
    <row r="1212" spans="1:11" x14ac:dyDescent="0.3">
      <c r="A1212" s="259">
        <f t="shared" si="50"/>
        <v>1079</v>
      </c>
      <c r="B1212" s="20" t="s">
        <v>1175</v>
      </c>
      <c r="C1212" s="162">
        <v>1962</v>
      </c>
      <c r="D1212" s="273"/>
      <c r="E1212" s="162" t="s">
        <v>3438</v>
      </c>
      <c r="F1212" s="48">
        <v>3</v>
      </c>
      <c r="G1212" s="46">
        <v>1502.2</v>
      </c>
      <c r="H1212" s="48">
        <v>68</v>
      </c>
      <c r="I1212" s="273">
        <f>SUMIF('2020'!B:B,B1212,'2020'!C:C)+SUMIF('2021'!B:B,B1212,'2021'!C:C)+SUMIF('2022'!B:B,B1212,'2022'!C:C)</f>
        <v>1041528.79</v>
      </c>
      <c r="J1212" s="59">
        <v>44925</v>
      </c>
      <c r="K1212" s="162" t="s">
        <v>3118</v>
      </c>
    </row>
    <row r="1213" spans="1:11" x14ac:dyDescent="0.3">
      <c r="A1213" s="259">
        <f t="shared" si="50"/>
        <v>1080</v>
      </c>
      <c r="B1213" s="20" t="s">
        <v>1176</v>
      </c>
      <c r="C1213" s="162">
        <v>1967</v>
      </c>
      <c r="D1213" s="273"/>
      <c r="E1213" s="162" t="s">
        <v>3190</v>
      </c>
      <c r="F1213" s="48">
        <v>5</v>
      </c>
      <c r="G1213" s="46">
        <v>3522.9</v>
      </c>
      <c r="H1213" s="48">
        <v>155</v>
      </c>
      <c r="I1213" s="273">
        <f>SUMIF('2020'!B:B,B1213,'2020'!C:C)+SUMIF('2021'!B:B,B1213,'2021'!C:C)+SUMIF('2022'!B:B,B1213,'2022'!C:C)</f>
        <v>243524.9</v>
      </c>
      <c r="J1213" s="59">
        <v>44925</v>
      </c>
      <c r="K1213" s="162" t="s">
        <v>3118</v>
      </c>
    </row>
    <row r="1214" spans="1:11" x14ac:dyDescent="0.3">
      <c r="A1214" s="259">
        <f t="shared" si="50"/>
        <v>1081</v>
      </c>
      <c r="B1214" s="20" t="s">
        <v>1177</v>
      </c>
      <c r="C1214" s="162">
        <v>1968</v>
      </c>
      <c r="D1214" s="273"/>
      <c r="E1214" s="162" t="s">
        <v>3190</v>
      </c>
      <c r="F1214" s="48">
        <v>5</v>
      </c>
      <c r="G1214" s="46">
        <v>3484.8</v>
      </c>
      <c r="H1214" s="48">
        <v>178</v>
      </c>
      <c r="I1214" s="273">
        <f>SUMIF('2020'!B:B,B1214,'2020'!C:C)+SUMIF('2021'!B:B,B1214,'2021'!C:C)+SUMIF('2022'!B:B,B1214,'2022'!C:C)</f>
        <v>336722.86</v>
      </c>
      <c r="J1214" s="59">
        <v>44925</v>
      </c>
      <c r="K1214" s="162" t="s">
        <v>3118</v>
      </c>
    </row>
    <row r="1215" spans="1:11" x14ac:dyDescent="0.3">
      <c r="A1215" s="259">
        <f t="shared" si="50"/>
        <v>1082</v>
      </c>
      <c r="B1215" s="20" t="s">
        <v>1178</v>
      </c>
      <c r="C1215" s="162">
        <v>1967</v>
      </c>
      <c r="D1215" s="273"/>
      <c r="E1215" s="162" t="s">
        <v>3190</v>
      </c>
      <c r="F1215" s="48">
        <v>5</v>
      </c>
      <c r="G1215" s="46">
        <v>3495</v>
      </c>
      <c r="H1215" s="48">
        <v>159</v>
      </c>
      <c r="I1215" s="273">
        <f>SUMIF('2020'!B:B,B1215,'2020'!C:C)+SUMIF('2021'!B:B,B1215,'2021'!C:C)+SUMIF('2022'!B:B,B1215,'2022'!C:C)</f>
        <v>346096.88</v>
      </c>
      <c r="J1215" s="59">
        <v>44925</v>
      </c>
      <c r="K1215" s="162" t="s">
        <v>3118</v>
      </c>
    </row>
    <row r="1216" spans="1:11" x14ac:dyDescent="0.3">
      <c r="A1216" s="259">
        <f t="shared" si="50"/>
        <v>1083</v>
      </c>
      <c r="B1216" s="20" t="s">
        <v>1179</v>
      </c>
      <c r="C1216" s="162">
        <v>1964</v>
      </c>
      <c r="D1216" s="273"/>
      <c r="E1216" s="162" t="s">
        <v>3438</v>
      </c>
      <c r="F1216" s="48">
        <v>3</v>
      </c>
      <c r="G1216" s="46">
        <v>1480.89</v>
      </c>
      <c r="H1216" s="48">
        <v>70</v>
      </c>
      <c r="I1216" s="273">
        <f>SUMIF('2020'!B:B,B1216,'2020'!C:C)+SUMIF('2021'!B:B,B1216,'2021'!C:C)+SUMIF('2022'!B:B,B1216,'2022'!C:C)</f>
        <v>236161.2</v>
      </c>
      <c r="J1216" s="59">
        <v>44925</v>
      </c>
      <c r="K1216" s="162" t="s">
        <v>3118</v>
      </c>
    </row>
    <row r="1217" spans="1:11" x14ac:dyDescent="0.3">
      <c r="A1217" s="259">
        <f t="shared" si="50"/>
        <v>1084</v>
      </c>
      <c r="B1217" s="20" t="s">
        <v>1180</v>
      </c>
      <c r="C1217" s="162">
        <v>1963</v>
      </c>
      <c r="D1217" s="273"/>
      <c r="E1217" s="162" t="s">
        <v>3438</v>
      </c>
      <c r="F1217" s="48">
        <v>4</v>
      </c>
      <c r="G1217" s="46">
        <v>2765.2</v>
      </c>
      <c r="H1217" s="48">
        <v>125</v>
      </c>
      <c r="I1217" s="273">
        <f>SUMIF('2020'!B:B,B1217,'2020'!C:C)+SUMIF('2021'!B:B,B1217,'2021'!C:C)+SUMIF('2022'!B:B,B1217,'2022'!C:C)</f>
        <v>405184.43</v>
      </c>
      <c r="J1217" s="59">
        <v>44925</v>
      </c>
      <c r="K1217" s="162" t="s">
        <v>3118</v>
      </c>
    </row>
    <row r="1218" spans="1:11" x14ac:dyDescent="0.3">
      <c r="A1218" s="259">
        <f t="shared" si="50"/>
        <v>1085</v>
      </c>
      <c r="B1218" s="20" t="s">
        <v>1181</v>
      </c>
      <c r="C1218" s="162">
        <v>1947</v>
      </c>
      <c r="D1218" s="273"/>
      <c r="E1218" s="162" t="s">
        <v>3190</v>
      </c>
      <c r="F1218" s="48">
        <v>2</v>
      </c>
      <c r="G1218" s="46">
        <v>443.1</v>
      </c>
      <c r="H1218" s="48">
        <v>19</v>
      </c>
      <c r="I1218" s="273">
        <f>SUMIF('2020'!B:B,B1218,'2020'!C:C)+SUMIF('2021'!B:B,B1218,'2021'!C:C)+SUMIF('2022'!B:B,B1218,'2022'!C:C)</f>
        <v>180115</v>
      </c>
      <c r="J1218" s="59">
        <v>44925</v>
      </c>
      <c r="K1218" s="162" t="s">
        <v>3118</v>
      </c>
    </row>
    <row r="1219" spans="1:11" x14ac:dyDescent="0.3">
      <c r="A1219" s="259">
        <f t="shared" si="50"/>
        <v>1086</v>
      </c>
      <c r="B1219" s="20" t="s">
        <v>1182</v>
      </c>
      <c r="C1219" s="162">
        <v>1917</v>
      </c>
      <c r="D1219" s="273"/>
      <c r="E1219" s="273" t="s">
        <v>3440</v>
      </c>
      <c r="F1219" s="50">
        <v>2</v>
      </c>
      <c r="G1219" s="273">
        <v>297.2</v>
      </c>
      <c r="H1219" s="10">
        <v>23</v>
      </c>
      <c r="I1219" s="273">
        <f>SUMIF('2020'!B:B,B1219,'2020'!C:C)+SUMIF('2021'!B:B,B1219,'2021'!C:C)+SUMIF('2022'!B:B,B1219,'2022'!C:C)</f>
        <v>93859.1</v>
      </c>
      <c r="J1219" s="59">
        <v>44925</v>
      </c>
      <c r="K1219" s="162" t="s">
        <v>3118</v>
      </c>
    </row>
    <row r="1220" spans="1:11" x14ac:dyDescent="0.3">
      <c r="A1220" s="259">
        <f t="shared" si="50"/>
        <v>1087</v>
      </c>
      <c r="B1220" s="20" t="s">
        <v>1183</v>
      </c>
      <c r="C1220" s="162">
        <v>1952</v>
      </c>
      <c r="D1220" s="273"/>
      <c r="E1220" s="273" t="s">
        <v>3440</v>
      </c>
      <c r="F1220" s="50">
        <v>2</v>
      </c>
      <c r="G1220" s="273">
        <v>357.4</v>
      </c>
      <c r="H1220" s="10">
        <v>25</v>
      </c>
      <c r="I1220" s="273">
        <f>SUMIF('2020'!B:B,B1220,'2020'!C:C)+SUMIF('2021'!B:B,B1220,'2021'!C:C)+SUMIF('2022'!B:B,B1220,'2022'!C:C)</f>
        <v>170393.96</v>
      </c>
      <c r="J1220" s="59">
        <v>44925</v>
      </c>
      <c r="K1220" s="162" t="s">
        <v>3118</v>
      </c>
    </row>
    <row r="1221" spans="1:11" x14ac:dyDescent="0.3">
      <c r="A1221" s="259">
        <f t="shared" si="50"/>
        <v>1088</v>
      </c>
      <c r="B1221" s="20" t="s">
        <v>1184</v>
      </c>
      <c r="C1221" s="162">
        <v>1988</v>
      </c>
      <c r="D1221" s="273"/>
      <c r="E1221" s="162" t="s">
        <v>3441</v>
      </c>
      <c r="F1221" s="48">
        <v>5</v>
      </c>
      <c r="G1221" s="46">
        <v>3266.3</v>
      </c>
      <c r="H1221" s="48">
        <v>140</v>
      </c>
      <c r="I1221" s="273">
        <f>SUMIF('2020'!B:B,B1221,'2020'!C:C)+SUMIF('2021'!B:B,B1221,'2021'!C:C)+SUMIF('2022'!B:B,B1221,'2022'!C:C)</f>
        <v>172035.98</v>
      </c>
      <c r="J1221" s="59">
        <v>44925</v>
      </c>
      <c r="K1221" s="162" t="s">
        <v>3118</v>
      </c>
    </row>
    <row r="1222" spans="1:11" x14ac:dyDescent="0.3">
      <c r="A1222" s="259">
        <f t="shared" si="50"/>
        <v>1089</v>
      </c>
      <c r="B1222" s="20" t="s">
        <v>1185</v>
      </c>
      <c r="C1222" s="162">
        <v>1946</v>
      </c>
      <c r="D1222" s="273"/>
      <c r="E1222" s="162" t="s">
        <v>3438</v>
      </c>
      <c r="F1222" s="48">
        <v>3</v>
      </c>
      <c r="G1222" s="46">
        <v>964.1</v>
      </c>
      <c r="H1222" s="48">
        <v>50</v>
      </c>
      <c r="I1222" s="273">
        <f>SUMIF('2020'!B:B,B1222,'2020'!C:C)+SUMIF('2021'!B:B,B1222,'2021'!C:C)+SUMIF('2022'!B:B,B1222,'2022'!C:C)</f>
        <v>119338.14</v>
      </c>
      <c r="J1222" s="59">
        <v>44925</v>
      </c>
      <c r="K1222" s="162" t="s">
        <v>3118</v>
      </c>
    </row>
    <row r="1223" spans="1:11" x14ac:dyDescent="0.3">
      <c r="A1223" s="259">
        <f t="shared" si="50"/>
        <v>1090</v>
      </c>
      <c r="B1223" s="20" t="s">
        <v>1186</v>
      </c>
      <c r="C1223" s="162">
        <v>1983</v>
      </c>
      <c r="D1223" s="273"/>
      <c r="E1223" s="162" t="s">
        <v>3190</v>
      </c>
      <c r="F1223" s="48">
        <v>9</v>
      </c>
      <c r="G1223" s="46">
        <v>3221.1</v>
      </c>
      <c r="H1223" s="48">
        <v>155</v>
      </c>
      <c r="I1223" s="273">
        <f>SUMIF('2020'!B:B,B1223,'2020'!C:C)+SUMIF('2021'!B:B,B1223,'2021'!C:C)+SUMIF('2022'!B:B,B1223,'2022'!C:C)</f>
        <v>132156.04999999999</v>
      </c>
      <c r="J1223" s="59">
        <v>44925</v>
      </c>
      <c r="K1223" s="162" t="s">
        <v>3118</v>
      </c>
    </row>
    <row r="1224" spans="1:11" x14ac:dyDescent="0.3">
      <c r="A1224" s="259">
        <f t="shared" si="50"/>
        <v>1091</v>
      </c>
      <c r="B1224" s="20" t="s">
        <v>1187</v>
      </c>
      <c r="C1224" s="162">
        <v>1981</v>
      </c>
      <c r="D1224" s="273"/>
      <c r="E1224" s="162" t="s">
        <v>3190</v>
      </c>
      <c r="F1224" s="48">
        <v>9</v>
      </c>
      <c r="G1224" s="46">
        <v>3959.9</v>
      </c>
      <c r="H1224" s="48">
        <v>186</v>
      </c>
      <c r="I1224" s="273">
        <f>SUMIF('2020'!B:B,B1224,'2020'!C:C)+SUMIF('2021'!B:B,B1224,'2021'!C:C)+SUMIF('2022'!B:B,B1224,'2022'!C:C)</f>
        <v>441483.78</v>
      </c>
      <c r="J1224" s="59">
        <v>44925</v>
      </c>
      <c r="K1224" s="162" t="s">
        <v>3118</v>
      </c>
    </row>
    <row r="1225" spans="1:11" x14ac:dyDescent="0.3">
      <c r="A1225" s="259">
        <f t="shared" si="50"/>
        <v>1092</v>
      </c>
      <c r="B1225" s="20" t="s">
        <v>1188</v>
      </c>
      <c r="C1225" s="162">
        <v>1973</v>
      </c>
      <c r="D1225" s="273"/>
      <c r="E1225" s="162" t="s">
        <v>3438</v>
      </c>
      <c r="F1225" s="48">
        <v>5</v>
      </c>
      <c r="G1225" s="46">
        <v>4160.3999999999996</v>
      </c>
      <c r="H1225" s="48">
        <v>186</v>
      </c>
      <c r="I1225" s="273">
        <f>SUMIF('2020'!B:B,B1225,'2020'!C:C)+SUMIF('2021'!B:B,B1225,'2021'!C:C)+SUMIF('2022'!B:B,B1225,'2022'!C:C)</f>
        <v>425594.06</v>
      </c>
      <c r="J1225" s="59">
        <v>44925</v>
      </c>
      <c r="K1225" s="162" t="s">
        <v>3118</v>
      </c>
    </row>
    <row r="1226" spans="1:11" x14ac:dyDescent="0.3">
      <c r="A1226" s="259">
        <f t="shared" si="50"/>
        <v>1093</v>
      </c>
      <c r="B1226" s="20" t="s">
        <v>1189</v>
      </c>
      <c r="C1226" s="162">
        <v>1970</v>
      </c>
      <c r="D1226" s="273"/>
      <c r="E1226" s="162" t="s">
        <v>3438</v>
      </c>
      <c r="F1226" s="48">
        <v>5</v>
      </c>
      <c r="G1226" s="46">
        <v>3372.84</v>
      </c>
      <c r="H1226" s="48">
        <v>163</v>
      </c>
      <c r="I1226" s="273">
        <f>SUMIF('2020'!B:B,B1226,'2020'!C:C)+SUMIF('2021'!B:B,B1226,'2021'!C:C)+SUMIF('2022'!B:B,B1226,'2022'!C:C)</f>
        <v>193159.91</v>
      </c>
      <c r="J1226" s="59">
        <v>44925</v>
      </c>
      <c r="K1226" s="162" t="s">
        <v>3118</v>
      </c>
    </row>
    <row r="1227" spans="1:11" x14ac:dyDescent="0.3">
      <c r="A1227" s="259">
        <f t="shared" si="50"/>
        <v>1094</v>
      </c>
      <c r="B1227" s="20" t="s">
        <v>1190</v>
      </c>
      <c r="C1227" s="162">
        <v>1968</v>
      </c>
      <c r="D1227" s="273"/>
      <c r="E1227" s="162" t="s">
        <v>3190</v>
      </c>
      <c r="F1227" s="48">
        <v>5</v>
      </c>
      <c r="G1227" s="46">
        <v>3572.07</v>
      </c>
      <c r="H1227" s="51">
        <v>133</v>
      </c>
      <c r="I1227" s="273">
        <f>SUMIF('2020'!B:B,B1227,'2020'!C:C)+SUMIF('2021'!B:B,B1227,'2021'!C:C)+SUMIF('2022'!B:B,B1227,'2022'!C:C)</f>
        <v>361013.53</v>
      </c>
      <c r="J1227" s="59">
        <v>44925</v>
      </c>
      <c r="K1227" s="162" t="s">
        <v>3118</v>
      </c>
    </row>
    <row r="1228" spans="1:11" x14ac:dyDescent="0.3">
      <c r="A1228" s="259">
        <f t="shared" si="50"/>
        <v>1095</v>
      </c>
      <c r="B1228" s="20" t="s">
        <v>1191</v>
      </c>
      <c r="C1228" s="162">
        <v>1965</v>
      </c>
      <c r="D1228" s="273"/>
      <c r="E1228" s="162" t="s">
        <v>3190</v>
      </c>
      <c r="F1228" s="48">
        <v>5</v>
      </c>
      <c r="G1228" s="46">
        <v>3522.99</v>
      </c>
      <c r="H1228" s="48">
        <v>163</v>
      </c>
      <c r="I1228" s="273">
        <f>SUMIF('2020'!B:B,B1228,'2020'!C:C)+SUMIF('2021'!B:B,B1228,'2021'!C:C)+SUMIF('2022'!B:B,B1228,'2022'!C:C)</f>
        <v>352706.47</v>
      </c>
      <c r="J1228" s="59">
        <v>44925</v>
      </c>
      <c r="K1228" s="162" t="s">
        <v>3118</v>
      </c>
    </row>
    <row r="1229" spans="1:11" x14ac:dyDescent="0.3">
      <c r="A1229" s="259">
        <f t="shared" si="50"/>
        <v>1096</v>
      </c>
      <c r="B1229" s="20" t="s">
        <v>1192</v>
      </c>
      <c r="C1229" s="162">
        <v>1956</v>
      </c>
      <c r="D1229" s="273"/>
      <c r="E1229" s="162" t="s">
        <v>3438</v>
      </c>
      <c r="F1229" s="48">
        <v>2</v>
      </c>
      <c r="G1229" s="46">
        <v>377.96</v>
      </c>
      <c r="H1229" s="48">
        <v>23</v>
      </c>
      <c r="I1229" s="273">
        <f>SUMIF('2020'!B:B,B1229,'2020'!C:C)+SUMIF('2021'!B:B,B1229,'2021'!C:C)+SUMIF('2022'!B:B,B1229,'2022'!C:C)</f>
        <v>7599918.6899999995</v>
      </c>
      <c r="J1229" s="59">
        <v>44925</v>
      </c>
      <c r="K1229" s="162" t="s">
        <v>3118</v>
      </c>
    </row>
    <row r="1230" spans="1:11" x14ac:dyDescent="0.3">
      <c r="A1230" s="259">
        <f t="shared" si="50"/>
        <v>1097</v>
      </c>
      <c r="B1230" s="20" t="s">
        <v>1193</v>
      </c>
      <c r="C1230" s="162">
        <v>1980</v>
      </c>
      <c r="D1230" s="273"/>
      <c r="E1230" s="162" t="s">
        <v>3190</v>
      </c>
      <c r="F1230" s="48">
        <v>5</v>
      </c>
      <c r="G1230" s="46">
        <v>1619.5</v>
      </c>
      <c r="H1230" s="48">
        <v>70</v>
      </c>
      <c r="I1230" s="273">
        <f>SUMIF('2020'!B:B,B1230,'2020'!C:C)+SUMIF('2021'!B:B,B1230,'2021'!C:C)+SUMIF('2022'!B:B,B1230,'2022'!C:C)</f>
        <v>189310.28</v>
      </c>
      <c r="J1230" s="59">
        <v>44925</v>
      </c>
      <c r="K1230" s="162" t="s">
        <v>3118</v>
      </c>
    </row>
    <row r="1231" spans="1:11" x14ac:dyDescent="0.3">
      <c r="A1231" s="259">
        <f t="shared" si="50"/>
        <v>1098</v>
      </c>
      <c r="B1231" s="20" t="s">
        <v>1194</v>
      </c>
      <c r="C1231" s="162">
        <v>1972</v>
      </c>
      <c r="D1231" s="273"/>
      <c r="E1231" s="162" t="s">
        <v>3441</v>
      </c>
      <c r="F1231" s="48">
        <v>5</v>
      </c>
      <c r="G1231" s="46">
        <v>4386.3</v>
      </c>
      <c r="H1231" s="48">
        <v>185</v>
      </c>
      <c r="I1231" s="273">
        <f>SUMIF('2020'!B:B,B1231,'2020'!C:C)+SUMIF('2021'!B:B,B1231,'2021'!C:C)+SUMIF('2022'!B:B,B1231,'2022'!C:C)</f>
        <v>404198.88</v>
      </c>
      <c r="J1231" s="59">
        <v>44925</v>
      </c>
      <c r="K1231" s="162" t="s">
        <v>3118</v>
      </c>
    </row>
    <row r="1232" spans="1:11" x14ac:dyDescent="0.3">
      <c r="A1232" s="259">
        <f t="shared" si="50"/>
        <v>1099</v>
      </c>
      <c r="B1232" s="20" t="s">
        <v>1195</v>
      </c>
      <c r="C1232" s="162">
        <v>1971</v>
      </c>
      <c r="D1232" s="273"/>
      <c r="E1232" s="162" t="s">
        <v>3190</v>
      </c>
      <c r="F1232" s="48">
        <v>5</v>
      </c>
      <c r="G1232" s="46">
        <v>2330.9</v>
      </c>
      <c r="H1232" s="48">
        <v>139</v>
      </c>
      <c r="I1232" s="273">
        <f>SUMIF('2020'!B:B,B1232,'2020'!C:C)+SUMIF('2021'!B:B,B1232,'2021'!C:C)+SUMIF('2022'!B:B,B1232,'2022'!C:C)</f>
        <v>291710.95</v>
      </c>
      <c r="J1232" s="59">
        <v>44925</v>
      </c>
      <c r="K1232" s="162" t="s">
        <v>3118</v>
      </c>
    </row>
    <row r="1233" spans="1:11" x14ac:dyDescent="0.3">
      <c r="A1233" s="259">
        <f t="shared" ref="A1233:A1295" si="51">A1232+1</f>
        <v>1100</v>
      </c>
      <c r="B1233" s="20" t="s">
        <v>1196</v>
      </c>
      <c r="C1233" s="162">
        <v>1967</v>
      </c>
      <c r="D1233" s="273"/>
      <c r="E1233" s="162" t="s">
        <v>3441</v>
      </c>
      <c r="F1233" s="48">
        <v>5</v>
      </c>
      <c r="G1233" s="46">
        <v>4440.83</v>
      </c>
      <c r="H1233" s="48">
        <v>218</v>
      </c>
      <c r="I1233" s="273">
        <f>SUMIF('2020'!B:B,B1233,'2020'!C:C)+SUMIF('2021'!B:B,B1233,'2021'!C:C)+SUMIF('2022'!B:B,B1233,'2022'!C:C)</f>
        <v>8074669.0300000003</v>
      </c>
      <c r="J1233" s="59">
        <v>44925</v>
      </c>
      <c r="K1233" s="162" t="s">
        <v>3118</v>
      </c>
    </row>
    <row r="1234" spans="1:11" x14ac:dyDescent="0.3">
      <c r="A1234" s="259">
        <f t="shared" si="51"/>
        <v>1101</v>
      </c>
      <c r="B1234" s="20" t="s">
        <v>1197</v>
      </c>
      <c r="C1234" s="162">
        <v>1956</v>
      </c>
      <c r="D1234" s="273"/>
      <c r="E1234" s="162" t="s">
        <v>3438</v>
      </c>
      <c r="F1234" s="48">
        <v>2</v>
      </c>
      <c r="G1234" s="46">
        <v>376.94</v>
      </c>
      <c r="H1234" s="51">
        <v>23</v>
      </c>
      <c r="I1234" s="273">
        <f>SUMIF('2020'!B:B,B1234,'2020'!C:C)+SUMIF('2021'!B:B,B1234,'2021'!C:C)+SUMIF('2022'!B:B,B1234,'2022'!C:C)</f>
        <v>7836509.7200000007</v>
      </c>
      <c r="J1234" s="59">
        <v>44925</v>
      </c>
      <c r="K1234" s="162" t="s">
        <v>3118</v>
      </c>
    </row>
    <row r="1235" spans="1:11" x14ac:dyDescent="0.3">
      <c r="A1235" s="259">
        <f t="shared" si="51"/>
        <v>1102</v>
      </c>
      <c r="B1235" s="20" t="s">
        <v>1198</v>
      </c>
      <c r="C1235" s="162">
        <v>1963</v>
      </c>
      <c r="D1235" s="273"/>
      <c r="E1235" s="162" t="s">
        <v>3438</v>
      </c>
      <c r="F1235" s="48">
        <v>4</v>
      </c>
      <c r="G1235" s="46">
        <v>2039.21</v>
      </c>
      <c r="H1235" s="48">
        <v>90</v>
      </c>
      <c r="I1235" s="273">
        <f>SUMIF('2020'!B:B,B1235,'2020'!C:C)+SUMIF('2021'!B:B,B1235,'2021'!C:C)+SUMIF('2022'!B:B,B1235,'2022'!C:C)</f>
        <v>1716633.6000000001</v>
      </c>
      <c r="J1235" s="59">
        <v>44925</v>
      </c>
      <c r="K1235" s="162" t="s">
        <v>3118</v>
      </c>
    </row>
    <row r="1236" spans="1:11" x14ac:dyDescent="0.3">
      <c r="A1236" s="259">
        <f t="shared" si="51"/>
        <v>1103</v>
      </c>
      <c r="B1236" s="20" t="s">
        <v>1199</v>
      </c>
      <c r="C1236" s="162">
        <v>1969</v>
      </c>
      <c r="D1236" s="273"/>
      <c r="E1236" s="162" t="s">
        <v>3190</v>
      </c>
      <c r="F1236" s="48">
        <v>5</v>
      </c>
      <c r="G1236" s="46">
        <v>3514.32</v>
      </c>
      <c r="H1236" s="48">
        <v>176</v>
      </c>
      <c r="I1236" s="273">
        <f>SUMIF('2020'!B:B,B1236,'2020'!C:C)+SUMIF('2021'!B:B,B1236,'2021'!C:C)+SUMIF('2022'!B:B,B1236,'2022'!C:C)</f>
        <v>192090.11</v>
      </c>
      <c r="J1236" s="59">
        <v>44925</v>
      </c>
      <c r="K1236" s="162" t="s">
        <v>3118</v>
      </c>
    </row>
    <row r="1237" spans="1:11" x14ac:dyDescent="0.3">
      <c r="A1237" s="259">
        <f t="shared" si="51"/>
        <v>1104</v>
      </c>
      <c r="B1237" s="20" t="s">
        <v>1200</v>
      </c>
      <c r="C1237" s="162">
        <v>1917</v>
      </c>
      <c r="D1237" s="273"/>
      <c r="E1237" s="162" t="s">
        <v>3440</v>
      </c>
      <c r="F1237" s="48">
        <v>2</v>
      </c>
      <c r="G1237" s="46">
        <v>129.69999999999999</v>
      </c>
      <c r="H1237" s="48">
        <v>4</v>
      </c>
      <c r="I1237" s="273">
        <f>SUMIF('2020'!B:B,B1237,'2020'!C:C)+SUMIF('2021'!B:B,B1237,'2021'!C:C)+SUMIF('2022'!B:B,B1237,'2022'!C:C)</f>
        <v>114651.35</v>
      </c>
      <c r="J1237" s="59">
        <v>44925</v>
      </c>
      <c r="K1237" s="162" t="s">
        <v>3118</v>
      </c>
    </row>
    <row r="1238" spans="1:11" x14ac:dyDescent="0.3">
      <c r="A1238" s="259">
        <f t="shared" si="51"/>
        <v>1105</v>
      </c>
      <c r="B1238" s="20" t="s">
        <v>1201</v>
      </c>
      <c r="C1238" s="162">
        <v>1962</v>
      </c>
      <c r="D1238" s="273"/>
      <c r="E1238" s="162" t="s">
        <v>3438</v>
      </c>
      <c r="F1238" s="48">
        <v>4</v>
      </c>
      <c r="G1238" s="46">
        <v>1252.98</v>
      </c>
      <c r="H1238" s="48">
        <v>59</v>
      </c>
      <c r="I1238" s="273">
        <f>SUMIF('2020'!B:B,B1238,'2020'!C:C)+SUMIF('2021'!B:B,B1238,'2021'!C:C)+SUMIF('2022'!B:B,B1238,'2022'!C:C)</f>
        <v>122294.7</v>
      </c>
      <c r="J1238" s="59">
        <v>44925</v>
      </c>
      <c r="K1238" s="162" t="s">
        <v>3118</v>
      </c>
    </row>
    <row r="1239" spans="1:11" x14ac:dyDescent="0.3">
      <c r="A1239" s="259">
        <f t="shared" si="51"/>
        <v>1106</v>
      </c>
      <c r="B1239" s="20" t="s">
        <v>1202</v>
      </c>
      <c r="C1239" s="162">
        <v>1961</v>
      </c>
      <c r="D1239" s="273"/>
      <c r="E1239" s="162" t="s">
        <v>3438</v>
      </c>
      <c r="F1239" s="48">
        <v>3</v>
      </c>
      <c r="G1239" s="46">
        <v>1343.2</v>
      </c>
      <c r="H1239" s="51">
        <v>44</v>
      </c>
      <c r="I1239" s="273">
        <f>SUMIF('2020'!B:B,B1239,'2020'!C:C)+SUMIF('2021'!B:B,B1239,'2021'!C:C)+SUMIF('2022'!B:B,B1239,'2022'!C:C)</f>
        <v>1713149.0999999999</v>
      </c>
      <c r="J1239" s="59">
        <v>44925</v>
      </c>
      <c r="K1239" s="162" t="s">
        <v>3118</v>
      </c>
    </row>
    <row r="1240" spans="1:11" x14ac:dyDescent="0.3">
      <c r="A1240" s="259">
        <f t="shared" si="51"/>
        <v>1107</v>
      </c>
      <c r="B1240" s="20" t="s">
        <v>1203</v>
      </c>
      <c r="C1240" s="162">
        <v>1958</v>
      </c>
      <c r="D1240" s="273"/>
      <c r="E1240" s="162" t="s">
        <v>3438</v>
      </c>
      <c r="F1240" s="48">
        <v>3</v>
      </c>
      <c r="G1240" s="46">
        <v>1338.2</v>
      </c>
      <c r="H1240" s="48">
        <v>40</v>
      </c>
      <c r="I1240" s="273">
        <f>SUMIF('2020'!B:B,B1240,'2020'!C:C)+SUMIF('2021'!B:B,B1240,'2021'!C:C)+SUMIF('2022'!B:B,B1240,'2022'!C:C)</f>
        <v>255307.74</v>
      </c>
      <c r="J1240" s="59">
        <v>44925</v>
      </c>
      <c r="K1240" s="162" t="s">
        <v>3118</v>
      </c>
    </row>
    <row r="1241" spans="1:11" x14ac:dyDescent="0.3">
      <c r="A1241" s="259">
        <f t="shared" si="51"/>
        <v>1108</v>
      </c>
      <c r="B1241" s="20" t="s">
        <v>1204</v>
      </c>
      <c r="C1241" s="162">
        <v>1952</v>
      </c>
      <c r="D1241" s="273"/>
      <c r="E1241" s="162" t="s">
        <v>3438</v>
      </c>
      <c r="F1241" s="48">
        <v>3</v>
      </c>
      <c r="G1241" s="46">
        <v>1332</v>
      </c>
      <c r="H1241" s="48">
        <v>54</v>
      </c>
      <c r="I1241" s="273">
        <f>SUMIF('2020'!B:B,B1241,'2020'!C:C)+SUMIF('2021'!B:B,B1241,'2021'!C:C)+SUMIF('2022'!B:B,B1241,'2022'!C:C)</f>
        <v>11887611.599999998</v>
      </c>
      <c r="J1241" s="59">
        <v>44925</v>
      </c>
      <c r="K1241" s="162" t="s">
        <v>3118</v>
      </c>
    </row>
    <row r="1242" spans="1:11" x14ac:dyDescent="0.3">
      <c r="A1242" s="259">
        <f t="shared" si="51"/>
        <v>1109</v>
      </c>
      <c r="B1242" s="20" t="s">
        <v>1205</v>
      </c>
      <c r="C1242" s="162">
        <v>1969</v>
      </c>
      <c r="D1242" s="273"/>
      <c r="E1242" s="162"/>
      <c r="F1242" s="48">
        <v>5</v>
      </c>
      <c r="G1242" s="46">
        <v>2755.9</v>
      </c>
      <c r="H1242" s="48">
        <v>113</v>
      </c>
      <c r="I1242" s="273">
        <f>SUMIF('2020'!B:B,B1242,'2020'!C:C)+SUMIF('2021'!B:B,B1242,'2021'!C:C)+SUMIF('2022'!B:B,B1242,'2022'!C:C)</f>
        <v>311320.37</v>
      </c>
      <c r="J1242" s="59">
        <v>44925</v>
      </c>
      <c r="K1242" s="162" t="s">
        <v>3118</v>
      </c>
    </row>
    <row r="1243" spans="1:11" x14ac:dyDescent="0.3">
      <c r="A1243" s="259">
        <f t="shared" si="51"/>
        <v>1110</v>
      </c>
      <c r="B1243" s="20" t="s">
        <v>1206</v>
      </c>
      <c r="C1243" s="162">
        <v>1968</v>
      </c>
      <c r="D1243" s="273"/>
      <c r="E1243" s="162" t="s">
        <v>3438</v>
      </c>
      <c r="F1243" s="48">
        <v>3</v>
      </c>
      <c r="G1243" s="46">
        <v>1350.9</v>
      </c>
      <c r="H1243" s="48">
        <v>41</v>
      </c>
      <c r="I1243" s="273">
        <f>SUMIF('2020'!B:B,B1243,'2020'!C:C)+SUMIF('2021'!B:B,B1243,'2021'!C:C)+SUMIF('2022'!B:B,B1243,'2022'!C:C)</f>
        <v>255147.42</v>
      </c>
      <c r="J1243" s="59">
        <v>44925</v>
      </c>
      <c r="K1243" s="162" t="s">
        <v>3118</v>
      </c>
    </row>
    <row r="1244" spans="1:11" x14ac:dyDescent="0.3">
      <c r="A1244" s="259">
        <f t="shared" si="51"/>
        <v>1111</v>
      </c>
      <c r="B1244" s="20" t="s">
        <v>1207</v>
      </c>
      <c r="C1244" s="162">
        <v>1961</v>
      </c>
      <c r="D1244" s="273"/>
      <c r="E1244" s="162" t="s">
        <v>3438</v>
      </c>
      <c r="F1244" s="48">
        <v>3</v>
      </c>
      <c r="G1244" s="46">
        <v>1355.8</v>
      </c>
      <c r="H1244" s="48">
        <v>50</v>
      </c>
      <c r="I1244" s="273">
        <f>SUMIF('2020'!B:B,B1244,'2020'!C:C)+SUMIF('2021'!B:B,B1244,'2021'!C:C)+SUMIF('2022'!B:B,B1244,'2022'!C:C)</f>
        <v>253789.04</v>
      </c>
      <c r="J1244" s="59">
        <v>44925</v>
      </c>
      <c r="K1244" s="162" t="s">
        <v>3118</v>
      </c>
    </row>
    <row r="1245" spans="1:11" x14ac:dyDescent="0.3">
      <c r="A1245" s="259">
        <f t="shared" si="51"/>
        <v>1112</v>
      </c>
      <c r="B1245" s="20" t="s">
        <v>1208</v>
      </c>
      <c r="C1245" s="162">
        <v>1960</v>
      </c>
      <c r="D1245" s="273"/>
      <c r="E1245" s="162" t="s">
        <v>3438</v>
      </c>
      <c r="F1245" s="48">
        <v>3</v>
      </c>
      <c r="G1245" s="46">
        <v>1362.7</v>
      </c>
      <c r="H1245" s="48">
        <v>41</v>
      </c>
      <c r="I1245" s="273">
        <f>SUMIF('2020'!B:B,B1245,'2020'!C:C)+SUMIF('2021'!B:B,B1245,'2021'!C:C)+SUMIF('2022'!B:B,B1245,'2022'!C:C)</f>
        <v>254702.84</v>
      </c>
      <c r="J1245" s="59">
        <v>44925</v>
      </c>
      <c r="K1245" s="162" t="s">
        <v>3118</v>
      </c>
    </row>
    <row r="1246" spans="1:11" x14ac:dyDescent="0.3">
      <c r="A1246" s="259">
        <f t="shared" si="51"/>
        <v>1113</v>
      </c>
      <c r="B1246" s="20" t="s">
        <v>1209</v>
      </c>
      <c r="C1246" s="162">
        <v>1960</v>
      </c>
      <c r="D1246" s="273"/>
      <c r="E1246" s="162" t="s">
        <v>3438</v>
      </c>
      <c r="F1246" s="48">
        <v>3</v>
      </c>
      <c r="G1246" s="46">
        <v>1481.06</v>
      </c>
      <c r="H1246" s="48">
        <v>90</v>
      </c>
      <c r="I1246" s="273">
        <f>SUMIF('2020'!B:B,B1246,'2020'!C:C)+SUMIF('2021'!B:B,B1246,'2021'!C:C)+SUMIF('2022'!B:B,B1246,'2022'!C:C)</f>
        <v>19855380.599999998</v>
      </c>
      <c r="J1246" s="59">
        <v>44925</v>
      </c>
      <c r="K1246" s="162" t="s">
        <v>3118</v>
      </c>
    </row>
    <row r="1247" spans="1:11" x14ac:dyDescent="0.3">
      <c r="A1247" s="259">
        <f t="shared" si="51"/>
        <v>1114</v>
      </c>
      <c r="B1247" s="20" t="s">
        <v>1210</v>
      </c>
      <c r="C1247" s="162">
        <v>1964</v>
      </c>
      <c r="D1247" s="273"/>
      <c r="E1247" s="162" t="s">
        <v>3438</v>
      </c>
      <c r="F1247" s="48">
        <v>4</v>
      </c>
      <c r="G1247" s="46">
        <v>1992.17</v>
      </c>
      <c r="H1247" s="48">
        <v>86</v>
      </c>
      <c r="I1247" s="273">
        <f>SUMIF('2020'!B:B,B1247,'2020'!C:C)+SUMIF('2021'!B:B,B1247,'2021'!C:C)+SUMIF('2022'!B:B,B1247,'2022'!C:C)</f>
        <v>238879.61</v>
      </c>
      <c r="J1247" s="59">
        <v>44925</v>
      </c>
      <c r="K1247" s="162" t="s">
        <v>3118</v>
      </c>
    </row>
    <row r="1248" spans="1:11" x14ac:dyDescent="0.3">
      <c r="A1248" s="259">
        <f t="shared" si="51"/>
        <v>1115</v>
      </c>
      <c r="B1248" s="20" t="s">
        <v>1211</v>
      </c>
      <c r="C1248" s="162">
        <v>1972</v>
      </c>
      <c r="D1248" s="273"/>
      <c r="E1248" s="162" t="s">
        <v>3190</v>
      </c>
      <c r="F1248" s="48">
        <v>5</v>
      </c>
      <c r="G1248" s="46">
        <v>4380.8999999999996</v>
      </c>
      <c r="H1248" s="48">
        <v>224</v>
      </c>
      <c r="I1248" s="273">
        <f>SUMIF('2020'!B:B,B1248,'2020'!C:C)+SUMIF('2021'!B:B,B1248,'2021'!C:C)+SUMIF('2022'!B:B,B1248,'2022'!C:C)</f>
        <v>236215.81</v>
      </c>
      <c r="J1248" s="59">
        <v>44925</v>
      </c>
      <c r="K1248" s="162" t="s">
        <v>3118</v>
      </c>
    </row>
    <row r="1249" spans="1:11" x14ac:dyDescent="0.3">
      <c r="A1249" s="259">
        <f t="shared" si="51"/>
        <v>1116</v>
      </c>
      <c r="B1249" s="20" t="s">
        <v>1212</v>
      </c>
      <c r="C1249" s="162">
        <v>1962</v>
      </c>
      <c r="D1249" s="273"/>
      <c r="E1249" s="162" t="s">
        <v>3438</v>
      </c>
      <c r="F1249" s="48">
        <v>4</v>
      </c>
      <c r="G1249" s="46">
        <v>1993.43</v>
      </c>
      <c r="H1249" s="48">
        <v>106</v>
      </c>
      <c r="I1249" s="273">
        <f>SUMIF('2020'!B:B,B1249,'2020'!C:C)+SUMIF('2021'!B:B,B1249,'2021'!C:C)+SUMIF('2022'!B:B,B1249,'2022'!C:C)</f>
        <v>494935.43000000005</v>
      </c>
      <c r="J1249" s="59">
        <v>44925</v>
      </c>
      <c r="K1249" s="162" t="s">
        <v>3118</v>
      </c>
    </row>
    <row r="1250" spans="1:11" x14ac:dyDescent="0.3">
      <c r="A1250" s="259">
        <f t="shared" si="51"/>
        <v>1117</v>
      </c>
      <c r="B1250" s="20" t="s">
        <v>1213</v>
      </c>
      <c r="C1250" s="162">
        <v>1961</v>
      </c>
      <c r="D1250" s="273"/>
      <c r="E1250" s="162" t="s">
        <v>3438</v>
      </c>
      <c r="F1250" s="48">
        <v>3</v>
      </c>
      <c r="G1250" s="46">
        <v>1508.22</v>
      </c>
      <c r="H1250" s="48">
        <v>66</v>
      </c>
      <c r="I1250" s="273">
        <f>SUMIF('2020'!B:B,B1250,'2020'!C:C)+SUMIF('2021'!B:B,B1250,'2021'!C:C)+SUMIF('2022'!B:B,B1250,'2022'!C:C)</f>
        <v>458180.36</v>
      </c>
      <c r="J1250" s="59">
        <v>44925</v>
      </c>
      <c r="K1250" s="162" t="s">
        <v>3118</v>
      </c>
    </row>
    <row r="1251" spans="1:11" x14ac:dyDescent="0.3">
      <c r="A1251" s="259">
        <f t="shared" si="51"/>
        <v>1118</v>
      </c>
      <c r="B1251" s="20" t="s">
        <v>1214</v>
      </c>
      <c r="C1251" s="162">
        <v>1959</v>
      </c>
      <c r="D1251" s="273"/>
      <c r="E1251" s="162" t="s">
        <v>3438</v>
      </c>
      <c r="F1251" s="28" t="s">
        <v>3146</v>
      </c>
      <c r="G1251" s="46">
        <v>1464.6</v>
      </c>
      <c r="H1251" s="48">
        <v>60</v>
      </c>
      <c r="I1251" s="273">
        <f>SUMIF('2020'!B:B,B1251,'2020'!C:C)+SUMIF('2021'!B:B,B1251,'2021'!C:C)+SUMIF('2022'!B:B,B1251,'2022'!C:C)</f>
        <v>526394.02</v>
      </c>
      <c r="J1251" s="59">
        <v>44925</v>
      </c>
      <c r="K1251" s="162" t="s">
        <v>3118</v>
      </c>
    </row>
    <row r="1252" spans="1:11" x14ac:dyDescent="0.3">
      <c r="A1252" s="259">
        <f t="shared" si="51"/>
        <v>1119</v>
      </c>
      <c r="B1252" s="20" t="s">
        <v>1215</v>
      </c>
      <c r="C1252" s="162">
        <v>1977</v>
      </c>
      <c r="D1252" s="273"/>
      <c r="E1252" s="162" t="s">
        <v>3438</v>
      </c>
      <c r="F1252" s="28" t="s">
        <v>3144</v>
      </c>
      <c r="G1252" s="46">
        <v>2516.9</v>
      </c>
      <c r="H1252" s="48">
        <v>87</v>
      </c>
      <c r="I1252" s="273">
        <f>SUMIF('2020'!B:B,B1252,'2020'!C:C)+SUMIF('2021'!B:B,B1252,'2021'!C:C)+SUMIF('2022'!B:B,B1252,'2022'!C:C)</f>
        <v>264324.52</v>
      </c>
      <c r="J1252" s="59">
        <v>44925</v>
      </c>
      <c r="K1252" s="162" t="s">
        <v>3118</v>
      </c>
    </row>
    <row r="1253" spans="1:11" x14ac:dyDescent="0.3">
      <c r="A1253" s="259">
        <f t="shared" si="51"/>
        <v>1120</v>
      </c>
      <c r="B1253" s="20" t="s">
        <v>1216</v>
      </c>
      <c r="C1253" s="162">
        <v>1961</v>
      </c>
      <c r="D1253" s="273"/>
      <c r="E1253" s="162" t="s">
        <v>3438</v>
      </c>
      <c r="F1253" s="48">
        <v>3</v>
      </c>
      <c r="G1253" s="46">
        <v>1474.85</v>
      </c>
      <c r="H1253" s="48">
        <v>69</v>
      </c>
      <c r="I1253" s="273">
        <f>SUMIF('2020'!B:B,B1253,'2020'!C:C)+SUMIF('2021'!B:B,B1253,'2021'!C:C)+SUMIF('2022'!B:B,B1253,'2022'!C:C)</f>
        <v>592329.49</v>
      </c>
      <c r="J1253" s="59">
        <v>44925</v>
      </c>
      <c r="K1253" s="162" t="s">
        <v>3118</v>
      </c>
    </row>
    <row r="1254" spans="1:11" x14ac:dyDescent="0.3">
      <c r="A1254" s="259">
        <f t="shared" si="51"/>
        <v>1121</v>
      </c>
      <c r="B1254" s="20" t="s">
        <v>1217</v>
      </c>
      <c r="C1254" s="162">
        <v>1957</v>
      </c>
      <c r="D1254" s="273"/>
      <c r="E1254" s="162" t="s">
        <v>3442</v>
      </c>
      <c r="F1254" s="48">
        <v>3</v>
      </c>
      <c r="G1254" s="46">
        <v>1481</v>
      </c>
      <c r="H1254" s="48">
        <v>48</v>
      </c>
      <c r="I1254" s="273">
        <f>SUMIF('2020'!B:B,B1254,'2020'!C:C)+SUMIF('2021'!B:B,B1254,'2021'!C:C)+SUMIF('2022'!B:B,B1254,'2022'!C:C)</f>
        <v>1991313.3599999999</v>
      </c>
      <c r="J1254" s="59">
        <v>44925</v>
      </c>
      <c r="K1254" s="162" t="s">
        <v>3118</v>
      </c>
    </row>
    <row r="1255" spans="1:11" x14ac:dyDescent="0.3">
      <c r="A1255" s="259">
        <f t="shared" si="51"/>
        <v>1122</v>
      </c>
      <c r="B1255" s="20" t="s">
        <v>1218</v>
      </c>
      <c r="C1255" s="162">
        <v>1960</v>
      </c>
      <c r="D1255" s="273"/>
      <c r="E1255" s="162" t="s">
        <v>3438</v>
      </c>
      <c r="F1255" s="48">
        <v>3</v>
      </c>
      <c r="G1255" s="46">
        <v>1522.9</v>
      </c>
      <c r="H1255" s="48">
        <v>69</v>
      </c>
      <c r="I1255" s="273">
        <f>SUMIF('2020'!B:B,B1255,'2020'!C:C)+SUMIF('2021'!B:B,B1255,'2021'!C:C)+SUMIF('2022'!B:B,B1255,'2022'!C:C)</f>
        <v>280386.73</v>
      </c>
      <c r="J1255" s="59">
        <v>44925</v>
      </c>
      <c r="K1255" s="162" t="s">
        <v>3118</v>
      </c>
    </row>
    <row r="1256" spans="1:11" x14ac:dyDescent="0.3">
      <c r="A1256" s="259">
        <f t="shared" si="51"/>
        <v>1123</v>
      </c>
      <c r="B1256" s="20" t="s">
        <v>1219</v>
      </c>
      <c r="C1256" s="162">
        <v>1981</v>
      </c>
      <c r="D1256" s="273"/>
      <c r="E1256" s="162" t="s">
        <v>3438</v>
      </c>
      <c r="F1256" s="48">
        <v>2</v>
      </c>
      <c r="G1256" s="46">
        <v>440.3</v>
      </c>
      <c r="H1256" s="48">
        <v>20</v>
      </c>
      <c r="I1256" s="273">
        <f>SUMIF('2020'!B:B,B1256,'2020'!C:C)+SUMIF('2021'!B:B,B1256,'2021'!C:C)+SUMIF('2022'!B:B,B1256,'2022'!C:C)</f>
        <v>433608.26</v>
      </c>
      <c r="J1256" s="59">
        <v>44925</v>
      </c>
      <c r="K1256" s="162" t="s">
        <v>3118</v>
      </c>
    </row>
    <row r="1257" spans="1:11" x14ac:dyDescent="0.3">
      <c r="A1257" s="259">
        <f t="shared" si="51"/>
        <v>1124</v>
      </c>
      <c r="B1257" s="20" t="s">
        <v>1220</v>
      </c>
      <c r="C1257" s="162">
        <v>1981</v>
      </c>
      <c r="D1257" s="273"/>
      <c r="E1257" s="162" t="s">
        <v>3438</v>
      </c>
      <c r="F1257" s="48">
        <v>2</v>
      </c>
      <c r="G1257" s="46">
        <v>431.6</v>
      </c>
      <c r="H1257" s="48">
        <v>22</v>
      </c>
      <c r="I1257" s="273">
        <f>SUMIF('2020'!B:B,B1257,'2020'!C:C)+SUMIF('2021'!B:B,B1257,'2021'!C:C)+SUMIF('2022'!B:B,B1257,'2022'!C:C)</f>
        <v>554970.93999999994</v>
      </c>
      <c r="J1257" s="59">
        <v>44925</v>
      </c>
      <c r="K1257" s="162" t="s">
        <v>3118</v>
      </c>
    </row>
    <row r="1258" spans="1:11" x14ac:dyDescent="0.3">
      <c r="A1258" s="259">
        <f t="shared" si="51"/>
        <v>1125</v>
      </c>
      <c r="B1258" s="20" t="s">
        <v>1221</v>
      </c>
      <c r="C1258" s="162">
        <v>1969</v>
      </c>
      <c r="D1258" s="273"/>
      <c r="E1258" s="162" t="s">
        <v>3438</v>
      </c>
      <c r="F1258" s="48">
        <v>5</v>
      </c>
      <c r="G1258" s="46">
        <v>3211.9</v>
      </c>
      <c r="H1258" s="48">
        <v>126</v>
      </c>
      <c r="I1258" s="273">
        <f>SUMIF('2020'!B:B,B1258,'2020'!C:C)+SUMIF('2021'!B:B,B1258,'2021'!C:C)+SUMIF('2022'!B:B,B1258,'2022'!C:C)</f>
        <v>194003.72</v>
      </c>
      <c r="J1258" s="59">
        <v>44925</v>
      </c>
      <c r="K1258" s="162" t="s">
        <v>3118</v>
      </c>
    </row>
    <row r="1259" spans="1:11" x14ac:dyDescent="0.3">
      <c r="A1259" s="259">
        <f t="shared" si="51"/>
        <v>1126</v>
      </c>
      <c r="B1259" s="20" t="s">
        <v>1222</v>
      </c>
      <c r="C1259" s="162">
        <v>1917</v>
      </c>
      <c r="D1259" s="273"/>
      <c r="E1259" s="162" t="s">
        <v>3438</v>
      </c>
      <c r="F1259" s="48">
        <v>2</v>
      </c>
      <c r="G1259" s="46">
        <v>501.5</v>
      </c>
      <c r="H1259" s="48">
        <v>20</v>
      </c>
      <c r="I1259" s="273">
        <f>SUMIF('2020'!B:B,B1259,'2020'!C:C)+SUMIF('2021'!B:B,B1259,'2021'!C:C)+SUMIF('2022'!B:B,B1259,'2022'!C:C)</f>
        <v>180304.48</v>
      </c>
      <c r="J1259" s="59">
        <v>44925</v>
      </c>
      <c r="K1259" s="162" t="s">
        <v>3118</v>
      </c>
    </row>
    <row r="1260" spans="1:11" x14ac:dyDescent="0.3">
      <c r="A1260" s="259">
        <f t="shared" si="51"/>
        <v>1127</v>
      </c>
      <c r="B1260" s="20" t="s">
        <v>1223</v>
      </c>
      <c r="C1260" s="162">
        <v>1965</v>
      </c>
      <c r="D1260" s="273"/>
      <c r="E1260" s="162" t="s">
        <v>3438</v>
      </c>
      <c r="F1260" s="48">
        <v>5</v>
      </c>
      <c r="G1260" s="46">
        <v>2329</v>
      </c>
      <c r="H1260" s="48">
        <v>86</v>
      </c>
      <c r="I1260" s="273">
        <f>SUMIF('2020'!B:B,B1260,'2020'!C:C)+SUMIF('2021'!B:B,B1260,'2021'!C:C)+SUMIF('2022'!B:B,B1260,'2022'!C:C)</f>
        <v>162857.75</v>
      </c>
      <c r="J1260" s="59">
        <v>44925</v>
      </c>
      <c r="K1260" s="162" t="s">
        <v>3118</v>
      </c>
    </row>
    <row r="1261" spans="1:11" x14ac:dyDescent="0.3">
      <c r="A1261" s="259">
        <f t="shared" si="51"/>
        <v>1128</v>
      </c>
      <c r="B1261" s="20" t="s">
        <v>1224</v>
      </c>
      <c r="C1261" s="162">
        <v>1917</v>
      </c>
      <c r="D1261" s="273"/>
      <c r="E1261" s="162" t="s">
        <v>3440</v>
      </c>
      <c r="F1261" s="48">
        <v>2</v>
      </c>
      <c r="G1261" s="46">
        <v>183.3</v>
      </c>
      <c r="H1261" s="48">
        <v>20</v>
      </c>
      <c r="I1261" s="273">
        <f>SUMIF('2020'!B:B,B1261,'2020'!C:C)+SUMIF('2021'!B:B,B1261,'2021'!C:C)+SUMIF('2022'!B:B,B1261,'2022'!C:C)</f>
        <v>141498.97</v>
      </c>
      <c r="J1261" s="59">
        <v>44925</v>
      </c>
      <c r="K1261" s="162" t="s">
        <v>3118</v>
      </c>
    </row>
    <row r="1262" spans="1:11" x14ac:dyDescent="0.3">
      <c r="A1262" s="259">
        <f t="shared" si="51"/>
        <v>1129</v>
      </c>
      <c r="B1262" s="20" t="s">
        <v>1225</v>
      </c>
      <c r="C1262" s="162">
        <v>1967</v>
      </c>
      <c r="D1262" s="273"/>
      <c r="E1262" s="162" t="s">
        <v>3438</v>
      </c>
      <c r="F1262" s="48">
        <v>5</v>
      </c>
      <c r="G1262" s="46">
        <v>2388.1</v>
      </c>
      <c r="H1262" s="48">
        <v>98</v>
      </c>
      <c r="I1262" s="273">
        <f>SUMIF('2020'!B:B,B1262,'2020'!C:C)+SUMIF('2021'!B:B,B1262,'2021'!C:C)+SUMIF('2022'!B:B,B1262,'2022'!C:C)</f>
        <v>164790.70000000001</v>
      </c>
      <c r="J1262" s="59">
        <v>44925</v>
      </c>
      <c r="K1262" s="162" t="s">
        <v>3118</v>
      </c>
    </row>
    <row r="1263" spans="1:11" x14ac:dyDescent="0.3">
      <c r="A1263" s="259">
        <f t="shared" si="51"/>
        <v>1130</v>
      </c>
      <c r="B1263" s="20" t="s">
        <v>1226</v>
      </c>
      <c r="C1263" s="162">
        <v>1961</v>
      </c>
      <c r="D1263" s="273"/>
      <c r="E1263" s="162" t="s">
        <v>3438</v>
      </c>
      <c r="F1263" s="48">
        <v>3</v>
      </c>
      <c r="G1263" s="46">
        <v>976.76</v>
      </c>
      <c r="H1263" s="48">
        <v>44</v>
      </c>
      <c r="I1263" s="273">
        <f>SUMIF('2020'!B:B,B1263,'2020'!C:C)+SUMIF('2021'!B:B,B1263,'2021'!C:C)+SUMIF('2022'!B:B,B1263,'2022'!C:C)</f>
        <v>264340.58999999997</v>
      </c>
      <c r="J1263" s="59">
        <v>44925</v>
      </c>
      <c r="K1263" s="162" t="s">
        <v>3118</v>
      </c>
    </row>
    <row r="1264" spans="1:11" x14ac:dyDescent="0.3">
      <c r="A1264" s="259">
        <f t="shared" si="51"/>
        <v>1131</v>
      </c>
      <c r="B1264" s="20" t="s">
        <v>1227</v>
      </c>
      <c r="C1264" s="162">
        <v>1960</v>
      </c>
      <c r="D1264" s="273"/>
      <c r="E1264" s="162" t="s">
        <v>3438</v>
      </c>
      <c r="F1264" s="48">
        <v>3</v>
      </c>
      <c r="G1264" s="46">
        <v>966.5</v>
      </c>
      <c r="H1264" s="51">
        <v>49</v>
      </c>
      <c r="I1264" s="273">
        <f>SUMIF('2020'!B:B,B1264,'2020'!C:C)+SUMIF('2021'!B:B,B1264,'2021'!C:C)+SUMIF('2022'!B:B,B1264,'2022'!C:C)</f>
        <v>122727.13</v>
      </c>
      <c r="J1264" s="59">
        <v>44925</v>
      </c>
      <c r="K1264" s="162" t="s">
        <v>3118</v>
      </c>
    </row>
    <row r="1265" spans="1:11" x14ac:dyDescent="0.3">
      <c r="A1265" s="259">
        <f t="shared" si="51"/>
        <v>1132</v>
      </c>
      <c r="B1265" s="20" t="s">
        <v>1228</v>
      </c>
      <c r="C1265" s="162">
        <v>1977</v>
      </c>
      <c r="D1265" s="273"/>
      <c r="E1265" s="162" t="s">
        <v>3190</v>
      </c>
      <c r="F1265" s="48">
        <v>5</v>
      </c>
      <c r="G1265" s="46">
        <v>6404.9</v>
      </c>
      <c r="H1265" s="51">
        <v>250</v>
      </c>
      <c r="I1265" s="273">
        <f>SUMIF('2020'!B:B,B1265,'2020'!C:C)+SUMIF('2021'!B:B,B1265,'2021'!C:C)+SUMIF('2022'!B:B,B1265,'2022'!C:C)</f>
        <v>417737.4</v>
      </c>
      <c r="J1265" s="59">
        <v>44925</v>
      </c>
      <c r="K1265" s="162" t="s">
        <v>3118</v>
      </c>
    </row>
    <row r="1266" spans="1:11" x14ac:dyDescent="0.3">
      <c r="A1266" s="259">
        <f t="shared" si="51"/>
        <v>1133</v>
      </c>
      <c r="B1266" s="20" t="s">
        <v>1229</v>
      </c>
      <c r="C1266" s="162">
        <v>1960</v>
      </c>
      <c r="D1266" s="273"/>
      <c r="E1266" s="162" t="s">
        <v>3438</v>
      </c>
      <c r="F1266" s="48">
        <v>3</v>
      </c>
      <c r="G1266" s="46">
        <v>957.37</v>
      </c>
      <c r="H1266" s="51">
        <v>37</v>
      </c>
      <c r="I1266" s="273">
        <f>SUMIF('2020'!B:B,B1266,'2020'!C:C)+SUMIF('2021'!B:B,B1266,'2021'!C:C)+SUMIF('2022'!B:B,B1266,'2022'!C:C)</f>
        <v>120623.93</v>
      </c>
      <c r="J1266" s="59">
        <v>44925</v>
      </c>
      <c r="K1266" s="162" t="s">
        <v>3118</v>
      </c>
    </row>
    <row r="1267" spans="1:11" x14ac:dyDescent="0.3">
      <c r="A1267" s="259">
        <f t="shared" si="51"/>
        <v>1134</v>
      </c>
      <c r="B1267" s="20" t="s">
        <v>1230</v>
      </c>
      <c r="C1267" s="162">
        <v>1968</v>
      </c>
      <c r="D1267" s="273"/>
      <c r="E1267" s="162" t="s">
        <v>3190</v>
      </c>
      <c r="F1267" s="48">
        <v>5</v>
      </c>
      <c r="G1267" s="46">
        <v>3499.34</v>
      </c>
      <c r="H1267" s="48">
        <v>172</v>
      </c>
      <c r="I1267" s="273">
        <f>SUMIF('2020'!B:B,B1267,'2020'!C:C)+SUMIF('2021'!B:B,B1267,'2021'!C:C)+SUMIF('2022'!B:B,B1267,'2022'!C:C)</f>
        <v>370165.74</v>
      </c>
      <c r="J1267" s="59">
        <v>44925</v>
      </c>
      <c r="K1267" s="162" t="s">
        <v>3118</v>
      </c>
    </row>
    <row r="1268" spans="1:11" x14ac:dyDescent="0.3">
      <c r="A1268" s="259">
        <f t="shared" si="51"/>
        <v>1135</v>
      </c>
      <c r="B1268" s="20" t="s">
        <v>1231</v>
      </c>
      <c r="C1268" s="162">
        <v>1967</v>
      </c>
      <c r="D1268" s="273"/>
      <c r="E1268" s="162" t="s">
        <v>3190</v>
      </c>
      <c r="F1268" s="48">
        <v>5</v>
      </c>
      <c r="G1268" s="46">
        <v>5173.16</v>
      </c>
      <c r="H1268" s="48">
        <v>359</v>
      </c>
      <c r="I1268" s="273">
        <f>SUMIF('2020'!B:B,B1268,'2020'!C:C)+SUMIF('2021'!B:B,B1268,'2021'!C:C)+SUMIF('2022'!B:B,B1268,'2022'!C:C)</f>
        <v>194425.94</v>
      </c>
      <c r="J1268" s="59">
        <v>44925</v>
      </c>
      <c r="K1268" s="162" t="s">
        <v>3118</v>
      </c>
    </row>
    <row r="1269" spans="1:11" x14ac:dyDescent="0.3">
      <c r="A1269" s="259">
        <f t="shared" si="51"/>
        <v>1136</v>
      </c>
      <c r="B1269" s="20" t="s">
        <v>1232</v>
      </c>
      <c r="C1269" s="162">
        <v>1961</v>
      </c>
      <c r="D1269" s="273"/>
      <c r="E1269" s="162" t="s">
        <v>3438</v>
      </c>
      <c r="F1269" s="48">
        <v>4</v>
      </c>
      <c r="G1269" s="46">
        <v>3302.23</v>
      </c>
      <c r="H1269" s="48">
        <v>136</v>
      </c>
      <c r="I1269" s="273">
        <f>SUMIF('2020'!B:B,B1269,'2020'!C:C)+SUMIF('2021'!B:B,B1269,'2021'!C:C)+SUMIF('2022'!B:B,B1269,'2022'!C:C)</f>
        <v>252508.67</v>
      </c>
      <c r="J1269" s="59">
        <v>44925</v>
      </c>
      <c r="K1269" s="162" t="s">
        <v>3118</v>
      </c>
    </row>
    <row r="1270" spans="1:11" x14ac:dyDescent="0.3">
      <c r="A1270" s="259">
        <f t="shared" si="51"/>
        <v>1137</v>
      </c>
      <c r="B1270" s="20" t="s">
        <v>1234</v>
      </c>
      <c r="C1270" s="162">
        <v>1962</v>
      </c>
      <c r="D1270" s="273"/>
      <c r="E1270" s="162" t="s">
        <v>3438</v>
      </c>
      <c r="F1270" s="48">
        <v>2</v>
      </c>
      <c r="G1270" s="46">
        <v>1348.5</v>
      </c>
      <c r="H1270" s="48">
        <v>55</v>
      </c>
      <c r="I1270" s="273">
        <f>SUMIF('2020'!B:B,B1270,'2020'!C:C)+SUMIF('2021'!B:B,B1270,'2021'!C:C)+SUMIF('2022'!B:B,B1270,'2022'!C:C)</f>
        <v>159166.12</v>
      </c>
      <c r="J1270" s="59">
        <v>44925</v>
      </c>
      <c r="K1270" s="162" t="s">
        <v>3118</v>
      </c>
    </row>
    <row r="1271" spans="1:11" x14ac:dyDescent="0.3">
      <c r="A1271" s="259">
        <f t="shared" si="51"/>
        <v>1138</v>
      </c>
      <c r="B1271" s="20" t="s">
        <v>1235</v>
      </c>
      <c r="C1271" s="162">
        <v>1964</v>
      </c>
      <c r="D1271" s="273"/>
      <c r="E1271" s="162" t="s">
        <v>3438</v>
      </c>
      <c r="F1271" s="48">
        <v>2</v>
      </c>
      <c r="G1271" s="46">
        <v>713.4</v>
      </c>
      <c r="H1271" s="48">
        <v>30</v>
      </c>
      <c r="I1271" s="273">
        <f>SUMIF('2020'!B:B,B1271,'2020'!C:C)+SUMIF('2021'!B:B,B1271,'2021'!C:C)+SUMIF('2022'!B:B,B1271,'2022'!C:C)</f>
        <v>155166.13</v>
      </c>
      <c r="J1271" s="59">
        <v>44925</v>
      </c>
      <c r="K1271" s="162" t="s">
        <v>3118</v>
      </c>
    </row>
    <row r="1272" spans="1:11" x14ac:dyDescent="0.3">
      <c r="A1272" s="259">
        <f t="shared" si="51"/>
        <v>1139</v>
      </c>
      <c r="B1272" s="20" t="s">
        <v>1236</v>
      </c>
      <c r="C1272" s="162">
        <v>1975</v>
      </c>
      <c r="D1272" s="273"/>
      <c r="E1272" s="162" t="s">
        <v>3190</v>
      </c>
      <c r="F1272" s="48">
        <v>5</v>
      </c>
      <c r="G1272" s="46">
        <v>4587.3999999999996</v>
      </c>
      <c r="H1272" s="48">
        <v>206</v>
      </c>
      <c r="I1272" s="273">
        <f>SUMIF('2020'!B:B,B1272,'2020'!C:C)+SUMIF('2021'!B:B,B1272,'2021'!C:C)+SUMIF('2022'!B:B,B1272,'2022'!C:C)</f>
        <v>441162.07</v>
      </c>
      <c r="J1272" s="59">
        <v>44925</v>
      </c>
      <c r="K1272" s="162" t="s">
        <v>3118</v>
      </c>
    </row>
    <row r="1273" spans="1:11" x14ac:dyDescent="0.3">
      <c r="A1273" s="259">
        <f t="shared" si="51"/>
        <v>1140</v>
      </c>
      <c r="B1273" s="20" t="s">
        <v>1237</v>
      </c>
      <c r="C1273" s="162">
        <v>1961</v>
      </c>
      <c r="D1273" s="273"/>
      <c r="E1273" s="162" t="s">
        <v>3440</v>
      </c>
      <c r="F1273" s="48">
        <v>2</v>
      </c>
      <c r="G1273" s="46">
        <v>508.28</v>
      </c>
      <c r="H1273" s="48">
        <v>31</v>
      </c>
      <c r="I1273" s="273">
        <f>SUMIF('2020'!B:B,B1273,'2020'!C:C)+SUMIF('2021'!B:B,B1273,'2021'!C:C)+SUMIF('2022'!B:B,B1273,'2022'!C:C)</f>
        <v>4904960.0299999993</v>
      </c>
      <c r="J1273" s="59">
        <v>44925</v>
      </c>
      <c r="K1273" s="162" t="s">
        <v>3118</v>
      </c>
    </row>
    <row r="1274" spans="1:11" x14ac:dyDescent="0.3">
      <c r="A1274" s="259">
        <f t="shared" si="51"/>
        <v>1141</v>
      </c>
      <c r="B1274" s="20" t="s">
        <v>1238</v>
      </c>
      <c r="C1274" s="162">
        <v>1917</v>
      </c>
      <c r="D1274" s="273"/>
      <c r="E1274" s="162" t="s">
        <v>3440</v>
      </c>
      <c r="F1274" s="48">
        <v>2</v>
      </c>
      <c r="G1274" s="46">
        <v>367</v>
      </c>
      <c r="H1274" s="48">
        <v>16</v>
      </c>
      <c r="I1274" s="273">
        <f>SUMIF('2020'!B:B,B1274,'2020'!C:C)+SUMIF('2021'!B:B,B1274,'2021'!C:C)+SUMIF('2022'!B:B,B1274,'2022'!C:C)</f>
        <v>175577.06</v>
      </c>
      <c r="J1274" s="59">
        <v>44925</v>
      </c>
      <c r="K1274" s="162" t="s">
        <v>3118</v>
      </c>
    </row>
    <row r="1275" spans="1:11" x14ac:dyDescent="0.3">
      <c r="A1275" s="259">
        <f t="shared" si="51"/>
        <v>1142</v>
      </c>
      <c r="B1275" s="20" t="s">
        <v>1239</v>
      </c>
      <c r="C1275" s="162">
        <v>1957</v>
      </c>
      <c r="D1275" s="273"/>
      <c r="E1275" s="162" t="s">
        <v>3438</v>
      </c>
      <c r="F1275" s="48">
        <v>3</v>
      </c>
      <c r="G1275" s="46">
        <v>1855.6</v>
      </c>
      <c r="H1275" s="48">
        <v>64</v>
      </c>
      <c r="I1275" s="273">
        <f>SUMIF('2020'!B:B,B1275,'2020'!C:C)+SUMIF('2021'!B:B,B1275,'2021'!C:C)+SUMIF('2022'!B:B,B1275,'2022'!C:C)</f>
        <v>162232.79</v>
      </c>
      <c r="J1275" s="59">
        <v>44925</v>
      </c>
      <c r="K1275" s="162" t="s">
        <v>3118</v>
      </c>
    </row>
    <row r="1276" spans="1:11" x14ac:dyDescent="0.3">
      <c r="A1276" s="259">
        <f t="shared" si="51"/>
        <v>1143</v>
      </c>
      <c r="B1276" s="20" t="s">
        <v>1240</v>
      </c>
      <c r="C1276" s="162">
        <v>1975</v>
      </c>
      <c r="D1276" s="273"/>
      <c r="E1276" s="162" t="s">
        <v>3190</v>
      </c>
      <c r="F1276" s="48">
        <v>5</v>
      </c>
      <c r="G1276" s="46">
        <v>5660</v>
      </c>
      <c r="H1276" s="48">
        <v>269</v>
      </c>
      <c r="I1276" s="273">
        <f>SUMIF('2020'!B:B,B1276,'2020'!C:C)+SUMIF('2021'!B:B,B1276,'2021'!C:C)+SUMIF('2022'!B:B,B1276,'2022'!C:C)</f>
        <v>264773.94</v>
      </c>
      <c r="J1276" s="59">
        <v>44925</v>
      </c>
      <c r="K1276" s="162" t="s">
        <v>3118</v>
      </c>
    </row>
    <row r="1277" spans="1:11" x14ac:dyDescent="0.3">
      <c r="A1277" s="259">
        <f t="shared" si="51"/>
        <v>1144</v>
      </c>
      <c r="B1277" s="20" t="s">
        <v>1241</v>
      </c>
      <c r="C1277" s="162">
        <v>1917</v>
      </c>
      <c r="D1277" s="273"/>
      <c r="E1277" s="162" t="s">
        <v>3438</v>
      </c>
      <c r="F1277" s="48">
        <v>2</v>
      </c>
      <c r="G1277" s="46">
        <v>541.70000000000005</v>
      </c>
      <c r="H1277" s="48">
        <v>35</v>
      </c>
      <c r="I1277" s="273">
        <f>SUMIF('2020'!B:B,B1277,'2020'!C:C)+SUMIF('2021'!B:B,B1277,'2021'!C:C)+SUMIF('2022'!B:B,B1277,'2022'!C:C)</f>
        <v>200896.86</v>
      </c>
      <c r="J1277" s="59">
        <v>44925</v>
      </c>
      <c r="K1277" s="162" t="s">
        <v>3118</v>
      </c>
    </row>
    <row r="1278" spans="1:11" x14ac:dyDescent="0.3">
      <c r="A1278" s="259">
        <f t="shared" si="51"/>
        <v>1145</v>
      </c>
      <c r="B1278" s="20" t="s">
        <v>1242</v>
      </c>
      <c r="C1278" s="162">
        <v>1969</v>
      </c>
      <c r="D1278" s="273"/>
      <c r="E1278" s="162" t="s">
        <v>3438</v>
      </c>
      <c r="F1278" s="48">
        <v>5</v>
      </c>
      <c r="G1278" s="46">
        <v>3473.86</v>
      </c>
      <c r="H1278" s="48">
        <v>167</v>
      </c>
      <c r="I1278" s="273">
        <f>SUMIF('2020'!B:B,B1278,'2020'!C:C)+SUMIF('2021'!B:B,B1278,'2021'!C:C)+SUMIF('2022'!B:B,B1278,'2022'!C:C)</f>
        <v>218662.27</v>
      </c>
      <c r="J1278" s="59">
        <v>44925</v>
      </c>
      <c r="K1278" s="162" t="s">
        <v>3118</v>
      </c>
    </row>
    <row r="1279" spans="1:11" x14ac:dyDescent="0.3">
      <c r="A1279" s="259">
        <f t="shared" si="51"/>
        <v>1146</v>
      </c>
      <c r="B1279" s="20" t="s">
        <v>1243</v>
      </c>
      <c r="C1279" s="162">
        <v>1917</v>
      </c>
      <c r="D1279" s="273"/>
      <c r="E1279" s="162" t="s">
        <v>3440</v>
      </c>
      <c r="F1279" s="48">
        <v>2</v>
      </c>
      <c r="G1279" s="46">
        <v>583.66</v>
      </c>
      <c r="H1279" s="48">
        <v>31</v>
      </c>
      <c r="I1279" s="273">
        <f>SUMIF('2020'!B:B,B1279,'2020'!C:C)+SUMIF('2021'!B:B,B1279,'2021'!C:C)+SUMIF('2022'!B:B,B1279,'2022'!C:C)</f>
        <v>5182120.8600000003</v>
      </c>
      <c r="J1279" s="59">
        <v>44925</v>
      </c>
      <c r="K1279" s="162" t="s">
        <v>3118</v>
      </c>
    </row>
    <row r="1280" spans="1:11" x14ac:dyDescent="0.3">
      <c r="A1280" s="259">
        <f t="shared" si="51"/>
        <v>1147</v>
      </c>
      <c r="B1280" s="20" t="s">
        <v>1244</v>
      </c>
      <c r="C1280" s="162">
        <v>1917</v>
      </c>
      <c r="D1280" s="273"/>
      <c r="E1280" s="162" t="s">
        <v>3440</v>
      </c>
      <c r="F1280" s="48">
        <v>2</v>
      </c>
      <c r="G1280" s="46">
        <v>292.89999999999998</v>
      </c>
      <c r="H1280" s="48">
        <v>15</v>
      </c>
      <c r="I1280" s="273">
        <f>SUMIF('2020'!B:B,B1280,'2020'!C:C)+SUMIF('2021'!B:B,B1280,'2021'!C:C)+SUMIF('2022'!B:B,B1280,'2022'!C:C)</f>
        <v>82892.84</v>
      </c>
      <c r="J1280" s="59">
        <v>44925</v>
      </c>
      <c r="K1280" s="162" t="s">
        <v>3118</v>
      </c>
    </row>
    <row r="1281" spans="1:11" x14ac:dyDescent="0.3">
      <c r="A1281" s="259">
        <f t="shared" si="51"/>
        <v>1148</v>
      </c>
      <c r="B1281" s="20" t="s">
        <v>1245</v>
      </c>
      <c r="C1281" s="162">
        <v>1959</v>
      </c>
      <c r="D1281" s="273"/>
      <c r="E1281" s="162" t="s">
        <v>3438</v>
      </c>
      <c r="F1281" s="48">
        <v>2</v>
      </c>
      <c r="G1281" s="46">
        <v>743.79</v>
      </c>
      <c r="H1281" s="48">
        <v>31</v>
      </c>
      <c r="I1281" s="273">
        <f>SUMIF('2020'!B:B,B1281,'2020'!C:C)+SUMIF('2021'!B:B,B1281,'2021'!C:C)+SUMIF('2022'!B:B,B1281,'2022'!C:C)</f>
        <v>133856.1</v>
      </c>
      <c r="J1281" s="59">
        <v>44925</v>
      </c>
      <c r="K1281" s="162" t="s">
        <v>3118</v>
      </c>
    </row>
    <row r="1282" spans="1:11" x14ac:dyDescent="0.3">
      <c r="A1282" s="259">
        <f t="shared" si="51"/>
        <v>1149</v>
      </c>
      <c r="B1282" s="20" t="s">
        <v>1246</v>
      </c>
      <c r="C1282" s="162">
        <v>1960</v>
      </c>
      <c r="D1282" s="273"/>
      <c r="E1282" s="162" t="s">
        <v>3438</v>
      </c>
      <c r="F1282" s="48">
        <v>2</v>
      </c>
      <c r="G1282" s="46">
        <v>873.63</v>
      </c>
      <c r="H1282" s="48">
        <v>49</v>
      </c>
      <c r="I1282" s="273">
        <f>SUMIF('2020'!B:B,B1282,'2020'!C:C)+SUMIF('2021'!B:B,B1282,'2021'!C:C)+SUMIF('2022'!B:B,B1282,'2022'!C:C)</f>
        <v>108226.73</v>
      </c>
      <c r="J1282" s="59">
        <v>44925</v>
      </c>
      <c r="K1282" s="162" t="s">
        <v>3118</v>
      </c>
    </row>
    <row r="1283" spans="1:11" x14ac:dyDescent="0.3">
      <c r="A1283" s="259">
        <f t="shared" si="51"/>
        <v>1150</v>
      </c>
      <c r="B1283" s="20" t="s">
        <v>1247</v>
      </c>
      <c r="C1283" s="162">
        <v>1965</v>
      </c>
      <c r="D1283" s="273"/>
      <c r="E1283" s="162" t="s">
        <v>3438</v>
      </c>
      <c r="F1283" s="48">
        <v>5</v>
      </c>
      <c r="G1283" s="46">
        <v>2726.5</v>
      </c>
      <c r="H1283" s="48">
        <v>110</v>
      </c>
      <c r="I1283" s="273">
        <f>SUMIF('2020'!B:B,B1283,'2020'!C:C)+SUMIF('2021'!B:B,B1283,'2021'!C:C)+SUMIF('2022'!B:B,B1283,'2022'!C:C)</f>
        <v>2470191.7999999998</v>
      </c>
      <c r="J1283" s="59">
        <v>44925</v>
      </c>
      <c r="K1283" s="162" t="s">
        <v>3118</v>
      </c>
    </row>
    <row r="1284" spans="1:11" x14ac:dyDescent="0.3">
      <c r="A1284" s="259">
        <f t="shared" si="51"/>
        <v>1151</v>
      </c>
      <c r="B1284" s="20" t="s">
        <v>1248</v>
      </c>
      <c r="C1284" s="162">
        <v>1917</v>
      </c>
      <c r="D1284" s="273"/>
      <c r="E1284" s="162" t="s">
        <v>3440</v>
      </c>
      <c r="F1284" s="48">
        <v>2</v>
      </c>
      <c r="G1284" s="46">
        <v>393.8</v>
      </c>
      <c r="H1284" s="48">
        <v>17</v>
      </c>
      <c r="I1284" s="273">
        <f>SUMIF('2020'!B:B,B1284,'2020'!C:C)+SUMIF('2021'!B:B,B1284,'2021'!C:C)+SUMIF('2022'!B:B,B1284,'2022'!C:C)</f>
        <v>2687002.8</v>
      </c>
      <c r="J1284" s="59">
        <v>44925</v>
      </c>
      <c r="K1284" s="162" t="s">
        <v>3118</v>
      </c>
    </row>
    <row r="1285" spans="1:11" x14ac:dyDescent="0.3">
      <c r="A1285" s="259">
        <f t="shared" si="51"/>
        <v>1152</v>
      </c>
      <c r="B1285" s="20" t="s">
        <v>1249</v>
      </c>
      <c r="C1285" s="162">
        <v>1917</v>
      </c>
      <c r="D1285" s="273"/>
      <c r="E1285" s="162" t="s">
        <v>3440</v>
      </c>
      <c r="F1285" s="48">
        <v>2</v>
      </c>
      <c r="G1285" s="46">
        <v>214.95</v>
      </c>
      <c r="H1285" s="48">
        <v>13</v>
      </c>
      <c r="I1285" s="273">
        <f>SUMIF('2020'!B:B,B1285,'2020'!C:C)+SUMIF('2021'!B:B,B1285,'2021'!C:C)+SUMIF('2022'!B:B,B1285,'2022'!C:C)</f>
        <v>184061.24</v>
      </c>
      <c r="J1285" s="59">
        <v>44925</v>
      </c>
      <c r="K1285" s="162" t="s">
        <v>3118</v>
      </c>
    </row>
    <row r="1286" spans="1:11" x14ac:dyDescent="0.3">
      <c r="A1286" s="259">
        <f t="shared" si="51"/>
        <v>1153</v>
      </c>
      <c r="B1286" s="20" t="s">
        <v>1250</v>
      </c>
      <c r="C1286" s="162">
        <v>1940</v>
      </c>
      <c r="D1286" s="273"/>
      <c r="E1286" s="162" t="s">
        <v>3440</v>
      </c>
      <c r="F1286" s="48">
        <v>2</v>
      </c>
      <c r="G1286" s="46">
        <v>386.59</v>
      </c>
      <c r="H1286" s="48">
        <v>23</v>
      </c>
      <c r="I1286" s="273">
        <f>SUMIF('2020'!B:B,B1286,'2020'!C:C)+SUMIF('2021'!B:B,B1286,'2021'!C:C)+SUMIF('2022'!B:B,B1286,'2022'!C:C)</f>
        <v>146189.24</v>
      </c>
      <c r="J1286" s="59">
        <v>44925</v>
      </c>
      <c r="K1286" s="162" t="s">
        <v>3118</v>
      </c>
    </row>
    <row r="1287" spans="1:11" x14ac:dyDescent="0.3">
      <c r="A1287" s="259">
        <f t="shared" si="51"/>
        <v>1154</v>
      </c>
      <c r="B1287" s="20" t="s">
        <v>1251</v>
      </c>
      <c r="C1287" s="162">
        <v>1970</v>
      </c>
      <c r="D1287" s="273"/>
      <c r="E1287" s="162" t="s">
        <v>3438</v>
      </c>
      <c r="F1287" s="48">
        <v>5</v>
      </c>
      <c r="G1287" s="46">
        <v>3472.81</v>
      </c>
      <c r="H1287" s="48">
        <v>140</v>
      </c>
      <c r="I1287" s="273">
        <f>SUMIF('2020'!B:B,B1287,'2020'!C:C)+SUMIF('2021'!B:B,B1287,'2021'!C:C)+SUMIF('2022'!B:B,B1287,'2022'!C:C)</f>
        <v>203273.47</v>
      </c>
      <c r="J1287" s="59">
        <v>44925</v>
      </c>
      <c r="K1287" s="162" t="s">
        <v>3118</v>
      </c>
    </row>
    <row r="1288" spans="1:11" x14ac:dyDescent="0.3">
      <c r="A1288" s="259">
        <f t="shared" si="51"/>
        <v>1155</v>
      </c>
      <c r="B1288" s="20" t="s">
        <v>1252</v>
      </c>
      <c r="C1288" s="162">
        <v>1963</v>
      </c>
      <c r="D1288" s="273"/>
      <c r="E1288" s="162" t="s">
        <v>3438</v>
      </c>
      <c r="F1288" s="48">
        <v>4</v>
      </c>
      <c r="G1288" s="46">
        <v>2747.5</v>
      </c>
      <c r="H1288" s="48">
        <v>129</v>
      </c>
      <c r="I1288" s="273">
        <f>SUMIF('2020'!B:B,B1288,'2020'!C:C)+SUMIF('2021'!B:B,B1288,'2021'!C:C)+SUMIF('2022'!B:B,B1288,'2022'!C:C)</f>
        <v>179018.53</v>
      </c>
      <c r="J1288" s="59">
        <v>44925</v>
      </c>
      <c r="K1288" s="162" t="s">
        <v>3118</v>
      </c>
    </row>
    <row r="1289" spans="1:11" x14ac:dyDescent="0.3">
      <c r="A1289" s="259">
        <f t="shared" si="51"/>
        <v>1156</v>
      </c>
      <c r="B1289" s="20" t="s">
        <v>1253</v>
      </c>
      <c r="C1289" s="162">
        <v>1967</v>
      </c>
      <c r="D1289" s="273"/>
      <c r="E1289" s="162" t="s">
        <v>3438</v>
      </c>
      <c r="F1289" s="48">
        <v>5</v>
      </c>
      <c r="G1289" s="46">
        <v>2573.65</v>
      </c>
      <c r="H1289" s="48">
        <v>118</v>
      </c>
      <c r="I1289" s="273">
        <f>SUMIF('2020'!B:B,B1289,'2020'!C:C)+SUMIF('2021'!B:B,B1289,'2021'!C:C)+SUMIF('2022'!B:B,B1289,'2022'!C:C)</f>
        <v>166076.68</v>
      </c>
      <c r="J1289" s="59">
        <v>44925</v>
      </c>
      <c r="K1289" s="162" t="s">
        <v>3118</v>
      </c>
    </row>
    <row r="1290" spans="1:11" x14ac:dyDescent="0.3">
      <c r="A1290" s="259">
        <f t="shared" si="51"/>
        <v>1157</v>
      </c>
      <c r="B1290" s="20" t="s">
        <v>1254</v>
      </c>
      <c r="C1290" s="162">
        <v>1957</v>
      </c>
      <c r="D1290" s="273"/>
      <c r="E1290" s="162" t="s">
        <v>3438</v>
      </c>
      <c r="F1290" s="48">
        <v>2</v>
      </c>
      <c r="G1290" s="46">
        <v>382.67</v>
      </c>
      <c r="H1290" s="48">
        <v>25</v>
      </c>
      <c r="I1290" s="273">
        <f>SUMIF('2020'!B:B,B1290,'2020'!C:C)+SUMIF('2021'!B:B,B1290,'2021'!C:C)+SUMIF('2022'!B:B,B1290,'2022'!C:C)</f>
        <v>113522.3</v>
      </c>
      <c r="J1290" s="59">
        <v>44925</v>
      </c>
      <c r="K1290" s="162" t="s">
        <v>3118</v>
      </c>
    </row>
    <row r="1291" spans="1:11" x14ac:dyDescent="0.3">
      <c r="A1291" s="259">
        <f t="shared" si="51"/>
        <v>1158</v>
      </c>
      <c r="B1291" s="20" t="s">
        <v>1255</v>
      </c>
      <c r="C1291" s="162">
        <v>1962</v>
      </c>
      <c r="D1291" s="273"/>
      <c r="E1291" s="162" t="s">
        <v>3438</v>
      </c>
      <c r="F1291" s="48">
        <v>3</v>
      </c>
      <c r="G1291" s="46">
        <v>929.8</v>
      </c>
      <c r="H1291" s="48">
        <v>58</v>
      </c>
      <c r="I1291" s="273">
        <f>SUMIF('2020'!B:B,B1291,'2020'!C:C)+SUMIF('2021'!B:B,B1291,'2021'!C:C)+SUMIF('2022'!B:B,B1291,'2022'!C:C)</f>
        <v>103827.53</v>
      </c>
      <c r="J1291" s="59">
        <v>44925</v>
      </c>
      <c r="K1291" s="162" t="s">
        <v>3118</v>
      </c>
    </row>
    <row r="1292" spans="1:11" x14ac:dyDescent="0.3">
      <c r="A1292" s="259">
        <f t="shared" si="51"/>
        <v>1159</v>
      </c>
      <c r="B1292" s="20" t="s">
        <v>1256</v>
      </c>
      <c r="C1292" s="162">
        <v>1961</v>
      </c>
      <c r="D1292" s="273"/>
      <c r="E1292" s="162" t="s">
        <v>3438</v>
      </c>
      <c r="F1292" s="48">
        <v>4</v>
      </c>
      <c r="G1292" s="46">
        <v>1325.84</v>
      </c>
      <c r="H1292" s="48">
        <v>56</v>
      </c>
      <c r="I1292" s="273">
        <f>SUMIF('2020'!B:B,B1292,'2020'!C:C)+SUMIF('2021'!B:B,B1292,'2021'!C:C)+SUMIF('2022'!B:B,B1292,'2022'!C:C)</f>
        <v>8495686.4800000004</v>
      </c>
      <c r="J1292" s="59">
        <v>44925</v>
      </c>
      <c r="K1292" s="162" t="s">
        <v>3118</v>
      </c>
    </row>
    <row r="1293" spans="1:11" x14ac:dyDescent="0.3">
      <c r="A1293" s="259">
        <f t="shared" si="51"/>
        <v>1160</v>
      </c>
      <c r="B1293" s="20" t="s">
        <v>1257</v>
      </c>
      <c r="C1293" s="162">
        <v>1962</v>
      </c>
      <c r="D1293" s="273"/>
      <c r="E1293" s="162" t="s">
        <v>3438</v>
      </c>
      <c r="F1293" s="48">
        <v>3</v>
      </c>
      <c r="G1293" s="46">
        <v>965.61</v>
      </c>
      <c r="H1293" s="48">
        <v>50</v>
      </c>
      <c r="I1293" s="273">
        <f>SUMIF('2020'!B:B,B1293,'2020'!C:C)+SUMIF('2021'!B:B,B1293,'2021'!C:C)+SUMIF('2022'!B:B,B1293,'2022'!C:C)</f>
        <v>123849.7</v>
      </c>
      <c r="J1293" s="59">
        <v>44925</v>
      </c>
      <c r="K1293" s="162" t="s">
        <v>3118</v>
      </c>
    </row>
    <row r="1294" spans="1:11" x14ac:dyDescent="0.3">
      <c r="A1294" s="259">
        <f t="shared" si="51"/>
        <v>1161</v>
      </c>
      <c r="B1294" s="20" t="s">
        <v>1258</v>
      </c>
      <c r="C1294" s="162">
        <v>1960</v>
      </c>
      <c r="D1294" s="273"/>
      <c r="E1294" s="162" t="s">
        <v>3438</v>
      </c>
      <c r="F1294" s="48">
        <v>3</v>
      </c>
      <c r="G1294" s="46">
        <v>950.1</v>
      </c>
      <c r="H1294" s="48">
        <v>36</v>
      </c>
      <c r="I1294" s="273">
        <f>SUMIF('2020'!B:B,B1294,'2020'!C:C)+SUMIF('2021'!B:B,B1294,'2021'!C:C)+SUMIF('2022'!B:B,B1294,'2022'!C:C)</f>
        <v>243339.5</v>
      </c>
      <c r="J1294" s="59">
        <v>44925</v>
      </c>
      <c r="K1294" s="162" t="s">
        <v>3118</v>
      </c>
    </row>
    <row r="1295" spans="1:11" x14ac:dyDescent="0.3">
      <c r="A1295" s="259">
        <f t="shared" si="51"/>
        <v>1162</v>
      </c>
      <c r="B1295" s="20" t="s">
        <v>1259</v>
      </c>
      <c r="C1295" s="162">
        <v>1961</v>
      </c>
      <c r="D1295" s="273"/>
      <c r="E1295" s="162" t="s">
        <v>3438</v>
      </c>
      <c r="F1295" s="48">
        <v>4</v>
      </c>
      <c r="G1295" s="46">
        <v>2547.58</v>
      </c>
      <c r="H1295" s="48">
        <v>110</v>
      </c>
      <c r="I1295" s="273">
        <f>SUMIF('2020'!B:B,B1295,'2020'!C:C)+SUMIF('2021'!B:B,B1295,'2021'!C:C)+SUMIF('2022'!B:B,B1295,'2022'!C:C)</f>
        <v>180534.61</v>
      </c>
      <c r="J1295" s="59">
        <v>44925</v>
      </c>
      <c r="K1295" s="162" t="s">
        <v>3118</v>
      </c>
    </row>
    <row r="1296" spans="1:11" x14ac:dyDescent="0.3">
      <c r="A1296" s="259">
        <f t="shared" ref="A1296:A1359" si="52">A1295+1</f>
        <v>1163</v>
      </c>
      <c r="B1296" s="20" t="s">
        <v>1260</v>
      </c>
      <c r="C1296" s="162">
        <v>1917</v>
      </c>
      <c r="D1296" s="273"/>
      <c r="E1296" s="162" t="s">
        <v>3440</v>
      </c>
      <c r="F1296" s="48">
        <v>2</v>
      </c>
      <c r="G1296" s="46">
        <v>419.8</v>
      </c>
      <c r="H1296" s="48">
        <v>28</v>
      </c>
      <c r="I1296" s="273">
        <f>SUMIF('2020'!B:B,B1296,'2020'!C:C)+SUMIF('2021'!B:B,B1296,'2021'!C:C)+SUMIF('2022'!B:B,B1296,'2022'!C:C)</f>
        <v>205988.27</v>
      </c>
      <c r="J1296" s="59">
        <v>44925</v>
      </c>
      <c r="K1296" s="162" t="s">
        <v>3118</v>
      </c>
    </row>
    <row r="1297" spans="1:11" x14ac:dyDescent="0.3">
      <c r="A1297" s="259">
        <f t="shared" si="52"/>
        <v>1164</v>
      </c>
      <c r="B1297" s="20" t="s">
        <v>1261</v>
      </c>
      <c r="C1297" s="162">
        <v>1959</v>
      </c>
      <c r="D1297" s="273"/>
      <c r="E1297" s="162" t="s">
        <v>3438</v>
      </c>
      <c r="F1297" s="48">
        <v>3</v>
      </c>
      <c r="G1297" s="46">
        <v>957.83</v>
      </c>
      <c r="H1297" s="48">
        <v>36</v>
      </c>
      <c r="I1297" s="273">
        <f>SUMIF('2020'!B:B,B1297,'2020'!C:C)+SUMIF('2021'!B:B,B1297,'2021'!C:C)+SUMIF('2022'!B:B,B1297,'2022'!C:C)</f>
        <v>124137.74</v>
      </c>
      <c r="J1297" s="59">
        <v>44925</v>
      </c>
      <c r="K1297" s="162" t="s">
        <v>3118</v>
      </c>
    </row>
    <row r="1298" spans="1:11" x14ac:dyDescent="0.3">
      <c r="A1298" s="259">
        <f t="shared" si="52"/>
        <v>1165</v>
      </c>
      <c r="B1298" s="20" t="s">
        <v>1262</v>
      </c>
      <c r="C1298" s="162">
        <v>1962</v>
      </c>
      <c r="D1298" s="273"/>
      <c r="E1298" s="162" t="s">
        <v>3438</v>
      </c>
      <c r="F1298" s="48">
        <v>3</v>
      </c>
      <c r="G1298" s="46">
        <v>939.1</v>
      </c>
      <c r="H1298" s="48">
        <v>53</v>
      </c>
      <c r="I1298" s="273">
        <f>SUMIF('2020'!B:B,B1298,'2020'!C:C)+SUMIF('2021'!B:B,B1298,'2021'!C:C)+SUMIF('2022'!B:B,B1298,'2022'!C:C)</f>
        <v>110175.43</v>
      </c>
      <c r="J1298" s="59">
        <v>44925</v>
      </c>
      <c r="K1298" s="162" t="s">
        <v>3118</v>
      </c>
    </row>
    <row r="1299" spans="1:11" x14ac:dyDescent="0.3">
      <c r="A1299" s="259">
        <f t="shared" si="52"/>
        <v>1166</v>
      </c>
      <c r="B1299" s="20" t="s">
        <v>1263</v>
      </c>
      <c r="C1299" s="162">
        <v>1964</v>
      </c>
      <c r="D1299" s="273"/>
      <c r="E1299" s="162" t="s">
        <v>3438</v>
      </c>
      <c r="F1299" s="48">
        <v>4</v>
      </c>
      <c r="G1299" s="46">
        <v>1152</v>
      </c>
      <c r="H1299" s="48">
        <v>36</v>
      </c>
      <c r="I1299" s="273">
        <f>SUMIF('2020'!B:B,B1299,'2020'!C:C)+SUMIF('2021'!B:B,B1299,'2021'!C:C)+SUMIF('2022'!B:B,B1299,'2022'!C:C)</f>
        <v>0</v>
      </c>
      <c r="J1299" s="59">
        <v>44925</v>
      </c>
      <c r="K1299" s="162" t="s">
        <v>3118</v>
      </c>
    </row>
    <row r="1300" spans="1:11" x14ac:dyDescent="0.3">
      <c r="A1300" s="259">
        <f t="shared" si="52"/>
        <v>1167</v>
      </c>
      <c r="B1300" s="20" t="s">
        <v>1264</v>
      </c>
      <c r="C1300" s="162">
        <v>1964</v>
      </c>
      <c r="D1300" s="273"/>
      <c r="E1300" s="162" t="s">
        <v>3190</v>
      </c>
      <c r="F1300" s="48">
        <v>5</v>
      </c>
      <c r="G1300" s="46">
        <v>3518.98</v>
      </c>
      <c r="H1300" s="48">
        <v>161</v>
      </c>
      <c r="I1300" s="273">
        <f>SUMIF('2020'!B:B,B1300,'2020'!C:C)+SUMIF('2021'!B:B,B1300,'2021'!C:C)+SUMIF('2022'!B:B,B1300,'2022'!C:C)</f>
        <v>182039</v>
      </c>
      <c r="J1300" s="59">
        <v>44925</v>
      </c>
      <c r="K1300" s="162" t="s">
        <v>3118</v>
      </c>
    </row>
    <row r="1301" spans="1:11" x14ac:dyDescent="0.3">
      <c r="A1301" s="259">
        <f t="shared" si="52"/>
        <v>1168</v>
      </c>
      <c r="B1301" s="20" t="s">
        <v>1265</v>
      </c>
      <c r="C1301" s="162">
        <v>1964</v>
      </c>
      <c r="D1301" s="273"/>
      <c r="E1301" s="162" t="s">
        <v>3190</v>
      </c>
      <c r="F1301" s="48">
        <v>5</v>
      </c>
      <c r="G1301" s="46">
        <v>3554.9</v>
      </c>
      <c r="H1301" s="48">
        <v>137</v>
      </c>
      <c r="I1301" s="273">
        <f>SUMIF('2020'!B:B,B1301,'2020'!C:C)+SUMIF('2021'!B:B,B1301,'2021'!C:C)+SUMIF('2022'!B:B,B1301,'2022'!C:C)</f>
        <v>816219.56</v>
      </c>
      <c r="J1301" s="59">
        <v>44925</v>
      </c>
      <c r="K1301" s="162" t="s">
        <v>3118</v>
      </c>
    </row>
    <row r="1302" spans="1:11" x14ac:dyDescent="0.3">
      <c r="A1302" s="259">
        <f t="shared" si="52"/>
        <v>1169</v>
      </c>
      <c r="B1302" s="20" t="s">
        <v>1266</v>
      </c>
      <c r="C1302" s="162">
        <v>1964</v>
      </c>
      <c r="D1302" s="273"/>
      <c r="E1302" s="162" t="s">
        <v>3438</v>
      </c>
      <c r="F1302" s="47">
        <v>7</v>
      </c>
      <c r="G1302" s="46">
        <v>3171.26</v>
      </c>
      <c r="H1302" s="48">
        <v>155</v>
      </c>
      <c r="I1302" s="273">
        <f>SUMIF('2020'!B:B,B1302,'2020'!C:C)+SUMIF('2021'!B:B,B1302,'2021'!C:C)+SUMIF('2022'!B:B,B1302,'2022'!C:C)</f>
        <v>12011833.199999999</v>
      </c>
      <c r="J1302" s="59">
        <v>44925</v>
      </c>
      <c r="K1302" s="162" t="s">
        <v>3118</v>
      </c>
    </row>
    <row r="1303" spans="1:11" x14ac:dyDescent="0.3">
      <c r="A1303" s="259">
        <f t="shared" si="52"/>
        <v>1170</v>
      </c>
      <c r="B1303" s="20" t="s">
        <v>1267</v>
      </c>
      <c r="C1303" s="162">
        <v>1952</v>
      </c>
      <c r="D1303" s="273"/>
      <c r="E1303" s="162" t="s">
        <v>3438</v>
      </c>
      <c r="F1303" s="48">
        <v>2</v>
      </c>
      <c r="G1303" s="46">
        <v>448.6</v>
      </c>
      <c r="H1303" s="48">
        <v>25</v>
      </c>
      <c r="I1303" s="273">
        <f>SUMIF('2020'!B:B,B1303,'2020'!C:C)+SUMIF('2021'!B:B,B1303,'2021'!C:C)+SUMIF('2022'!B:B,B1303,'2022'!C:C)</f>
        <v>142983.28</v>
      </c>
      <c r="J1303" s="59">
        <v>44925</v>
      </c>
      <c r="K1303" s="162" t="s">
        <v>3118</v>
      </c>
    </row>
    <row r="1304" spans="1:11" x14ac:dyDescent="0.3">
      <c r="A1304" s="259">
        <f t="shared" si="52"/>
        <v>1171</v>
      </c>
      <c r="B1304" s="20" t="s">
        <v>1268</v>
      </c>
      <c r="C1304" s="162">
        <v>1963</v>
      </c>
      <c r="D1304" s="273"/>
      <c r="E1304" s="162" t="s">
        <v>3190</v>
      </c>
      <c r="F1304" s="48">
        <v>4</v>
      </c>
      <c r="G1304" s="46">
        <v>2759</v>
      </c>
      <c r="H1304" s="48">
        <v>124</v>
      </c>
      <c r="I1304" s="273">
        <f>SUMIF('2020'!B:B,B1304,'2020'!C:C)+SUMIF('2021'!B:B,B1304,'2021'!C:C)+SUMIF('2022'!B:B,B1304,'2022'!C:C)</f>
        <v>164094.95000000001</v>
      </c>
      <c r="J1304" s="59">
        <v>44925</v>
      </c>
      <c r="K1304" s="162" t="s">
        <v>3118</v>
      </c>
    </row>
    <row r="1305" spans="1:11" x14ac:dyDescent="0.3">
      <c r="A1305" s="259">
        <f t="shared" si="52"/>
        <v>1172</v>
      </c>
      <c r="B1305" s="20" t="s">
        <v>1269</v>
      </c>
      <c r="C1305" s="162">
        <v>1965</v>
      </c>
      <c r="D1305" s="273"/>
      <c r="E1305" s="162" t="s">
        <v>3190</v>
      </c>
      <c r="F1305" s="48">
        <v>5</v>
      </c>
      <c r="G1305" s="46">
        <v>2565.1</v>
      </c>
      <c r="H1305" s="48">
        <v>109</v>
      </c>
      <c r="I1305" s="273">
        <f>SUMIF('2020'!B:B,B1305,'2020'!C:C)+SUMIF('2021'!B:B,B1305,'2021'!C:C)+SUMIF('2022'!B:B,B1305,'2022'!C:C)</f>
        <v>156948.91</v>
      </c>
      <c r="J1305" s="59">
        <v>44925</v>
      </c>
      <c r="K1305" s="162" t="s">
        <v>3118</v>
      </c>
    </row>
    <row r="1306" spans="1:11" x14ac:dyDescent="0.3">
      <c r="A1306" s="259">
        <f t="shared" si="52"/>
        <v>1173</v>
      </c>
      <c r="B1306" s="20" t="s">
        <v>1270</v>
      </c>
      <c r="C1306" s="162">
        <v>1966</v>
      </c>
      <c r="D1306" s="273"/>
      <c r="E1306" s="162" t="s">
        <v>3190</v>
      </c>
      <c r="F1306" s="48">
        <v>5</v>
      </c>
      <c r="G1306" s="46">
        <v>2573.34</v>
      </c>
      <c r="H1306" s="48">
        <v>102</v>
      </c>
      <c r="I1306" s="273">
        <f>SUMIF('2020'!B:B,B1306,'2020'!C:C)+SUMIF('2021'!B:B,B1306,'2021'!C:C)+SUMIF('2022'!B:B,B1306,'2022'!C:C)</f>
        <v>295693.98</v>
      </c>
      <c r="J1306" s="59">
        <v>44925</v>
      </c>
      <c r="K1306" s="162" t="s">
        <v>3118</v>
      </c>
    </row>
    <row r="1307" spans="1:11" x14ac:dyDescent="0.3">
      <c r="A1307" s="259">
        <f t="shared" si="52"/>
        <v>1174</v>
      </c>
      <c r="B1307" s="20" t="s">
        <v>1271</v>
      </c>
      <c r="C1307" s="162">
        <v>1964</v>
      </c>
      <c r="D1307" s="273"/>
      <c r="E1307" s="162" t="s">
        <v>3438</v>
      </c>
      <c r="F1307" s="48">
        <v>4</v>
      </c>
      <c r="G1307" s="46">
        <v>2004.84</v>
      </c>
      <c r="H1307" s="48">
        <v>87</v>
      </c>
      <c r="I1307" s="273">
        <f>SUMIF('2020'!B:B,B1307,'2020'!C:C)+SUMIF('2021'!B:B,B1307,'2021'!C:C)+SUMIF('2022'!B:B,B1307,'2022'!C:C)</f>
        <v>0</v>
      </c>
      <c r="J1307" s="59">
        <v>44925</v>
      </c>
      <c r="K1307" s="162" t="s">
        <v>3118</v>
      </c>
    </row>
    <row r="1308" spans="1:11" x14ac:dyDescent="0.3">
      <c r="A1308" s="259">
        <f t="shared" si="52"/>
        <v>1175</v>
      </c>
      <c r="B1308" s="20" t="s">
        <v>1272</v>
      </c>
      <c r="C1308" s="162">
        <v>1960</v>
      </c>
      <c r="D1308" s="273"/>
      <c r="E1308" s="162" t="s">
        <v>3438</v>
      </c>
      <c r="F1308" s="48">
        <v>2</v>
      </c>
      <c r="G1308" s="46">
        <v>632.42999999999995</v>
      </c>
      <c r="H1308" s="48">
        <v>28</v>
      </c>
      <c r="I1308" s="273">
        <f>SUMIF('2020'!B:B,B1308,'2020'!C:C)+SUMIF('2021'!B:B,B1308,'2021'!C:C)+SUMIF('2022'!B:B,B1308,'2022'!C:C)</f>
        <v>18992364.43</v>
      </c>
      <c r="J1308" s="59">
        <v>44925</v>
      </c>
      <c r="K1308" s="162" t="s">
        <v>3118</v>
      </c>
    </row>
    <row r="1309" spans="1:11" x14ac:dyDescent="0.3">
      <c r="A1309" s="259">
        <f t="shared" si="52"/>
        <v>1176</v>
      </c>
      <c r="B1309" s="20" t="s">
        <v>1273</v>
      </c>
      <c r="C1309" s="162">
        <v>1959</v>
      </c>
      <c r="D1309" s="273"/>
      <c r="E1309" s="162" t="s">
        <v>3438</v>
      </c>
      <c r="F1309" s="48">
        <v>3</v>
      </c>
      <c r="G1309" s="46">
        <v>1418.5</v>
      </c>
      <c r="H1309" s="48">
        <v>41</v>
      </c>
      <c r="I1309" s="273">
        <f>SUMIF('2020'!B:B,B1309,'2020'!C:C)+SUMIF('2021'!B:B,B1309,'2021'!C:C)+SUMIF('2022'!B:B,B1309,'2022'!C:C)</f>
        <v>283437.73</v>
      </c>
      <c r="J1309" s="59">
        <v>44925</v>
      </c>
      <c r="K1309" s="162" t="s">
        <v>3118</v>
      </c>
    </row>
    <row r="1310" spans="1:11" x14ac:dyDescent="0.3">
      <c r="A1310" s="259">
        <f t="shared" si="52"/>
        <v>1177</v>
      </c>
      <c r="B1310" s="20" t="s">
        <v>1274</v>
      </c>
      <c r="C1310" s="162">
        <v>1967</v>
      </c>
      <c r="D1310" s="273"/>
      <c r="E1310" s="162" t="s">
        <v>3440</v>
      </c>
      <c r="F1310" s="48">
        <v>2</v>
      </c>
      <c r="G1310" s="46">
        <v>419.01</v>
      </c>
      <c r="H1310" s="48">
        <v>37</v>
      </c>
      <c r="I1310" s="273">
        <f>SUMIF('2020'!B:B,B1310,'2020'!C:C)+SUMIF('2021'!B:B,B1310,'2021'!C:C)+SUMIF('2022'!B:B,B1310,'2022'!C:C)</f>
        <v>2983072.88</v>
      </c>
      <c r="J1310" s="59">
        <v>44925</v>
      </c>
      <c r="K1310" s="162" t="s">
        <v>3118</v>
      </c>
    </row>
    <row r="1311" spans="1:11" x14ac:dyDescent="0.3">
      <c r="A1311" s="259">
        <f t="shared" si="52"/>
        <v>1178</v>
      </c>
      <c r="B1311" s="20" t="s">
        <v>1275</v>
      </c>
      <c r="C1311" s="162">
        <v>1972</v>
      </c>
      <c r="D1311" s="273"/>
      <c r="E1311" s="162" t="s">
        <v>3190</v>
      </c>
      <c r="F1311" s="48">
        <v>5</v>
      </c>
      <c r="G1311" s="46">
        <v>4365.3</v>
      </c>
      <c r="H1311" s="51">
        <v>255</v>
      </c>
      <c r="I1311" s="273">
        <f>SUMIF('2020'!B:B,B1311,'2020'!C:C)+SUMIF('2021'!B:B,B1311,'2021'!C:C)+SUMIF('2022'!B:B,B1311,'2022'!C:C)</f>
        <v>429217.18</v>
      </c>
      <c r="J1311" s="59">
        <v>44925</v>
      </c>
      <c r="K1311" s="162" t="s">
        <v>3118</v>
      </c>
    </row>
    <row r="1312" spans="1:11" x14ac:dyDescent="0.3">
      <c r="A1312" s="259">
        <f t="shared" si="52"/>
        <v>1179</v>
      </c>
      <c r="B1312" s="20" t="s">
        <v>1276</v>
      </c>
      <c r="C1312" s="162">
        <v>1960</v>
      </c>
      <c r="D1312" s="273"/>
      <c r="E1312" s="162" t="s">
        <v>3438</v>
      </c>
      <c r="F1312" s="48">
        <v>3</v>
      </c>
      <c r="G1312" s="46">
        <v>1461.9</v>
      </c>
      <c r="H1312" s="48">
        <v>56</v>
      </c>
      <c r="I1312" s="273">
        <f>SUMIF('2020'!B:B,B1312,'2020'!C:C)+SUMIF('2021'!B:B,B1312,'2021'!C:C)+SUMIF('2022'!B:B,B1312,'2022'!C:C)</f>
        <v>264647.87</v>
      </c>
      <c r="J1312" s="59">
        <v>44925</v>
      </c>
      <c r="K1312" s="162" t="s">
        <v>3118</v>
      </c>
    </row>
    <row r="1313" spans="1:11" x14ac:dyDescent="0.3">
      <c r="A1313" s="259">
        <f t="shared" si="52"/>
        <v>1180</v>
      </c>
      <c r="B1313" s="20" t="s">
        <v>1277</v>
      </c>
      <c r="C1313" s="162">
        <v>1969</v>
      </c>
      <c r="D1313" s="273"/>
      <c r="E1313" s="162" t="s">
        <v>3190</v>
      </c>
      <c r="F1313" s="48">
        <v>5</v>
      </c>
      <c r="G1313" s="46">
        <v>3495.75</v>
      </c>
      <c r="H1313" s="48">
        <v>151</v>
      </c>
      <c r="I1313" s="273">
        <f>SUMIF('2020'!B:B,B1313,'2020'!C:C)+SUMIF('2021'!B:B,B1313,'2021'!C:C)+SUMIF('2022'!B:B,B1313,'2022'!C:C)</f>
        <v>375035.37</v>
      </c>
      <c r="J1313" s="59">
        <v>44925</v>
      </c>
      <c r="K1313" s="162" t="s">
        <v>3118</v>
      </c>
    </row>
    <row r="1314" spans="1:11" x14ac:dyDescent="0.3">
      <c r="A1314" s="259">
        <f t="shared" si="52"/>
        <v>1181</v>
      </c>
      <c r="B1314" s="20" t="s">
        <v>1278</v>
      </c>
      <c r="C1314" s="162">
        <v>1960</v>
      </c>
      <c r="D1314" s="273"/>
      <c r="E1314" s="162" t="s">
        <v>3438</v>
      </c>
      <c r="F1314" s="48">
        <v>3</v>
      </c>
      <c r="G1314" s="46">
        <v>1515.3</v>
      </c>
      <c r="H1314" s="48">
        <v>78</v>
      </c>
      <c r="I1314" s="273">
        <f>SUMIF('2020'!B:B,B1314,'2020'!C:C)+SUMIF('2021'!B:B,B1314,'2021'!C:C)+SUMIF('2022'!B:B,B1314,'2022'!C:C)</f>
        <v>1526907.6099999999</v>
      </c>
      <c r="J1314" s="59">
        <v>44925</v>
      </c>
      <c r="K1314" s="162" t="s">
        <v>3118</v>
      </c>
    </row>
    <row r="1315" spans="1:11" x14ac:dyDescent="0.3">
      <c r="A1315" s="259">
        <f t="shared" si="52"/>
        <v>1182</v>
      </c>
      <c r="B1315" s="20" t="s">
        <v>1279</v>
      </c>
      <c r="C1315" s="162">
        <v>1955</v>
      </c>
      <c r="D1315" s="273"/>
      <c r="E1315" s="162" t="s">
        <v>3438</v>
      </c>
      <c r="F1315" s="48">
        <v>2</v>
      </c>
      <c r="G1315" s="46">
        <v>486.18</v>
      </c>
      <c r="H1315" s="48">
        <v>25</v>
      </c>
      <c r="I1315" s="273">
        <f>SUMIF('2020'!B:B,B1315,'2020'!C:C)+SUMIF('2021'!B:B,B1315,'2021'!C:C)+SUMIF('2022'!B:B,B1315,'2022'!C:C)</f>
        <v>102014</v>
      </c>
      <c r="J1315" s="59">
        <v>44925</v>
      </c>
      <c r="K1315" s="162" t="s">
        <v>3118</v>
      </c>
    </row>
    <row r="1316" spans="1:11" x14ac:dyDescent="0.3">
      <c r="A1316" s="259">
        <f t="shared" si="52"/>
        <v>1183</v>
      </c>
      <c r="B1316" s="20" t="s">
        <v>1280</v>
      </c>
      <c r="C1316" s="162">
        <v>1949</v>
      </c>
      <c r="D1316" s="273"/>
      <c r="E1316" s="162" t="s">
        <v>3438</v>
      </c>
      <c r="F1316" s="48">
        <v>2</v>
      </c>
      <c r="G1316" s="46">
        <v>449.6</v>
      </c>
      <c r="H1316" s="48">
        <v>41</v>
      </c>
      <c r="I1316" s="273">
        <f>SUMIF('2020'!B:B,B1316,'2020'!C:C)+SUMIF('2021'!B:B,B1316,'2021'!C:C)+SUMIF('2022'!B:B,B1316,'2022'!C:C)</f>
        <v>1020638.64</v>
      </c>
      <c r="J1316" s="59">
        <v>44925</v>
      </c>
      <c r="K1316" s="162" t="s">
        <v>3118</v>
      </c>
    </row>
    <row r="1317" spans="1:11" x14ac:dyDescent="0.3">
      <c r="A1317" s="259">
        <f t="shared" si="52"/>
        <v>1184</v>
      </c>
      <c r="B1317" s="20" t="s">
        <v>1281</v>
      </c>
      <c r="C1317" s="162">
        <v>1971</v>
      </c>
      <c r="D1317" s="273"/>
      <c r="E1317" s="162" t="s">
        <v>3190</v>
      </c>
      <c r="F1317" s="48">
        <v>5</v>
      </c>
      <c r="G1317" s="46">
        <v>4386.6400000000003</v>
      </c>
      <c r="H1317" s="48">
        <v>210</v>
      </c>
      <c r="I1317" s="273">
        <f>SUMIF('2020'!B:B,B1317,'2020'!C:C)+SUMIF('2021'!B:B,B1317,'2021'!C:C)+SUMIF('2022'!B:B,B1317,'2022'!C:C)</f>
        <v>331675.15000000002</v>
      </c>
      <c r="J1317" s="59">
        <v>44925</v>
      </c>
      <c r="K1317" s="162" t="s">
        <v>3118</v>
      </c>
    </row>
    <row r="1318" spans="1:11" x14ac:dyDescent="0.3">
      <c r="A1318" s="259">
        <f t="shared" si="52"/>
        <v>1185</v>
      </c>
      <c r="B1318" s="20" t="s">
        <v>1282</v>
      </c>
      <c r="C1318" s="162">
        <v>1974</v>
      </c>
      <c r="D1318" s="273"/>
      <c r="E1318" s="162" t="s">
        <v>3190</v>
      </c>
      <c r="F1318" s="48">
        <v>5</v>
      </c>
      <c r="G1318" s="46">
        <v>2719.2</v>
      </c>
      <c r="H1318" s="51">
        <v>149</v>
      </c>
      <c r="I1318" s="273">
        <f>SUMIF('2020'!B:B,B1318,'2020'!C:C)+SUMIF('2021'!B:B,B1318,'2021'!C:C)+SUMIF('2022'!B:B,B1318,'2022'!C:C)</f>
        <v>316952.5</v>
      </c>
      <c r="J1318" s="59">
        <v>44925</v>
      </c>
      <c r="K1318" s="162" t="s">
        <v>3118</v>
      </c>
    </row>
    <row r="1319" spans="1:11" x14ac:dyDescent="0.3">
      <c r="A1319" s="259">
        <f t="shared" si="52"/>
        <v>1186</v>
      </c>
      <c r="B1319" s="20" t="s">
        <v>1283</v>
      </c>
      <c r="C1319" s="162">
        <v>1974</v>
      </c>
      <c r="D1319" s="273"/>
      <c r="E1319" s="162" t="s">
        <v>3438</v>
      </c>
      <c r="F1319" s="48">
        <v>5</v>
      </c>
      <c r="G1319" s="46">
        <v>9848.1</v>
      </c>
      <c r="H1319" s="51">
        <v>480</v>
      </c>
      <c r="I1319" s="273">
        <f>SUMIF('2020'!B:B,B1319,'2020'!C:C)+SUMIF('2021'!B:B,B1319,'2021'!C:C)+SUMIF('2022'!B:B,B1319,'2022'!C:C)</f>
        <v>950686.5</v>
      </c>
      <c r="J1319" s="59">
        <v>44925</v>
      </c>
      <c r="K1319" s="162" t="s">
        <v>3118</v>
      </c>
    </row>
    <row r="1320" spans="1:11" x14ac:dyDescent="0.3">
      <c r="A1320" s="259">
        <f t="shared" si="52"/>
        <v>1187</v>
      </c>
      <c r="B1320" s="20" t="s">
        <v>1284</v>
      </c>
      <c r="C1320" s="162">
        <v>1973</v>
      </c>
      <c r="D1320" s="273"/>
      <c r="E1320" s="162" t="s">
        <v>3190</v>
      </c>
      <c r="F1320" s="48">
        <v>5</v>
      </c>
      <c r="G1320" s="46">
        <v>2696.8</v>
      </c>
      <c r="H1320" s="51">
        <v>129</v>
      </c>
      <c r="I1320" s="273">
        <f>SUMIF('2020'!B:B,B1320,'2020'!C:C)+SUMIF('2021'!B:B,B1320,'2021'!C:C)+SUMIF('2022'!B:B,B1320,'2022'!C:C)</f>
        <v>169377.32</v>
      </c>
      <c r="J1320" s="59">
        <v>44925</v>
      </c>
      <c r="K1320" s="162" t="s">
        <v>3118</v>
      </c>
    </row>
    <row r="1321" spans="1:11" x14ac:dyDescent="0.3">
      <c r="A1321" s="259">
        <f t="shared" si="52"/>
        <v>1188</v>
      </c>
      <c r="B1321" s="20" t="s">
        <v>1285</v>
      </c>
      <c r="C1321" s="162">
        <v>1972</v>
      </c>
      <c r="D1321" s="273"/>
      <c r="E1321" s="162" t="s">
        <v>3438</v>
      </c>
      <c r="F1321" s="48">
        <v>5</v>
      </c>
      <c r="G1321" s="46">
        <v>3452.4</v>
      </c>
      <c r="H1321" s="51">
        <v>114</v>
      </c>
      <c r="I1321" s="273">
        <f>SUMIF('2020'!B:B,B1321,'2020'!C:C)+SUMIF('2021'!B:B,B1321,'2021'!C:C)+SUMIF('2022'!B:B,B1321,'2022'!C:C)</f>
        <v>349532.95</v>
      </c>
      <c r="J1321" s="59">
        <v>44925</v>
      </c>
      <c r="K1321" s="162" t="s">
        <v>3118</v>
      </c>
    </row>
    <row r="1322" spans="1:11" x14ac:dyDescent="0.3">
      <c r="A1322" s="259">
        <f t="shared" si="52"/>
        <v>1189</v>
      </c>
      <c r="B1322" s="20" t="s">
        <v>1286</v>
      </c>
      <c r="C1322" s="162">
        <v>1976</v>
      </c>
      <c r="D1322" s="273"/>
      <c r="E1322" s="162" t="s">
        <v>3438</v>
      </c>
      <c r="F1322" s="48">
        <v>5</v>
      </c>
      <c r="G1322" s="46">
        <v>13053.4</v>
      </c>
      <c r="H1322" s="51">
        <v>518</v>
      </c>
      <c r="I1322" s="273">
        <f>SUMIF('2020'!B:B,B1322,'2020'!C:C)+SUMIF('2021'!B:B,B1322,'2021'!C:C)+SUMIF('2022'!B:B,B1322,'2022'!C:C)</f>
        <v>952515.23</v>
      </c>
      <c r="J1322" s="59">
        <v>44925</v>
      </c>
      <c r="K1322" s="162" t="s">
        <v>3118</v>
      </c>
    </row>
    <row r="1323" spans="1:11" x14ac:dyDescent="0.3">
      <c r="A1323" s="259">
        <f t="shared" si="52"/>
        <v>1190</v>
      </c>
      <c r="B1323" s="20" t="s">
        <v>1287</v>
      </c>
      <c r="C1323" s="162">
        <v>1973</v>
      </c>
      <c r="D1323" s="273"/>
      <c r="E1323" s="162" t="s">
        <v>3190</v>
      </c>
      <c r="F1323" s="48">
        <v>5</v>
      </c>
      <c r="G1323" s="46">
        <v>3087.2</v>
      </c>
      <c r="H1323" s="51">
        <v>136</v>
      </c>
      <c r="I1323" s="273">
        <f>SUMIF('2020'!B:B,B1323,'2020'!C:C)+SUMIF('2021'!B:B,B1323,'2021'!C:C)+SUMIF('2022'!B:B,B1323,'2022'!C:C)</f>
        <v>185357.65</v>
      </c>
      <c r="J1323" s="59">
        <v>44925</v>
      </c>
      <c r="K1323" s="162" t="s">
        <v>3118</v>
      </c>
    </row>
    <row r="1324" spans="1:11" x14ac:dyDescent="0.3">
      <c r="A1324" s="259">
        <f t="shared" si="52"/>
        <v>1191</v>
      </c>
      <c r="B1324" s="20" t="s">
        <v>1288</v>
      </c>
      <c r="C1324" s="162">
        <v>1972</v>
      </c>
      <c r="D1324" s="273"/>
      <c r="E1324" s="162" t="s">
        <v>3190</v>
      </c>
      <c r="F1324" s="48">
        <v>5</v>
      </c>
      <c r="G1324" s="46">
        <v>2691</v>
      </c>
      <c r="H1324" s="51">
        <v>132</v>
      </c>
      <c r="I1324" s="273">
        <f>SUMIF('2020'!B:B,B1324,'2020'!C:C)+SUMIF('2021'!B:B,B1324,'2021'!C:C)+SUMIF('2022'!B:B,B1324,'2022'!C:C)</f>
        <v>163022.48000000001</v>
      </c>
      <c r="J1324" s="59">
        <v>44925</v>
      </c>
      <c r="K1324" s="162" t="s">
        <v>3118</v>
      </c>
    </row>
    <row r="1325" spans="1:11" x14ac:dyDescent="0.3">
      <c r="A1325" s="259">
        <f t="shared" si="52"/>
        <v>1192</v>
      </c>
      <c r="B1325" s="20" t="s">
        <v>1289</v>
      </c>
      <c r="C1325" s="162">
        <v>1974</v>
      </c>
      <c r="D1325" s="273"/>
      <c r="E1325" s="162" t="s">
        <v>3190</v>
      </c>
      <c r="F1325" s="48">
        <v>5</v>
      </c>
      <c r="G1325" s="46">
        <v>2714.2</v>
      </c>
      <c r="H1325" s="51">
        <v>120</v>
      </c>
      <c r="I1325" s="273">
        <f>SUMIF('2020'!B:B,B1325,'2020'!C:C)+SUMIF('2021'!B:B,B1325,'2021'!C:C)+SUMIF('2022'!B:B,B1325,'2022'!C:C)</f>
        <v>166983.91</v>
      </c>
      <c r="J1325" s="59">
        <v>44925</v>
      </c>
      <c r="K1325" s="162" t="s">
        <v>3118</v>
      </c>
    </row>
    <row r="1326" spans="1:11" x14ac:dyDescent="0.3">
      <c r="A1326" s="259">
        <f t="shared" si="52"/>
        <v>1193</v>
      </c>
      <c r="B1326" s="20" t="s">
        <v>1290</v>
      </c>
      <c r="C1326" s="162">
        <v>1941</v>
      </c>
      <c r="D1326" s="273"/>
      <c r="E1326" s="162" t="s">
        <v>3438</v>
      </c>
      <c r="F1326" s="48">
        <v>2</v>
      </c>
      <c r="G1326" s="46">
        <v>759.6</v>
      </c>
      <c r="H1326" s="48">
        <v>34</v>
      </c>
      <c r="I1326" s="273">
        <f>SUMIF('2020'!B:B,B1326,'2020'!C:C)+SUMIF('2021'!B:B,B1326,'2021'!C:C)+SUMIF('2022'!B:B,B1326,'2022'!C:C)</f>
        <v>476945.81</v>
      </c>
      <c r="J1326" s="59">
        <v>44925</v>
      </c>
      <c r="K1326" s="162" t="s">
        <v>3118</v>
      </c>
    </row>
    <row r="1327" spans="1:11" x14ac:dyDescent="0.3">
      <c r="A1327" s="259">
        <f t="shared" si="52"/>
        <v>1194</v>
      </c>
      <c r="B1327" s="20" t="s">
        <v>1291</v>
      </c>
      <c r="C1327" s="162">
        <v>1917</v>
      </c>
      <c r="D1327" s="273"/>
      <c r="E1327" s="162" t="s">
        <v>3440</v>
      </c>
      <c r="F1327" s="48">
        <v>2</v>
      </c>
      <c r="G1327" s="46">
        <v>279.51</v>
      </c>
      <c r="H1327" s="48">
        <v>21</v>
      </c>
      <c r="I1327" s="273">
        <f>SUMIF('2020'!B:B,B1327,'2020'!C:C)+SUMIF('2021'!B:B,B1327,'2021'!C:C)+SUMIF('2022'!B:B,B1327,'2022'!C:C)</f>
        <v>169420.21</v>
      </c>
      <c r="J1327" s="59">
        <v>44925</v>
      </c>
      <c r="K1327" s="162" t="s">
        <v>3118</v>
      </c>
    </row>
    <row r="1328" spans="1:11" x14ac:dyDescent="0.3">
      <c r="A1328" s="259">
        <f t="shared" si="52"/>
        <v>1195</v>
      </c>
      <c r="B1328" s="20" t="s">
        <v>1292</v>
      </c>
      <c r="C1328" s="162">
        <v>1941</v>
      </c>
      <c r="D1328" s="273"/>
      <c r="E1328" s="162" t="s">
        <v>3438</v>
      </c>
      <c r="F1328" s="48">
        <v>3</v>
      </c>
      <c r="G1328" s="46">
        <v>1691.77</v>
      </c>
      <c r="H1328" s="48">
        <v>109</v>
      </c>
      <c r="I1328" s="273">
        <f>SUMIF('2020'!B:B,B1328,'2020'!C:C)+SUMIF('2021'!B:B,B1328,'2021'!C:C)+SUMIF('2022'!B:B,B1328,'2022'!C:C)</f>
        <v>0</v>
      </c>
      <c r="J1328" s="59">
        <v>44925</v>
      </c>
      <c r="K1328" s="162" t="s">
        <v>3118</v>
      </c>
    </row>
    <row r="1329" spans="1:11" x14ac:dyDescent="0.3">
      <c r="A1329" s="259">
        <f t="shared" si="52"/>
        <v>1196</v>
      </c>
      <c r="B1329" s="20" t="s">
        <v>1293</v>
      </c>
      <c r="C1329" s="162">
        <v>1941</v>
      </c>
      <c r="D1329" s="273"/>
      <c r="E1329" s="162" t="s">
        <v>3438</v>
      </c>
      <c r="F1329" s="48">
        <v>3</v>
      </c>
      <c r="G1329" s="46">
        <v>1635.5</v>
      </c>
      <c r="H1329" s="48">
        <v>79</v>
      </c>
      <c r="I1329" s="273">
        <f>SUMIF('2020'!B:B,B1329,'2020'!C:C)+SUMIF('2021'!B:B,B1329,'2021'!C:C)+SUMIF('2022'!B:B,B1329,'2022'!C:C)</f>
        <v>0</v>
      </c>
      <c r="J1329" s="59">
        <v>44925</v>
      </c>
      <c r="K1329" s="162" t="s">
        <v>3118</v>
      </c>
    </row>
    <row r="1330" spans="1:11" x14ac:dyDescent="0.3">
      <c r="A1330" s="259">
        <f t="shared" si="52"/>
        <v>1197</v>
      </c>
      <c r="B1330" s="20" t="s">
        <v>1294</v>
      </c>
      <c r="C1330" s="162">
        <v>1952</v>
      </c>
      <c r="D1330" s="273"/>
      <c r="E1330" s="162" t="s">
        <v>3438</v>
      </c>
      <c r="F1330" s="48">
        <v>2</v>
      </c>
      <c r="G1330" s="46">
        <v>374.82</v>
      </c>
      <c r="H1330" s="48">
        <v>27</v>
      </c>
      <c r="I1330" s="273">
        <f>SUMIF('2020'!B:B,B1330,'2020'!C:C)+SUMIF('2021'!B:B,B1330,'2021'!C:C)+SUMIF('2022'!B:B,B1330,'2022'!C:C)</f>
        <v>73787.8</v>
      </c>
      <c r="J1330" s="59">
        <v>44925</v>
      </c>
      <c r="K1330" s="162" t="s">
        <v>3118</v>
      </c>
    </row>
    <row r="1331" spans="1:11" x14ac:dyDescent="0.3">
      <c r="A1331" s="259">
        <f t="shared" si="52"/>
        <v>1198</v>
      </c>
      <c r="B1331" s="20" t="s">
        <v>1295</v>
      </c>
      <c r="C1331" s="162">
        <v>1951</v>
      </c>
      <c r="D1331" s="273"/>
      <c r="E1331" s="162" t="s">
        <v>3438</v>
      </c>
      <c r="F1331" s="48">
        <v>2</v>
      </c>
      <c r="G1331" s="46">
        <v>262.37</v>
      </c>
      <c r="H1331" s="48">
        <v>18</v>
      </c>
      <c r="I1331" s="273">
        <f>SUMIF('2020'!B:B,B1331,'2020'!C:C)+SUMIF('2021'!B:B,B1331,'2021'!C:C)+SUMIF('2022'!B:B,B1331,'2022'!C:C)</f>
        <v>158687.82999999999</v>
      </c>
      <c r="J1331" s="59">
        <v>44925</v>
      </c>
      <c r="K1331" s="162" t="s">
        <v>3118</v>
      </c>
    </row>
    <row r="1332" spans="1:11" x14ac:dyDescent="0.3">
      <c r="A1332" s="259">
        <f t="shared" si="52"/>
        <v>1199</v>
      </c>
      <c r="B1332" s="20" t="s">
        <v>1296</v>
      </c>
      <c r="C1332" s="162">
        <v>1951</v>
      </c>
      <c r="D1332" s="273"/>
      <c r="E1332" s="162" t="s">
        <v>3438</v>
      </c>
      <c r="F1332" s="48">
        <v>2</v>
      </c>
      <c r="G1332" s="46">
        <v>365.5</v>
      </c>
      <c r="H1332" s="48">
        <v>20</v>
      </c>
      <c r="I1332" s="273">
        <f>SUMIF('2020'!B:B,B1332,'2020'!C:C)+SUMIF('2021'!B:B,B1332,'2021'!C:C)+SUMIF('2022'!B:B,B1332,'2022'!C:C)</f>
        <v>113825.74</v>
      </c>
      <c r="J1332" s="59">
        <v>44925</v>
      </c>
      <c r="K1332" s="162" t="s">
        <v>3118</v>
      </c>
    </row>
    <row r="1333" spans="1:11" x14ac:dyDescent="0.3">
      <c r="A1333" s="259">
        <f t="shared" si="52"/>
        <v>1200</v>
      </c>
      <c r="B1333" s="20" t="s">
        <v>1297</v>
      </c>
      <c r="C1333" s="162">
        <v>1951</v>
      </c>
      <c r="D1333" s="273"/>
      <c r="E1333" s="162" t="s">
        <v>3438</v>
      </c>
      <c r="F1333" s="48">
        <v>2</v>
      </c>
      <c r="G1333" s="46">
        <v>362.4</v>
      </c>
      <c r="H1333" s="48">
        <v>16</v>
      </c>
      <c r="I1333" s="273">
        <f>SUMIF('2020'!B:B,B1333,'2020'!C:C)+SUMIF('2021'!B:B,B1333,'2021'!C:C)+SUMIF('2022'!B:B,B1333,'2022'!C:C)</f>
        <v>110108.47</v>
      </c>
      <c r="J1333" s="59">
        <v>44925</v>
      </c>
      <c r="K1333" s="162" t="s">
        <v>3118</v>
      </c>
    </row>
    <row r="1334" spans="1:11" x14ac:dyDescent="0.3">
      <c r="A1334" s="259">
        <f t="shared" si="52"/>
        <v>1201</v>
      </c>
      <c r="B1334" s="20" t="s">
        <v>1298</v>
      </c>
      <c r="C1334" s="162">
        <v>1917</v>
      </c>
      <c r="D1334" s="273"/>
      <c r="E1334" s="162" t="s">
        <v>3438</v>
      </c>
      <c r="F1334" s="48">
        <v>2</v>
      </c>
      <c r="G1334" s="46">
        <v>539.1</v>
      </c>
      <c r="H1334" s="51">
        <v>32</v>
      </c>
      <c r="I1334" s="273">
        <f>SUMIF('2020'!B:B,B1334,'2020'!C:C)+SUMIF('2021'!B:B,B1334,'2021'!C:C)+SUMIF('2022'!B:B,B1334,'2022'!C:C)</f>
        <v>194675.63</v>
      </c>
      <c r="J1334" s="59">
        <v>44925</v>
      </c>
      <c r="K1334" s="162" t="s">
        <v>3118</v>
      </c>
    </row>
    <row r="1335" spans="1:11" x14ac:dyDescent="0.3">
      <c r="A1335" s="259">
        <f t="shared" si="52"/>
        <v>1202</v>
      </c>
      <c r="B1335" s="20" t="s">
        <v>1299</v>
      </c>
      <c r="C1335" s="162">
        <v>1970</v>
      </c>
      <c r="D1335" s="273"/>
      <c r="E1335" s="162" t="s">
        <v>3190</v>
      </c>
      <c r="F1335" s="48">
        <v>5</v>
      </c>
      <c r="G1335" s="46">
        <v>3693.98</v>
      </c>
      <c r="H1335" s="48">
        <v>166</v>
      </c>
      <c r="I1335" s="273">
        <f>SUMIF('2020'!B:B,B1335,'2020'!C:C)+SUMIF('2021'!B:B,B1335,'2021'!C:C)+SUMIF('2022'!B:B,B1335,'2022'!C:C)</f>
        <v>356958.42</v>
      </c>
      <c r="J1335" s="59">
        <v>44925</v>
      </c>
      <c r="K1335" s="162" t="s">
        <v>3118</v>
      </c>
    </row>
    <row r="1336" spans="1:11" x14ac:dyDescent="0.3">
      <c r="A1336" s="259">
        <f t="shared" si="52"/>
        <v>1203</v>
      </c>
      <c r="B1336" s="20" t="s">
        <v>1300</v>
      </c>
      <c r="C1336" s="162">
        <v>1974</v>
      </c>
      <c r="D1336" s="273"/>
      <c r="E1336" s="162" t="s">
        <v>3438</v>
      </c>
      <c r="F1336" s="48">
        <v>5</v>
      </c>
      <c r="G1336" s="46">
        <v>4093.2</v>
      </c>
      <c r="H1336" s="51">
        <v>184</v>
      </c>
      <c r="I1336" s="273">
        <f>SUMIF('2020'!B:B,B1336,'2020'!C:C)+SUMIF('2021'!B:B,B1336,'2021'!C:C)+SUMIF('2022'!B:B,B1336,'2022'!C:C)</f>
        <v>232125.12</v>
      </c>
      <c r="J1336" s="59">
        <v>44925</v>
      </c>
      <c r="K1336" s="162" t="s">
        <v>3118</v>
      </c>
    </row>
    <row r="1337" spans="1:11" x14ac:dyDescent="0.3">
      <c r="A1337" s="259">
        <f t="shared" si="52"/>
        <v>1204</v>
      </c>
      <c r="B1337" s="20" t="s">
        <v>1301</v>
      </c>
      <c r="C1337" s="162">
        <v>1970</v>
      </c>
      <c r="D1337" s="273"/>
      <c r="E1337" s="162" t="s">
        <v>3438</v>
      </c>
      <c r="F1337" s="48">
        <v>5</v>
      </c>
      <c r="G1337" s="46">
        <v>6697.6</v>
      </c>
      <c r="H1337" s="48">
        <v>268</v>
      </c>
      <c r="I1337" s="273">
        <f>SUMIF('2020'!B:B,B1337,'2020'!C:C)+SUMIF('2021'!B:B,B1337,'2021'!C:C)+SUMIF('2022'!B:B,B1337,'2022'!C:C)</f>
        <v>621739.61</v>
      </c>
      <c r="J1337" s="59">
        <v>44925</v>
      </c>
      <c r="K1337" s="162" t="s">
        <v>3118</v>
      </c>
    </row>
    <row r="1338" spans="1:11" x14ac:dyDescent="0.3">
      <c r="A1338" s="259">
        <f t="shared" si="52"/>
        <v>1205</v>
      </c>
      <c r="B1338" s="20" t="s">
        <v>1302</v>
      </c>
      <c r="C1338" s="162">
        <v>1974</v>
      </c>
      <c r="D1338" s="273"/>
      <c r="E1338" s="162" t="s">
        <v>3190</v>
      </c>
      <c r="F1338" s="48">
        <v>5</v>
      </c>
      <c r="G1338" s="46">
        <v>2673.9</v>
      </c>
      <c r="H1338" s="48">
        <v>137</v>
      </c>
      <c r="I1338" s="273">
        <f>SUMIF('2020'!B:B,B1338,'2020'!C:C)+SUMIF('2021'!B:B,B1338,'2021'!C:C)+SUMIF('2022'!B:B,B1338,'2022'!C:C)</f>
        <v>186056.09</v>
      </c>
      <c r="J1338" s="59">
        <v>44925</v>
      </c>
      <c r="K1338" s="162" t="s">
        <v>3118</v>
      </c>
    </row>
    <row r="1339" spans="1:11" x14ac:dyDescent="0.3">
      <c r="A1339" s="259">
        <f t="shared" si="52"/>
        <v>1206</v>
      </c>
      <c r="B1339" s="20" t="s">
        <v>1303</v>
      </c>
      <c r="C1339" s="162">
        <v>1962</v>
      </c>
      <c r="D1339" s="273"/>
      <c r="E1339" s="162" t="s">
        <v>3438</v>
      </c>
      <c r="F1339" s="48">
        <v>4</v>
      </c>
      <c r="G1339" s="46">
        <v>1988.4</v>
      </c>
      <c r="H1339" s="48">
        <v>102</v>
      </c>
      <c r="I1339" s="273">
        <f>SUMIF('2020'!B:B,B1339,'2020'!C:C)+SUMIF('2021'!B:B,B1339,'2021'!C:C)+SUMIF('2022'!B:B,B1339,'2022'!C:C)</f>
        <v>0</v>
      </c>
      <c r="J1339" s="59">
        <v>44925</v>
      </c>
      <c r="K1339" s="162" t="s">
        <v>3118</v>
      </c>
    </row>
    <row r="1340" spans="1:11" x14ac:dyDescent="0.3">
      <c r="A1340" s="259">
        <f t="shared" si="52"/>
        <v>1207</v>
      </c>
      <c r="B1340" s="20" t="s">
        <v>1304</v>
      </c>
      <c r="C1340" s="162">
        <v>1961</v>
      </c>
      <c r="D1340" s="273"/>
      <c r="E1340" s="52" t="s">
        <v>3438</v>
      </c>
      <c r="F1340" s="48">
        <v>4</v>
      </c>
      <c r="G1340" s="46">
        <v>2162.1</v>
      </c>
      <c r="H1340" s="48">
        <v>82</v>
      </c>
      <c r="I1340" s="273">
        <f>SUMIF('2020'!B:B,B1340,'2020'!C:C)+SUMIF('2021'!B:B,B1340,'2021'!C:C)+SUMIF('2022'!B:B,B1340,'2022'!C:C)</f>
        <v>336193.88</v>
      </c>
      <c r="J1340" s="59">
        <v>44925</v>
      </c>
      <c r="K1340" s="162" t="s">
        <v>3118</v>
      </c>
    </row>
    <row r="1341" spans="1:11" x14ac:dyDescent="0.3">
      <c r="A1341" s="259">
        <f t="shared" si="52"/>
        <v>1208</v>
      </c>
      <c r="B1341" s="20" t="s">
        <v>1305</v>
      </c>
      <c r="C1341" s="162">
        <v>1964</v>
      </c>
      <c r="D1341" s="273"/>
      <c r="E1341" s="52" t="s">
        <v>3438</v>
      </c>
      <c r="F1341" s="48">
        <v>5</v>
      </c>
      <c r="G1341" s="46">
        <v>4927.3999999999996</v>
      </c>
      <c r="H1341" s="48">
        <v>153</v>
      </c>
      <c r="I1341" s="273">
        <f>SUMIF('2020'!B:B,B1341,'2020'!C:C)+SUMIF('2021'!B:B,B1341,'2021'!C:C)+SUMIF('2022'!B:B,B1341,'2022'!C:C)</f>
        <v>479185.09</v>
      </c>
      <c r="J1341" s="59">
        <v>44925</v>
      </c>
      <c r="K1341" s="162" t="s">
        <v>3118</v>
      </c>
    </row>
    <row r="1342" spans="1:11" x14ac:dyDescent="0.3">
      <c r="A1342" s="259">
        <f t="shared" si="52"/>
        <v>1209</v>
      </c>
      <c r="B1342" s="20" t="s">
        <v>1306</v>
      </c>
      <c r="C1342" s="162">
        <v>1962</v>
      </c>
      <c r="D1342" s="273"/>
      <c r="E1342" s="162" t="s">
        <v>3438</v>
      </c>
      <c r="F1342" s="48">
        <v>4</v>
      </c>
      <c r="G1342" s="46">
        <v>2208</v>
      </c>
      <c r="H1342" s="48">
        <v>172</v>
      </c>
      <c r="I1342" s="273">
        <f>SUMIF('2020'!B:B,B1342,'2020'!C:C)+SUMIF('2021'!B:B,B1342,'2021'!C:C)+SUMIF('2022'!B:B,B1342,'2022'!C:C)</f>
        <v>295964.98</v>
      </c>
      <c r="J1342" s="59">
        <v>44925</v>
      </c>
      <c r="K1342" s="162" t="s">
        <v>3118</v>
      </c>
    </row>
    <row r="1343" spans="1:11" x14ac:dyDescent="0.3">
      <c r="A1343" s="259">
        <f t="shared" si="52"/>
        <v>1210</v>
      </c>
      <c r="B1343" s="20" t="s">
        <v>1307</v>
      </c>
      <c r="C1343" s="162">
        <v>1962</v>
      </c>
      <c r="D1343" s="273"/>
      <c r="E1343" s="162" t="s">
        <v>3438</v>
      </c>
      <c r="F1343" s="48">
        <v>4</v>
      </c>
      <c r="G1343" s="46">
        <v>2166.1</v>
      </c>
      <c r="H1343" s="48">
        <v>86</v>
      </c>
      <c r="I1343" s="273">
        <f>SUMIF('2020'!B:B,B1343,'2020'!C:C)+SUMIF('2021'!B:B,B1343,'2021'!C:C)+SUMIF('2022'!B:B,B1343,'2022'!C:C)</f>
        <v>299010.74</v>
      </c>
      <c r="J1343" s="59">
        <v>44925</v>
      </c>
      <c r="K1343" s="162" t="s">
        <v>3118</v>
      </c>
    </row>
    <row r="1344" spans="1:11" x14ac:dyDescent="0.3">
      <c r="A1344" s="259">
        <f t="shared" si="52"/>
        <v>1211</v>
      </c>
      <c r="B1344" s="20" t="s">
        <v>1308</v>
      </c>
      <c r="C1344" s="162">
        <v>1963</v>
      </c>
      <c r="D1344" s="273"/>
      <c r="E1344" s="162" t="s">
        <v>3438</v>
      </c>
      <c r="F1344" s="48">
        <v>3</v>
      </c>
      <c r="G1344" s="46">
        <v>1526.5</v>
      </c>
      <c r="H1344" s="48">
        <v>67</v>
      </c>
      <c r="I1344" s="273">
        <f>SUMIF('2020'!B:B,B1344,'2020'!C:C)+SUMIF('2021'!B:B,B1344,'2021'!C:C)+SUMIF('2022'!B:B,B1344,'2022'!C:C)</f>
        <v>117848.23</v>
      </c>
      <c r="J1344" s="59">
        <v>44925</v>
      </c>
      <c r="K1344" s="162" t="s">
        <v>3118</v>
      </c>
    </row>
    <row r="1345" spans="1:11" x14ac:dyDescent="0.3">
      <c r="A1345" s="259">
        <f t="shared" si="52"/>
        <v>1212</v>
      </c>
      <c r="B1345" s="20" t="s">
        <v>1309</v>
      </c>
      <c r="C1345" s="162">
        <v>1965</v>
      </c>
      <c r="D1345" s="273"/>
      <c r="E1345" s="162" t="s">
        <v>3438</v>
      </c>
      <c r="F1345" s="48">
        <v>4</v>
      </c>
      <c r="G1345" s="46">
        <v>1952.7</v>
      </c>
      <c r="H1345" s="48">
        <v>106</v>
      </c>
      <c r="I1345" s="273">
        <f>SUMIF('2020'!B:B,B1345,'2020'!C:C)+SUMIF('2021'!B:B,B1345,'2021'!C:C)+SUMIF('2022'!B:B,B1345,'2022'!C:C)</f>
        <v>143773.57</v>
      </c>
      <c r="J1345" s="59">
        <v>44925</v>
      </c>
      <c r="K1345" s="162" t="s">
        <v>3118</v>
      </c>
    </row>
    <row r="1346" spans="1:11" x14ac:dyDescent="0.3">
      <c r="A1346" s="259">
        <f t="shared" si="52"/>
        <v>1213</v>
      </c>
      <c r="B1346" s="20" t="s">
        <v>1310</v>
      </c>
      <c r="C1346" s="162">
        <v>1965</v>
      </c>
      <c r="D1346" s="273"/>
      <c r="E1346" s="162" t="s">
        <v>3190</v>
      </c>
      <c r="F1346" s="48">
        <v>5</v>
      </c>
      <c r="G1346" s="46">
        <v>3517.91</v>
      </c>
      <c r="H1346" s="48">
        <v>150</v>
      </c>
      <c r="I1346" s="273">
        <f>SUMIF('2020'!B:B,B1346,'2020'!C:C)+SUMIF('2021'!B:B,B1346,'2021'!C:C)+SUMIF('2022'!B:B,B1346,'2022'!C:C)</f>
        <v>202609.01</v>
      </c>
      <c r="J1346" s="59">
        <v>44925</v>
      </c>
      <c r="K1346" s="162" t="s">
        <v>3118</v>
      </c>
    </row>
    <row r="1347" spans="1:11" x14ac:dyDescent="0.3">
      <c r="A1347" s="259">
        <f t="shared" si="52"/>
        <v>1214</v>
      </c>
      <c r="B1347" s="20" t="s">
        <v>1311</v>
      </c>
      <c r="C1347" s="162">
        <v>1966</v>
      </c>
      <c r="D1347" s="273"/>
      <c r="E1347" s="52" t="s">
        <v>3438</v>
      </c>
      <c r="F1347" s="48">
        <v>5</v>
      </c>
      <c r="G1347" s="46">
        <v>5220.24</v>
      </c>
      <c r="H1347" s="48">
        <v>149</v>
      </c>
      <c r="I1347" s="273">
        <f>SUMIF('2020'!B:B,B1347,'2020'!C:C)+SUMIF('2021'!B:B,B1347,'2021'!C:C)+SUMIF('2022'!B:B,B1347,'2022'!C:C)</f>
        <v>479185.09</v>
      </c>
      <c r="J1347" s="59">
        <v>44925</v>
      </c>
      <c r="K1347" s="162" t="s">
        <v>3118</v>
      </c>
    </row>
    <row r="1348" spans="1:11" x14ac:dyDescent="0.3">
      <c r="A1348" s="259">
        <f t="shared" si="52"/>
        <v>1215</v>
      </c>
      <c r="B1348" s="20" t="s">
        <v>1312</v>
      </c>
      <c r="C1348" s="162">
        <v>1963</v>
      </c>
      <c r="D1348" s="273"/>
      <c r="E1348" s="162" t="s">
        <v>3190</v>
      </c>
      <c r="F1348" s="48">
        <v>4</v>
      </c>
      <c r="G1348" s="46">
        <v>2884.31</v>
      </c>
      <c r="H1348" s="48">
        <v>125</v>
      </c>
      <c r="I1348" s="273">
        <f>SUMIF('2020'!B:B,B1348,'2020'!C:C)+SUMIF('2021'!B:B,B1348,'2021'!C:C)+SUMIF('2022'!B:B,B1348,'2022'!C:C)</f>
        <v>306130.90000000002</v>
      </c>
      <c r="J1348" s="59">
        <v>44925</v>
      </c>
      <c r="K1348" s="162" t="s">
        <v>3118</v>
      </c>
    </row>
    <row r="1349" spans="1:11" x14ac:dyDescent="0.3">
      <c r="A1349" s="259">
        <f t="shared" si="52"/>
        <v>1216</v>
      </c>
      <c r="B1349" s="20" t="s">
        <v>1313</v>
      </c>
      <c r="C1349" s="162">
        <v>1917</v>
      </c>
      <c r="D1349" s="273"/>
      <c r="E1349" s="52" t="s">
        <v>3440</v>
      </c>
      <c r="F1349" s="48">
        <v>2</v>
      </c>
      <c r="G1349" s="46">
        <v>192.7</v>
      </c>
      <c r="H1349" s="48">
        <v>13</v>
      </c>
      <c r="I1349" s="273">
        <f>SUMIF('2020'!B:B,B1349,'2020'!C:C)+SUMIF('2021'!B:B,B1349,'2021'!C:C)+SUMIF('2022'!B:B,B1349,'2022'!C:C)</f>
        <v>135606.04999999999</v>
      </c>
      <c r="J1349" s="59">
        <v>44925</v>
      </c>
      <c r="K1349" s="162" t="s">
        <v>3118</v>
      </c>
    </row>
    <row r="1350" spans="1:11" x14ac:dyDescent="0.3">
      <c r="A1350" s="259">
        <f t="shared" si="52"/>
        <v>1217</v>
      </c>
      <c r="B1350" s="20" t="s">
        <v>1314</v>
      </c>
      <c r="C1350" s="162">
        <v>1975</v>
      </c>
      <c r="D1350" s="273"/>
      <c r="E1350" s="162" t="s">
        <v>3190</v>
      </c>
      <c r="F1350" s="48">
        <v>5</v>
      </c>
      <c r="G1350" s="46">
        <v>4844.3999999999996</v>
      </c>
      <c r="H1350" s="48">
        <v>172</v>
      </c>
      <c r="I1350" s="273">
        <f>SUMIF('2020'!B:B,B1350,'2020'!C:C)+SUMIF('2021'!B:B,B1350,'2021'!C:C)+SUMIF('2022'!B:B,B1350,'2022'!C:C)</f>
        <v>237338.03</v>
      </c>
      <c r="J1350" s="59">
        <v>44925</v>
      </c>
      <c r="K1350" s="162" t="s">
        <v>3118</v>
      </c>
    </row>
    <row r="1351" spans="1:11" x14ac:dyDescent="0.3">
      <c r="A1351" s="259">
        <f t="shared" si="52"/>
        <v>1218</v>
      </c>
      <c r="B1351" s="20" t="s">
        <v>1315</v>
      </c>
      <c r="C1351" s="162">
        <v>1974</v>
      </c>
      <c r="D1351" s="273"/>
      <c r="E1351" s="162" t="s">
        <v>3190</v>
      </c>
      <c r="F1351" s="48">
        <v>5</v>
      </c>
      <c r="G1351" s="46">
        <v>2540.4</v>
      </c>
      <c r="H1351" s="48">
        <v>115</v>
      </c>
      <c r="I1351" s="273">
        <f>SUMIF('2020'!B:B,B1351,'2020'!C:C)+SUMIF('2021'!B:B,B1351,'2021'!C:C)+SUMIF('2022'!B:B,B1351,'2022'!C:C)</f>
        <v>329350.03000000003</v>
      </c>
      <c r="J1351" s="59">
        <v>44925</v>
      </c>
      <c r="K1351" s="162" t="s">
        <v>3118</v>
      </c>
    </row>
    <row r="1352" spans="1:11" x14ac:dyDescent="0.3">
      <c r="A1352" s="259">
        <f t="shared" si="52"/>
        <v>1219</v>
      </c>
      <c r="B1352" s="20" t="s">
        <v>1316</v>
      </c>
      <c r="C1352" s="162">
        <v>1975</v>
      </c>
      <c r="D1352" s="273"/>
      <c r="E1352" s="162" t="s">
        <v>3190</v>
      </c>
      <c r="F1352" s="48">
        <v>5</v>
      </c>
      <c r="G1352" s="46">
        <v>824.2</v>
      </c>
      <c r="H1352" s="48">
        <v>33</v>
      </c>
      <c r="I1352" s="273">
        <f>SUMIF('2020'!B:B,B1352,'2020'!C:C)+SUMIF('2021'!B:B,B1352,'2021'!C:C)+SUMIF('2022'!B:B,B1352,'2022'!C:C)</f>
        <v>245602.3</v>
      </c>
      <c r="J1352" s="59">
        <v>44925</v>
      </c>
      <c r="K1352" s="162" t="s">
        <v>3118</v>
      </c>
    </row>
    <row r="1353" spans="1:11" x14ac:dyDescent="0.3">
      <c r="A1353" s="259">
        <f t="shared" si="52"/>
        <v>1220</v>
      </c>
      <c r="B1353" s="20" t="s">
        <v>1317</v>
      </c>
      <c r="C1353" s="162">
        <v>1971</v>
      </c>
      <c r="D1353" s="273"/>
      <c r="E1353" s="162" t="s">
        <v>3438</v>
      </c>
      <c r="F1353" s="48">
        <v>9</v>
      </c>
      <c r="G1353" s="46">
        <v>2355.6</v>
      </c>
      <c r="H1353" s="48">
        <v>62</v>
      </c>
      <c r="I1353" s="273">
        <f>SUMIF('2020'!B:B,B1353,'2020'!C:C)+SUMIF('2021'!B:B,B1353,'2021'!C:C)+SUMIF('2022'!B:B,B1353,'2022'!C:C)</f>
        <v>418019.06</v>
      </c>
      <c r="J1353" s="59">
        <v>44925</v>
      </c>
      <c r="K1353" s="162" t="s">
        <v>3118</v>
      </c>
    </row>
    <row r="1354" spans="1:11" x14ac:dyDescent="0.3">
      <c r="A1354" s="259">
        <f t="shared" si="52"/>
        <v>1221</v>
      </c>
      <c r="B1354" s="20" t="s">
        <v>1318</v>
      </c>
      <c r="C1354" s="162">
        <v>1971</v>
      </c>
      <c r="D1354" s="273"/>
      <c r="E1354" s="162" t="s">
        <v>3438</v>
      </c>
      <c r="F1354" s="48">
        <v>9</v>
      </c>
      <c r="G1354" s="46">
        <v>2326.4</v>
      </c>
      <c r="H1354" s="48">
        <v>72</v>
      </c>
      <c r="I1354" s="273">
        <f>SUMIF('2020'!B:B,B1354,'2020'!C:C)+SUMIF('2021'!B:B,B1354,'2021'!C:C)+SUMIF('2022'!B:B,B1354,'2022'!C:C)</f>
        <v>423800.11</v>
      </c>
      <c r="J1354" s="59">
        <v>44925</v>
      </c>
      <c r="K1354" s="162" t="s">
        <v>3118</v>
      </c>
    </row>
    <row r="1355" spans="1:11" x14ac:dyDescent="0.3">
      <c r="A1355" s="259">
        <f t="shared" si="52"/>
        <v>1222</v>
      </c>
      <c r="B1355" s="20" t="s">
        <v>1319</v>
      </c>
      <c r="C1355" s="162">
        <v>1973</v>
      </c>
      <c r="D1355" s="273"/>
      <c r="E1355" s="162" t="s">
        <v>3190</v>
      </c>
      <c r="F1355" s="48">
        <v>5</v>
      </c>
      <c r="G1355" s="46">
        <v>4323.8999999999996</v>
      </c>
      <c r="H1355" s="48">
        <v>212</v>
      </c>
      <c r="I1355" s="273">
        <f>SUMIF('2020'!B:B,B1355,'2020'!C:C)+SUMIF('2021'!B:B,B1355,'2021'!C:C)+SUMIF('2022'!B:B,B1355,'2022'!C:C)</f>
        <v>0</v>
      </c>
      <c r="J1355" s="59">
        <v>44925</v>
      </c>
      <c r="K1355" s="162" t="s">
        <v>3118</v>
      </c>
    </row>
    <row r="1356" spans="1:11" x14ac:dyDescent="0.3">
      <c r="A1356" s="259">
        <f t="shared" si="52"/>
        <v>1223</v>
      </c>
      <c r="B1356" s="20" t="s">
        <v>1320</v>
      </c>
      <c r="C1356" s="162">
        <v>1969</v>
      </c>
      <c r="D1356" s="273"/>
      <c r="E1356" s="162" t="s">
        <v>3190</v>
      </c>
      <c r="F1356" s="48">
        <v>5</v>
      </c>
      <c r="G1356" s="46">
        <v>3493.6</v>
      </c>
      <c r="H1356" s="48">
        <v>146</v>
      </c>
      <c r="I1356" s="273">
        <f>SUMIF('2020'!B:B,B1356,'2020'!C:C)+SUMIF('2021'!B:B,B1356,'2021'!C:C)+SUMIF('2022'!B:B,B1356,'2022'!C:C)</f>
        <v>198665.38</v>
      </c>
      <c r="J1356" s="59">
        <v>44925</v>
      </c>
      <c r="K1356" s="162" t="s">
        <v>3118</v>
      </c>
    </row>
    <row r="1357" spans="1:11" x14ac:dyDescent="0.3">
      <c r="A1357" s="259">
        <f t="shared" si="52"/>
        <v>1224</v>
      </c>
      <c r="B1357" s="20" t="s">
        <v>1321</v>
      </c>
      <c r="C1357" s="162">
        <v>1952</v>
      </c>
      <c r="D1357" s="273"/>
      <c r="E1357" s="162" t="s">
        <v>3438</v>
      </c>
      <c r="F1357" s="48">
        <v>2</v>
      </c>
      <c r="G1357" s="46">
        <v>308.39999999999998</v>
      </c>
      <c r="H1357" s="48">
        <v>20</v>
      </c>
      <c r="I1357" s="273">
        <f>SUMIF('2020'!B:B,B1357,'2020'!C:C)+SUMIF('2021'!B:B,B1357,'2021'!C:C)+SUMIF('2022'!B:B,B1357,'2022'!C:C)</f>
        <v>120997.88</v>
      </c>
      <c r="J1357" s="59">
        <v>44925</v>
      </c>
      <c r="K1357" s="162" t="s">
        <v>3118</v>
      </c>
    </row>
    <row r="1358" spans="1:11" x14ac:dyDescent="0.3">
      <c r="A1358" s="259">
        <f t="shared" si="52"/>
        <v>1225</v>
      </c>
      <c r="B1358" s="20" t="s">
        <v>1322</v>
      </c>
      <c r="C1358" s="162">
        <v>1917</v>
      </c>
      <c r="D1358" s="273"/>
      <c r="E1358" s="53" t="s">
        <v>3443</v>
      </c>
      <c r="F1358" s="48">
        <v>2</v>
      </c>
      <c r="G1358" s="46">
        <v>232.9</v>
      </c>
      <c r="H1358" s="48">
        <v>6</v>
      </c>
      <c r="I1358" s="273">
        <f>SUMIF('2020'!B:B,B1358,'2020'!C:C)+SUMIF('2021'!B:B,B1358,'2021'!C:C)+SUMIF('2022'!B:B,B1358,'2022'!C:C)</f>
        <v>150903.56</v>
      </c>
      <c r="J1358" s="59">
        <v>44925</v>
      </c>
      <c r="K1358" s="162" t="s">
        <v>3118</v>
      </c>
    </row>
    <row r="1359" spans="1:11" x14ac:dyDescent="0.3">
      <c r="A1359" s="259">
        <f t="shared" si="52"/>
        <v>1226</v>
      </c>
      <c r="B1359" s="20" t="s">
        <v>1323</v>
      </c>
      <c r="C1359" s="162">
        <v>1917</v>
      </c>
      <c r="D1359" s="273"/>
      <c r="E1359" s="162" t="s">
        <v>3440</v>
      </c>
      <c r="F1359" s="48">
        <v>2</v>
      </c>
      <c r="G1359" s="46">
        <v>424.09</v>
      </c>
      <c r="H1359" s="48">
        <v>33</v>
      </c>
      <c r="I1359" s="273">
        <f>SUMIF('2020'!B:B,B1359,'2020'!C:C)+SUMIF('2021'!B:B,B1359,'2021'!C:C)+SUMIF('2022'!B:B,B1359,'2022'!C:C)</f>
        <v>274388.34000000003</v>
      </c>
      <c r="J1359" s="59">
        <v>44925</v>
      </c>
      <c r="K1359" s="162" t="s">
        <v>3118</v>
      </c>
    </row>
    <row r="1360" spans="1:11" x14ac:dyDescent="0.3">
      <c r="A1360" s="259">
        <f t="shared" ref="A1360:A1422" si="53">A1359+1</f>
        <v>1227</v>
      </c>
      <c r="B1360" s="20" t="s">
        <v>1324</v>
      </c>
      <c r="C1360" s="162">
        <v>1917</v>
      </c>
      <c r="D1360" s="273"/>
      <c r="E1360" s="162" t="s">
        <v>3440</v>
      </c>
      <c r="F1360" s="48">
        <v>2</v>
      </c>
      <c r="G1360" s="46">
        <v>415.34</v>
      </c>
      <c r="H1360" s="48">
        <v>19</v>
      </c>
      <c r="I1360" s="273">
        <f>SUMIF('2020'!B:B,B1360,'2020'!C:C)+SUMIF('2021'!B:B,B1360,'2021'!C:C)+SUMIF('2022'!B:B,B1360,'2022'!C:C)</f>
        <v>1570112.0000000002</v>
      </c>
      <c r="J1360" s="59">
        <v>44925</v>
      </c>
      <c r="K1360" s="162" t="s">
        <v>3118</v>
      </c>
    </row>
    <row r="1361" spans="1:11" x14ac:dyDescent="0.3">
      <c r="A1361" s="259">
        <f t="shared" si="53"/>
        <v>1228</v>
      </c>
      <c r="B1361" s="20" t="s">
        <v>1325</v>
      </c>
      <c r="C1361" s="162">
        <v>1917</v>
      </c>
      <c r="D1361" s="273"/>
      <c r="E1361" s="162" t="s">
        <v>3440</v>
      </c>
      <c r="F1361" s="48">
        <v>2</v>
      </c>
      <c r="G1361" s="46">
        <v>255</v>
      </c>
      <c r="H1361" s="48">
        <v>27</v>
      </c>
      <c r="I1361" s="273">
        <f>SUMIF('2020'!B:B,B1361,'2020'!C:C)+SUMIF('2021'!B:B,B1361,'2021'!C:C)+SUMIF('2022'!B:B,B1361,'2022'!C:C)</f>
        <v>2901697.56</v>
      </c>
      <c r="J1361" s="59">
        <v>44925</v>
      </c>
      <c r="K1361" s="162" t="s">
        <v>3118</v>
      </c>
    </row>
    <row r="1362" spans="1:11" x14ac:dyDescent="0.3">
      <c r="A1362" s="259">
        <f t="shared" si="53"/>
        <v>1229</v>
      </c>
      <c r="B1362" s="20" t="s">
        <v>1326</v>
      </c>
      <c r="C1362" s="162">
        <v>1971</v>
      </c>
      <c r="D1362" s="273"/>
      <c r="E1362" s="162" t="s">
        <v>3190</v>
      </c>
      <c r="F1362" s="48">
        <v>5</v>
      </c>
      <c r="G1362" s="46">
        <v>4376.6099999999997</v>
      </c>
      <c r="H1362" s="48">
        <v>193</v>
      </c>
      <c r="I1362" s="273">
        <f>SUMIF('2020'!B:B,B1362,'2020'!C:C)+SUMIF('2021'!B:B,B1362,'2021'!C:C)+SUMIF('2022'!B:B,B1362,'2022'!C:C)</f>
        <v>224224.1</v>
      </c>
      <c r="J1362" s="59">
        <v>44925</v>
      </c>
      <c r="K1362" s="162" t="s">
        <v>3118</v>
      </c>
    </row>
    <row r="1363" spans="1:11" x14ac:dyDescent="0.3">
      <c r="A1363" s="259">
        <f t="shared" si="53"/>
        <v>1230</v>
      </c>
      <c r="B1363" s="20" t="s">
        <v>1327</v>
      </c>
      <c r="C1363" s="162">
        <v>1971</v>
      </c>
      <c r="D1363" s="273"/>
      <c r="E1363" s="162" t="s">
        <v>3190</v>
      </c>
      <c r="F1363" s="48">
        <v>5</v>
      </c>
      <c r="G1363" s="46">
        <v>4188.7700000000004</v>
      </c>
      <c r="H1363" s="48">
        <v>180</v>
      </c>
      <c r="I1363" s="273">
        <f>SUMIF('2020'!B:B,B1363,'2020'!C:C)+SUMIF('2021'!B:B,B1363,'2021'!C:C)+SUMIF('2022'!B:B,B1363,'2022'!C:C)</f>
        <v>226453.15</v>
      </c>
      <c r="J1363" s="59">
        <v>44925</v>
      </c>
      <c r="K1363" s="162" t="s">
        <v>3118</v>
      </c>
    </row>
    <row r="1364" spans="1:11" x14ac:dyDescent="0.3">
      <c r="A1364" s="259">
        <f t="shared" si="53"/>
        <v>1231</v>
      </c>
      <c r="B1364" s="20" t="s">
        <v>1328</v>
      </c>
      <c r="C1364" s="162">
        <v>1971</v>
      </c>
      <c r="D1364" s="273"/>
      <c r="E1364" s="162" t="s">
        <v>3190</v>
      </c>
      <c r="F1364" s="48">
        <v>5</v>
      </c>
      <c r="G1364" s="46">
        <v>4211.3599999999997</v>
      </c>
      <c r="H1364" s="48">
        <v>171</v>
      </c>
      <c r="I1364" s="273">
        <f>SUMIF('2020'!B:B,B1364,'2020'!C:C)+SUMIF('2021'!B:B,B1364,'2021'!C:C)+SUMIF('2022'!B:B,B1364,'2022'!C:C)</f>
        <v>236494.42</v>
      </c>
      <c r="J1364" s="59">
        <v>44925</v>
      </c>
      <c r="K1364" s="162" t="s">
        <v>3118</v>
      </c>
    </row>
    <row r="1365" spans="1:11" x14ac:dyDescent="0.3">
      <c r="A1365" s="259">
        <f t="shared" si="53"/>
        <v>1232</v>
      </c>
      <c r="B1365" s="20" t="s">
        <v>1329</v>
      </c>
      <c r="C1365" s="162">
        <v>1971</v>
      </c>
      <c r="D1365" s="273"/>
      <c r="E1365" s="162" t="s">
        <v>3190</v>
      </c>
      <c r="F1365" s="48">
        <v>5</v>
      </c>
      <c r="G1365" s="46">
        <v>4191.0200000000004</v>
      </c>
      <c r="H1365" s="48">
        <v>190</v>
      </c>
      <c r="I1365" s="273">
        <f>SUMIF('2020'!B:B,B1365,'2020'!C:C)+SUMIF('2021'!B:B,B1365,'2021'!C:C)+SUMIF('2022'!B:B,B1365,'2022'!C:C)</f>
        <v>236494.42</v>
      </c>
      <c r="J1365" s="59">
        <v>44925</v>
      </c>
      <c r="K1365" s="162" t="s">
        <v>3118</v>
      </c>
    </row>
    <row r="1366" spans="1:11" x14ac:dyDescent="0.3">
      <c r="A1366" s="259">
        <f t="shared" si="53"/>
        <v>1233</v>
      </c>
      <c r="B1366" s="20" t="s">
        <v>1330</v>
      </c>
      <c r="C1366" s="162">
        <v>1972</v>
      </c>
      <c r="D1366" s="273"/>
      <c r="E1366" s="162" t="s">
        <v>3190</v>
      </c>
      <c r="F1366" s="48">
        <v>5</v>
      </c>
      <c r="G1366" s="46">
        <v>1353.2</v>
      </c>
      <c r="H1366" s="48">
        <v>68</v>
      </c>
      <c r="I1366" s="273">
        <f>SUMIF('2020'!B:B,B1366,'2020'!C:C)+SUMIF('2021'!B:B,B1366,'2021'!C:C)+SUMIF('2022'!B:B,B1366,'2022'!C:C)</f>
        <v>123676.82</v>
      </c>
      <c r="J1366" s="59">
        <v>44925</v>
      </c>
      <c r="K1366" s="162" t="s">
        <v>3118</v>
      </c>
    </row>
    <row r="1367" spans="1:11" x14ac:dyDescent="0.3">
      <c r="A1367" s="259">
        <f t="shared" si="53"/>
        <v>1234</v>
      </c>
      <c r="B1367" s="20" t="s">
        <v>1331</v>
      </c>
      <c r="C1367" s="162">
        <v>1968</v>
      </c>
      <c r="D1367" s="273"/>
      <c r="E1367" s="162" t="s">
        <v>3190</v>
      </c>
      <c r="F1367" s="48">
        <v>5</v>
      </c>
      <c r="G1367" s="46">
        <v>5095.9799999999996</v>
      </c>
      <c r="H1367" s="48">
        <v>221</v>
      </c>
      <c r="I1367" s="273">
        <f>SUMIF('2020'!B:B,B1367,'2020'!C:C)+SUMIF('2021'!B:B,B1367,'2021'!C:C)+SUMIF('2022'!B:B,B1367,'2022'!C:C)</f>
        <v>5463453.5999999996</v>
      </c>
      <c r="J1367" s="59">
        <v>44925</v>
      </c>
      <c r="K1367" s="162" t="s">
        <v>3118</v>
      </c>
    </row>
    <row r="1368" spans="1:11" x14ac:dyDescent="0.3">
      <c r="A1368" s="259">
        <f t="shared" si="53"/>
        <v>1235</v>
      </c>
      <c r="B1368" s="20" t="s">
        <v>1332</v>
      </c>
      <c r="C1368" s="162">
        <v>1972</v>
      </c>
      <c r="D1368" s="273"/>
      <c r="E1368" s="162" t="s">
        <v>3190</v>
      </c>
      <c r="F1368" s="48">
        <v>5</v>
      </c>
      <c r="G1368" s="46">
        <v>1356.65</v>
      </c>
      <c r="H1368" s="48">
        <v>69</v>
      </c>
      <c r="I1368" s="273">
        <f>SUMIF('2020'!B:B,B1368,'2020'!C:C)+SUMIF('2021'!B:B,B1368,'2021'!C:C)+SUMIF('2022'!B:B,B1368,'2022'!C:C)</f>
        <v>2042945.45</v>
      </c>
      <c r="J1368" s="59">
        <v>44925</v>
      </c>
      <c r="K1368" s="162" t="s">
        <v>3118</v>
      </c>
    </row>
    <row r="1369" spans="1:11" x14ac:dyDescent="0.3">
      <c r="A1369" s="259">
        <f t="shared" si="53"/>
        <v>1236</v>
      </c>
      <c r="B1369" s="20" t="s">
        <v>1333</v>
      </c>
      <c r="C1369" s="162">
        <v>1969</v>
      </c>
      <c r="D1369" s="273"/>
      <c r="E1369" s="162" t="s">
        <v>3190</v>
      </c>
      <c r="F1369" s="48">
        <v>5</v>
      </c>
      <c r="G1369" s="46">
        <v>3506.98</v>
      </c>
      <c r="H1369" s="48">
        <v>230</v>
      </c>
      <c r="I1369" s="273">
        <f>SUMIF('2020'!B:B,B1369,'2020'!C:C)+SUMIF('2021'!B:B,B1369,'2021'!C:C)+SUMIF('2022'!B:B,B1369,'2022'!C:C)</f>
        <v>389697.15</v>
      </c>
      <c r="J1369" s="59">
        <v>44925</v>
      </c>
      <c r="K1369" s="162" t="s">
        <v>3118</v>
      </c>
    </row>
    <row r="1370" spans="1:11" x14ac:dyDescent="0.3">
      <c r="A1370" s="259">
        <f t="shared" si="53"/>
        <v>1237</v>
      </c>
      <c r="B1370" s="20" t="s">
        <v>1334</v>
      </c>
      <c r="C1370" s="162">
        <v>1961</v>
      </c>
      <c r="D1370" s="273"/>
      <c r="E1370" s="162" t="s">
        <v>3440</v>
      </c>
      <c r="F1370" s="48">
        <v>2</v>
      </c>
      <c r="G1370" s="46">
        <v>246.1</v>
      </c>
      <c r="H1370" s="48">
        <v>16</v>
      </c>
      <c r="I1370" s="273">
        <f>SUMIF('2020'!B:B,B1370,'2020'!C:C)+SUMIF('2021'!B:B,B1370,'2021'!C:C)+SUMIF('2022'!B:B,B1370,'2022'!C:C)</f>
        <v>394712.18999999994</v>
      </c>
      <c r="J1370" s="59">
        <v>44925</v>
      </c>
      <c r="K1370" s="162" t="s">
        <v>3118</v>
      </c>
    </row>
    <row r="1371" spans="1:11" x14ac:dyDescent="0.3">
      <c r="A1371" s="259">
        <f t="shared" si="53"/>
        <v>1238</v>
      </c>
      <c r="B1371" s="20" t="s">
        <v>1335</v>
      </c>
      <c r="C1371" s="162">
        <v>1977</v>
      </c>
      <c r="D1371" s="273"/>
      <c r="E1371" s="162" t="s">
        <v>3119</v>
      </c>
      <c r="F1371" s="48">
        <v>5</v>
      </c>
      <c r="G1371" s="46">
        <v>3184.7</v>
      </c>
      <c r="H1371" s="48">
        <v>136</v>
      </c>
      <c r="I1371" s="273">
        <f>SUMIF('2020'!B:B,B1371,'2020'!C:C)+SUMIF('2021'!B:B,B1371,'2021'!C:C)+SUMIF('2022'!B:B,B1371,'2022'!C:C)</f>
        <v>176725.18</v>
      </c>
      <c r="J1371" s="59">
        <v>44925</v>
      </c>
      <c r="K1371" s="162" t="s">
        <v>3118</v>
      </c>
    </row>
    <row r="1372" spans="1:11" x14ac:dyDescent="0.3">
      <c r="A1372" s="259">
        <f t="shared" si="53"/>
        <v>1239</v>
      </c>
      <c r="B1372" s="20" t="s">
        <v>1336</v>
      </c>
      <c r="C1372" s="162">
        <v>1917</v>
      </c>
      <c r="D1372" s="273"/>
      <c r="E1372" s="162" t="s">
        <v>3440</v>
      </c>
      <c r="F1372" s="48">
        <v>2</v>
      </c>
      <c r="G1372" s="46">
        <v>171</v>
      </c>
      <c r="H1372" s="48">
        <v>13</v>
      </c>
      <c r="I1372" s="273">
        <f>SUMIF('2020'!B:B,B1372,'2020'!C:C)+SUMIF('2021'!B:B,B1372,'2021'!C:C)+SUMIF('2022'!B:B,B1372,'2022'!C:C)</f>
        <v>197664.23</v>
      </c>
      <c r="J1372" s="59">
        <v>44925</v>
      </c>
      <c r="K1372" s="162" t="s">
        <v>3118</v>
      </c>
    </row>
    <row r="1373" spans="1:11" x14ac:dyDescent="0.3">
      <c r="A1373" s="259">
        <f t="shared" si="53"/>
        <v>1240</v>
      </c>
      <c r="B1373" s="20" t="s">
        <v>1337</v>
      </c>
      <c r="C1373" s="162">
        <v>1950</v>
      </c>
      <c r="D1373" s="273"/>
      <c r="E1373" s="162" t="s">
        <v>3438</v>
      </c>
      <c r="F1373" s="28" t="s">
        <v>3444</v>
      </c>
      <c r="G1373" s="46">
        <v>2916.6</v>
      </c>
      <c r="H1373" s="48">
        <v>135</v>
      </c>
      <c r="I1373" s="273">
        <f>SUMIF('2020'!B:B,B1373,'2020'!C:C)+SUMIF('2021'!B:B,B1373,'2021'!C:C)+SUMIF('2022'!B:B,B1373,'2022'!C:C)</f>
        <v>191397.92</v>
      </c>
      <c r="J1373" s="59">
        <v>44925</v>
      </c>
      <c r="K1373" s="162" t="s">
        <v>3118</v>
      </c>
    </row>
    <row r="1374" spans="1:11" x14ac:dyDescent="0.3">
      <c r="A1374" s="259">
        <f t="shared" si="53"/>
        <v>1241</v>
      </c>
      <c r="B1374" s="20" t="s">
        <v>1338</v>
      </c>
      <c r="C1374" s="162">
        <v>1963</v>
      </c>
      <c r="D1374" s="273"/>
      <c r="E1374" s="162" t="s">
        <v>3438</v>
      </c>
      <c r="F1374" s="48">
        <v>4</v>
      </c>
      <c r="G1374" s="46">
        <v>1300.3900000000001</v>
      </c>
      <c r="H1374" s="48">
        <v>52</v>
      </c>
      <c r="I1374" s="273">
        <f>SUMIF('2020'!B:B,B1374,'2020'!C:C)+SUMIF('2021'!B:B,B1374,'2021'!C:C)+SUMIF('2022'!B:B,B1374,'2022'!C:C)</f>
        <v>7289174.7800000003</v>
      </c>
      <c r="J1374" s="59">
        <v>44925</v>
      </c>
      <c r="K1374" s="162" t="s">
        <v>3118</v>
      </c>
    </row>
    <row r="1375" spans="1:11" x14ac:dyDescent="0.3">
      <c r="A1375" s="259">
        <f t="shared" si="53"/>
        <v>1242</v>
      </c>
      <c r="B1375" s="20" t="s">
        <v>1339</v>
      </c>
      <c r="C1375" s="162">
        <v>1963</v>
      </c>
      <c r="D1375" s="273"/>
      <c r="E1375" s="162" t="s">
        <v>3438</v>
      </c>
      <c r="F1375" s="48">
        <v>4</v>
      </c>
      <c r="G1375" s="46">
        <v>2034.7</v>
      </c>
      <c r="H1375" s="48">
        <v>89</v>
      </c>
      <c r="I1375" s="273">
        <f>SUMIF('2020'!B:B,B1375,'2020'!C:C)+SUMIF('2021'!B:B,B1375,'2021'!C:C)+SUMIF('2022'!B:B,B1375,'2022'!C:C)</f>
        <v>12259453.629999999</v>
      </c>
      <c r="J1375" s="59">
        <v>44925</v>
      </c>
      <c r="K1375" s="162" t="s">
        <v>3118</v>
      </c>
    </row>
    <row r="1376" spans="1:11" x14ac:dyDescent="0.3">
      <c r="A1376" s="259">
        <f t="shared" si="53"/>
        <v>1243</v>
      </c>
      <c r="B1376" s="20" t="s">
        <v>1340</v>
      </c>
      <c r="C1376" s="162">
        <v>1963</v>
      </c>
      <c r="D1376" s="273"/>
      <c r="E1376" s="162" t="s">
        <v>3438</v>
      </c>
      <c r="F1376" s="48">
        <v>4</v>
      </c>
      <c r="G1376" s="46">
        <v>1259.0999999999999</v>
      </c>
      <c r="H1376" s="48">
        <v>62</v>
      </c>
      <c r="I1376" s="273">
        <f>SUMIF('2020'!B:B,B1376,'2020'!C:C)+SUMIF('2021'!B:B,B1376,'2021'!C:C)+SUMIF('2022'!B:B,B1376,'2022'!C:C)</f>
        <v>6363766.7000000002</v>
      </c>
      <c r="J1376" s="59">
        <v>44925</v>
      </c>
      <c r="K1376" s="162" t="s">
        <v>3118</v>
      </c>
    </row>
    <row r="1377" spans="1:11" x14ac:dyDescent="0.3">
      <c r="A1377" s="259">
        <f t="shared" si="53"/>
        <v>1244</v>
      </c>
      <c r="B1377" s="20" t="s">
        <v>1341</v>
      </c>
      <c r="C1377" s="162">
        <v>1957</v>
      </c>
      <c r="D1377" s="273"/>
      <c r="E1377" s="162" t="s">
        <v>3438</v>
      </c>
      <c r="F1377" s="48">
        <v>3</v>
      </c>
      <c r="G1377" s="46">
        <v>1548.6</v>
      </c>
      <c r="H1377" s="48">
        <v>71</v>
      </c>
      <c r="I1377" s="273">
        <f>SUMIF('2020'!B:B,B1377,'2020'!C:C)+SUMIF('2021'!B:B,B1377,'2021'!C:C)+SUMIF('2022'!B:B,B1377,'2022'!C:C)</f>
        <v>9742035.870000001</v>
      </c>
      <c r="J1377" s="59">
        <v>44925</v>
      </c>
      <c r="K1377" s="162" t="s">
        <v>3118</v>
      </c>
    </row>
    <row r="1378" spans="1:11" x14ac:dyDescent="0.3">
      <c r="A1378" s="259">
        <f t="shared" si="53"/>
        <v>1245</v>
      </c>
      <c r="B1378" s="20" t="s">
        <v>1342</v>
      </c>
      <c r="C1378" s="162">
        <v>1966</v>
      </c>
      <c r="D1378" s="273"/>
      <c r="E1378" s="162" t="s">
        <v>3438</v>
      </c>
      <c r="F1378" s="48">
        <v>5</v>
      </c>
      <c r="G1378" s="46">
        <v>2565.8200000000002</v>
      </c>
      <c r="H1378" s="48">
        <v>116</v>
      </c>
      <c r="I1378" s="273">
        <f>SUMIF('2020'!B:B,B1378,'2020'!C:C)+SUMIF('2021'!B:B,B1378,'2021'!C:C)+SUMIF('2022'!B:B,B1378,'2022'!C:C)</f>
        <v>1914312</v>
      </c>
      <c r="J1378" s="59">
        <v>44925</v>
      </c>
      <c r="K1378" s="162" t="s">
        <v>3118</v>
      </c>
    </row>
    <row r="1379" spans="1:11" x14ac:dyDescent="0.3">
      <c r="A1379" s="259">
        <f t="shared" si="53"/>
        <v>1246</v>
      </c>
      <c r="B1379" s="20" t="s">
        <v>1343</v>
      </c>
      <c r="C1379" s="162">
        <v>1975</v>
      </c>
      <c r="D1379" s="273"/>
      <c r="E1379" s="52" t="s">
        <v>3442</v>
      </c>
      <c r="F1379" s="48">
        <v>5</v>
      </c>
      <c r="G1379" s="46">
        <v>2188.6999999999998</v>
      </c>
      <c r="H1379" s="48">
        <v>83</v>
      </c>
      <c r="I1379" s="273">
        <f>SUMIF('2020'!B:B,B1379,'2020'!C:C)+SUMIF('2021'!B:B,B1379,'2021'!C:C)+SUMIF('2022'!B:B,B1379,'2022'!C:C)</f>
        <v>173524.58</v>
      </c>
      <c r="J1379" s="59">
        <v>44925</v>
      </c>
      <c r="K1379" s="162" t="s">
        <v>3118</v>
      </c>
    </row>
    <row r="1380" spans="1:11" x14ac:dyDescent="0.3">
      <c r="A1380" s="259">
        <f t="shared" si="53"/>
        <v>1247</v>
      </c>
      <c r="B1380" s="20" t="s">
        <v>1344</v>
      </c>
      <c r="C1380" s="162">
        <v>1964</v>
      </c>
      <c r="D1380" s="273"/>
      <c r="E1380" s="162" t="s">
        <v>3438</v>
      </c>
      <c r="F1380" s="48">
        <v>4</v>
      </c>
      <c r="G1380" s="46">
        <v>2030.68</v>
      </c>
      <c r="H1380" s="48">
        <v>84</v>
      </c>
      <c r="I1380" s="273">
        <f>SUMIF('2020'!B:B,B1380,'2020'!C:C)+SUMIF('2021'!B:B,B1380,'2021'!C:C)+SUMIF('2022'!B:B,B1380,'2022'!C:C)</f>
        <v>139172.14000000001</v>
      </c>
      <c r="J1380" s="59">
        <v>44925</v>
      </c>
      <c r="K1380" s="162" t="s">
        <v>3118</v>
      </c>
    </row>
    <row r="1381" spans="1:11" x14ac:dyDescent="0.3">
      <c r="A1381" s="259">
        <f t="shared" si="53"/>
        <v>1248</v>
      </c>
      <c r="B1381" s="20" t="s">
        <v>1345</v>
      </c>
      <c r="C1381" s="162">
        <v>1984</v>
      </c>
      <c r="D1381" s="273"/>
      <c r="E1381" s="52" t="s">
        <v>3442</v>
      </c>
      <c r="F1381" s="48">
        <v>5</v>
      </c>
      <c r="G1381" s="46">
        <v>2368.8000000000002</v>
      </c>
      <c r="H1381" s="48">
        <v>138</v>
      </c>
      <c r="I1381" s="273">
        <f>SUMIF('2020'!B:B,B1381,'2020'!C:C)+SUMIF('2021'!B:B,B1381,'2021'!C:C)+SUMIF('2022'!B:B,B1381,'2022'!C:C)</f>
        <v>7006418.0300000003</v>
      </c>
      <c r="J1381" s="59">
        <v>44925</v>
      </c>
      <c r="K1381" s="162" t="s">
        <v>3118</v>
      </c>
    </row>
    <row r="1382" spans="1:11" x14ac:dyDescent="0.3">
      <c r="A1382" s="259">
        <f t="shared" si="53"/>
        <v>1249</v>
      </c>
      <c r="B1382" s="20" t="s">
        <v>1346</v>
      </c>
      <c r="C1382" s="162">
        <v>1917</v>
      </c>
      <c r="D1382" s="273"/>
      <c r="E1382" s="162" t="s">
        <v>3440</v>
      </c>
      <c r="F1382" s="48">
        <v>2</v>
      </c>
      <c r="G1382" s="46">
        <v>185.41</v>
      </c>
      <c r="H1382" s="48">
        <v>10</v>
      </c>
      <c r="I1382" s="273">
        <f>SUMIF('2020'!B:B,B1382,'2020'!C:C)+SUMIF('2021'!B:B,B1382,'2021'!C:C)+SUMIF('2022'!B:B,B1382,'2022'!C:C)</f>
        <v>65075.89</v>
      </c>
      <c r="J1382" s="59">
        <v>44925</v>
      </c>
      <c r="K1382" s="162" t="s">
        <v>3118</v>
      </c>
    </row>
    <row r="1383" spans="1:11" x14ac:dyDescent="0.3">
      <c r="A1383" s="259">
        <f t="shared" si="53"/>
        <v>1250</v>
      </c>
      <c r="B1383" s="20" t="s">
        <v>1347</v>
      </c>
      <c r="C1383" s="162">
        <v>1968</v>
      </c>
      <c r="D1383" s="273"/>
      <c r="E1383" s="162" t="s">
        <v>3190</v>
      </c>
      <c r="F1383" s="48">
        <v>5</v>
      </c>
      <c r="G1383" s="46">
        <v>3522.15</v>
      </c>
      <c r="H1383" s="48">
        <v>171</v>
      </c>
      <c r="I1383" s="273">
        <f>SUMIF('2020'!B:B,B1383,'2020'!C:C)+SUMIF('2021'!B:B,B1383,'2021'!C:C)+SUMIF('2022'!B:B,B1383,'2022'!C:C)</f>
        <v>31105444.02</v>
      </c>
      <c r="J1383" s="59">
        <v>44925</v>
      </c>
      <c r="K1383" s="162" t="s">
        <v>3118</v>
      </c>
    </row>
    <row r="1384" spans="1:11" x14ac:dyDescent="0.3">
      <c r="A1384" s="259">
        <f t="shared" si="53"/>
        <v>1251</v>
      </c>
      <c r="B1384" s="20" t="s">
        <v>1348</v>
      </c>
      <c r="C1384" s="162">
        <v>1975</v>
      </c>
      <c r="D1384" s="273"/>
      <c r="E1384" s="162" t="s">
        <v>3440</v>
      </c>
      <c r="F1384" s="48">
        <v>2</v>
      </c>
      <c r="G1384" s="46">
        <v>391.1</v>
      </c>
      <c r="H1384" s="48">
        <v>21</v>
      </c>
      <c r="I1384" s="273">
        <f>SUMIF('2020'!B:B,B1384,'2020'!C:C)+SUMIF('2021'!B:B,B1384,'2021'!C:C)+SUMIF('2022'!B:B,B1384,'2022'!C:C)</f>
        <v>154252.92000000001</v>
      </c>
      <c r="J1384" s="59">
        <v>44925</v>
      </c>
      <c r="K1384" s="162" t="s">
        <v>3118</v>
      </c>
    </row>
    <row r="1385" spans="1:11" x14ac:dyDescent="0.3">
      <c r="A1385" s="259">
        <f t="shared" si="53"/>
        <v>1252</v>
      </c>
      <c r="B1385" s="20" t="s">
        <v>1349</v>
      </c>
      <c r="C1385" s="162">
        <v>1966</v>
      </c>
      <c r="D1385" s="273"/>
      <c r="E1385" s="162" t="s">
        <v>3190</v>
      </c>
      <c r="F1385" s="48">
        <v>5</v>
      </c>
      <c r="G1385" s="46">
        <v>3498.32</v>
      </c>
      <c r="H1385" s="48">
        <v>158</v>
      </c>
      <c r="I1385" s="273">
        <f>SUMIF('2020'!B:B,B1385,'2020'!C:C)+SUMIF('2021'!B:B,B1385,'2021'!C:C)+SUMIF('2022'!B:B,B1385,'2022'!C:C)</f>
        <v>26782053.160000004</v>
      </c>
      <c r="J1385" s="59">
        <v>44925</v>
      </c>
      <c r="K1385" s="162" t="s">
        <v>3118</v>
      </c>
    </row>
    <row r="1386" spans="1:11" x14ac:dyDescent="0.3">
      <c r="A1386" s="259">
        <f t="shared" si="53"/>
        <v>1253</v>
      </c>
      <c r="B1386" s="20" t="s">
        <v>1350</v>
      </c>
      <c r="C1386" s="162">
        <v>1966</v>
      </c>
      <c r="D1386" s="273"/>
      <c r="E1386" s="162" t="s">
        <v>3438</v>
      </c>
      <c r="F1386" s="48">
        <v>2</v>
      </c>
      <c r="G1386" s="46">
        <v>701.78</v>
      </c>
      <c r="H1386" s="48">
        <v>24</v>
      </c>
      <c r="I1386" s="273">
        <f>SUMIF('2020'!B:B,B1386,'2020'!C:C)+SUMIF('2021'!B:B,B1386,'2021'!C:C)+SUMIF('2022'!B:B,B1386,'2022'!C:C)</f>
        <v>3414406.15</v>
      </c>
      <c r="J1386" s="59">
        <v>44925</v>
      </c>
      <c r="K1386" s="162" t="s">
        <v>3118</v>
      </c>
    </row>
    <row r="1387" spans="1:11" x14ac:dyDescent="0.3">
      <c r="A1387" s="259">
        <f t="shared" si="53"/>
        <v>1254</v>
      </c>
      <c r="B1387" s="20" t="s">
        <v>1351</v>
      </c>
      <c r="C1387" s="162">
        <v>1966</v>
      </c>
      <c r="D1387" s="273"/>
      <c r="E1387" s="162" t="s">
        <v>3438</v>
      </c>
      <c r="F1387" s="48">
        <v>5</v>
      </c>
      <c r="G1387" s="46">
        <v>2742</v>
      </c>
      <c r="H1387" s="48">
        <v>125</v>
      </c>
      <c r="I1387" s="273">
        <f>SUMIF('2020'!B:B,B1387,'2020'!C:C)+SUMIF('2021'!B:B,B1387,'2021'!C:C)+SUMIF('2022'!B:B,B1387,'2022'!C:C)</f>
        <v>222273.74</v>
      </c>
      <c r="J1387" s="59">
        <v>44925</v>
      </c>
      <c r="K1387" s="162" t="s">
        <v>3118</v>
      </c>
    </row>
    <row r="1388" spans="1:11" x14ac:dyDescent="0.3">
      <c r="A1388" s="259">
        <f t="shared" si="53"/>
        <v>1255</v>
      </c>
      <c r="B1388" s="20" t="s">
        <v>1352</v>
      </c>
      <c r="C1388" s="162">
        <v>1947</v>
      </c>
      <c r="D1388" s="273"/>
      <c r="E1388" s="162" t="s">
        <v>3438</v>
      </c>
      <c r="F1388" s="48">
        <v>2</v>
      </c>
      <c r="G1388" s="46">
        <v>484.3</v>
      </c>
      <c r="H1388" s="48">
        <v>42</v>
      </c>
      <c r="I1388" s="273">
        <f>SUMIF('2020'!B:B,B1388,'2020'!C:C)+SUMIF('2021'!B:B,B1388,'2021'!C:C)+SUMIF('2022'!B:B,B1388,'2022'!C:C)</f>
        <v>11637102.18</v>
      </c>
      <c r="J1388" s="59">
        <v>44925</v>
      </c>
      <c r="K1388" s="162" t="s">
        <v>3118</v>
      </c>
    </row>
    <row r="1389" spans="1:11" x14ac:dyDescent="0.3">
      <c r="A1389" s="259">
        <f t="shared" si="53"/>
        <v>1256</v>
      </c>
      <c r="B1389" s="20" t="s">
        <v>1353</v>
      </c>
      <c r="C1389" s="162">
        <v>1958</v>
      </c>
      <c r="D1389" s="273"/>
      <c r="E1389" s="162" t="s">
        <v>3440</v>
      </c>
      <c r="F1389" s="48">
        <v>2</v>
      </c>
      <c r="G1389" s="46">
        <v>173.3</v>
      </c>
      <c r="H1389" s="48">
        <v>12</v>
      </c>
      <c r="I1389" s="273">
        <f>SUMIF('2020'!B:B,B1389,'2020'!C:C)+SUMIF('2021'!B:B,B1389,'2021'!C:C)+SUMIF('2022'!B:B,B1389,'2022'!C:C)</f>
        <v>121078.22</v>
      </c>
      <c r="J1389" s="59">
        <v>44925</v>
      </c>
      <c r="K1389" s="162" t="s">
        <v>3118</v>
      </c>
    </row>
    <row r="1390" spans="1:11" x14ac:dyDescent="0.3">
      <c r="A1390" s="259">
        <f t="shared" si="53"/>
        <v>1257</v>
      </c>
      <c r="B1390" s="20" t="s">
        <v>1354</v>
      </c>
      <c r="C1390" s="162">
        <v>1961</v>
      </c>
      <c r="D1390" s="273"/>
      <c r="E1390" s="162" t="s">
        <v>3438</v>
      </c>
      <c r="F1390" s="48">
        <v>2</v>
      </c>
      <c r="G1390" s="46">
        <v>259.29000000000002</v>
      </c>
      <c r="H1390" s="48">
        <v>13</v>
      </c>
      <c r="I1390" s="273">
        <f>SUMIF('2020'!B:B,B1390,'2020'!C:C)+SUMIF('2021'!B:B,B1390,'2021'!C:C)+SUMIF('2022'!B:B,B1390,'2022'!C:C)</f>
        <v>151546.75</v>
      </c>
      <c r="J1390" s="59">
        <v>44925</v>
      </c>
      <c r="K1390" s="162" t="s">
        <v>3118</v>
      </c>
    </row>
    <row r="1391" spans="1:11" ht="23.25" customHeight="1" x14ac:dyDescent="0.3">
      <c r="A1391" s="259">
        <f t="shared" si="53"/>
        <v>1258</v>
      </c>
      <c r="B1391" s="20" t="s">
        <v>1355</v>
      </c>
      <c r="C1391" s="162">
        <v>1917</v>
      </c>
      <c r="D1391" s="273"/>
      <c r="E1391" s="162" t="s">
        <v>3445</v>
      </c>
      <c r="F1391" s="28" t="s">
        <v>3446</v>
      </c>
      <c r="G1391" s="46">
        <v>1005.79</v>
      </c>
      <c r="H1391" s="48">
        <v>56</v>
      </c>
      <c r="I1391" s="273">
        <f>SUMIF('2020'!B:B,B1391,'2020'!C:C)+SUMIF('2021'!B:B,B1391,'2021'!C:C)+SUMIF('2022'!B:B,B1391,'2022'!C:C)</f>
        <v>227405.35</v>
      </c>
      <c r="J1391" s="59">
        <v>44925</v>
      </c>
      <c r="K1391" s="162" t="s">
        <v>3118</v>
      </c>
    </row>
    <row r="1392" spans="1:11" x14ac:dyDescent="0.3">
      <c r="A1392" s="259">
        <f t="shared" si="53"/>
        <v>1259</v>
      </c>
      <c r="B1392" s="20" t="s">
        <v>1356</v>
      </c>
      <c r="C1392" s="162">
        <v>1971</v>
      </c>
      <c r="D1392" s="273"/>
      <c r="E1392" s="162" t="s">
        <v>3438</v>
      </c>
      <c r="F1392" s="48">
        <v>2</v>
      </c>
      <c r="G1392" s="46">
        <v>899.34</v>
      </c>
      <c r="H1392" s="48">
        <v>44</v>
      </c>
      <c r="I1392" s="273">
        <f>SUMIF('2020'!B:B,B1392,'2020'!C:C)+SUMIF('2021'!B:B,B1392,'2021'!C:C)+SUMIF('2022'!B:B,B1392,'2022'!C:C)</f>
        <v>118741.12</v>
      </c>
      <c r="J1392" s="59">
        <v>44925</v>
      </c>
      <c r="K1392" s="162" t="s">
        <v>3118</v>
      </c>
    </row>
    <row r="1393" spans="1:11" x14ac:dyDescent="0.3">
      <c r="A1393" s="259">
        <f t="shared" si="53"/>
        <v>1260</v>
      </c>
      <c r="B1393" s="20" t="s">
        <v>1357</v>
      </c>
      <c r="C1393" s="162">
        <v>1967</v>
      </c>
      <c r="D1393" s="273"/>
      <c r="E1393" s="162" t="s">
        <v>3440</v>
      </c>
      <c r="F1393" s="48">
        <v>2</v>
      </c>
      <c r="G1393" s="46">
        <v>430.56</v>
      </c>
      <c r="H1393" s="48">
        <v>31</v>
      </c>
      <c r="I1393" s="273">
        <f>SUMIF('2020'!B:B,B1393,'2020'!C:C)+SUMIF('2021'!B:B,B1393,'2021'!C:C)+SUMIF('2022'!B:B,B1393,'2022'!C:C)</f>
        <v>315237.62</v>
      </c>
      <c r="J1393" s="59">
        <v>44925</v>
      </c>
      <c r="K1393" s="162" t="s">
        <v>3118</v>
      </c>
    </row>
    <row r="1394" spans="1:11" x14ac:dyDescent="0.3">
      <c r="A1394" s="259">
        <f t="shared" si="53"/>
        <v>1261</v>
      </c>
      <c r="B1394" s="20" t="s">
        <v>1358</v>
      </c>
      <c r="C1394" s="162">
        <v>1970</v>
      </c>
      <c r="D1394" s="273"/>
      <c r="E1394" s="162" t="s">
        <v>3438</v>
      </c>
      <c r="F1394" s="48">
        <v>5</v>
      </c>
      <c r="G1394" s="46">
        <v>3433.59</v>
      </c>
      <c r="H1394" s="48">
        <v>159</v>
      </c>
      <c r="I1394" s="273">
        <f>SUMIF('2020'!B:B,B1394,'2020'!C:C)+SUMIF('2021'!B:B,B1394,'2021'!C:C)+SUMIF('2022'!B:B,B1394,'2022'!C:C)</f>
        <v>215886.67</v>
      </c>
      <c r="J1394" s="59">
        <v>44925</v>
      </c>
      <c r="K1394" s="162" t="s">
        <v>3118</v>
      </c>
    </row>
    <row r="1395" spans="1:11" x14ac:dyDescent="0.3">
      <c r="A1395" s="259">
        <f t="shared" si="53"/>
        <v>1262</v>
      </c>
      <c r="B1395" s="20" t="s">
        <v>1359</v>
      </c>
      <c r="C1395" s="162">
        <v>1971</v>
      </c>
      <c r="D1395" s="273"/>
      <c r="E1395" s="162" t="s">
        <v>3438</v>
      </c>
      <c r="F1395" s="48">
        <v>5</v>
      </c>
      <c r="G1395" s="46">
        <v>3442.6</v>
      </c>
      <c r="H1395" s="48">
        <v>163</v>
      </c>
      <c r="I1395" s="273">
        <f>SUMIF('2020'!B:B,B1395,'2020'!C:C)+SUMIF('2021'!B:B,B1395,'2021'!C:C)+SUMIF('2022'!B:B,B1395,'2022'!C:C)</f>
        <v>207977.94</v>
      </c>
      <c r="J1395" s="59">
        <v>44925</v>
      </c>
      <c r="K1395" s="162" t="s">
        <v>3118</v>
      </c>
    </row>
    <row r="1396" spans="1:11" x14ac:dyDescent="0.3">
      <c r="A1396" s="259">
        <f t="shared" si="53"/>
        <v>1263</v>
      </c>
      <c r="B1396" s="20" t="s">
        <v>1360</v>
      </c>
      <c r="C1396" s="162">
        <v>1977</v>
      </c>
      <c r="D1396" s="273"/>
      <c r="E1396" s="162" t="s">
        <v>3438</v>
      </c>
      <c r="F1396" s="48">
        <v>5</v>
      </c>
      <c r="G1396" s="46">
        <v>13637.5</v>
      </c>
      <c r="H1396" s="48">
        <v>619</v>
      </c>
      <c r="I1396" s="273">
        <f>SUMIF('2020'!B:B,B1396,'2020'!C:C)+SUMIF('2021'!B:B,B1396,'2021'!C:C)+SUMIF('2022'!B:B,B1396,'2022'!C:C)</f>
        <v>605870.04</v>
      </c>
      <c r="J1396" s="59">
        <v>44925</v>
      </c>
      <c r="K1396" s="162" t="s">
        <v>3118</v>
      </c>
    </row>
    <row r="1397" spans="1:11" x14ac:dyDescent="0.3">
      <c r="A1397" s="259">
        <f t="shared" si="53"/>
        <v>1264</v>
      </c>
      <c r="B1397" s="20" t="s">
        <v>1361</v>
      </c>
      <c r="C1397" s="162">
        <v>1969</v>
      </c>
      <c r="D1397" s="273"/>
      <c r="E1397" s="162" t="s">
        <v>3438</v>
      </c>
      <c r="F1397" s="48">
        <v>5</v>
      </c>
      <c r="G1397" s="46">
        <v>3467.4</v>
      </c>
      <c r="H1397" s="48">
        <v>171</v>
      </c>
      <c r="I1397" s="273">
        <f>SUMIF('2020'!B:B,B1397,'2020'!C:C)+SUMIF('2021'!B:B,B1397,'2021'!C:C)+SUMIF('2022'!B:B,B1397,'2022'!C:C)</f>
        <v>223088.15</v>
      </c>
      <c r="J1397" s="59">
        <v>44925</v>
      </c>
      <c r="K1397" s="162" t="s">
        <v>3118</v>
      </c>
    </row>
    <row r="1398" spans="1:11" x14ac:dyDescent="0.3">
      <c r="A1398" s="259">
        <f t="shared" si="53"/>
        <v>1265</v>
      </c>
      <c r="B1398" s="20" t="s">
        <v>1362</v>
      </c>
      <c r="C1398" s="162">
        <v>1964</v>
      </c>
      <c r="D1398" s="273"/>
      <c r="E1398" s="162" t="s">
        <v>3190</v>
      </c>
      <c r="F1398" s="48">
        <v>5</v>
      </c>
      <c r="G1398" s="46">
        <v>2875.3</v>
      </c>
      <c r="H1398" s="48">
        <v>124</v>
      </c>
      <c r="I1398" s="273">
        <f>SUMIF('2020'!B:B,B1398,'2020'!C:C)+SUMIF('2021'!B:B,B1398,'2021'!C:C)+SUMIF('2022'!B:B,B1398,'2022'!C:C)</f>
        <v>27353665.600000001</v>
      </c>
      <c r="J1398" s="59">
        <v>44925</v>
      </c>
      <c r="K1398" s="162" t="s">
        <v>3118</v>
      </c>
    </row>
    <row r="1399" spans="1:11" x14ac:dyDescent="0.3">
      <c r="A1399" s="259">
        <f t="shared" si="53"/>
        <v>1266</v>
      </c>
      <c r="B1399" s="20" t="s">
        <v>1363</v>
      </c>
      <c r="C1399" s="162">
        <v>1966</v>
      </c>
      <c r="D1399" s="273"/>
      <c r="E1399" s="162" t="s">
        <v>3438</v>
      </c>
      <c r="F1399" s="48">
        <v>5</v>
      </c>
      <c r="G1399" s="46">
        <v>3473.76</v>
      </c>
      <c r="H1399" s="48">
        <v>136</v>
      </c>
      <c r="I1399" s="273">
        <f>SUMIF('2020'!B:B,B1399,'2020'!C:C)+SUMIF('2021'!B:B,B1399,'2021'!C:C)+SUMIF('2022'!B:B,B1399,'2022'!C:C)</f>
        <v>244842.58</v>
      </c>
      <c r="J1399" s="59">
        <v>44925</v>
      </c>
      <c r="K1399" s="162" t="s">
        <v>3118</v>
      </c>
    </row>
    <row r="1400" spans="1:11" x14ac:dyDescent="0.3">
      <c r="A1400" s="259">
        <f t="shared" si="53"/>
        <v>1267</v>
      </c>
      <c r="B1400" s="20" t="s">
        <v>1364</v>
      </c>
      <c r="C1400" s="162">
        <v>1967</v>
      </c>
      <c r="D1400" s="273"/>
      <c r="E1400" s="162" t="s">
        <v>3438</v>
      </c>
      <c r="F1400" s="48">
        <v>5</v>
      </c>
      <c r="G1400" s="46">
        <v>3475.6</v>
      </c>
      <c r="H1400" s="48">
        <v>146</v>
      </c>
      <c r="I1400" s="273">
        <f>SUMIF('2020'!B:B,B1400,'2020'!C:C)+SUMIF('2021'!B:B,B1400,'2021'!C:C)+SUMIF('2022'!B:B,B1400,'2022'!C:C)</f>
        <v>230707.54</v>
      </c>
      <c r="J1400" s="59">
        <v>44925</v>
      </c>
      <c r="K1400" s="162" t="s">
        <v>3118</v>
      </c>
    </row>
    <row r="1401" spans="1:11" x14ac:dyDescent="0.3">
      <c r="A1401" s="259">
        <f t="shared" si="53"/>
        <v>1268</v>
      </c>
      <c r="B1401" s="20" t="s">
        <v>1365</v>
      </c>
      <c r="C1401" s="162">
        <v>1964</v>
      </c>
      <c r="D1401" s="273"/>
      <c r="E1401" s="162" t="s">
        <v>3190</v>
      </c>
      <c r="F1401" s="48">
        <v>5</v>
      </c>
      <c r="G1401" s="46">
        <v>2532.1</v>
      </c>
      <c r="H1401" s="48">
        <v>106</v>
      </c>
      <c r="I1401" s="273">
        <f>SUMIF('2020'!B:B,B1401,'2020'!C:C)+SUMIF('2021'!B:B,B1401,'2021'!C:C)+SUMIF('2022'!B:B,B1401,'2022'!C:C)</f>
        <v>160804.19</v>
      </c>
      <c r="J1401" s="59">
        <v>44925</v>
      </c>
      <c r="K1401" s="162" t="s">
        <v>3118</v>
      </c>
    </row>
    <row r="1402" spans="1:11" x14ac:dyDescent="0.3">
      <c r="A1402" s="259">
        <f t="shared" si="53"/>
        <v>1269</v>
      </c>
      <c r="B1402" s="20" t="s">
        <v>1366</v>
      </c>
      <c r="C1402" s="162">
        <v>1964</v>
      </c>
      <c r="D1402" s="273"/>
      <c r="E1402" s="162" t="s">
        <v>3190</v>
      </c>
      <c r="F1402" s="48">
        <v>5</v>
      </c>
      <c r="G1402" s="46">
        <v>2545.77</v>
      </c>
      <c r="H1402" s="48">
        <v>124</v>
      </c>
      <c r="I1402" s="273">
        <f>SUMIF('2020'!B:B,B1402,'2020'!C:C)+SUMIF('2021'!B:B,B1402,'2021'!C:C)+SUMIF('2022'!B:B,B1402,'2022'!C:C)</f>
        <v>13097216.399999999</v>
      </c>
      <c r="J1402" s="59">
        <v>44925</v>
      </c>
      <c r="K1402" s="162" t="s">
        <v>3118</v>
      </c>
    </row>
    <row r="1403" spans="1:11" x14ac:dyDescent="0.3">
      <c r="A1403" s="259">
        <f t="shared" si="53"/>
        <v>1270</v>
      </c>
      <c r="B1403" s="20" t="s">
        <v>1367</v>
      </c>
      <c r="C1403" s="162">
        <v>1964</v>
      </c>
      <c r="D1403" s="273"/>
      <c r="E1403" s="52" t="s">
        <v>3190</v>
      </c>
      <c r="F1403" s="48">
        <v>5</v>
      </c>
      <c r="G1403" s="46">
        <v>2656</v>
      </c>
      <c r="H1403" s="48">
        <v>113</v>
      </c>
      <c r="I1403" s="273">
        <f>SUMIF('2020'!B:B,B1403,'2020'!C:C)+SUMIF('2021'!B:B,B1403,'2021'!C:C)+SUMIF('2022'!B:B,B1403,'2022'!C:C)</f>
        <v>612484.39</v>
      </c>
      <c r="J1403" s="59">
        <v>44925</v>
      </c>
      <c r="K1403" s="162" t="s">
        <v>3118</v>
      </c>
    </row>
    <row r="1404" spans="1:11" x14ac:dyDescent="0.3">
      <c r="A1404" s="259">
        <f t="shared" si="53"/>
        <v>1271</v>
      </c>
      <c r="B1404" s="20" t="s">
        <v>1368</v>
      </c>
      <c r="C1404" s="162">
        <v>1966</v>
      </c>
      <c r="D1404" s="273"/>
      <c r="E1404" s="162" t="s">
        <v>3190</v>
      </c>
      <c r="F1404" s="48">
        <v>5</v>
      </c>
      <c r="G1404" s="46">
        <v>3532.7</v>
      </c>
      <c r="H1404" s="48">
        <v>161</v>
      </c>
      <c r="I1404" s="273">
        <f>SUMIF('2020'!B:B,B1404,'2020'!C:C)+SUMIF('2021'!B:B,B1404,'2021'!C:C)+SUMIF('2022'!B:B,B1404,'2022'!C:C)</f>
        <v>15756736.800000001</v>
      </c>
      <c r="J1404" s="59">
        <v>44925</v>
      </c>
      <c r="K1404" s="162" t="s">
        <v>3118</v>
      </c>
    </row>
    <row r="1405" spans="1:11" x14ac:dyDescent="0.3">
      <c r="A1405" s="259">
        <f t="shared" si="53"/>
        <v>1272</v>
      </c>
      <c r="B1405" s="20" t="s">
        <v>1369</v>
      </c>
      <c r="C1405" s="162">
        <v>1967</v>
      </c>
      <c r="D1405" s="273"/>
      <c r="E1405" s="162" t="s">
        <v>3190</v>
      </c>
      <c r="F1405" s="48">
        <v>5</v>
      </c>
      <c r="G1405" s="46">
        <v>5183.57</v>
      </c>
      <c r="H1405" s="48">
        <v>225</v>
      </c>
      <c r="I1405" s="273">
        <f>SUMIF('2020'!B:B,B1405,'2020'!C:C)+SUMIF('2021'!B:B,B1405,'2021'!C:C)+SUMIF('2022'!B:B,B1405,'2022'!C:C)</f>
        <v>15241273.15</v>
      </c>
      <c r="J1405" s="59">
        <v>44925</v>
      </c>
      <c r="K1405" s="162" t="s">
        <v>3118</v>
      </c>
    </row>
    <row r="1406" spans="1:11" x14ac:dyDescent="0.3">
      <c r="A1406" s="259">
        <f t="shared" si="53"/>
        <v>1273</v>
      </c>
      <c r="B1406" s="20" t="s">
        <v>1370</v>
      </c>
      <c r="C1406" s="162">
        <v>1917</v>
      </c>
      <c r="D1406" s="273"/>
      <c r="E1406" s="162" t="s">
        <v>3438</v>
      </c>
      <c r="F1406" s="48">
        <v>2</v>
      </c>
      <c r="G1406" s="46">
        <v>277.2</v>
      </c>
      <c r="H1406" s="48">
        <v>13</v>
      </c>
      <c r="I1406" s="273">
        <f>SUMIF('2020'!B:B,B1406,'2020'!C:C)+SUMIF('2021'!B:B,B1406,'2021'!C:C)+SUMIF('2022'!B:B,B1406,'2022'!C:C)</f>
        <v>3292561.33</v>
      </c>
      <c r="J1406" s="59">
        <v>44925</v>
      </c>
      <c r="K1406" s="162" t="s">
        <v>3118</v>
      </c>
    </row>
    <row r="1407" spans="1:11" x14ac:dyDescent="0.3">
      <c r="A1407" s="259">
        <f t="shared" si="53"/>
        <v>1274</v>
      </c>
      <c r="B1407" s="20" t="s">
        <v>1371</v>
      </c>
      <c r="C1407" s="162">
        <v>1967</v>
      </c>
      <c r="D1407" s="273"/>
      <c r="E1407" s="162" t="s">
        <v>3190</v>
      </c>
      <c r="F1407" s="48">
        <v>5</v>
      </c>
      <c r="G1407" s="46">
        <v>3792.8</v>
      </c>
      <c r="H1407" s="48">
        <v>163</v>
      </c>
      <c r="I1407" s="273">
        <f>SUMIF('2020'!B:B,B1407,'2020'!C:C)+SUMIF('2021'!B:B,B1407,'2021'!C:C)+SUMIF('2022'!B:B,B1407,'2022'!C:C)</f>
        <v>212778.92</v>
      </c>
      <c r="J1407" s="59">
        <v>44925</v>
      </c>
      <c r="K1407" s="162" t="s">
        <v>3118</v>
      </c>
    </row>
    <row r="1408" spans="1:11" x14ac:dyDescent="0.3">
      <c r="A1408" s="259">
        <f t="shared" si="53"/>
        <v>1275</v>
      </c>
      <c r="B1408" s="20" t="s">
        <v>1372</v>
      </c>
      <c r="C1408" s="162">
        <v>1965</v>
      </c>
      <c r="D1408" s="273"/>
      <c r="E1408" s="162" t="s">
        <v>3438</v>
      </c>
      <c r="F1408" s="48">
        <v>5</v>
      </c>
      <c r="G1408" s="46">
        <v>3348.7</v>
      </c>
      <c r="H1408" s="48">
        <v>134</v>
      </c>
      <c r="I1408" s="273">
        <f>SUMIF('2020'!B:B,B1408,'2020'!C:C)+SUMIF('2021'!B:B,B1408,'2021'!C:C)+SUMIF('2022'!B:B,B1408,'2022'!C:C)</f>
        <v>224159.82</v>
      </c>
      <c r="J1408" s="59">
        <v>44925</v>
      </c>
      <c r="K1408" s="162" t="s">
        <v>3118</v>
      </c>
    </row>
    <row r="1409" spans="1:11" x14ac:dyDescent="0.3">
      <c r="A1409" s="259">
        <f t="shared" si="53"/>
        <v>1276</v>
      </c>
      <c r="B1409" s="20" t="s">
        <v>1373</v>
      </c>
      <c r="C1409" s="162">
        <v>1917</v>
      </c>
      <c r="D1409" s="273"/>
      <c r="E1409" s="162" t="s">
        <v>3440</v>
      </c>
      <c r="F1409" s="48">
        <v>2</v>
      </c>
      <c r="G1409" s="46">
        <v>301.14</v>
      </c>
      <c r="H1409" s="48">
        <v>13</v>
      </c>
      <c r="I1409" s="273">
        <f>SUMIF('2020'!B:B,B1409,'2020'!C:C)+SUMIF('2021'!B:B,B1409,'2021'!C:C)+SUMIF('2022'!B:B,B1409,'2022'!C:C)</f>
        <v>176698.1</v>
      </c>
      <c r="J1409" s="59">
        <v>44925</v>
      </c>
      <c r="K1409" s="162" t="s">
        <v>3118</v>
      </c>
    </row>
    <row r="1410" spans="1:11" x14ac:dyDescent="0.3">
      <c r="A1410" s="259">
        <f t="shared" si="53"/>
        <v>1277</v>
      </c>
      <c r="B1410" s="20" t="s">
        <v>1374</v>
      </c>
      <c r="C1410" s="162">
        <v>1965</v>
      </c>
      <c r="D1410" s="273"/>
      <c r="E1410" s="162" t="s">
        <v>3190</v>
      </c>
      <c r="F1410" s="48">
        <v>5</v>
      </c>
      <c r="G1410" s="46">
        <v>3530.18</v>
      </c>
      <c r="H1410" s="48">
        <v>165</v>
      </c>
      <c r="I1410" s="273">
        <f>SUMIF('2020'!B:B,B1410,'2020'!C:C)+SUMIF('2021'!B:B,B1410,'2021'!C:C)+SUMIF('2022'!B:B,B1410,'2022'!C:C)</f>
        <v>192771.3</v>
      </c>
      <c r="J1410" s="59">
        <v>44925</v>
      </c>
      <c r="K1410" s="162" t="s">
        <v>3118</v>
      </c>
    </row>
    <row r="1411" spans="1:11" x14ac:dyDescent="0.3">
      <c r="A1411" s="259">
        <f t="shared" si="53"/>
        <v>1278</v>
      </c>
      <c r="B1411" s="20" t="s">
        <v>1375</v>
      </c>
      <c r="C1411" s="162">
        <v>1956</v>
      </c>
      <c r="D1411" s="273"/>
      <c r="E1411" s="162" t="s">
        <v>3440</v>
      </c>
      <c r="F1411" s="48">
        <v>2</v>
      </c>
      <c r="G1411" s="46">
        <v>426.9</v>
      </c>
      <c r="H1411" s="51">
        <v>36</v>
      </c>
      <c r="I1411" s="273">
        <f>SUMIF('2020'!B:B,B1411,'2020'!C:C)+SUMIF('2021'!B:B,B1411,'2021'!C:C)+SUMIF('2022'!B:B,B1411,'2022'!C:C)</f>
        <v>97175.35</v>
      </c>
      <c r="J1411" s="59">
        <v>44925</v>
      </c>
      <c r="K1411" s="162" t="s">
        <v>3118</v>
      </c>
    </row>
    <row r="1412" spans="1:11" x14ac:dyDescent="0.3">
      <c r="A1412" s="259">
        <f t="shared" si="53"/>
        <v>1279</v>
      </c>
      <c r="B1412" s="20" t="s">
        <v>1376</v>
      </c>
      <c r="C1412" s="162">
        <v>1976</v>
      </c>
      <c r="D1412" s="273"/>
      <c r="E1412" s="162" t="s">
        <v>3438</v>
      </c>
      <c r="F1412" s="48">
        <v>5</v>
      </c>
      <c r="G1412" s="46">
        <v>2298.6999999999998</v>
      </c>
      <c r="H1412" s="48">
        <v>96</v>
      </c>
      <c r="I1412" s="273">
        <f>SUMIF('2020'!B:B,B1412,'2020'!C:C)+SUMIF('2021'!B:B,B1412,'2021'!C:C)+SUMIF('2022'!B:B,B1412,'2022'!C:C)</f>
        <v>137870.41</v>
      </c>
      <c r="J1412" s="59">
        <v>44925</v>
      </c>
      <c r="K1412" s="162" t="s">
        <v>3118</v>
      </c>
    </row>
    <row r="1413" spans="1:11" x14ac:dyDescent="0.3">
      <c r="A1413" s="259">
        <f t="shared" si="53"/>
        <v>1280</v>
      </c>
      <c r="B1413" s="20" t="s">
        <v>1377</v>
      </c>
      <c r="C1413" s="162">
        <v>1976</v>
      </c>
      <c r="D1413" s="273"/>
      <c r="E1413" s="162" t="s">
        <v>3438</v>
      </c>
      <c r="F1413" s="48">
        <v>6</v>
      </c>
      <c r="G1413" s="46">
        <v>5929.5</v>
      </c>
      <c r="H1413" s="48">
        <v>267</v>
      </c>
      <c r="I1413" s="273">
        <f>SUMIF('2020'!B:B,B1413,'2020'!C:C)+SUMIF('2021'!B:B,B1413,'2021'!C:C)+SUMIF('2022'!B:B,B1413,'2022'!C:C)</f>
        <v>292169.42</v>
      </c>
      <c r="J1413" s="59">
        <v>44925</v>
      </c>
      <c r="K1413" s="162" t="s">
        <v>3118</v>
      </c>
    </row>
    <row r="1414" spans="1:11" x14ac:dyDescent="0.3">
      <c r="A1414" s="259">
        <f t="shared" si="53"/>
        <v>1281</v>
      </c>
      <c r="B1414" s="20" t="s">
        <v>1378</v>
      </c>
      <c r="C1414" s="162">
        <v>1970</v>
      </c>
      <c r="D1414" s="273"/>
      <c r="E1414" s="162" t="s">
        <v>3438</v>
      </c>
      <c r="F1414" s="48">
        <v>5</v>
      </c>
      <c r="G1414" s="46">
        <v>6998.5</v>
      </c>
      <c r="H1414" s="48">
        <v>235</v>
      </c>
      <c r="I1414" s="273">
        <f>SUMIF('2020'!B:B,B1414,'2020'!C:C)+SUMIF('2021'!B:B,B1414,'2021'!C:C)+SUMIF('2022'!B:B,B1414,'2022'!C:C)</f>
        <v>16039218</v>
      </c>
      <c r="J1414" s="59">
        <v>44925</v>
      </c>
      <c r="K1414" s="162" t="s">
        <v>3118</v>
      </c>
    </row>
    <row r="1415" spans="1:11" x14ac:dyDescent="0.3">
      <c r="A1415" s="259">
        <f t="shared" si="53"/>
        <v>1282</v>
      </c>
      <c r="B1415" s="20" t="s">
        <v>1379</v>
      </c>
      <c r="C1415" s="162">
        <v>1959</v>
      </c>
      <c r="D1415" s="273"/>
      <c r="E1415" s="162" t="s">
        <v>3438</v>
      </c>
      <c r="F1415" s="48">
        <v>2</v>
      </c>
      <c r="G1415" s="46">
        <v>640.19000000000005</v>
      </c>
      <c r="H1415" s="48">
        <v>38</v>
      </c>
      <c r="I1415" s="273">
        <f>SUMIF('2020'!B:B,B1415,'2020'!C:C)+SUMIF('2021'!B:B,B1415,'2021'!C:C)+SUMIF('2022'!B:B,B1415,'2022'!C:C)</f>
        <v>119270.35</v>
      </c>
      <c r="J1415" s="59">
        <v>44925</v>
      </c>
      <c r="K1415" s="162" t="s">
        <v>3118</v>
      </c>
    </row>
    <row r="1416" spans="1:11" x14ac:dyDescent="0.3">
      <c r="A1416" s="259">
        <f t="shared" si="53"/>
        <v>1283</v>
      </c>
      <c r="B1416" s="20" t="s">
        <v>1380</v>
      </c>
      <c r="C1416" s="162">
        <v>1960</v>
      </c>
      <c r="D1416" s="273"/>
      <c r="E1416" s="162" t="s">
        <v>3438</v>
      </c>
      <c r="F1416" s="48">
        <v>2</v>
      </c>
      <c r="G1416" s="46">
        <v>639.89</v>
      </c>
      <c r="H1416" s="51">
        <v>34</v>
      </c>
      <c r="I1416" s="273">
        <f>SUMIF('2020'!B:B,B1416,'2020'!C:C)+SUMIF('2021'!B:B,B1416,'2021'!C:C)+SUMIF('2022'!B:B,B1416,'2022'!C:C)</f>
        <v>119647.94</v>
      </c>
      <c r="J1416" s="59">
        <v>44925</v>
      </c>
      <c r="K1416" s="162" t="s">
        <v>3118</v>
      </c>
    </row>
    <row r="1417" spans="1:11" x14ac:dyDescent="0.3">
      <c r="A1417" s="259">
        <f t="shared" si="53"/>
        <v>1284</v>
      </c>
      <c r="B1417" s="20" t="s">
        <v>1381</v>
      </c>
      <c r="C1417" s="162">
        <v>1964</v>
      </c>
      <c r="D1417" s="273"/>
      <c r="E1417" s="162" t="s">
        <v>3438</v>
      </c>
      <c r="F1417" s="48">
        <v>2</v>
      </c>
      <c r="G1417" s="46">
        <v>630</v>
      </c>
      <c r="H1417" s="48">
        <v>35</v>
      </c>
      <c r="I1417" s="273">
        <f>SUMIF('2020'!B:B,B1417,'2020'!C:C)+SUMIF('2021'!B:B,B1417,'2021'!C:C)+SUMIF('2022'!B:B,B1417,'2022'!C:C)</f>
        <v>112635.29</v>
      </c>
      <c r="J1417" s="59">
        <v>44925</v>
      </c>
      <c r="K1417" s="162" t="s">
        <v>3118</v>
      </c>
    </row>
    <row r="1418" spans="1:11" x14ac:dyDescent="0.3">
      <c r="A1418" s="259">
        <f t="shared" si="53"/>
        <v>1285</v>
      </c>
      <c r="B1418" s="20" t="s">
        <v>1382</v>
      </c>
      <c r="C1418" s="162">
        <v>1960</v>
      </c>
      <c r="D1418" s="273"/>
      <c r="E1418" s="162" t="s">
        <v>3438</v>
      </c>
      <c r="F1418" s="48">
        <v>2</v>
      </c>
      <c r="G1418" s="46">
        <v>645.42999999999995</v>
      </c>
      <c r="H1418" s="48">
        <v>19</v>
      </c>
      <c r="I1418" s="273">
        <f>SUMIF('2020'!B:B,B1418,'2020'!C:C)+SUMIF('2021'!B:B,B1418,'2021'!C:C)+SUMIF('2022'!B:B,B1418,'2022'!C:C)</f>
        <v>113976.89</v>
      </c>
      <c r="J1418" s="59">
        <v>44925</v>
      </c>
      <c r="K1418" s="162" t="s">
        <v>3118</v>
      </c>
    </row>
    <row r="1419" spans="1:11" x14ac:dyDescent="0.3">
      <c r="A1419" s="259">
        <f t="shared" si="53"/>
        <v>1286</v>
      </c>
      <c r="B1419" s="20" t="s">
        <v>1383</v>
      </c>
      <c r="C1419" s="162">
        <v>1958</v>
      </c>
      <c r="D1419" s="273"/>
      <c r="E1419" s="162" t="s">
        <v>3438</v>
      </c>
      <c r="F1419" s="48">
        <v>3</v>
      </c>
      <c r="G1419" s="46">
        <v>675</v>
      </c>
      <c r="H1419" s="51">
        <v>23</v>
      </c>
      <c r="I1419" s="273">
        <f>SUMIF('2020'!B:B,B1419,'2020'!C:C)+SUMIF('2021'!B:B,B1419,'2021'!C:C)+SUMIF('2022'!B:B,B1419,'2022'!C:C)</f>
        <v>230474.12</v>
      </c>
      <c r="J1419" s="59">
        <v>44925</v>
      </c>
      <c r="K1419" s="162" t="s">
        <v>3118</v>
      </c>
    </row>
    <row r="1420" spans="1:11" x14ac:dyDescent="0.3">
      <c r="A1420" s="259">
        <f t="shared" si="53"/>
        <v>1287</v>
      </c>
      <c r="B1420" s="20" t="s">
        <v>1384</v>
      </c>
      <c r="C1420" s="162">
        <v>1960</v>
      </c>
      <c r="D1420" s="273"/>
      <c r="E1420" s="162" t="s">
        <v>3438</v>
      </c>
      <c r="F1420" s="48">
        <v>2</v>
      </c>
      <c r="G1420" s="46">
        <v>598.6</v>
      </c>
      <c r="H1420" s="48">
        <v>25</v>
      </c>
      <c r="I1420" s="273">
        <f>SUMIF('2020'!B:B,B1420,'2020'!C:C)+SUMIF('2021'!B:B,B1420,'2021'!C:C)+SUMIF('2022'!B:B,B1420,'2022'!C:C)</f>
        <v>111203.15</v>
      </c>
      <c r="J1420" s="59">
        <v>44925</v>
      </c>
      <c r="K1420" s="162" t="s">
        <v>3118</v>
      </c>
    </row>
    <row r="1421" spans="1:11" x14ac:dyDescent="0.3">
      <c r="A1421" s="259">
        <f t="shared" si="53"/>
        <v>1288</v>
      </c>
      <c r="B1421" s="20" t="s">
        <v>1385</v>
      </c>
      <c r="C1421" s="162">
        <v>1960</v>
      </c>
      <c r="D1421" s="273"/>
      <c r="E1421" s="162" t="s">
        <v>3438</v>
      </c>
      <c r="F1421" s="48">
        <v>3</v>
      </c>
      <c r="G1421" s="46">
        <v>698.1</v>
      </c>
      <c r="H1421" s="48">
        <v>23</v>
      </c>
      <c r="I1421" s="273">
        <f>SUMIF('2020'!B:B,B1421,'2020'!C:C)+SUMIF('2021'!B:B,B1421,'2021'!C:C)+SUMIF('2022'!B:B,B1421,'2022'!C:C)</f>
        <v>110192.05</v>
      </c>
      <c r="J1421" s="59">
        <v>44925</v>
      </c>
      <c r="K1421" s="162" t="s">
        <v>3118</v>
      </c>
    </row>
    <row r="1422" spans="1:11" x14ac:dyDescent="0.3">
      <c r="A1422" s="259">
        <f t="shared" si="53"/>
        <v>1289</v>
      </c>
      <c r="B1422" s="20" t="s">
        <v>1386</v>
      </c>
      <c r="C1422" s="162">
        <v>1962</v>
      </c>
      <c r="D1422" s="273"/>
      <c r="E1422" s="162" t="s">
        <v>3438</v>
      </c>
      <c r="F1422" s="48">
        <v>2</v>
      </c>
      <c r="G1422" s="46">
        <v>629.38</v>
      </c>
      <c r="H1422" s="48">
        <v>25</v>
      </c>
      <c r="I1422" s="273">
        <f>SUMIF('2020'!B:B,B1422,'2020'!C:C)+SUMIF('2021'!B:B,B1422,'2021'!C:C)+SUMIF('2022'!B:B,B1422,'2022'!C:C)</f>
        <v>112850.9</v>
      </c>
      <c r="J1422" s="59">
        <v>44925</v>
      </c>
      <c r="K1422" s="162" t="s">
        <v>3118</v>
      </c>
    </row>
    <row r="1423" spans="1:11" x14ac:dyDescent="0.3">
      <c r="A1423" s="259">
        <f t="shared" ref="A1423:A1486" si="54">A1422+1</f>
        <v>1290</v>
      </c>
      <c r="B1423" s="20" t="s">
        <v>1387</v>
      </c>
      <c r="C1423" s="162">
        <v>1917</v>
      </c>
      <c r="D1423" s="273"/>
      <c r="E1423" s="162" t="s">
        <v>3438</v>
      </c>
      <c r="F1423" s="48">
        <v>2</v>
      </c>
      <c r="G1423" s="46">
        <v>932.89</v>
      </c>
      <c r="H1423" s="48">
        <v>36</v>
      </c>
      <c r="I1423" s="273">
        <f>SUMIF('2020'!B:B,B1423,'2020'!C:C)+SUMIF('2021'!B:B,B1423,'2021'!C:C)+SUMIF('2022'!B:B,B1423,'2022'!C:C)</f>
        <v>119997.36</v>
      </c>
      <c r="J1423" s="59">
        <v>44925</v>
      </c>
      <c r="K1423" s="162" t="s">
        <v>3118</v>
      </c>
    </row>
    <row r="1424" spans="1:11" x14ac:dyDescent="0.3">
      <c r="A1424" s="259">
        <f t="shared" si="54"/>
        <v>1291</v>
      </c>
      <c r="B1424" s="20" t="s">
        <v>1388</v>
      </c>
      <c r="C1424" s="162">
        <v>1962</v>
      </c>
      <c r="D1424" s="273"/>
      <c r="E1424" s="162" t="s">
        <v>3438</v>
      </c>
      <c r="F1424" s="48">
        <v>2</v>
      </c>
      <c r="G1424" s="46">
        <v>638.01</v>
      </c>
      <c r="H1424" s="48">
        <v>31</v>
      </c>
      <c r="I1424" s="273">
        <f>SUMIF('2020'!B:B,B1424,'2020'!C:C)+SUMIF('2021'!B:B,B1424,'2021'!C:C)+SUMIF('2022'!B:B,B1424,'2022'!C:C)</f>
        <v>114464.3</v>
      </c>
      <c r="J1424" s="59">
        <v>44925</v>
      </c>
      <c r="K1424" s="162" t="s">
        <v>3118</v>
      </c>
    </row>
    <row r="1425" spans="1:11" x14ac:dyDescent="0.3">
      <c r="A1425" s="259">
        <f t="shared" si="54"/>
        <v>1292</v>
      </c>
      <c r="B1425" s="20" t="s">
        <v>1389</v>
      </c>
      <c r="C1425" s="162">
        <v>1960</v>
      </c>
      <c r="D1425" s="273"/>
      <c r="E1425" s="162" t="s">
        <v>3438</v>
      </c>
      <c r="F1425" s="48">
        <v>3</v>
      </c>
      <c r="G1425" s="46">
        <v>708.9</v>
      </c>
      <c r="H1425" s="48">
        <v>18</v>
      </c>
      <c r="I1425" s="273">
        <f>SUMIF('2020'!B:B,B1425,'2020'!C:C)+SUMIF('2021'!B:B,B1425,'2021'!C:C)+SUMIF('2022'!B:B,B1425,'2022'!C:C)</f>
        <v>241465.16</v>
      </c>
      <c r="J1425" s="59">
        <v>44925</v>
      </c>
      <c r="K1425" s="162" t="s">
        <v>3118</v>
      </c>
    </row>
    <row r="1426" spans="1:11" x14ac:dyDescent="0.3">
      <c r="A1426" s="259">
        <f t="shared" si="54"/>
        <v>1293</v>
      </c>
      <c r="B1426" s="20" t="s">
        <v>1390</v>
      </c>
      <c r="C1426" s="162">
        <v>1960</v>
      </c>
      <c r="D1426" s="273"/>
      <c r="E1426" s="162" t="s">
        <v>3438</v>
      </c>
      <c r="F1426" s="48">
        <v>2</v>
      </c>
      <c r="G1426" s="46">
        <v>674.5</v>
      </c>
      <c r="H1426" s="48">
        <v>30</v>
      </c>
      <c r="I1426" s="273">
        <f>SUMIF('2020'!B:B,B1426,'2020'!C:C)+SUMIF('2021'!B:B,B1426,'2021'!C:C)+SUMIF('2022'!B:B,B1426,'2022'!C:C)</f>
        <v>114464.3</v>
      </c>
      <c r="J1426" s="59">
        <v>44925</v>
      </c>
      <c r="K1426" s="162" t="s">
        <v>3118</v>
      </c>
    </row>
    <row r="1427" spans="1:11" x14ac:dyDescent="0.3">
      <c r="A1427" s="259">
        <f t="shared" si="54"/>
        <v>1294</v>
      </c>
      <c r="B1427" s="20" t="s">
        <v>1391</v>
      </c>
      <c r="C1427" s="162">
        <v>1960</v>
      </c>
      <c r="D1427" s="273"/>
      <c r="E1427" s="162" t="s">
        <v>3438</v>
      </c>
      <c r="F1427" s="48">
        <v>2</v>
      </c>
      <c r="G1427" s="46">
        <v>634.1</v>
      </c>
      <c r="H1427" s="51">
        <v>31</v>
      </c>
      <c r="I1427" s="273">
        <f>SUMIF('2020'!B:B,B1427,'2020'!C:C)+SUMIF('2021'!B:B,B1427,'2021'!C:C)+SUMIF('2022'!B:B,B1427,'2022'!C:C)</f>
        <v>114464.3</v>
      </c>
      <c r="J1427" s="59">
        <v>44925</v>
      </c>
      <c r="K1427" s="162" t="s">
        <v>3118</v>
      </c>
    </row>
    <row r="1428" spans="1:11" x14ac:dyDescent="0.3">
      <c r="A1428" s="259">
        <f t="shared" si="54"/>
        <v>1295</v>
      </c>
      <c r="B1428" s="20" t="s">
        <v>1392</v>
      </c>
      <c r="C1428" s="162">
        <v>1960</v>
      </c>
      <c r="D1428" s="273"/>
      <c r="E1428" s="162" t="s">
        <v>3438</v>
      </c>
      <c r="F1428" s="48">
        <v>2</v>
      </c>
      <c r="G1428" s="46">
        <v>662.1</v>
      </c>
      <c r="H1428" s="48">
        <v>32</v>
      </c>
      <c r="I1428" s="273">
        <f>SUMIF('2020'!B:B,B1428,'2020'!C:C)+SUMIF('2021'!B:B,B1428,'2021'!C:C)+SUMIF('2022'!B:B,B1428,'2022'!C:C)</f>
        <v>107323</v>
      </c>
      <c r="J1428" s="59">
        <v>44925</v>
      </c>
      <c r="K1428" s="162" t="s">
        <v>3118</v>
      </c>
    </row>
    <row r="1429" spans="1:11" x14ac:dyDescent="0.3">
      <c r="A1429" s="259">
        <f t="shared" si="54"/>
        <v>1296</v>
      </c>
      <c r="B1429" s="20" t="s">
        <v>1393</v>
      </c>
      <c r="C1429" s="162">
        <v>1960</v>
      </c>
      <c r="D1429" s="273"/>
      <c r="E1429" s="162" t="s">
        <v>3438</v>
      </c>
      <c r="F1429" s="48">
        <v>2</v>
      </c>
      <c r="G1429" s="46">
        <v>653.29999999999995</v>
      </c>
      <c r="H1429" s="48">
        <v>34</v>
      </c>
      <c r="I1429" s="273">
        <f>SUMIF('2020'!B:B,B1429,'2020'!C:C)+SUMIF('2021'!B:B,B1429,'2021'!C:C)+SUMIF('2022'!B:B,B1429,'2022'!C:C)</f>
        <v>199576.9</v>
      </c>
      <c r="J1429" s="59">
        <v>44925</v>
      </c>
      <c r="K1429" s="162" t="s">
        <v>3118</v>
      </c>
    </row>
    <row r="1430" spans="1:11" x14ac:dyDescent="0.3">
      <c r="A1430" s="259">
        <f t="shared" si="54"/>
        <v>1297</v>
      </c>
      <c r="B1430" s="20" t="s">
        <v>1394</v>
      </c>
      <c r="C1430" s="162">
        <v>1960</v>
      </c>
      <c r="D1430" s="273"/>
      <c r="E1430" s="162" t="s">
        <v>3438</v>
      </c>
      <c r="F1430" s="48">
        <v>2</v>
      </c>
      <c r="G1430" s="46">
        <v>657.39</v>
      </c>
      <c r="H1430" s="48">
        <v>22</v>
      </c>
      <c r="I1430" s="273">
        <f>SUMIF('2020'!B:B,B1430,'2020'!C:C)+SUMIF('2021'!B:B,B1430,'2021'!C:C)+SUMIF('2022'!B:B,B1430,'2022'!C:C)</f>
        <v>207254.83</v>
      </c>
      <c r="J1430" s="59">
        <v>44925</v>
      </c>
      <c r="K1430" s="162" t="s">
        <v>3118</v>
      </c>
    </row>
    <row r="1431" spans="1:11" x14ac:dyDescent="0.3">
      <c r="A1431" s="259">
        <f t="shared" si="54"/>
        <v>1298</v>
      </c>
      <c r="B1431" s="20" t="s">
        <v>1395</v>
      </c>
      <c r="C1431" s="162">
        <v>1960</v>
      </c>
      <c r="D1431" s="273"/>
      <c r="E1431" s="162" t="s">
        <v>3438</v>
      </c>
      <c r="F1431" s="48">
        <v>2</v>
      </c>
      <c r="G1431" s="46">
        <v>652.66999999999996</v>
      </c>
      <c r="H1431" s="48">
        <v>25</v>
      </c>
      <c r="I1431" s="273">
        <f>SUMIF('2020'!B:B,B1431,'2020'!C:C)+SUMIF('2021'!B:B,B1431,'2021'!C:C)+SUMIF('2022'!B:B,B1431,'2022'!C:C)</f>
        <v>206466.02</v>
      </c>
      <c r="J1431" s="59">
        <v>44925</v>
      </c>
      <c r="K1431" s="162" t="s">
        <v>3118</v>
      </c>
    </row>
    <row r="1432" spans="1:11" x14ac:dyDescent="0.3">
      <c r="A1432" s="259">
        <f t="shared" si="54"/>
        <v>1299</v>
      </c>
      <c r="B1432" s="20" t="s">
        <v>1396</v>
      </c>
      <c r="C1432" s="162">
        <v>1960</v>
      </c>
      <c r="D1432" s="273"/>
      <c r="E1432" s="54" t="s">
        <v>3438</v>
      </c>
      <c r="F1432" s="48">
        <v>3</v>
      </c>
      <c r="G1432" s="46">
        <v>695</v>
      </c>
      <c r="H1432" s="48">
        <v>25</v>
      </c>
      <c r="I1432" s="273">
        <f>SUMIF('2020'!B:B,B1432,'2020'!C:C)+SUMIF('2021'!B:B,B1432,'2021'!C:C)+SUMIF('2022'!B:B,B1432,'2022'!C:C)</f>
        <v>244515.32</v>
      </c>
      <c r="J1432" s="59">
        <v>44925</v>
      </c>
      <c r="K1432" s="162" t="s">
        <v>3118</v>
      </c>
    </row>
    <row r="1433" spans="1:11" x14ac:dyDescent="0.3">
      <c r="A1433" s="259">
        <f t="shared" si="54"/>
        <v>1300</v>
      </c>
      <c r="B1433" s="20" t="s">
        <v>1397</v>
      </c>
      <c r="C1433" s="162">
        <v>1960</v>
      </c>
      <c r="D1433" s="273"/>
      <c r="E1433" s="162" t="s">
        <v>3438</v>
      </c>
      <c r="F1433" s="48">
        <v>2</v>
      </c>
      <c r="G1433" s="46">
        <v>651.27</v>
      </c>
      <c r="H1433" s="48">
        <v>30</v>
      </c>
      <c r="I1433" s="273">
        <f>SUMIF('2020'!B:B,B1433,'2020'!C:C)+SUMIF('2021'!B:B,B1433,'2021'!C:C)+SUMIF('2022'!B:B,B1433,'2022'!C:C)</f>
        <v>115183.19</v>
      </c>
      <c r="J1433" s="59">
        <v>44925</v>
      </c>
      <c r="K1433" s="162" t="s">
        <v>3118</v>
      </c>
    </row>
    <row r="1434" spans="1:11" x14ac:dyDescent="0.3">
      <c r="A1434" s="259">
        <f t="shared" si="54"/>
        <v>1301</v>
      </c>
      <c r="B1434" s="20" t="s">
        <v>1398</v>
      </c>
      <c r="C1434" s="162">
        <v>1917</v>
      </c>
      <c r="D1434" s="273"/>
      <c r="E1434" s="162" t="s">
        <v>3440</v>
      </c>
      <c r="F1434" s="48">
        <v>2</v>
      </c>
      <c r="G1434" s="46">
        <v>254.69</v>
      </c>
      <c r="H1434" s="48">
        <v>17</v>
      </c>
      <c r="I1434" s="273">
        <f>SUMIF('2020'!B:B,B1434,'2020'!C:C)+SUMIF('2021'!B:B,B1434,'2021'!C:C)+SUMIF('2022'!B:B,B1434,'2022'!C:C)</f>
        <v>147407.94</v>
      </c>
      <c r="J1434" s="59">
        <v>44925</v>
      </c>
      <c r="K1434" s="162" t="s">
        <v>3118</v>
      </c>
    </row>
    <row r="1435" spans="1:11" x14ac:dyDescent="0.3">
      <c r="A1435" s="259">
        <f t="shared" si="54"/>
        <v>1302</v>
      </c>
      <c r="B1435" s="20" t="s">
        <v>1399</v>
      </c>
      <c r="C1435" s="162">
        <v>1917</v>
      </c>
      <c r="D1435" s="273"/>
      <c r="E1435" s="162" t="s">
        <v>3440</v>
      </c>
      <c r="F1435" s="48">
        <v>2</v>
      </c>
      <c r="G1435" s="46">
        <v>204.05</v>
      </c>
      <c r="H1435" s="48">
        <v>9</v>
      </c>
      <c r="I1435" s="273">
        <f>SUMIF('2020'!B:B,B1435,'2020'!C:C)+SUMIF('2021'!B:B,B1435,'2021'!C:C)+SUMIF('2022'!B:B,B1435,'2022'!C:C)</f>
        <v>144553.66</v>
      </c>
      <c r="J1435" s="59">
        <v>44925</v>
      </c>
      <c r="K1435" s="162" t="s">
        <v>3118</v>
      </c>
    </row>
    <row r="1436" spans="1:11" x14ac:dyDescent="0.3">
      <c r="A1436" s="259">
        <f t="shared" si="54"/>
        <v>1303</v>
      </c>
      <c r="B1436" s="20" t="s">
        <v>1400</v>
      </c>
      <c r="C1436" s="162">
        <v>1917</v>
      </c>
      <c r="D1436" s="273"/>
      <c r="E1436" s="162" t="s">
        <v>3440</v>
      </c>
      <c r="F1436" s="48">
        <v>2</v>
      </c>
      <c r="G1436" s="46">
        <v>266.04000000000002</v>
      </c>
      <c r="H1436" s="48">
        <v>19</v>
      </c>
      <c r="I1436" s="273">
        <f>SUMIF('2020'!B:B,B1436,'2020'!C:C)+SUMIF('2021'!B:B,B1436,'2021'!C:C)+SUMIF('2022'!B:B,B1436,'2022'!C:C)</f>
        <v>148035.67000000001</v>
      </c>
      <c r="J1436" s="59">
        <v>44925</v>
      </c>
      <c r="K1436" s="162" t="s">
        <v>3118</v>
      </c>
    </row>
    <row r="1437" spans="1:11" x14ac:dyDescent="0.3">
      <c r="A1437" s="259">
        <f t="shared" si="54"/>
        <v>1304</v>
      </c>
      <c r="B1437" s="20" t="s">
        <v>1401</v>
      </c>
      <c r="C1437" s="162">
        <v>1953</v>
      </c>
      <c r="D1437" s="273"/>
      <c r="E1437" s="162" t="s">
        <v>3438</v>
      </c>
      <c r="F1437" s="28" t="s">
        <v>3446</v>
      </c>
      <c r="G1437" s="46">
        <v>1509.8</v>
      </c>
      <c r="H1437" s="48">
        <v>88</v>
      </c>
      <c r="I1437" s="273">
        <f>SUMIF('2020'!B:B,B1437,'2020'!C:C)+SUMIF('2021'!B:B,B1437,'2021'!C:C)+SUMIF('2022'!B:B,B1437,'2022'!C:C)</f>
        <v>6211187.2000000002</v>
      </c>
      <c r="J1437" s="59">
        <v>44925</v>
      </c>
      <c r="K1437" s="162" t="s">
        <v>3118</v>
      </c>
    </row>
    <row r="1438" spans="1:11" x14ac:dyDescent="0.3">
      <c r="A1438" s="259">
        <f t="shared" si="54"/>
        <v>1305</v>
      </c>
      <c r="B1438" s="20" t="s">
        <v>1402</v>
      </c>
      <c r="C1438" s="162">
        <v>1917</v>
      </c>
      <c r="D1438" s="273"/>
      <c r="E1438" s="162" t="s">
        <v>3440</v>
      </c>
      <c r="F1438" s="48">
        <v>2</v>
      </c>
      <c r="G1438" s="46">
        <v>532.37</v>
      </c>
      <c r="H1438" s="48">
        <v>49</v>
      </c>
      <c r="I1438" s="273">
        <f>SUMIF('2020'!B:B,B1438,'2020'!C:C)+SUMIF('2021'!B:B,B1438,'2021'!C:C)+SUMIF('2022'!B:B,B1438,'2022'!C:C)</f>
        <v>208573.08</v>
      </c>
      <c r="J1438" s="59">
        <v>44925</v>
      </c>
      <c r="K1438" s="162" t="s">
        <v>3118</v>
      </c>
    </row>
    <row r="1439" spans="1:11" x14ac:dyDescent="0.3">
      <c r="A1439" s="259">
        <f t="shared" si="54"/>
        <v>1306</v>
      </c>
      <c r="B1439" s="20" t="s">
        <v>1403</v>
      </c>
      <c r="C1439" s="162">
        <v>1957</v>
      </c>
      <c r="D1439" s="273"/>
      <c r="E1439" s="162" t="s">
        <v>3438</v>
      </c>
      <c r="F1439" s="48">
        <v>2</v>
      </c>
      <c r="G1439" s="46">
        <v>564.4</v>
      </c>
      <c r="H1439" s="48">
        <v>30</v>
      </c>
      <c r="I1439" s="273">
        <f>SUMIF('2020'!B:B,B1439,'2020'!C:C)+SUMIF('2021'!B:B,B1439,'2021'!C:C)+SUMIF('2022'!B:B,B1439,'2022'!C:C)</f>
        <v>2550791.36</v>
      </c>
      <c r="J1439" s="59">
        <v>44925</v>
      </c>
      <c r="K1439" s="162" t="s">
        <v>3118</v>
      </c>
    </row>
    <row r="1440" spans="1:11" x14ac:dyDescent="0.3">
      <c r="A1440" s="259">
        <f t="shared" si="54"/>
        <v>1307</v>
      </c>
      <c r="B1440" s="20" t="s">
        <v>1405</v>
      </c>
      <c r="C1440" s="162">
        <v>1962</v>
      </c>
      <c r="D1440" s="273"/>
      <c r="E1440" s="162" t="s">
        <v>3438</v>
      </c>
      <c r="F1440" s="48">
        <v>3</v>
      </c>
      <c r="G1440" s="46">
        <v>936.2</v>
      </c>
      <c r="H1440" s="48">
        <v>56</v>
      </c>
      <c r="I1440" s="273">
        <f>SUMIF('2020'!B:B,B1440,'2020'!C:C)+SUMIF('2021'!B:B,B1440,'2021'!C:C)+SUMIF('2022'!B:B,B1440,'2022'!C:C)</f>
        <v>937880.88</v>
      </c>
      <c r="J1440" s="59">
        <v>44925</v>
      </c>
      <c r="K1440" s="162" t="s">
        <v>3118</v>
      </c>
    </row>
    <row r="1441" spans="1:11" x14ac:dyDescent="0.3">
      <c r="A1441" s="259">
        <f t="shared" si="54"/>
        <v>1308</v>
      </c>
      <c r="B1441" s="20" t="s">
        <v>1406</v>
      </c>
      <c r="C1441" s="162">
        <v>1964</v>
      </c>
      <c r="D1441" s="273"/>
      <c r="E1441" s="162" t="s">
        <v>3438</v>
      </c>
      <c r="F1441" s="48">
        <v>4</v>
      </c>
      <c r="G1441" s="46">
        <v>2501</v>
      </c>
      <c r="H1441" s="48">
        <v>131</v>
      </c>
      <c r="I1441" s="273">
        <f>SUMIF('2020'!B:B,B1441,'2020'!C:C)+SUMIF('2021'!B:B,B1441,'2021'!C:C)+SUMIF('2022'!B:B,B1441,'2022'!C:C)</f>
        <v>2075492.49</v>
      </c>
      <c r="J1441" s="59">
        <v>44925</v>
      </c>
      <c r="K1441" s="162" t="s">
        <v>3118</v>
      </c>
    </row>
    <row r="1442" spans="1:11" x14ac:dyDescent="0.3">
      <c r="A1442" s="259">
        <f t="shared" si="54"/>
        <v>1309</v>
      </c>
      <c r="B1442" s="20" t="s">
        <v>1408</v>
      </c>
      <c r="C1442" s="162">
        <v>1958</v>
      </c>
      <c r="D1442" s="273"/>
      <c r="E1442" s="162" t="s">
        <v>3438</v>
      </c>
      <c r="F1442" s="48">
        <v>3</v>
      </c>
      <c r="G1442" s="46">
        <v>629.70000000000005</v>
      </c>
      <c r="H1442" s="48">
        <v>33</v>
      </c>
      <c r="I1442" s="273">
        <f>SUMIF('2020'!B:B,B1442,'2020'!C:C)+SUMIF('2021'!B:B,B1442,'2021'!C:C)+SUMIF('2022'!B:B,B1442,'2022'!C:C)</f>
        <v>13123386.67</v>
      </c>
      <c r="J1442" s="59">
        <v>44925</v>
      </c>
      <c r="K1442" s="162" t="s">
        <v>3118</v>
      </c>
    </row>
    <row r="1443" spans="1:11" x14ac:dyDescent="0.3">
      <c r="A1443" s="259">
        <f t="shared" si="54"/>
        <v>1310</v>
      </c>
      <c r="B1443" s="20" t="s">
        <v>1409</v>
      </c>
      <c r="C1443" s="162">
        <v>1917</v>
      </c>
      <c r="D1443" s="273"/>
      <c r="E1443" s="162" t="s">
        <v>3438</v>
      </c>
      <c r="F1443" s="48">
        <v>2</v>
      </c>
      <c r="G1443" s="46">
        <v>211.4</v>
      </c>
      <c r="H1443" s="48">
        <v>8</v>
      </c>
      <c r="I1443" s="273">
        <f>SUMIF('2020'!B:B,B1443,'2020'!C:C)+SUMIF('2021'!B:B,B1443,'2021'!C:C)+SUMIF('2022'!B:B,B1443,'2022'!C:C)</f>
        <v>4180844.4000000004</v>
      </c>
      <c r="J1443" s="59">
        <v>44925</v>
      </c>
      <c r="K1443" s="162" t="s">
        <v>3118</v>
      </c>
    </row>
    <row r="1444" spans="1:11" x14ac:dyDescent="0.3">
      <c r="A1444" s="259">
        <f t="shared" si="54"/>
        <v>1311</v>
      </c>
      <c r="B1444" s="20" t="s">
        <v>1410</v>
      </c>
      <c r="C1444" s="162">
        <v>1917</v>
      </c>
      <c r="D1444" s="273"/>
      <c r="E1444" s="162" t="s">
        <v>3438</v>
      </c>
      <c r="F1444" s="48">
        <v>3</v>
      </c>
      <c r="G1444" s="46">
        <v>648.5</v>
      </c>
      <c r="H1444" s="48">
        <v>28</v>
      </c>
      <c r="I1444" s="273">
        <f>SUMIF('2020'!B:B,B1444,'2020'!C:C)+SUMIF('2021'!B:B,B1444,'2021'!C:C)+SUMIF('2022'!B:B,B1444,'2022'!C:C)</f>
        <v>10798331.4</v>
      </c>
      <c r="J1444" s="59">
        <v>44925</v>
      </c>
      <c r="K1444" s="162" t="s">
        <v>3118</v>
      </c>
    </row>
    <row r="1445" spans="1:11" ht="31.2" x14ac:dyDescent="0.3">
      <c r="A1445" s="259">
        <f t="shared" si="54"/>
        <v>1312</v>
      </c>
      <c r="B1445" s="20" t="s">
        <v>1411</v>
      </c>
      <c r="C1445" s="162">
        <v>1917</v>
      </c>
      <c r="D1445" s="273"/>
      <c r="E1445" s="162" t="s">
        <v>3445</v>
      </c>
      <c r="F1445" s="48">
        <v>2</v>
      </c>
      <c r="G1445" s="46">
        <v>623.4</v>
      </c>
      <c r="H1445" s="48">
        <v>17</v>
      </c>
      <c r="I1445" s="273">
        <f>SUMIF('2020'!B:B,B1445,'2020'!C:C)+SUMIF('2021'!B:B,B1445,'2021'!C:C)+SUMIF('2022'!B:B,B1445,'2022'!C:C)</f>
        <v>1834986.6099999999</v>
      </c>
      <c r="J1445" s="59">
        <v>44925</v>
      </c>
      <c r="K1445" s="162" t="s">
        <v>3118</v>
      </c>
    </row>
    <row r="1446" spans="1:11" x14ac:dyDescent="0.3">
      <c r="A1446" s="259">
        <f t="shared" si="54"/>
        <v>1313</v>
      </c>
      <c r="B1446" s="20" t="s">
        <v>1412</v>
      </c>
      <c r="C1446" s="162">
        <v>1960</v>
      </c>
      <c r="D1446" s="273"/>
      <c r="E1446" s="162" t="s">
        <v>3438</v>
      </c>
      <c r="F1446" s="48">
        <v>4</v>
      </c>
      <c r="G1446" s="162">
        <v>2016.8</v>
      </c>
      <c r="H1446" s="48">
        <v>96</v>
      </c>
      <c r="I1446" s="273">
        <f>SUMIF('2020'!B:B,B1446,'2020'!C:C)+SUMIF('2021'!B:B,B1446,'2021'!C:C)+SUMIF('2022'!B:B,B1446,'2022'!C:C)</f>
        <v>13537528.539999999</v>
      </c>
      <c r="J1446" s="59">
        <v>44925</v>
      </c>
      <c r="K1446" s="162" t="s">
        <v>3118</v>
      </c>
    </row>
    <row r="1447" spans="1:11" x14ac:dyDescent="0.3">
      <c r="A1447" s="259">
        <f t="shared" si="54"/>
        <v>1314</v>
      </c>
      <c r="B1447" s="20" t="s">
        <v>1413</v>
      </c>
      <c r="C1447" s="162">
        <v>1964</v>
      </c>
      <c r="D1447" s="273"/>
      <c r="E1447" s="162" t="s">
        <v>3438</v>
      </c>
      <c r="F1447" s="48">
        <v>4</v>
      </c>
      <c r="G1447" s="46">
        <v>1200.5</v>
      </c>
      <c r="H1447" s="48">
        <v>53</v>
      </c>
      <c r="I1447" s="273">
        <f>SUMIF('2020'!B:B,B1447,'2020'!C:C)+SUMIF('2021'!B:B,B1447,'2021'!C:C)+SUMIF('2022'!B:B,B1447,'2022'!C:C)</f>
        <v>1246824.2</v>
      </c>
      <c r="J1447" s="59">
        <v>44925</v>
      </c>
      <c r="K1447" s="162" t="s">
        <v>3118</v>
      </c>
    </row>
    <row r="1448" spans="1:11" x14ac:dyDescent="0.3">
      <c r="A1448" s="259">
        <f t="shared" si="54"/>
        <v>1315</v>
      </c>
      <c r="B1448" s="20" t="s">
        <v>1414</v>
      </c>
      <c r="C1448" s="162">
        <v>1971</v>
      </c>
      <c r="D1448" s="273"/>
      <c r="E1448" s="162" t="s">
        <v>3438</v>
      </c>
      <c r="F1448" s="48">
        <v>4</v>
      </c>
      <c r="G1448" s="46">
        <v>1200.5</v>
      </c>
      <c r="H1448" s="48">
        <v>53</v>
      </c>
      <c r="I1448" s="273">
        <f>SUMIF('2020'!B:B,B1448,'2020'!C:C)+SUMIF('2021'!B:B,B1448,'2021'!C:C)+SUMIF('2022'!B:B,B1448,'2022'!C:C)</f>
        <v>12304954.33</v>
      </c>
      <c r="J1448" s="59">
        <v>44925</v>
      </c>
      <c r="K1448" s="162" t="s">
        <v>3118</v>
      </c>
    </row>
    <row r="1449" spans="1:11" x14ac:dyDescent="0.3">
      <c r="A1449" s="259">
        <f t="shared" si="54"/>
        <v>1316</v>
      </c>
      <c r="B1449" s="20" t="s">
        <v>1415</v>
      </c>
      <c r="C1449" s="162">
        <v>1960</v>
      </c>
      <c r="D1449" s="273"/>
      <c r="E1449" s="162" t="s">
        <v>3438</v>
      </c>
      <c r="F1449" s="48">
        <v>4</v>
      </c>
      <c r="G1449" s="46">
        <v>2047.27</v>
      </c>
      <c r="H1449" s="48">
        <v>91</v>
      </c>
      <c r="I1449" s="273">
        <f>SUMIF('2020'!B:B,B1449,'2020'!C:C)+SUMIF('2021'!B:B,B1449,'2021'!C:C)+SUMIF('2022'!B:B,B1449,'2022'!C:C)</f>
        <v>139886.45000000001</v>
      </c>
      <c r="J1449" s="59">
        <v>44925</v>
      </c>
      <c r="K1449" s="162" t="s">
        <v>3118</v>
      </c>
    </row>
    <row r="1450" spans="1:11" x14ac:dyDescent="0.3">
      <c r="A1450" s="259">
        <f t="shared" si="54"/>
        <v>1317</v>
      </c>
      <c r="B1450" s="20" t="s">
        <v>1416</v>
      </c>
      <c r="C1450" s="162">
        <v>1961</v>
      </c>
      <c r="D1450" s="273"/>
      <c r="E1450" s="162" t="s">
        <v>3438</v>
      </c>
      <c r="F1450" s="48">
        <v>4</v>
      </c>
      <c r="G1450" s="46">
        <v>1974.15</v>
      </c>
      <c r="H1450" s="48">
        <v>72</v>
      </c>
      <c r="I1450" s="273">
        <f>SUMIF('2020'!B:B,B1450,'2020'!C:C)+SUMIF('2021'!B:B,B1450,'2021'!C:C)+SUMIF('2022'!B:B,B1450,'2022'!C:C)</f>
        <v>179720.92</v>
      </c>
      <c r="J1450" s="59">
        <v>44925</v>
      </c>
      <c r="K1450" s="162" t="s">
        <v>3118</v>
      </c>
    </row>
    <row r="1451" spans="1:11" x14ac:dyDescent="0.3">
      <c r="A1451" s="259">
        <f t="shared" si="54"/>
        <v>1318</v>
      </c>
      <c r="B1451" s="20" t="s">
        <v>1417</v>
      </c>
      <c r="C1451" s="162">
        <v>1917</v>
      </c>
      <c r="D1451" s="273"/>
      <c r="E1451" s="162" t="s">
        <v>3440</v>
      </c>
      <c r="F1451" s="48">
        <v>2</v>
      </c>
      <c r="G1451" s="46">
        <v>629.73</v>
      </c>
      <c r="H1451" s="48">
        <v>35</v>
      </c>
      <c r="I1451" s="273">
        <f>SUMIF('2020'!B:B,B1451,'2020'!C:C)+SUMIF('2021'!B:B,B1451,'2021'!C:C)+SUMIF('2022'!B:B,B1451,'2022'!C:C)</f>
        <v>129018.08</v>
      </c>
      <c r="J1451" s="59">
        <v>44925</v>
      </c>
      <c r="K1451" s="162" t="s">
        <v>3118</v>
      </c>
    </row>
    <row r="1452" spans="1:11" x14ac:dyDescent="0.3">
      <c r="A1452" s="259">
        <f t="shared" si="54"/>
        <v>1319</v>
      </c>
      <c r="B1452" s="20" t="s">
        <v>1418</v>
      </c>
      <c r="C1452" s="162">
        <v>1963</v>
      </c>
      <c r="D1452" s="273"/>
      <c r="E1452" s="162" t="s">
        <v>3438</v>
      </c>
      <c r="F1452" s="48">
        <v>4</v>
      </c>
      <c r="G1452" s="46">
        <v>1819.6</v>
      </c>
      <c r="H1452" s="48">
        <v>82</v>
      </c>
      <c r="I1452" s="273">
        <f>SUMIF('2020'!B:B,B1452,'2020'!C:C)+SUMIF('2021'!B:B,B1452,'2021'!C:C)+SUMIF('2022'!B:B,B1452,'2022'!C:C)</f>
        <v>134994.16</v>
      </c>
      <c r="J1452" s="59">
        <v>44925</v>
      </c>
      <c r="K1452" s="162" t="s">
        <v>3118</v>
      </c>
    </row>
    <row r="1453" spans="1:11" x14ac:dyDescent="0.3">
      <c r="A1453" s="259">
        <f t="shared" si="54"/>
        <v>1320</v>
      </c>
      <c r="B1453" s="20" t="s">
        <v>1419</v>
      </c>
      <c r="C1453" s="162">
        <v>1968</v>
      </c>
      <c r="D1453" s="273"/>
      <c r="E1453" s="162" t="s">
        <v>3438</v>
      </c>
      <c r="F1453" s="48">
        <v>5</v>
      </c>
      <c r="G1453" s="46">
        <v>3484.56</v>
      </c>
      <c r="H1453" s="48">
        <v>163</v>
      </c>
      <c r="I1453" s="273">
        <f>SUMIF('2020'!B:B,B1453,'2020'!C:C)+SUMIF('2021'!B:B,B1453,'2021'!C:C)+SUMIF('2022'!B:B,B1453,'2022'!C:C)</f>
        <v>5188445.1099999994</v>
      </c>
      <c r="J1453" s="59">
        <v>44925</v>
      </c>
      <c r="K1453" s="162" t="s">
        <v>3118</v>
      </c>
    </row>
    <row r="1454" spans="1:11" x14ac:dyDescent="0.3">
      <c r="A1454" s="259">
        <f t="shared" si="54"/>
        <v>1321</v>
      </c>
      <c r="B1454" s="20" t="s">
        <v>1420</v>
      </c>
      <c r="C1454" s="162">
        <v>1917</v>
      </c>
      <c r="D1454" s="273"/>
      <c r="E1454" s="162" t="s">
        <v>3440</v>
      </c>
      <c r="F1454" s="48">
        <v>2</v>
      </c>
      <c r="G1454" s="46">
        <v>191.2</v>
      </c>
      <c r="H1454" s="48">
        <v>12</v>
      </c>
      <c r="I1454" s="273">
        <f>SUMIF('2020'!B:B,B1454,'2020'!C:C)+SUMIF('2021'!B:B,B1454,'2021'!C:C)+SUMIF('2022'!B:B,B1454,'2022'!C:C)</f>
        <v>139701</v>
      </c>
      <c r="J1454" s="59">
        <v>44925</v>
      </c>
      <c r="K1454" s="162" t="s">
        <v>3118</v>
      </c>
    </row>
    <row r="1455" spans="1:11" x14ac:dyDescent="0.3">
      <c r="A1455" s="259">
        <f t="shared" si="54"/>
        <v>1322</v>
      </c>
      <c r="B1455" s="20" t="s">
        <v>1421</v>
      </c>
      <c r="C1455" s="162">
        <v>1969</v>
      </c>
      <c r="D1455" s="273"/>
      <c r="E1455" s="162" t="s">
        <v>3440</v>
      </c>
      <c r="F1455" s="48">
        <v>2</v>
      </c>
      <c r="G1455" s="46">
        <v>223.1</v>
      </c>
      <c r="H1455" s="48">
        <v>9</v>
      </c>
      <c r="I1455" s="273">
        <f>SUMIF('2020'!B:B,B1455,'2020'!C:C)+SUMIF('2021'!B:B,B1455,'2021'!C:C)+SUMIF('2022'!B:B,B1455,'2022'!C:C)</f>
        <v>149036.93</v>
      </c>
      <c r="J1455" s="59">
        <v>44925</v>
      </c>
      <c r="K1455" s="162" t="s">
        <v>3118</v>
      </c>
    </row>
    <row r="1456" spans="1:11" x14ac:dyDescent="0.3">
      <c r="A1456" s="259">
        <f t="shared" si="54"/>
        <v>1323</v>
      </c>
      <c r="B1456" s="20" t="s">
        <v>1422</v>
      </c>
      <c r="C1456" s="162">
        <v>1947</v>
      </c>
      <c r="D1456" s="273"/>
      <c r="E1456" s="162" t="s">
        <v>3440</v>
      </c>
      <c r="F1456" s="48">
        <v>2</v>
      </c>
      <c r="G1456" s="46">
        <v>313.19</v>
      </c>
      <c r="H1456" s="48">
        <v>23</v>
      </c>
      <c r="I1456" s="273">
        <f>SUMIF('2020'!B:B,B1456,'2020'!C:C)+SUMIF('2021'!B:B,B1456,'2021'!C:C)+SUMIF('2022'!B:B,B1456,'2022'!C:C)</f>
        <v>7239570</v>
      </c>
      <c r="J1456" s="59">
        <v>44925</v>
      </c>
      <c r="K1456" s="162" t="s">
        <v>3118</v>
      </c>
    </row>
    <row r="1457" spans="1:11" x14ac:dyDescent="0.3">
      <c r="A1457" s="259">
        <f t="shared" si="54"/>
        <v>1324</v>
      </c>
      <c r="B1457" s="20" t="s">
        <v>1423</v>
      </c>
      <c r="C1457" s="162">
        <v>1947</v>
      </c>
      <c r="D1457" s="273"/>
      <c r="E1457" s="162" t="s">
        <v>3438</v>
      </c>
      <c r="F1457" s="48">
        <v>2</v>
      </c>
      <c r="G1457" s="46">
        <v>462.52</v>
      </c>
      <c r="H1457" s="48">
        <v>30</v>
      </c>
      <c r="I1457" s="273">
        <f>SUMIF('2020'!B:B,B1457,'2020'!C:C)+SUMIF('2021'!B:B,B1457,'2021'!C:C)+SUMIF('2022'!B:B,B1457,'2022'!C:C)</f>
        <v>173333</v>
      </c>
      <c r="J1457" s="59">
        <v>44925</v>
      </c>
      <c r="K1457" s="162" t="s">
        <v>3118</v>
      </c>
    </row>
    <row r="1458" spans="1:11" x14ac:dyDescent="0.3">
      <c r="A1458" s="259">
        <f t="shared" si="54"/>
        <v>1325</v>
      </c>
      <c r="B1458" s="20" t="s">
        <v>1424</v>
      </c>
      <c r="C1458" s="162">
        <v>1917</v>
      </c>
      <c r="D1458" s="273"/>
      <c r="E1458" s="162" t="s">
        <v>3440</v>
      </c>
      <c r="F1458" s="48">
        <v>2</v>
      </c>
      <c r="G1458" s="46">
        <v>723.9</v>
      </c>
      <c r="H1458" s="48">
        <v>27</v>
      </c>
      <c r="I1458" s="273">
        <f>SUMIF('2020'!B:B,B1458,'2020'!C:C)+SUMIF('2021'!B:B,B1458,'2021'!C:C)+SUMIF('2022'!B:B,B1458,'2022'!C:C)</f>
        <v>159405.6</v>
      </c>
      <c r="J1458" s="59">
        <v>44925</v>
      </c>
      <c r="K1458" s="162" t="s">
        <v>3118</v>
      </c>
    </row>
    <row r="1459" spans="1:11" x14ac:dyDescent="0.3">
      <c r="A1459" s="259">
        <f t="shared" si="54"/>
        <v>1326</v>
      </c>
      <c r="B1459" s="20" t="s">
        <v>1425</v>
      </c>
      <c r="C1459" s="162">
        <v>1961</v>
      </c>
      <c r="D1459" s="273"/>
      <c r="E1459" s="162" t="s">
        <v>3438</v>
      </c>
      <c r="F1459" s="48">
        <v>4</v>
      </c>
      <c r="G1459" s="46">
        <v>1866.7</v>
      </c>
      <c r="H1459" s="48">
        <v>81</v>
      </c>
      <c r="I1459" s="273">
        <f>SUMIF('2020'!B:B,B1459,'2020'!C:C)+SUMIF('2021'!B:B,B1459,'2021'!C:C)+SUMIF('2022'!B:B,B1459,'2022'!C:C)</f>
        <v>301836.21999999997</v>
      </c>
      <c r="J1459" s="59">
        <v>44925</v>
      </c>
      <c r="K1459" s="162" t="s">
        <v>3118</v>
      </c>
    </row>
    <row r="1460" spans="1:11" x14ac:dyDescent="0.3">
      <c r="A1460" s="259">
        <f t="shared" si="54"/>
        <v>1327</v>
      </c>
      <c r="B1460" s="20" t="s">
        <v>1426</v>
      </c>
      <c r="C1460" s="162">
        <v>1961</v>
      </c>
      <c r="D1460" s="273"/>
      <c r="E1460" s="162" t="s">
        <v>3438</v>
      </c>
      <c r="F1460" s="48">
        <v>2</v>
      </c>
      <c r="G1460" s="46">
        <v>942.8</v>
      </c>
      <c r="H1460" s="48">
        <v>54</v>
      </c>
      <c r="I1460" s="273">
        <f>SUMIF('2020'!B:B,B1460,'2020'!C:C)+SUMIF('2021'!B:B,B1460,'2021'!C:C)+SUMIF('2022'!B:B,B1460,'2022'!C:C)</f>
        <v>13738151.199999999</v>
      </c>
      <c r="J1460" s="59">
        <v>44925</v>
      </c>
      <c r="K1460" s="162" t="s">
        <v>3118</v>
      </c>
    </row>
    <row r="1461" spans="1:11" x14ac:dyDescent="0.3">
      <c r="A1461" s="259">
        <f t="shared" si="54"/>
        <v>1328</v>
      </c>
      <c r="B1461" s="20" t="s">
        <v>1427</v>
      </c>
      <c r="C1461" s="162">
        <v>1960</v>
      </c>
      <c r="D1461" s="273"/>
      <c r="E1461" s="162" t="s">
        <v>3438</v>
      </c>
      <c r="F1461" s="48">
        <v>2</v>
      </c>
      <c r="G1461" s="46">
        <v>703.7</v>
      </c>
      <c r="H1461" s="48">
        <v>46</v>
      </c>
      <c r="I1461" s="273">
        <f>SUMIF('2020'!B:B,B1461,'2020'!C:C)+SUMIF('2021'!B:B,B1461,'2021'!C:C)+SUMIF('2022'!B:B,B1461,'2022'!C:C)</f>
        <v>14536321.18</v>
      </c>
      <c r="J1461" s="59">
        <v>44925</v>
      </c>
      <c r="K1461" s="162" t="s">
        <v>3118</v>
      </c>
    </row>
    <row r="1462" spans="1:11" x14ac:dyDescent="0.3">
      <c r="A1462" s="259">
        <f t="shared" si="54"/>
        <v>1329</v>
      </c>
      <c r="B1462" s="20" t="s">
        <v>1428</v>
      </c>
      <c r="C1462" s="162">
        <v>1958</v>
      </c>
      <c r="D1462" s="273"/>
      <c r="E1462" s="162" t="s">
        <v>3438</v>
      </c>
      <c r="F1462" s="48">
        <v>3</v>
      </c>
      <c r="G1462" s="46">
        <v>788.7</v>
      </c>
      <c r="H1462" s="48">
        <v>31</v>
      </c>
      <c r="I1462" s="273">
        <f>SUMIF('2020'!B:B,B1462,'2020'!C:C)+SUMIF('2021'!B:B,B1462,'2021'!C:C)+SUMIF('2022'!B:B,B1462,'2022'!C:C)</f>
        <v>125188.38</v>
      </c>
      <c r="J1462" s="59">
        <v>44925</v>
      </c>
      <c r="K1462" s="162" t="s">
        <v>3118</v>
      </c>
    </row>
    <row r="1463" spans="1:11" x14ac:dyDescent="0.3">
      <c r="A1463" s="259">
        <f t="shared" si="54"/>
        <v>1330</v>
      </c>
      <c r="B1463" s="20" t="s">
        <v>1429</v>
      </c>
      <c r="C1463" s="162">
        <v>1917</v>
      </c>
      <c r="D1463" s="273"/>
      <c r="E1463" s="162" t="s">
        <v>3447</v>
      </c>
      <c r="F1463" s="48">
        <v>2</v>
      </c>
      <c r="G1463" s="46">
        <v>445.74</v>
      </c>
      <c r="H1463" s="48">
        <v>30</v>
      </c>
      <c r="I1463" s="273">
        <f>SUMIF('2020'!B:B,B1463,'2020'!C:C)+SUMIF('2021'!B:B,B1463,'2021'!C:C)+SUMIF('2022'!B:B,B1463,'2022'!C:C)</f>
        <v>116727.46</v>
      </c>
      <c r="J1463" s="59">
        <v>44925</v>
      </c>
      <c r="K1463" s="162" t="s">
        <v>3118</v>
      </c>
    </row>
    <row r="1464" spans="1:11" x14ac:dyDescent="0.3">
      <c r="A1464" s="259">
        <f t="shared" si="54"/>
        <v>1331</v>
      </c>
      <c r="B1464" s="20" t="s">
        <v>1430</v>
      </c>
      <c r="C1464" s="162">
        <v>1958</v>
      </c>
      <c r="D1464" s="273"/>
      <c r="E1464" s="162" t="s">
        <v>3438</v>
      </c>
      <c r="F1464" s="48">
        <v>2</v>
      </c>
      <c r="G1464" s="46">
        <v>508.29</v>
      </c>
      <c r="H1464" s="48">
        <v>23</v>
      </c>
      <c r="I1464" s="273">
        <f>SUMIF('2020'!B:B,B1464,'2020'!C:C)+SUMIF('2021'!B:B,B1464,'2021'!C:C)+SUMIF('2022'!B:B,B1464,'2022'!C:C)</f>
        <v>98323.43</v>
      </c>
      <c r="J1464" s="59">
        <v>44925</v>
      </c>
      <c r="K1464" s="162" t="s">
        <v>3118</v>
      </c>
    </row>
    <row r="1465" spans="1:11" x14ac:dyDescent="0.3">
      <c r="A1465" s="259">
        <f t="shared" si="54"/>
        <v>1332</v>
      </c>
      <c r="B1465" s="20" t="s">
        <v>1431</v>
      </c>
      <c r="C1465" s="162">
        <v>1917</v>
      </c>
      <c r="D1465" s="273"/>
      <c r="E1465" s="162" t="s">
        <v>3440</v>
      </c>
      <c r="F1465" s="48">
        <v>2</v>
      </c>
      <c r="G1465" s="46">
        <v>647.6</v>
      </c>
      <c r="H1465" s="48">
        <v>33</v>
      </c>
      <c r="I1465" s="273">
        <f>SUMIF('2020'!B:B,B1465,'2020'!C:C)+SUMIF('2021'!B:B,B1465,'2021'!C:C)+SUMIF('2022'!B:B,B1465,'2022'!C:C)</f>
        <v>5087622.3100000005</v>
      </c>
      <c r="J1465" s="59">
        <v>44925</v>
      </c>
      <c r="K1465" s="162" t="s">
        <v>3118</v>
      </c>
    </row>
    <row r="1466" spans="1:11" x14ac:dyDescent="0.3">
      <c r="A1466" s="259">
        <f t="shared" si="54"/>
        <v>1333</v>
      </c>
      <c r="B1466" s="20" t="s">
        <v>1432</v>
      </c>
      <c r="C1466" s="162">
        <v>1961</v>
      </c>
      <c r="D1466" s="273"/>
      <c r="E1466" s="162" t="s">
        <v>3438</v>
      </c>
      <c r="F1466" s="48">
        <v>4</v>
      </c>
      <c r="G1466" s="46">
        <v>2022.24</v>
      </c>
      <c r="H1466" s="51">
        <v>102</v>
      </c>
      <c r="I1466" s="273">
        <f>SUMIF('2020'!B:B,B1466,'2020'!C:C)+SUMIF('2021'!B:B,B1466,'2021'!C:C)+SUMIF('2022'!B:B,B1466,'2022'!C:C)</f>
        <v>141237.5</v>
      </c>
      <c r="J1466" s="59">
        <v>44925</v>
      </c>
      <c r="K1466" s="162" t="s">
        <v>3118</v>
      </c>
    </row>
    <row r="1467" spans="1:11" x14ac:dyDescent="0.3">
      <c r="A1467" s="259">
        <f t="shared" si="54"/>
        <v>1334</v>
      </c>
      <c r="B1467" s="20" t="s">
        <v>1433</v>
      </c>
      <c r="C1467" s="162">
        <v>1917</v>
      </c>
      <c r="D1467" s="273"/>
      <c r="E1467" s="162" t="s">
        <v>3440</v>
      </c>
      <c r="F1467" s="48">
        <v>2</v>
      </c>
      <c r="G1467" s="46">
        <v>386.46</v>
      </c>
      <c r="H1467" s="48">
        <v>24</v>
      </c>
      <c r="I1467" s="273">
        <f>SUMIF('2020'!B:B,B1467,'2020'!C:C)+SUMIF('2021'!B:B,B1467,'2021'!C:C)+SUMIF('2022'!B:B,B1467,'2022'!C:C)</f>
        <v>130000</v>
      </c>
      <c r="J1467" s="59">
        <v>44925</v>
      </c>
      <c r="K1467" s="162" t="s">
        <v>3118</v>
      </c>
    </row>
    <row r="1468" spans="1:11" x14ac:dyDescent="0.3">
      <c r="A1468" s="259">
        <f t="shared" si="54"/>
        <v>1335</v>
      </c>
      <c r="B1468" s="20" t="s">
        <v>1434</v>
      </c>
      <c r="C1468" s="162">
        <v>1959</v>
      </c>
      <c r="D1468" s="273"/>
      <c r="E1468" s="162" t="s">
        <v>3438</v>
      </c>
      <c r="F1468" s="48">
        <v>2</v>
      </c>
      <c r="G1468" s="46">
        <v>506.76</v>
      </c>
      <c r="H1468" s="51">
        <v>17</v>
      </c>
      <c r="I1468" s="273">
        <f>SUMIF('2020'!B:B,B1468,'2020'!C:C)+SUMIF('2021'!B:B,B1468,'2021'!C:C)+SUMIF('2022'!B:B,B1468,'2022'!C:C)</f>
        <v>319573.38</v>
      </c>
      <c r="J1468" s="59">
        <v>44925</v>
      </c>
      <c r="K1468" s="162" t="s">
        <v>3118</v>
      </c>
    </row>
    <row r="1469" spans="1:11" x14ac:dyDescent="0.3">
      <c r="A1469" s="259">
        <f t="shared" si="54"/>
        <v>1336</v>
      </c>
      <c r="B1469" s="20" t="s">
        <v>1435</v>
      </c>
      <c r="C1469" s="162">
        <v>1930</v>
      </c>
      <c r="D1469" s="273"/>
      <c r="E1469" s="162" t="s">
        <v>3440</v>
      </c>
      <c r="F1469" s="48">
        <v>2</v>
      </c>
      <c r="G1469" s="46">
        <v>420.59</v>
      </c>
      <c r="H1469" s="48">
        <v>36</v>
      </c>
      <c r="I1469" s="273">
        <f>SUMIF('2020'!B:B,B1469,'2020'!C:C)+SUMIF('2021'!B:B,B1469,'2021'!C:C)+SUMIF('2022'!B:B,B1469,'2022'!C:C)</f>
        <v>159405.6</v>
      </c>
      <c r="J1469" s="59">
        <v>44925</v>
      </c>
      <c r="K1469" s="162" t="s">
        <v>3118</v>
      </c>
    </row>
    <row r="1470" spans="1:11" x14ac:dyDescent="0.3">
      <c r="A1470" s="259">
        <f t="shared" si="54"/>
        <v>1337</v>
      </c>
      <c r="B1470" s="20" t="s">
        <v>1436</v>
      </c>
      <c r="C1470" s="162">
        <v>1976</v>
      </c>
      <c r="D1470" s="273"/>
      <c r="E1470" s="162" t="s">
        <v>3190</v>
      </c>
      <c r="F1470" s="48">
        <v>5</v>
      </c>
      <c r="G1470" s="46">
        <v>4447.6000000000004</v>
      </c>
      <c r="H1470" s="48">
        <v>216</v>
      </c>
      <c r="I1470" s="273">
        <f>SUMIF('2020'!B:B,B1470,'2020'!C:C)+SUMIF('2021'!B:B,B1470,'2021'!C:C)+SUMIF('2022'!B:B,B1470,'2022'!C:C)</f>
        <v>651136.30000000005</v>
      </c>
      <c r="J1470" s="59">
        <v>44925</v>
      </c>
      <c r="K1470" s="162" t="s">
        <v>3118</v>
      </c>
    </row>
    <row r="1471" spans="1:11" x14ac:dyDescent="0.3">
      <c r="A1471" s="259">
        <f t="shared" si="54"/>
        <v>1338</v>
      </c>
      <c r="B1471" s="20" t="s">
        <v>1437</v>
      </c>
      <c r="C1471" s="162">
        <v>1917</v>
      </c>
      <c r="D1471" s="273"/>
      <c r="E1471" s="162" t="s">
        <v>3440</v>
      </c>
      <c r="F1471" s="48">
        <v>2</v>
      </c>
      <c r="G1471" s="46">
        <v>625.76</v>
      </c>
      <c r="H1471" s="51">
        <v>42</v>
      </c>
      <c r="I1471" s="273">
        <f>SUMIF('2020'!B:B,B1471,'2020'!C:C)+SUMIF('2021'!B:B,B1471,'2021'!C:C)+SUMIF('2022'!B:B,B1471,'2022'!C:C)</f>
        <v>130000</v>
      </c>
      <c r="J1471" s="59">
        <v>44925</v>
      </c>
      <c r="K1471" s="162" t="s">
        <v>3118</v>
      </c>
    </row>
    <row r="1472" spans="1:11" x14ac:dyDescent="0.3">
      <c r="A1472" s="259">
        <f t="shared" si="54"/>
        <v>1339</v>
      </c>
      <c r="B1472" s="20" t="s">
        <v>1438</v>
      </c>
      <c r="C1472" s="162">
        <v>1971</v>
      </c>
      <c r="D1472" s="273"/>
      <c r="E1472" s="162" t="s">
        <v>3438</v>
      </c>
      <c r="F1472" s="48">
        <v>5</v>
      </c>
      <c r="G1472" s="46">
        <v>4542.6099999999997</v>
      </c>
      <c r="H1472" s="51">
        <v>208</v>
      </c>
      <c r="I1472" s="273">
        <f>SUMIF('2020'!B:B,B1472,'2020'!C:C)+SUMIF('2021'!B:B,B1472,'2021'!C:C)+SUMIF('2022'!B:B,B1472,'2022'!C:C)</f>
        <v>495561.4</v>
      </c>
      <c r="J1472" s="59">
        <v>44925</v>
      </c>
      <c r="K1472" s="162" t="s">
        <v>3118</v>
      </c>
    </row>
    <row r="1473" spans="1:11" x14ac:dyDescent="0.3">
      <c r="A1473" s="259">
        <f t="shared" si="54"/>
        <v>1340</v>
      </c>
      <c r="B1473" s="20" t="s">
        <v>1439</v>
      </c>
      <c r="C1473" s="162">
        <v>1962</v>
      </c>
      <c r="D1473" s="273"/>
      <c r="E1473" s="162" t="s">
        <v>3438</v>
      </c>
      <c r="F1473" s="48">
        <v>3</v>
      </c>
      <c r="G1473" s="46">
        <v>961.66</v>
      </c>
      <c r="H1473" s="51">
        <v>43</v>
      </c>
      <c r="I1473" s="273">
        <f>SUMIF('2020'!B:B,B1473,'2020'!C:C)+SUMIF('2021'!B:B,B1473,'2021'!C:C)+SUMIF('2022'!B:B,B1473,'2022'!C:C)</f>
        <v>286138.57999999996</v>
      </c>
      <c r="J1473" s="59">
        <v>44925</v>
      </c>
      <c r="K1473" s="162" t="s">
        <v>3118</v>
      </c>
    </row>
    <row r="1474" spans="1:11" x14ac:dyDescent="0.3">
      <c r="A1474" s="259">
        <f t="shared" si="54"/>
        <v>1341</v>
      </c>
      <c r="B1474" s="20" t="s">
        <v>1440</v>
      </c>
      <c r="C1474" s="162">
        <v>1968</v>
      </c>
      <c r="D1474" s="273"/>
      <c r="E1474" s="162" t="s">
        <v>3190</v>
      </c>
      <c r="F1474" s="48">
        <v>5</v>
      </c>
      <c r="G1474" s="46">
        <v>4390.3100000000004</v>
      </c>
      <c r="H1474" s="48">
        <v>206</v>
      </c>
      <c r="I1474" s="273">
        <f>SUMIF('2020'!B:B,B1474,'2020'!C:C)+SUMIF('2021'!B:B,B1474,'2021'!C:C)+SUMIF('2022'!B:B,B1474,'2022'!C:C)</f>
        <v>449678.81999999995</v>
      </c>
      <c r="J1474" s="59">
        <v>44925</v>
      </c>
      <c r="K1474" s="162" t="s">
        <v>3118</v>
      </c>
    </row>
    <row r="1475" spans="1:11" x14ac:dyDescent="0.3">
      <c r="A1475" s="259">
        <f t="shared" si="54"/>
        <v>1342</v>
      </c>
      <c r="B1475" s="20" t="s">
        <v>1441</v>
      </c>
      <c r="C1475" s="162">
        <v>1958</v>
      </c>
      <c r="D1475" s="273"/>
      <c r="E1475" s="162" t="s">
        <v>3439</v>
      </c>
      <c r="F1475" s="48">
        <v>2</v>
      </c>
      <c r="G1475" s="46">
        <v>414</v>
      </c>
      <c r="H1475" s="48">
        <v>21</v>
      </c>
      <c r="I1475" s="273">
        <f>SUMIF('2020'!B:B,B1475,'2020'!C:C)+SUMIF('2021'!B:B,B1475,'2021'!C:C)+SUMIF('2022'!B:B,B1475,'2022'!C:C)</f>
        <v>1893206.8</v>
      </c>
      <c r="J1475" s="59">
        <v>44925</v>
      </c>
      <c r="K1475" s="162" t="s">
        <v>3118</v>
      </c>
    </row>
    <row r="1476" spans="1:11" x14ac:dyDescent="0.3">
      <c r="A1476" s="259">
        <f t="shared" si="54"/>
        <v>1343</v>
      </c>
      <c r="B1476" s="20" t="s">
        <v>1442</v>
      </c>
      <c r="C1476" s="162">
        <v>1975</v>
      </c>
      <c r="D1476" s="273"/>
      <c r="E1476" s="162" t="s">
        <v>3190</v>
      </c>
      <c r="F1476" s="48">
        <v>5</v>
      </c>
      <c r="G1476" s="46">
        <v>2739</v>
      </c>
      <c r="H1476" s="48">
        <v>135</v>
      </c>
      <c r="I1476" s="273">
        <f>SUMIF('2020'!B:B,B1476,'2020'!C:C)+SUMIF('2021'!B:B,B1476,'2021'!C:C)+SUMIF('2022'!B:B,B1476,'2022'!C:C)</f>
        <v>170356.88</v>
      </c>
      <c r="J1476" s="59">
        <v>44925</v>
      </c>
      <c r="K1476" s="162" t="s">
        <v>3118</v>
      </c>
    </row>
    <row r="1477" spans="1:11" x14ac:dyDescent="0.3">
      <c r="A1477" s="259">
        <f t="shared" si="54"/>
        <v>1344</v>
      </c>
      <c r="B1477" s="20" t="s">
        <v>1443</v>
      </c>
      <c r="C1477" s="162">
        <v>1975</v>
      </c>
      <c r="D1477" s="273"/>
      <c r="E1477" s="162" t="s">
        <v>3438</v>
      </c>
      <c r="F1477" s="48">
        <v>5</v>
      </c>
      <c r="G1477" s="46">
        <v>418.35</v>
      </c>
      <c r="H1477" s="51">
        <v>17</v>
      </c>
      <c r="I1477" s="273">
        <f>SUMIF('2020'!B:B,B1477,'2020'!C:C)+SUMIF('2021'!B:B,B1477,'2021'!C:C)+SUMIF('2022'!B:B,B1477,'2022'!C:C)</f>
        <v>130000</v>
      </c>
      <c r="J1477" s="59">
        <v>44925</v>
      </c>
      <c r="K1477" s="162" t="s">
        <v>3118</v>
      </c>
    </row>
    <row r="1478" spans="1:11" x14ac:dyDescent="0.3">
      <c r="A1478" s="259">
        <f t="shared" si="54"/>
        <v>1345</v>
      </c>
      <c r="B1478" s="20" t="s">
        <v>1444</v>
      </c>
      <c r="C1478" s="162">
        <v>1960</v>
      </c>
      <c r="D1478" s="273"/>
      <c r="E1478" s="162" t="s">
        <v>3438</v>
      </c>
      <c r="F1478" s="48">
        <v>4</v>
      </c>
      <c r="G1478" s="46">
        <v>2010.5</v>
      </c>
      <c r="H1478" s="51">
        <v>85</v>
      </c>
      <c r="I1478" s="273">
        <f>SUMIF('2020'!B:B,B1478,'2020'!C:C)+SUMIF('2021'!B:B,B1478,'2021'!C:C)+SUMIF('2022'!B:B,B1478,'2022'!C:C)</f>
        <v>146413.46</v>
      </c>
      <c r="J1478" s="59">
        <v>44925</v>
      </c>
      <c r="K1478" s="162" t="s">
        <v>3118</v>
      </c>
    </row>
    <row r="1479" spans="1:11" x14ac:dyDescent="0.3">
      <c r="A1479" s="259">
        <f t="shared" si="54"/>
        <v>1346</v>
      </c>
      <c r="B1479" s="20" t="s">
        <v>1445</v>
      </c>
      <c r="C1479" s="162">
        <v>1917</v>
      </c>
      <c r="D1479" s="273"/>
      <c r="E1479" s="162" t="s">
        <v>3440</v>
      </c>
      <c r="F1479" s="48">
        <v>2</v>
      </c>
      <c r="G1479" s="46">
        <v>314.61</v>
      </c>
      <c r="H1479" s="48">
        <v>21</v>
      </c>
      <c r="I1479" s="273">
        <f>SUMIF('2020'!B:B,B1479,'2020'!C:C)+SUMIF('2021'!B:B,B1479,'2021'!C:C)+SUMIF('2022'!B:B,B1479,'2022'!C:C)</f>
        <v>169057.18</v>
      </c>
      <c r="J1479" s="59">
        <v>44925</v>
      </c>
      <c r="K1479" s="162" t="s">
        <v>3118</v>
      </c>
    </row>
    <row r="1480" spans="1:11" x14ac:dyDescent="0.3">
      <c r="A1480" s="259">
        <f t="shared" si="54"/>
        <v>1347</v>
      </c>
      <c r="B1480" s="20" t="s">
        <v>1446</v>
      </c>
      <c r="C1480" s="162">
        <v>1970</v>
      </c>
      <c r="D1480" s="273"/>
      <c r="E1480" s="162" t="s">
        <v>3190</v>
      </c>
      <c r="F1480" s="48">
        <v>5</v>
      </c>
      <c r="G1480" s="46">
        <v>4391.34</v>
      </c>
      <c r="H1480" s="48">
        <v>223</v>
      </c>
      <c r="I1480" s="273">
        <f>SUMIF('2020'!B:B,B1480,'2020'!C:C)+SUMIF('2021'!B:B,B1480,'2021'!C:C)+SUMIF('2022'!B:B,B1480,'2022'!C:C)</f>
        <v>5140564.51</v>
      </c>
      <c r="J1480" s="59">
        <v>44925</v>
      </c>
      <c r="K1480" s="162" t="s">
        <v>3118</v>
      </c>
    </row>
    <row r="1481" spans="1:11" x14ac:dyDescent="0.3">
      <c r="A1481" s="259">
        <f t="shared" si="54"/>
        <v>1348</v>
      </c>
      <c r="B1481" s="20" t="s">
        <v>1447</v>
      </c>
      <c r="C1481" s="162">
        <v>1970</v>
      </c>
      <c r="D1481" s="273"/>
      <c r="E1481" s="162" t="s">
        <v>3190</v>
      </c>
      <c r="F1481" s="48">
        <v>5</v>
      </c>
      <c r="G1481" s="46">
        <v>2687.8</v>
      </c>
      <c r="H1481" s="51">
        <v>118</v>
      </c>
      <c r="I1481" s="273">
        <f>SUMIF('2020'!B:B,B1481,'2020'!C:C)+SUMIF('2021'!B:B,B1481,'2021'!C:C)+SUMIF('2022'!B:B,B1481,'2022'!C:C)</f>
        <v>167201.92000000001</v>
      </c>
      <c r="J1481" s="59">
        <v>44925</v>
      </c>
      <c r="K1481" s="162" t="s">
        <v>3118</v>
      </c>
    </row>
    <row r="1482" spans="1:11" x14ac:dyDescent="0.3">
      <c r="A1482" s="259">
        <f t="shared" si="54"/>
        <v>1349</v>
      </c>
      <c r="B1482" s="20" t="s">
        <v>1448</v>
      </c>
      <c r="C1482" s="162">
        <v>1971</v>
      </c>
      <c r="D1482" s="273"/>
      <c r="E1482" s="162" t="s">
        <v>3442</v>
      </c>
      <c r="F1482" s="48">
        <v>5</v>
      </c>
      <c r="G1482" s="46">
        <v>4011.9</v>
      </c>
      <c r="H1482" s="51">
        <v>100</v>
      </c>
      <c r="I1482" s="273">
        <f>SUMIF('2020'!B:B,B1482,'2020'!C:C)+SUMIF('2021'!B:B,B1482,'2021'!C:C)+SUMIF('2022'!B:B,B1482,'2022'!C:C)</f>
        <v>419206.43</v>
      </c>
      <c r="J1482" s="59">
        <v>44925</v>
      </c>
      <c r="K1482" s="162" t="s">
        <v>3118</v>
      </c>
    </row>
    <row r="1483" spans="1:11" x14ac:dyDescent="0.3">
      <c r="A1483" s="259">
        <f t="shared" si="54"/>
        <v>1350</v>
      </c>
      <c r="B1483" s="20" t="s">
        <v>1449</v>
      </c>
      <c r="C1483" s="162">
        <v>1964</v>
      </c>
      <c r="D1483" s="273"/>
      <c r="E1483" s="162" t="s">
        <v>3438</v>
      </c>
      <c r="F1483" s="48">
        <v>5</v>
      </c>
      <c r="G1483" s="46">
        <v>1575.14</v>
      </c>
      <c r="H1483" s="48">
        <v>66</v>
      </c>
      <c r="I1483" s="273">
        <f>SUMIF('2020'!B:B,B1483,'2020'!C:C)+SUMIF('2021'!B:B,B1483,'2021'!C:C)+SUMIF('2022'!B:B,B1483,'2022'!C:C)</f>
        <v>134773.91</v>
      </c>
      <c r="J1483" s="59">
        <v>44925</v>
      </c>
      <c r="K1483" s="162" t="s">
        <v>3118</v>
      </c>
    </row>
    <row r="1484" spans="1:11" x14ac:dyDescent="0.3">
      <c r="A1484" s="259">
        <f t="shared" si="54"/>
        <v>1351</v>
      </c>
      <c r="B1484" s="20" t="s">
        <v>1450</v>
      </c>
      <c r="C1484" s="162">
        <v>1960</v>
      </c>
      <c r="D1484" s="273"/>
      <c r="E1484" s="162" t="s">
        <v>3438</v>
      </c>
      <c r="F1484" s="48">
        <v>3</v>
      </c>
      <c r="G1484" s="46">
        <v>1480.97</v>
      </c>
      <c r="H1484" s="48">
        <v>65</v>
      </c>
      <c r="I1484" s="273">
        <f>SUMIF('2020'!B:B,B1484,'2020'!C:C)+SUMIF('2021'!B:B,B1484,'2021'!C:C)+SUMIF('2022'!B:B,B1484,'2022'!C:C)</f>
        <v>112954.43</v>
      </c>
      <c r="J1484" s="59">
        <v>44925</v>
      </c>
      <c r="K1484" s="162" t="s">
        <v>3118</v>
      </c>
    </row>
    <row r="1485" spans="1:11" x14ac:dyDescent="0.3">
      <c r="A1485" s="259">
        <f t="shared" si="54"/>
        <v>1352</v>
      </c>
      <c r="B1485" s="20" t="s">
        <v>1451</v>
      </c>
      <c r="C1485" s="162">
        <v>1973</v>
      </c>
      <c r="D1485" s="273"/>
      <c r="E1485" s="162" t="s">
        <v>3438</v>
      </c>
      <c r="F1485" s="48">
        <v>5</v>
      </c>
      <c r="G1485" s="46">
        <v>4702</v>
      </c>
      <c r="H1485" s="48">
        <v>200</v>
      </c>
      <c r="I1485" s="273">
        <f>SUMIF('2020'!B:B,B1485,'2020'!C:C)+SUMIF('2021'!B:B,B1485,'2021'!C:C)+SUMIF('2022'!B:B,B1485,'2022'!C:C)</f>
        <v>255851.59</v>
      </c>
      <c r="J1485" s="59">
        <v>44925</v>
      </c>
      <c r="K1485" s="162" t="s">
        <v>3118</v>
      </c>
    </row>
    <row r="1486" spans="1:11" x14ac:dyDescent="0.3">
      <c r="A1486" s="259">
        <f t="shared" si="54"/>
        <v>1353</v>
      </c>
      <c r="B1486" s="20" t="s">
        <v>1452</v>
      </c>
      <c r="C1486" s="162">
        <v>1969</v>
      </c>
      <c r="D1486" s="273"/>
      <c r="E1486" s="162" t="s">
        <v>3438</v>
      </c>
      <c r="F1486" s="48">
        <v>5</v>
      </c>
      <c r="G1486" s="46">
        <v>3448.23</v>
      </c>
      <c r="H1486" s="51">
        <v>156</v>
      </c>
      <c r="I1486" s="273">
        <f>SUMIF('2020'!B:B,B1486,'2020'!C:C)+SUMIF('2021'!B:B,B1486,'2021'!C:C)+SUMIF('2022'!B:B,B1486,'2022'!C:C)</f>
        <v>209821.21</v>
      </c>
      <c r="J1486" s="59">
        <v>44925</v>
      </c>
      <c r="K1486" s="162" t="s">
        <v>3118</v>
      </c>
    </row>
    <row r="1487" spans="1:11" x14ac:dyDescent="0.3">
      <c r="A1487" s="259">
        <f t="shared" ref="A1487:A1525" si="55">A1486+1</f>
        <v>1354</v>
      </c>
      <c r="B1487" s="20" t="s">
        <v>1453</v>
      </c>
      <c r="C1487" s="162">
        <v>1972</v>
      </c>
      <c r="D1487" s="273"/>
      <c r="E1487" s="162" t="s">
        <v>3438</v>
      </c>
      <c r="F1487" s="48">
        <v>5</v>
      </c>
      <c r="G1487" s="46">
        <v>3471.7</v>
      </c>
      <c r="H1487" s="51">
        <v>152</v>
      </c>
      <c r="I1487" s="273">
        <f>SUMIF('2020'!B:B,B1487,'2020'!C:C)+SUMIF('2021'!B:B,B1487,'2021'!C:C)+SUMIF('2022'!B:B,B1487,'2022'!C:C)</f>
        <v>211278.66</v>
      </c>
      <c r="J1487" s="59">
        <v>44925</v>
      </c>
      <c r="K1487" s="162" t="s">
        <v>3118</v>
      </c>
    </row>
    <row r="1488" spans="1:11" x14ac:dyDescent="0.3">
      <c r="A1488" s="259">
        <f t="shared" si="55"/>
        <v>1355</v>
      </c>
      <c r="B1488" s="20" t="s">
        <v>1454</v>
      </c>
      <c r="C1488" s="162">
        <v>1967</v>
      </c>
      <c r="D1488" s="273"/>
      <c r="E1488" s="162" t="s">
        <v>3438</v>
      </c>
      <c r="F1488" s="48">
        <v>5</v>
      </c>
      <c r="G1488" s="46">
        <v>3488.2</v>
      </c>
      <c r="H1488" s="48">
        <v>169</v>
      </c>
      <c r="I1488" s="273">
        <f>SUMIF('2020'!B:B,B1488,'2020'!C:C)+SUMIF('2021'!B:B,B1488,'2021'!C:C)+SUMIF('2022'!B:B,B1488,'2022'!C:C)</f>
        <v>211910.9</v>
      </c>
      <c r="J1488" s="59">
        <v>44925</v>
      </c>
      <c r="K1488" s="162" t="s">
        <v>3118</v>
      </c>
    </row>
    <row r="1489" spans="1:11" x14ac:dyDescent="0.3">
      <c r="A1489" s="259">
        <f t="shared" si="55"/>
        <v>1356</v>
      </c>
      <c r="B1489" s="20" t="s">
        <v>1455</v>
      </c>
      <c r="C1489" s="162">
        <v>1963</v>
      </c>
      <c r="D1489" s="273"/>
      <c r="E1489" s="162" t="s">
        <v>3438</v>
      </c>
      <c r="F1489" s="48">
        <v>4</v>
      </c>
      <c r="G1489" s="46">
        <v>1973.77</v>
      </c>
      <c r="H1489" s="48">
        <v>81</v>
      </c>
      <c r="I1489" s="273">
        <f>SUMIF('2020'!B:B,B1489,'2020'!C:C)+SUMIF('2021'!B:B,B1489,'2021'!C:C)+SUMIF('2022'!B:B,B1489,'2022'!C:C)</f>
        <v>156687.24</v>
      </c>
      <c r="J1489" s="59">
        <v>44925</v>
      </c>
      <c r="K1489" s="162" t="s">
        <v>3118</v>
      </c>
    </row>
    <row r="1490" spans="1:11" x14ac:dyDescent="0.3">
      <c r="A1490" s="259">
        <f t="shared" si="55"/>
        <v>1357</v>
      </c>
      <c r="B1490" s="20" t="s">
        <v>1456</v>
      </c>
      <c r="C1490" s="162">
        <v>1971</v>
      </c>
      <c r="D1490" s="273"/>
      <c r="E1490" s="162" t="s">
        <v>3440</v>
      </c>
      <c r="F1490" s="48">
        <v>2</v>
      </c>
      <c r="G1490" s="46">
        <v>231.81</v>
      </c>
      <c r="H1490" s="48">
        <v>14</v>
      </c>
      <c r="I1490" s="273">
        <f>SUMIF('2020'!B:B,B1490,'2020'!C:C)+SUMIF('2021'!B:B,B1490,'2021'!C:C)+SUMIF('2022'!B:B,B1490,'2022'!C:C)</f>
        <v>77913.42</v>
      </c>
      <c r="J1490" s="59">
        <v>44925</v>
      </c>
      <c r="K1490" s="162" t="s">
        <v>3118</v>
      </c>
    </row>
    <row r="1491" spans="1:11" x14ac:dyDescent="0.3">
      <c r="A1491" s="259">
        <f t="shared" si="55"/>
        <v>1358</v>
      </c>
      <c r="B1491" s="20" t="s">
        <v>1457</v>
      </c>
      <c r="C1491" s="162">
        <v>1961</v>
      </c>
      <c r="D1491" s="273"/>
      <c r="E1491" s="162" t="s">
        <v>3438</v>
      </c>
      <c r="F1491" s="48">
        <v>3</v>
      </c>
      <c r="G1491" s="46">
        <v>1529.63</v>
      </c>
      <c r="H1491" s="48">
        <v>52</v>
      </c>
      <c r="I1491" s="273">
        <f>SUMIF('2020'!B:B,B1491,'2020'!C:C)+SUMIF('2021'!B:B,B1491,'2021'!C:C)+SUMIF('2022'!B:B,B1491,'2022'!C:C)</f>
        <v>1431395.8599999999</v>
      </c>
      <c r="J1491" s="59">
        <v>44925</v>
      </c>
      <c r="K1491" s="162" t="s">
        <v>3118</v>
      </c>
    </row>
    <row r="1492" spans="1:11" x14ac:dyDescent="0.3">
      <c r="A1492" s="259">
        <f t="shared" si="55"/>
        <v>1359</v>
      </c>
      <c r="B1492" s="20" t="s">
        <v>1458</v>
      </c>
      <c r="C1492" s="162">
        <v>1961</v>
      </c>
      <c r="D1492" s="273"/>
      <c r="E1492" s="162" t="s">
        <v>3438</v>
      </c>
      <c r="F1492" s="48">
        <v>3</v>
      </c>
      <c r="G1492" s="46">
        <v>941.51</v>
      </c>
      <c r="H1492" s="48">
        <v>41</v>
      </c>
      <c r="I1492" s="273">
        <f>SUMIF('2020'!B:B,B1492,'2020'!C:C)+SUMIF('2021'!B:B,B1492,'2021'!C:C)+SUMIF('2022'!B:B,B1492,'2022'!C:C)</f>
        <v>149378.76</v>
      </c>
      <c r="J1492" s="59">
        <v>44925</v>
      </c>
      <c r="K1492" s="162" t="s">
        <v>3118</v>
      </c>
    </row>
    <row r="1493" spans="1:11" x14ac:dyDescent="0.3">
      <c r="A1493" s="259">
        <f t="shared" si="55"/>
        <v>1360</v>
      </c>
      <c r="B1493" s="20" t="s">
        <v>1459</v>
      </c>
      <c r="C1493" s="162">
        <v>1961</v>
      </c>
      <c r="D1493" s="273"/>
      <c r="E1493" s="162" t="s">
        <v>3438</v>
      </c>
      <c r="F1493" s="48">
        <v>3</v>
      </c>
      <c r="G1493" s="46">
        <v>948.6</v>
      </c>
      <c r="H1493" s="48">
        <v>33</v>
      </c>
      <c r="I1493" s="273">
        <f>SUMIF('2020'!B:B,B1493,'2020'!C:C)+SUMIF('2021'!B:B,B1493,'2021'!C:C)+SUMIF('2022'!B:B,B1493,'2022'!C:C)</f>
        <v>154609.62</v>
      </c>
      <c r="J1493" s="59">
        <v>44925</v>
      </c>
      <c r="K1493" s="162" t="s">
        <v>3118</v>
      </c>
    </row>
    <row r="1494" spans="1:11" x14ac:dyDescent="0.3">
      <c r="A1494" s="259">
        <f t="shared" si="55"/>
        <v>1361</v>
      </c>
      <c r="B1494" s="20" t="s">
        <v>1460</v>
      </c>
      <c r="C1494" s="162">
        <v>1917</v>
      </c>
      <c r="D1494" s="273"/>
      <c r="E1494" s="55" t="s">
        <v>3440</v>
      </c>
      <c r="F1494" s="48">
        <v>2</v>
      </c>
      <c r="G1494" s="46">
        <v>251.01</v>
      </c>
      <c r="H1494" s="48">
        <v>17</v>
      </c>
      <c r="I1494" s="273">
        <f>SUMIF('2020'!B:B,B1494,'2020'!C:C)+SUMIF('2021'!B:B,B1494,'2021'!C:C)+SUMIF('2022'!B:B,B1494,'2022'!C:C)</f>
        <v>153616.19</v>
      </c>
      <c r="J1494" s="59">
        <v>44925</v>
      </c>
      <c r="K1494" s="162" t="s">
        <v>3118</v>
      </c>
    </row>
    <row r="1495" spans="1:11" x14ac:dyDescent="0.3">
      <c r="A1495" s="259">
        <f t="shared" si="55"/>
        <v>1362</v>
      </c>
      <c r="B1495" s="20" t="s">
        <v>1461</v>
      </c>
      <c r="C1495" s="162">
        <v>1963</v>
      </c>
      <c r="D1495" s="273"/>
      <c r="E1495" s="162" t="s">
        <v>3438</v>
      </c>
      <c r="F1495" s="48">
        <v>4</v>
      </c>
      <c r="G1495" s="46">
        <v>2033.27</v>
      </c>
      <c r="H1495" s="51">
        <v>107</v>
      </c>
      <c r="I1495" s="273">
        <f>SUMIF('2020'!B:B,B1495,'2020'!C:C)+SUMIF('2021'!B:B,B1495,'2021'!C:C)+SUMIF('2022'!B:B,B1495,'2022'!C:C)</f>
        <v>14425722</v>
      </c>
      <c r="J1495" s="59">
        <v>44925</v>
      </c>
      <c r="K1495" s="162" t="s">
        <v>3118</v>
      </c>
    </row>
    <row r="1496" spans="1:11" x14ac:dyDescent="0.3">
      <c r="A1496" s="259">
        <f t="shared" si="55"/>
        <v>1363</v>
      </c>
      <c r="B1496" s="20" t="s">
        <v>1462</v>
      </c>
      <c r="C1496" s="162">
        <v>1976</v>
      </c>
      <c r="D1496" s="273"/>
      <c r="E1496" s="162" t="s">
        <v>3190</v>
      </c>
      <c r="F1496" s="48">
        <v>5</v>
      </c>
      <c r="G1496" s="46">
        <v>4893.3</v>
      </c>
      <c r="H1496" s="51">
        <v>205</v>
      </c>
      <c r="I1496" s="273">
        <f>SUMIF('2020'!B:B,B1496,'2020'!C:C)+SUMIF('2021'!B:B,B1496,'2021'!C:C)+SUMIF('2022'!B:B,B1496,'2022'!C:C)</f>
        <v>248902.75</v>
      </c>
      <c r="J1496" s="59">
        <v>44925</v>
      </c>
      <c r="K1496" s="162" t="s">
        <v>3118</v>
      </c>
    </row>
    <row r="1497" spans="1:11" x14ac:dyDescent="0.3">
      <c r="A1497" s="259">
        <f t="shared" si="55"/>
        <v>1364</v>
      </c>
      <c r="B1497" s="20" t="s">
        <v>1463</v>
      </c>
      <c r="C1497" s="162">
        <v>1962</v>
      </c>
      <c r="D1497" s="273"/>
      <c r="E1497" s="162" t="s">
        <v>3438</v>
      </c>
      <c r="F1497" s="48">
        <v>3</v>
      </c>
      <c r="G1497" s="46">
        <v>1476.31</v>
      </c>
      <c r="H1497" s="51">
        <v>69</v>
      </c>
      <c r="I1497" s="273">
        <f>SUMIF('2020'!B:B,B1497,'2020'!C:C)+SUMIF('2021'!B:B,B1497,'2021'!C:C)+SUMIF('2022'!B:B,B1497,'2022'!C:C)</f>
        <v>11904360.68</v>
      </c>
      <c r="J1497" s="59">
        <v>44925</v>
      </c>
      <c r="K1497" s="162" t="s">
        <v>3118</v>
      </c>
    </row>
    <row r="1498" spans="1:11" x14ac:dyDescent="0.3">
      <c r="A1498" s="259">
        <f t="shared" si="55"/>
        <v>1365</v>
      </c>
      <c r="B1498" s="20" t="s">
        <v>1464</v>
      </c>
      <c r="C1498" s="162">
        <v>1975</v>
      </c>
      <c r="D1498" s="273"/>
      <c r="E1498" s="162" t="s">
        <v>3190</v>
      </c>
      <c r="F1498" s="48">
        <v>5</v>
      </c>
      <c r="G1498" s="46">
        <v>2402.5</v>
      </c>
      <c r="H1498" s="51">
        <v>73</v>
      </c>
      <c r="I1498" s="273">
        <f>SUMIF('2020'!B:B,B1498,'2020'!C:C)+SUMIF('2021'!B:B,B1498,'2021'!C:C)+SUMIF('2022'!B:B,B1498,'2022'!C:C)</f>
        <v>302837.84000000003</v>
      </c>
      <c r="J1498" s="59">
        <v>44925</v>
      </c>
      <c r="K1498" s="162" t="s">
        <v>3118</v>
      </c>
    </row>
    <row r="1499" spans="1:11" x14ac:dyDescent="0.3">
      <c r="A1499" s="259">
        <f t="shared" si="55"/>
        <v>1366</v>
      </c>
      <c r="B1499" s="20" t="s">
        <v>1465</v>
      </c>
      <c r="C1499" s="162">
        <v>1962</v>
      </c>
      <c r="D1499" s="273"/>
      <c r="E1499" s="162" t="s">
        <v>3438</v>
      </c>
      <c r="F1499" s="48">
        <v>3</v>
      </c>
      <c r="G1499" s="46">
        <v>1459.59</v>
      </c>
      <c r="H1499" s="48">
        <v>84</v>
      </c>
      <c r="I1499" s="273">
        <f>SUMIF('2020'!B:B,B1499,'2020'!C:C)+SUMIF('2021'!B:B,B1499,'2021'!C:C)+SUMIF('2022'!B:B,B1499,'2022'!C:C)</f>
        <v>11895805.139999999</v>
      </c>
      <c r="J1499" s="59">
        <v>44925</v>
      </c>
      <c r="K1499" s="162" t="s">
        <v>3118</v>
      </c>
    </row>
    <row r="1500" spans="1:11" x14ac:dyDescent="0.3">
      <c r="A1500" s="259">
        <f t="shared" si="55"/>
        <v>1367</v>
      </c>
      <c r="B1500" s="20" t="s">
        <v>1466</v>
      </c>
      <c r="C1500" s="162">
        <v>1965</v>
      </c>
      <c r="D1500" s="273"/>
      <c r="E1500" s="162" t="s">
        <v>3438</v>
      </c>
      <c r="F1500" s="48">
        <v>4</v>
      </c>
      <c r="G1500" s="46">
        <v>2023.91</v>
      </c>
      <c r="H1500" s="48">
        <v>106</v>
      </c>
      <c r="I1500" s="273">
        <f>SUMIF('2020'!B:B,B1500,'2020'!C:C)+SUMIF('2021'!B:B,B1500,'2021'!C:C)+SUMIF('2022'!B:B,B1500,'2022'!C:C)</f>
        <v>136736.35</v>
      </c>
      <c r="J1500" s="59">
        <v>44925</v>
      </c>
      <c r="K1500" s="162" t="s">
        <v>3118</v>
      </c>
    </row>
    <row r="1501" spans="1:11" x14ac:dyDescent="0.3">
      <c r="A1501" s="259">
        <f t="shared" si="55"/>
        <v>1368</v>
      </c>
      <c r="B1501" s="20" t="s">
        <v>1467</v>
      </c>
      <c r="C1501" s="162">
        <v>1970</v>
      </c>
      <c r="D1501" s="273"/>
      <c r="E1501" s="162" t="s">
        <v>3438</v>
      </c>
      <c r="F1501" s="48">
        <v>6</v>
      </c>
      <c r="G1501" s="46">
        <v>4585.8999999999996</v>
      </c>
      <c r="H1501" s="48">
        <v>199</v>
      </c>
      <c r="I1501" s="273">
        <f>SUMIF('2020'!B:B,B1501,'2020'!C:C)+SUMIF('2021'!B:B,B1501,'2021'!C:C)+SUMIF('2022'!B:B,B1501,'2022'!C:C)</f>
        <v>278662.74</v>
      </c>
      <c r="J1501" s="59">
        <v>44925</v>
      </c>
      <c r="K1501" s="162" t="s">
        <v>3118</v>
      </c>
    </row>
    <row r="1502" spans="1:11" x14ac:dyDescent="0.3">
      <c r="A1502" s="259">
        <f t="shared" si="55"/>
        <v>1369</v>
      </c>
      <c r="B1502" s="20" t="s">
        <v>1468</v>
      </c>
      <c r="C1502" s="162">
        <v>1989</v>
      </c>
      <c r="D1502" s="273"/>
      <c r="E1502" s="162" t="s">
        <v>3438</v>
      </c>
      <c r="F1502" s="48">
        <v>9</v>
      </c>
      <c r="G1502" s="46">
        <v>4099.45</v>
      </c>
      <c r="H1502" s="48">
        <v>217</v>
      </c>
      <c r="I1502" s="273">
        <f>SUMIF('2020'!B:B,B1502,'2020'!C:C)+SUMIF('2021'!B:B,B1502,'2021'!C:C)+SUMIF('2022'!B:B,B1502,'2022'!C:C)</f>
        <v>130000</v>
      </c>
      <c r="J1502" s="59">
        <v>44925</v>
      </c>
      <c r="K1502" s="162" t="s">
        <v>3118</v>
      </c>
    </row>
    <row r="1503" spans="1:11" x14ac:dyDescent="0.3">
      <c r="A1503" s="259">
        <f t="shared" si="55"/>
        <v>1370</v>
      </c>
      <c r="B1503" s="20" t="s">
        <v>1469</v>
      </c>
      <c r="C1503" s="162">
        <v>1968</v>
      </c>
      <c r="D1503" s="273"/>
      <c r="E1503" s="162" t="s">
        <v>3190</v>
      </c>
      <c r="F1503" s="48">
        <v>5</v>
      </c>
      <c r="G1503" s="46">
        <v>7015.2</v>
      </c>
      <c r="H1503" s="48">
        <v>296</v>
      </c>
      <c r="I1503" s="273">
        <f>SUMIF('2020'!B:B,B1503,'2020'!C:C)+SUMIF('2021'!B:B,B1503,'2021'!C:C)+SUMIF('2022'!B:B,B1503,'2022'!C:C)</f>
        <v>330156.19</v>
      </c>
      <c r="J1503" s="59">
        <v>44925</v>
      </c>
      <c r="K1503" s="162" t="s">
        <v>3118</v>
      </c>
    </row>
    <row r="1504" spans="1:11" x14ac:dyDescent="0.3">
      <c r="A1504" s="259">
        <f t="shared" si="55"/>
        <v>1371</v>
      </c>
      <c r="B1504" s="20" t="s">
        <v>1470</v>
      </c>
      <c r="C1504" s="162">
        <v>1966</v>
      </c>
      <c r="D1504" s="273"/>
      <c r="E1504" s="162" t="s">
        <v>3190</v>
      </c>
      <c r="F1504" s="48">
        <v>5</v>
      </c>
      <c r="G1504" s="46">
        <v>7052.58</v>
      </c>
      <c r="H1504" s="48">
        <v>329</v>
      </c>
      <c r="I1504" s="273">
        <f>SUMIF('2020'!B:B,B1504,'2020'!C:C)+SUMIF('2021'!B:B,B1504,'2021'!C:C)+SUMIF('2022'!B:B,B1504,'2022'!C:C)</f>
        <v>344484.05</v>
      </c>
      <c r="J1504" s="59">
        <v>44925</v>
      </c>
      <c r="K1504" s="162" t="s">
        <v>3118</v>
      </c>
    </row>
    <row r="1505" spans="1:11" x14ac:dyDescent="0.3">
      <c r="A1505" s="259">
        <f t="shared" si="55"/>
        <v>1372</v>
      </c>
      <c r="B1505" s="20" t="s">
        <v>1471</v>
      </c>
      <c r="C1505" s="162">
        <v>1976</v>
      </c>
      <c r="D1505" s="273"/>
      <c r="E1505" s="162" t="s">
        <v>3190</v>
      </c>
      <c r="F1505" s="48">
        <v>12</v>
      </c>
      <c r="G1505" s="46">
        <v>2475</v>
      </c>
      <c r="H1505" s="48">
        <v>101</v>
      </c>
      <c r="I1505" s="273">
        <f>SUMIF('2020'!B:B,B1505,'2020'!C:C)+SUMIF('2021'!B:B,B1505,'2021'!C:C)+SUMIF('2022'!B:B,B1505,'2022'!C:C)</f>
        <v>438485.8</v>
      </c>
      <c r="J1505" s="59">
        <v>44925</v>
      </c>
      <c r="K1505" s="162" t="s">
        <v>3118</v>
      </c>
    </row>
    <row r="1506" spans="1:11" x14ac:dyDescent="0.3">
      <c r="A1506" s="259">
        <f t="shared" si="55"/>
        <v>1373</v>
      </c>
      <c r="B1506" s="20" t="s">
        <v>1472</v>
      </c>
      <c r="C1506" s="162">
        <v>1965</v>
      </c>
      <c r="D1506" s="273"/>
      <c r="E1506" s="162" t="s">
        <v>3438</v>
      </c>
      <c r="F1506" s="48">
        <v>5</v>
      </c>
      <c r="G1506" s="46">
        <v>3524.2</v>
      </c>
      <c r="H1506" s="48">
        <v>196</v>
      </c>
      <c r="I1506" s="273">
        <f>SUMIF('2020'!B:B,B1506,'2020'!C:C)+SUMIF('2021'!B:B,B1506,'2021'!C:C)+SUMIF('2022'!B:B,B1506,'2022'!C:C)</f>
        <v>9501740.209999999</v>
      </c>
      <c r="J1506" s="59">
        <v>44925</v>
      </c>
      <c r="K1506" s="162" t="s">
        <v>3118</v>
      </c>
    </row>
    <row r="1507" spans="1:11" x14ac:dyDescent="0.3">
      <c r="A1507" s="259">
        <f t="shared" si="55"/>
        <v>1374</v>
      </c>
      <c r="B1507" s="20" t="s">
        <v>1473</v>
      </c>
      <c r="C1507" s="162">
        <v>1957</v>
      </c>
      <c r="D1507" s="273"/>
      <c r="E1507" s="162" t="s">
        <v>3438</v>
      </c>
      <c r="F1507" s="48">
        <v>3</v>
      </c>
      <c r="G1507" s="46">
        <v>1299.0999999999999</v>
      </c>
      <c r="H1507" s="51">
        <v>64</v>
      </c>
      <c r="I1507" s="273">
        <f>SUMIF('2020'!B:B,B1507,'2020'!C:C)+SUMIF('2021'!B:B,B1507,'2021'!C:C)+SUMIF('2022'!B:B,B1507,'2022'!C:C)</f>
        <v>154998.22</v>
      </c>
      <c r="J1507" s="59">
        <v>44925</v>
      </c>
      <c r="K1507" s="162" t="s">
        <v>3118</v>
      </c>
    </row>
    <row r="1508" spans="1:11" x14ac:dyDescent="0.3">
      <c r="A1508" s="259">
        <f t="shared" si="55"/>
        <v>1375</v>
      </c>
      <c r="B1508" s="20" t="s">
        <v>1474</v>
      </c>
      <c r="C1508" s="162">
        <v>1917</v>
      </c>
      <c r="D1508" s="273"/>
      <c r="E1508" s="162" t="s">
        <v>3440</v>
      </c>
      <c r="F1508" s="48">
        <v>2</v>
      </c>
      <c r="G1508" s="46">
        <v>663.67</v>
      </c>
      <c r="H1508" s="48">
        <v>33</v>
      </c>
      <c r="I1508" s="273">
        <f>SUMIF('2020'!B:B,B1508,'2020'!C:C)+SUMIF('2021'!B:B,B1508,'2021'!C:C)+SUMIF('2022'!B:B,B1508,'2022'!C:C)</f>
        <v>214306.86</v>
      </c>
      <c r="J1508" s="59">
        <v>44925</v>
      </c>
      <c r="K1508" s="162" t="s">
        <v>3118</v>
      </c>
    </row>
    <row r="1509" spans="1:11" x14ac:dyDescent="0.3">
      <c r="A1509" s="259">
        <f t="shared" si="55"/>
        <v>1376</v>
      </c>
      <c r="B1509" s="20" t="s">
        <v>1475</v>
      </c>
      <c r="C1509" s="162">
        <v>1964</v>
      </c>
      <c r="D1509" s="273"/>
      <c r="E1509" s="162" t="s">
        <v>3438</v>
      </c>
      <c r="F1509" s="48">
        <v>5</v>
      </c>
      <c r="G1509" s="46">
        <v>2394.8000000000002</v>
      </c>
      <c r="H1509" s="48">
        <v>129</v>
      </c>
      <c r="I1509" s="273">
        <f>SUMIF('2020'!B:B,B1509,'2020'!C:C)+SUMIF('2021'!B:B,B1509,'2021'!C:C)+SUMIF('2022'!B:B,B1509,'2022'!C:C)</f>
        <v>335033.65999999997</v>
      </c>
      <c r="J1509" s="59">
        <v>44925</v>
      </c>
      <c r="K1509" s="162" t="s">
        <v>3118</v>
      </c>
    </row>
    <row r="1510" spans="1:11" x14ac:dyDescent="0.3">
      <c r="A1510" s="259">
        <f t="shared" si="55"/>
        <v>1377</v>
      </c>
      <c r="B1510" s="20" t="s">
        <v>1476</v>
      </c>
      <c r="C1510" s="162">
        <v>1917</v>
      </c>
      <c r="D1510" s="273"/>
      <c r="E1510" s="162" t="s">
        <v>3438</v>
      </c>
      <c r="F1510" s="48">
        <v>3</v>
      </c>
      <c r="G1510" s="46">
        <v>867.2</v>
      </c>
      <c r="H1510" s="48">
        <v>41</v>
      </c>
      <c r="I1510" s="273">
        <f>SUMIF('2020'!B:B,B1510,'2020'!C:C)+SUMIF('2021'!B:B,B1510,'2021'!C:C)+SUMIF('2022'!B:B,B1510,'2022'!C:C)</f>
        <v>112249.15</v>
      </c>
      <c r="J1510" s="59">
        <v>44925</v>
      </c>
      <c r="K1510" s="162" t="s">
        <v>3118</v>
      </c>
    </row>
    <row r="1511" spans="1:11" x14ac:dyDescent="0.3">
      <c r="A1511" s="259">
        <f t="shared" si="55"/>
        <v>1378</v>
      </c>
      <c r="B1511" s="20" t="s">
        <v>1477</v>
      </c>
      <c r="C1511" s="162">
        <v>1917</v>
      </c>
      <c r="D1511" s="273"/>
      <c r="E1511" s="55" t="s">
        <v>3438</v>
      </c>
      <c r="F1511" s="48">
        <v>2</v>
      </c>
      <c r="G1511" s="46">
        <v>430.24</v>
      </c>
      <c r="H1511" s="48">
        <v>19</v>
      </c>
      <c r="I1511" s="273">
        <f>SUMIF('2020'!B:B,B1511,'2020'!C:C)+SUMIF('2021'!B:B,B1511,'2021'!C:C)+SUMIF('2022'!B:B,B1511,'2022'!C:C)</f>
        <v>100612.9</v>
      </c>
      <c r="J1511" s="59">
        <v>44925</v>
      </c>
      <c r="K1511" s="162" t="s">
        <v>3118</v>
      </c>
    </row>
    <row r="1512" spans="1:11" x14ac:dyDescent="0.3">
      <c r="A1512" s="259">
        <f t="shared" si="55"/>
        <v>1379</v>
      </c>
      <c r="B1512" s="20" t="s">
        <v>1478</v>
      </c>
      <c r="C1512" s="162">
        <v>1959</v>
      </c>
      <c r="D1512" s="273"/>
      <c r="E1512" s="162" t="s">
        <v>3438</v>
      </c>
      <c r="F1512" s="48">
        <v>3</v>
      </c>
      <c r="G1512" s="46">
        <v>1307</v>
      </c>
      <c r="H1512" s="48">
        <v>48</v>
      </c>
      <c r="I1512" s="273">
        <f>SUMIF('2020'!B:B,B1512,'2020'!C:C)+SUMIF('2021'!B:B,B1512,'2021'!C:C)+SUMIF('2022'!B:B,B1512,'2022'!C:C)</f>
        <v>258905.94</v>
      </c>
      <c r="J1512" s="59">
        <v>44925</v>
      </c>
      <c r="K1512" s="162" t="s">
        <v>3118</v>
      </c>
    </row>
    <row r="1513" spans="1:11" x14ac:dyDescent="0.3">
      <c r="A1513" s="259">
        <f t="shared" si="55"/>
        <v>1380</v>
      </c>
      <c r="B1513" s="20" t="s">
        <v>1479</v>
      </c>
      <c r="C1513" s="162">
        <v>1917</v>
      </c>
      <c r="D1513" s="273"/>
      <c r="E1513" s="162" t="s">
        <v>3440</v>
      </c>
      <c r="F1513" s="48">
        <v>2</v>
      </c>
      <c r="G1513" s="46">
        <v>398.81</v>
      </c>
      <c r="H1513" s="48">
        <v>18</v>
      </c>
      <c r="I1513" s="273">
        <f>SUMIF('2020'!B:B,B1513,'2020'!C:C)+SUMIF('2021'!B:B,B1513,'2021'!C:C)+SUMIF('2022'!B:B,B1513,'2022'!C:C)</f>
        <v>204722.1</v>
      </c>
      <c r="J1513" s="59">
        <v>44925</v>
      </c>
      <c r="K1513" s="162" t="s">
        <v>3118</v>
      </c>
    </row>
    <row r="1514" spans="1:11" x14ac:dyDescent="0.3">
      <c r="A1514" s="259">
        <f t="shared" si="55"/>
        <v>1381</v>
      </c>
      <c r="B1514" s="20" t="s">
        <v>1480</v>
      </c>
      <c r="C1514" s="162">
        <v>1959</v>
      </c>
      <c r="D1514" s="273"/>
      <c r="E1514" s="162" t="s">
        <v>3438</v>
      </c>
      <c r="F1514" s="48">
        <v>2</v>
      </c>
      <c r="G1514" s="46">
        <v>639.79999999999995</v>
      </c>
      <c r="H1514" s="48">
        <v>29</v>
      </c>
      <c r="I1514" s="273">
        <f>SUMIF('2020'!B:B,B1514,'2020'!C:C)+SUMIF('2021'!B:B,B1514,'2021'!C:C)+SUMIF('2022'!B:B,B1514,'2022'!C:C)</f>
        <v>214052.02</v>
      </c>
      <c r="J1514" s="59">
        <v>44925</v>
      </c>
      <c r="K1514" s="162" t="s">
        <v>3118</v>
      </c>
    </row>
    <row r="1515" spans="1:11" x14ac:dyDescent="0.3">
      <c r="A1515" s="259">
        <f t="shared" si="55"/>
        <v>1382</v>
      </c>
      <c r="B1515" s="20" t="s">
        <v>1481</v>
      </c>
      <c r="C1515" s="162">
        <v>1917</v>
      </c>
      <c r="D1515" s="273"/>
      <c r="E1515" s="55" t="s">
        <v>3438</v>
      </c>
      <c r="F1515" s="48">
        <v>2</v>
      </c>
      <c r="G1515" s="46">
        <v>526.20000000000005</v>
      </c>
      <c r="H1515" s="48">
        <v>22</v>
      </c>
      <c r="I1515" s="273">
        <f>SUMIF('2020'!B:B,B1515,'2020'!C:C)+SUMIF('2021'!B:B,B1515,'2021'!C:C)+SUMIF('2022'!B:B,B1515,'2022'!C:C)</f>
        <v>194530.02</v>
      </c>
      <c r="J1515" s="59">
        <v>44925</v>
      </c>
      <c r="K1515" s="162" t="s">
        <v>3118</v>
      </c>
    </row>
    <row r="1516" spans="1:11" x14ac:dyDescent="0.3">
      <c r="A1516" s="259">
        <f t="shared" si="55"/>
        <v>1383</v>
      </c>
      <c r="B1516" s="20" t="s">
        <v>1482</v>
      </c>
      <c r="C1516" s="162">
        <v>1917</v>
      </c>
      <c r="D1516" s="273"/>
      <c r="E1516" s="162" t="s">
        <v>3440</v>
      </c>
      <c r="F1516" s="48">
        <v>2</v>
      </c>
      <c r="G1516" s="46">
        <v>308.86</v>
      </c>
      <c r="H1516" s="48">
        <v>21</v>
      </c>
      <c r="I1516" s="273">
        <f>SUMIF('2020'!B:B,B1516,'2020'!C:C)+SUMIF('2021'!B:B,B1516,'2021'!C:C)+SUMIF('2022'!B:B,B1516,'2022'!C:C)</f>
        <v>179382.65</v>
      </c>
      <c r="J1516" s="59">
        <v>44925</v>
      </c>
      <c r="K1516" s="162" t="s">
        <v>3118</v>
      </c>
    </row>
    <row r="1517" spans="1:11" x14ac:dyDescent="0.3">
      <c r="A1517" s="259">
        <f t="shared" si="55"/>
        <v>1384</v>
      </c>
      <c r="B1517" s="20" t="s">
        <v>1483</v>
      </c>
      <c r="C1517" s="162">
        <v>1917</v>
      </c>
      <c r="D1517" s="273"/>
      <c r="E1517" s="162" t="s">
        <v>3438</v>
      </c>
      <c r="F1517" s="48">
        <v>2</v>
      </c>
      <c r="G1517" s="46">
        <v>137.80000000000001</v>
      </c>
      <c r="H1517" s="48">
        <v>8</v>
      </c>
      <c r="I1517" s="273">
        <f>SUMIF('2020'!B:B,B1517,'2020'!C:C)+SUMIF('2021'!B:B,B1517,'2021'!C:C)+SUMIF('2022'!B:B,B1517,'2022'!C:C)</f>
        <v>104714.46</v>
      </c>
      <c r="J1517" s="59">
        <v>44925</v>
      </c>
      <c r="K1517" s="162" t="s">
        <v>3118</v>
      </c>
    </row>
    <row r="1518" spans="1:11" x14ac:dyDescent="0.3">
      <c r="A1518" s="259">
        <f t="shared" si="55"/>
        <v>1385</v>
      </c>
      <c r="B1518" s="20" t="s">
        <v>1484</v>
      </c>
      <c r="C1518" s="162">
        <v>1917</v>
      </c>
      <c r="D1518" s="273"/>
      <c r="E1518" s="162" t="s">
        <v>3440</v>
      </c>
      <c r="F1518" s="48">
        <v>2</v>
      </c>
      <c r="G1518" s="46">
        <v>281.01</v>
      </c>
      <c r="H1518" s="48">
        <v>22</v>
      </c>
      <c r="I1518" s="273">
        <f>SUMIF('2020'!B:B,B1518,'2020'!C:C)+SUMIF('2021'!B:B,B1518,'2021'!C:C)+SUMIF('2022'!B:B,B1518,'2022'!C:C)</f>
        <v>164980</v>
      </c>
      <c r="J1518" s="59">
        <v>44925</v>
      </c>
      <c r="K1518" s="162" t="s">
        <v>3118</v>
      </c>
    </row>
    <row r="1519" spans="1:11" x14ac:dyDescent="0.3">
      <c r="A1519" s="259">
        <f t="shared" si="55"/>
        <v>1386</v>
      </c>
      <c r="B1519" s="20" t="s">
        <v>1485</v>
      </c>
      <c r="C1519" s="162">
        <v>1917</v>
      </c>
      <c r="D1519" s="273"/>
      <c r="E1519" s="162" t="s">
        <v>3440</v>
      </c>
      <c r="F1519" s="48">
        <v>2</v>
      </c>
      <c r="G1519" s="46">
        <v>351.31</v>
      </c>
      <c r="H1519" s="48">
        <v>18</v>
      </c>
      <c r="I1519" s="273">
        <f>SUMIF('2020'!B:B,B1519,'2020'!C:C)+SUMIF('2021'!B:B,B1519,'2021'!C:C)+SUMIF('2022'!B:B,B1519,'2022'!C:C)</f>
        <v>195248.83000000002</v>
      </c>
      <c r="J1519" s="59">
        <v>44925</v>
      </c>
      <c r="K1519" s="162" t="s">
        <v>3118</v>
      </c>
    </row>
    <row r="1520" spans="1:11" x14ac:dyDescent="0.3">
      <c r="A1520" s="259">
        <f t="shared" si="55"/>
        <v>1387</v>
      </c>
      <c r="B1520" s="20" t="s">
        <v>1486</v>
      </c>
      <c r="C1520" s="162">
        <v>1917</v>
      </c>
      <c r="D1520" s="273"/>
      <c r="E1520" s="162" t="s">
        <v>3440</v>
      </c>
      <c r="F1520" s="48">
        <v>2</v>
      </c>
      <c r="G1520" s="46">
        <v>542.17999999999995</v>
      </c>
      <c r="H1520" s="48">
        <v>27</v>
      </c>
      <c r="I1520" s="273">
        <f>SUMIF('2020'!B:B,B1520,'2020'!C:C)+SUMIF('2021'!B:B,B1520,'2021'!C:C)+SUMIF('2022'!B:B,B1520,'2022'!C:C)</f>
        <v>207594.96000000002</v>
      </c>
      <c r="J1520" s="59">
        <v>44925</v>
      </c>
      <c r="K1520" s="162" t="s">
        <v>3118</v>
      </c>
    </row>
    <row r="1521" spans="1:11" x14ac:dyDescent="0.3">
      <c r="A1521" s="259">
        <f t="shared" si="55"/>
        <v>1388</v>
      </c>
      <c r="B1521" s="20" t="s">
        <v>1487</v>
      </c>
      <c r="C1521" s="162">
        <v>1917</v>
      </c>
      <c r="D1521" s="273"/>
      <c r="E1521" s="162" t="s">
        <v>3440</v>
      </c>
      <c r="F1521" s="48">
        <v>2</v>
      </c>
      <c r="G1521" s="46">
        <v>537.70000000000005</v>
      </c>
      <c r="H1521" s="48">
        <v>20</v>
      </c>
      <c r="I1521" s="273">
        <f>SUMIF('2020'!B:B,B1521,'2020'!C:C)+SUMIF('2021'!B:B,B1521,'2021'!C:C)+SUMIF('2022'!B:B,B1521,'2022'!C:C)</f>
        <v>6005956.3200000003</v>
      </c>
      <c r="J1521" s="59">
        <v>44925</v>
      </c>
      <c r="K1521" s="162" t="s">
        <v>3118</v>
      </c>
    </row>
    <row r="1522" spans="1:11" x14ac:dyDescent="0.3">
      <c r="A1522" s="259">
        <f t="shared" si="55"/>
        <v>1389</v>
      </c>
      <c r="B1522" s="20" t="s">
        <v>1488</v>
      </c>
      <c r="C1522" s="162">
        <v>1917</v>
      </c>
      <c r="D1522" s="273"/>
      <c r="E1522" s="162" t="s">
        <v>3440</v>
      </c>
      <c r="F1522" s="48">
        <v>2</v>
      </c>
      <c r="G1522" s="46">
        <v>486</v>
      </c>
      <c r="H1522" s="48">
        <v>17</v>
      </c>
      <c r="I1522" s="273">
        <f>SUMIF('2020'!B:B,B1522,'2020'!C:C)+SUMIF('2021'!B:B,B1522,'2021'!C:C)+SUMIF('2022'!B:B,B1522,'2022'!C:C)</f>
        <v>130000</v>
      </c>
      <c r="J1522" s="59">
        <v>44925</v>
      </c>
      <c r="K1522" s="162" t="s">
        <v>3118</v>
      </c>
    </row>
    <row r="1523" spans="1:11" x14ac:dyDescent="0.3">
      <c r="A1523" s="259">
        <f t="shared" si="55"/>
        <v>1390</v>
      </c>
      <c r="B1523" s="20" t="s">
        <v>1489</v>
      </c>
      <c r="C1523" s="162">
        <v>1917</v>
      </c>
      <c r="D1523" s="273"/>
      <c r="E1523" s="162" t="s">
        <v>3440</v>
      </c>
      <c r="F1523" s="48">
        <v>2</v>
      </c>
      <c r="G1523" s="46">
        <v>277.26</v>
      </c>
      <c r="H1523" s="48">
        <v>21</v>
      </c>
      <c r="I1523" s="273">
        <f>SUMIF('2020'!B:B,B1523,'2020'!C:C)+SUMIF('2021'!B:B,B1523,'2021'!C:C)+SUMIF('2022'!B:B,B1523,'2022'!C:C)</f>
        <v>88131.18</v>
      </c>
      <c r="J1523" s="59">
        <v>44925</v>
      </c>
      <c r="K1523" s="162" t="s">
        <v>3118</v>
      </c>
    </row>
    <row r="1524" spans="1:11" x14ac:dyDescent="0.3">
      <c r="A1524" s="259">
        <f t="shared" si="55"/>
        <v>1391</v>
      </c>
      <c r="B1524" s="20" t="s">
        <v>1490</v>
      </c>
      <c r="C1524" s="162">
        <v>1917</v>
      </c>
      <c r="D1524" s="273"/>
      <c r="E1524" s="162" t="s">
        <v>3440</v>
      </c>
      <c r="F1524" s="48">
        <v>2</v>
      </c>
      <c r="G1524" s="46">
        <v>347.68</v>
      </c>
      <c r="H1524" s="48">
        <v>26</v>
      </c>
      <c r="I1524" s="273">
        <f>SUMIF('2020'!B:B,B1524,'2020'!C:C)+SUMIF('2021'!B:B,B1524,'2021'!C:C)+SUMIF('2022'!B:B,B1524,'2022'!C:C)</f>
        <v>6261304.4000000004</v>
      </c>
      <c r="J1524" s="59">
        <v>44925</v>
      </c>
      <c r="K1524" s="162" t="s">
        <v>3118</v>
      </c>
    </row>
    <row r="1525" spans="1:11" x14ac:dyDescent="0.3">
      <c r="A1525" s="259">
        <f t="shared" si="55"/>
        <v>1392</v>
      </c>
      <c r="B1525" s="20" t="s">
        <v>1491</v>
      </c>
      <c r="C1525" s="162">
        <v>1917</v>
      </c>
      <c r="D1525" s="273"/>
      <c r="E1525" s="162" t="s">
        <v>3440</v>
      </c>
      <c r="F1525" s="48">
        <v>2</v>
      </c>
      <c r="G1525" s="46">
        <v>197</v>
      </c>
      <c r="H1525" s="48">
        <v>8</v>
      </c>
      <c r="I1525" s="273">
        <f>SUMIF('2020'!B:B,B1525,'2020'!C:C)+SUMIF('2021'!B:B,B1525,'2021'!C:C)+SUMIF('2022'!B:B,B1525,'2022'!C:C)</f>
        <v>6557964.4000000004</v>
      </c>
      <c r="J1525" s="59">
        <v>44925</v>
      </c>
      <c r="K1525" s="162" t="s">
        <v>3118</v>
      </c>
    </row>
    <row r="1526" spans="1:11" x14ac:dyDescent="0.3">
      <c r="A1526" s="259"/>
      <c r="B1526" s="20" t="s">
        <v>208</v>
      </c>
      <c r="C1526" s="162" t="s">
        <v>3558</v>
      </c>
      <c r="D1526" s="162" t="s">
        <v>3558</v>
      </c>
      <c r="E1526" s="162" t="s">
        <v>3558</v>
      </c>
      <c r="F1526" s="162" t="s">
        <v>3558</v>
      </c>
      <c r="G1526" s="273">
        <f>SUM(G1168:G1525)</f>
        <v>751835.78000000014</v>
      </c>
      <c r="H1526" s="10">
        <f>SUM(H1168:H1525)</f>
        <v>32901</v>
      </c>
      <c r="I1526" s="273">
        <f>SUM(I1168:I1525)</f>
        <v>705758201.84000003</v>
      </c>
      <c r="J1526" s="273" t="s">
        <v>3558</v>
      </c>
      <c r="K1526" s="273" t="s">
        <v>3558</v>
      </c>
    </row>
    <row r="1527" spans="1:11" x14ac:dyDescent="0.3">
      <c r="A1527" s="297" t="s">
        <v>1492</v>
      </c>
      <c r="B1527" s="297"/>
      <c r="C1527" s="162"/>
      <c r="D1527" s="273"/>
      <c r="E1527" s="273"/>
      <c r="F1527" s="273"/>
      <c r="G1527" s="273"/>
      <c r="H1527" s="10"/>
      <c r="I1527" s="273"/>
      <c r="J1527" s="273"/>
      <c r="K1527" s="273"/>
    </row>
    <row r="1528" spans="1:11" x14ac:dyDescent="0.3">
      <c r="A1528" s="259">
        <f>A1525+1</f>
        <v>1393</v>
      </c>
      <c r="B1528" s="20" t="s">
        <v>1493</v>
      </c>
      <c r="C1528" s="162">
        <v>1953</v>
      </c>
      <c r="D1528" s="273"/>
      <c r="E1528" s="234" t="s">
        <v>3123</v>
      </c>
      <c r="F1528" s="10">
        <v>2</v>
      </c>
      <c r="G1528" s="234">
        <v>379.1</v>
      </c>
      <c r="H1528" s="10">
        <v>21</v>
      </c>
      <c r="I1528" s="273">
        <f>SUMIF('2020'!B:B,B1528,'2020'!C:C)+SUMIF('2021'!B:B,B1528,'2021'!C:C)+SUMIF('2022'!B:B,B1528,'2022'!C:C)</f>
        <v>1666099.2</v>
      </c>
      <c r="J1528" s="59">
        <v>44925</v>
      </c>
      <c r="K1528" s="273" t="s">
        <v>3118</v>
      </c>
    </row>
    <row r="1529" spans="1:11" x14ac:dyDescent="0.3">
      <c r="A1529" s="259">
        <f>A1528+1</f>
        <v>1394</v>
      </c>
      <c r="B1529" s="20" t="s">
        <v>1494</v>
      </c>
      <c r="C1529" s="162">
        <v>1962</v>
      </c>
      <c r="D1529" s="273"/>
      <c r="E1529" s="234" t="s">
        <v>3123</v>
      </c>
      <c r="F1529" s="10">
        <v>2</v>
      </c>
      <c r="G1529" s="234">
        <v>712.2</v>
      </c>
      <c r="H1529" s="10">
        <v>29</v>
      </c>
      <c r="I1529" s="273">
        <f>SUMIF('2020'!B:B,B1529,'2020'!C:C)+SUMIF('2021'!B:B,B1529,'2021'!C:C)+SUMIF('2022'!B:B,B1529,'2022'!C:C)</f>
        <v>341353.2</v>
      </c>
      <c r="J1529" s="59">
        <v>44925</v>
      </c>
      <c r="K1529" s="273" t="s">
        <v>3118</v>
      </c>
    </row>
    <row r="1530" spans="1:11" x14ac:dyDescent="0.3">
      <c r="A1530" s="259">
        <f>A1529+1</f>
        <v>1395</v>
      </c>
      <c r="B1530" s="20" t="s">
        <v>1495</v>
      </c>
      <c r="C1530" s="162">
        <v>1962</v>
      </c>
      <c r="D1530" s="273"/>
      <c r="E1530" s="234" t="s">
        <v>3123</v>
      </c>
      <c r="F1530" s="10">
        <v>2</v>
      </c>
      <c r="G1530" s="234">
        <v>637.6</v>
      </c>
      <c r="H1530" s="10">
        <v>33</v>
      </c>
      <c r="I1530" s="273">
        <f>SUMIF('2020'!B:B,B1530,'2020'!C:C)+SUMIF('2021'!B:B,B1530,'2021'!C:C)+SUMIF('2022'!B:B,B1530,'2022'!C:C)</f>
        <v>362492.4</v>
      </c>
      <c r="J1530" s="59">
        <v>44925</v>
      </c>
      <c r="K1530" s="273" t="s">
        <v>3118</v>
      </c>
    </row>
    <row r="1531" spans="1:11" x14ac:dyDescent="0.3">
      <c r="A1531" s="259">
        <f>A1530+1</f>
        <v>1396</v>
      </c>
      <c r="B1531" s="20" t="s">
        <v>1496</v>
      </c>
      <c r="C1531" s="162">
        <v>1961</v>
      </c>
      <c r="D1531" s="273"/>
      <c r="E1531" s="234" t="s">
        <v>3123</v>
      </c>
      <c r="F1531" s="10">
        <v>2</v>
      </c>
      <c r="G1531" s="234">
        <v>695.6</v>
      </c>
      <c r="H1531" s="10">
        <v>20</v>
      </c>
      <c r="I1531" s="273">
        <f>SUMIF('2020'!B:B,B1531,'2020'!C:C)+SUMIF('2021'!B:B,B1531,'2021'!C:C)+SUMIF('2022'!B:B,B1531,'2022'!C:C)</f>
        <v>2167610.4</v>
      </c>
      <c r="J1531" s="59">
        <v>44925</v>
      </c>
      <c r="K1531" s="273" t="s">
        <v>3118</v>
      </c>
    </row>
    <row r="1532" spans="1:11" x14ac:dyDescent="0.3">
      <c r="A1532" s="259">
        <f>A1531+1</f>
        <v>1397</v>
      </c>
      <c r="B1532" s="20" t="s">
        <v>1497</v>
      </c>
      <c r="C1532" s="162">
        <v>1950</v>
      </c>
      <c r="D1532" s="273"/>
      <c r="E1532" s="234" t="s">
        <v>3437</v>
      </c>
      <c r="F1532" s="10">
        <v>2</v>
      </c>
      <c r="G1532" s="234">
        <v>508.7</v>
      </c>
      <c r="H1532" s="10">
        <v>27</v>
      </c>
      <c r="I1532" s="273">
        <f>SUMIF('2020'!B:B,B1532,'2020'!C:C)+SUMIF('2021'!B:B,B1532,'2021'!C:C)+SUMIF('2022'!B:B,B1532,'2022'!C:C)</f>
        <v>5354418.79</v>
      </c>
      <c r="J1532" s="59">
        <v>44925</v>
      </c>
      <c r="K1532" s="273" t="s">
        <v>3118</v>
      </c>
    </row>
    <row r="1533" spans="1:11" x14ac:dyDescent="0.3">
      <c r="A1533" s="259">
        <f>A1532+1</f>
        <v>1398</v>
      </c>
      <c r="B1533" s="20" t="s">
        <v>1498</v>
      </c>
      <c r="C1533" s="162">
        <v>1969</v>
      </c>
      <c r="D1533" s="273"/>
      <c r="E1533" s="273" t="s">
        <v>3123</v>
      </c>
      <c r="F1533" s="10">
        <v>2</v>
      </c>
      <c r="G1533" s="273">
        <v>530.70000000000005</v>
      </c>
      <c r="H1533" s="10">
        <v>25</v>
      </c>
      <c r="I1533" s="273">
        <f>SUMIF('2020'!B:B,B1533,'2020'!C:C)+SUMIF('2021'!B:B,B1533,'2021'!C:C)+SUMIF('2022'!B:B,B1533,'2022'!C:C)</f>
        <v>278876.59999999998</v>
      </c>
      <c r="J1533" s="59">
        <v>44925</v>
      </c>
      <c r="K1533" s="273" t="s">
        <v>3118</v>
      </c>
    </row>
    <row r="1534" spans="1:11" x14ac:dyDescent="0.3">
      <c r="A1534" s="259"/>
      <c r="B1534" s="20" t="s">
        <v>208</v>
      </c>
      <c r="C1534" s="162" t="s">
        <v>3558</v>
      </c>
      <c r="D1534" s="162" t="s">
        <v>3558</v>
      </c>
      <c r="E1534" s="162" t="s">
        <v>3558</v>
      </c>
      <c r="F1534" s="162" t="s">
        <v>3558</v>
      </c>
      <c r="G1534" s="273">
        <f>SUM(G1528:G1533)</f>
        <v>3463.8999999999996</v>
      </c>
      <c r="H1534" s="10">
        <f>SUM(H1528:H1533)</f>
        <v>155</v>
      </c>
      <c r="I1534" s="273">
        <f>SUM(I1528:I1533)</f>
        <v>10170850.589999998</v>
      </c>
      <c r="J1534" s="273" t="s">
        <v>3558</v>
      </c>
      <c r="K1534" s="273" t="s">
        <v>3558</v>
      </c>
    </row>
    <row r="1535" spans="1:11" x14ac:dyDescent="0.3">
      <c r="A1535" s="298" t="s">
        <v>1499</v>
      </c>
      <c r="B1535" s="298"/>
      <c r="C1535" s="162"/>
      <c r="D1535" s="273"/>
      <c r="E1535" s="273"/>
      <c r="F1535" s="273"/>
      <c r="G1535" s="273"/>
      <c r="H1535" s="10"/>
      <c r="I1535" s="273"/>
      <c r="J1535" s="273"/>
      <c r="K1535" s="273"/>
    </row>
    <row r="1536" spans="1:11" x14ac:dyDescent="0.3">
      <c r="A1536" s="259">
        <f>A1533+1</f>
        <v>1399</v>
      </c>
      <c r="B1536" s="20" t="s">
        <v>1500</v>
      </c>
      <c r="C1536" s="162">
        <v>1947</v>
      </c>
      <c r="D1536" s="273"/>
      <c r="E1536" s="273" t="s">
        <v>3437</v>
      </c>
      <c r="F1536" s="50">
        <v>2</v>
      </c>
      <c r="G1536" s="273">
        <v>804.2</v>
      </c>
      <c r="H1536" s="10">
        <v>58</v>
      </c>
      <c r="I1536" s="273">
        <f>SUMIF('2020'!B:B,B1536,'2020'!C:C)+SUMIF('2021'!B:B,B1536,'2021'!C:C)+SUMIF('2022'!B:B,B1536,'2022'!C:C)</f>
        <v>515484.38</v>
      </c>
      <c r="J1536" s="59">
        <v>44925</v>
      </c>
      <c r="K1536" s="273" t="s">
        <v>3118</v>
      </c>
    </row>
    <row r="1537" spans="1:11" x14ac:dyDescent="0.3">
      <c r="A1537" s="259">
        <f>A1536+1</f>
        <v>1400</v>
      </c>
      <c r="B1537" s="20" t="s">
        <v>1501</v>
      </c>
      <c r="C1537" s="162">
        <v>1948</v>
      </c>
      <c r="D1537" s="273"/>
      <c r="E1537" s="273" t="s">
        <v>3437</v>
      </c>
      <c r="F1537" s="50">
        <v>2</v>
      </c>
      <c r="G1537" s="273">
        <v>488.6</v>
      </c>
      <c r="H1537" s="10">
        <v>34</v>
      </c>
      <c r="I1537" s="273">
        <f>SUMIF('2020'!B:B,B1537,'2020'!C:C)+SUMIF('2021'!B:B,B1537,'2021'!C:C)+SUMIF('2022'!B:B,B1537,'2022'!C:C)</f>
        <v>4924392.0200000005</v>
      </c>
      <c r="J1537" s="59">
        <v>44925</v>
      </c>
      <c r="K1537" s="273" t="s">
        <v>3118</v>
      </c>
    </row>
    <row r="1538" spans="1:11" x14ac:dyDescent="0.3">
      <c r="A1538" s="259">
        <f>A1537+1</f>
        <v>1401</v>
      </c>
      <c r="B1538" s="20" t="s">
        <v>1502</v>
      </c>
      <c r="C1538" s="162">
        <v>1948</v>
      </c>
      <c r="D1538" s="273"/>
      <c r="E1538" s="273" t="s">
        <v>3437</v>
      </c>
      <c r="F1538" s="50">
        <v>2</v>
      </c>
      <c r="G1538" s="273">
        <v>482</v>
      </c>
      <c r="H1538" s="10">
        <v>17</v>
      </c>
      <c r="I1538" s="273">
        <f>SUMIF('2020'!B:B,B1538,'2020'!C:C)+SUMIF('2021'!B:B,B1538,'2021'!C:C)+SUMIF('2022'!B:B,B1538,'2022'!C:C)</f>
        <v>510531.05</v>
      </c>
      <c r="J1538" s="59">
        <v>44925</v>
      </c>
      <c r="K1538" s="273" t="s">
        <v>3118</v>
      </c>
    </row>
    <row r="1539" spans="1:11" x14ac:dyDescent="0.3">
      <c r="A1539" s="259">
        <f>A1538+1</f>
        <v>1402</v>
      </c>
      <c r="B1539" s="20" t="s">
        <v>1503</v>
      </c>
      <c r="C1539" s="162">
        <v>1948</v>
      </c>
      <c r="D1539" s="273"/>
      <c r="E1539" s="273" t="s">
        <v>3437</v>
      </c>
      <c r="F1539" s="50">
        <v>2</v>
      </c>
      <c r="G1539" s="273">
        <v>592</v>
      </c>
      <c r="H1539" s="10">
        <v>30</v>
      </c>
      <c r="I1539" s="273">
        <f>SUMIF('2020'!B:B,B1539,'2020'!C:C)+SUMIF('2021'!B:B,B1539,'2021'!C:C)+SUMIF('2022'!B:B,B1539,'2022'!C:C)</f>
        <v>459921.25</v>
      </c>
      <c r="J1539" s="59">
        <v>44925</v>
      </c>
      <c r="K1539" s="273" t="s">
        <v>3118</v>
      </c>
    </row>
    <row r="1540" spans="1:11" x14ac:dyDescent="0.3">
      <c r="A1540" s="259"/>
      <c r="B1540" s="20" t="s">
        <v>208</v>
      </c>
      <c r="C1540" s="273" t="s">
        <v>3558</v>
      </c>
      <c r="D1540" s="273" t="s">
        <v>3558</v>
      </c>
      <c r="E1540" s="273" t="s">
        <v>3558</v>
      </c>
      <c r="F1540" s="273" t="s">
        <v>3558</v>
      </c>
      <c r="G1540" s="273">
        <f>SUM(G1536:G1539)</f>
        <v>2366.8000000000002</v>
      </c>
      <c r="H1540" s="10">
        <f>SUM(H1536:H1539)</f>
        <v>139</v>
      </c>
      <c r="I1540" s="273">
        <f>SUM(I1536:I1539)</f>
        <v>6410328.7000000002</v>
      </c>
      <c r="J1540" s="273" t="s">
        <v>3558</v>
      </c>
      <c r="K1540" s="273" t="s">
        <v>3558</v>
      </c>
    </row>
    <row r="1541" spans="1:11" x14ac:dyDescent="0.3">
      <c r="A1541" s="298" t="s">
        <v>1504</v>
      </c>
      <c r="B1541" s="298"/>
      <c r="C1541" s="162"/>
      <c r="D1541" s="273"/>
      <c r="E1541" s="273"/>
      <c r="F1541" s="273"/>
      <c r="G1541" s="273"/>
      <c r="H1541" s="10"/>
      <c r="I1541" s="273"/>
      <c r="J1541" s="273"/>
      <c r="K1541" s="273"/>
    </row>
    <row r="1542" spans="1:11" x14ac:dyDescent="0.3">
      <c r="A1542" s="259">
        <f>A1539+1</f>
        <v>1403</v>
      </c>
      <c r="B1542" s="20" t="s">
        <v>1505</v>
      </c>
      <c r="C1542" s="162">
        <v>1935</v>
      </c>
      <c r="D1542" s="273"/>
      <c r="E1542" s="273" t="s">
        <v>3123</v>
      </c>
      <c r="F1542" s="50">
        <v>2</v>
      </c>
      <c r="G1542" s="273">
        <v>1239.2</v>
      </c>
      <c r="H1542" s="10">
        <v>21</v>
      </c>
      <c r="I1542" s="273">
        <f>SUMIF('2020'!B:B,B1542,'2020'!C:C)+SUMIF('2021'!B:B,B1542,'2021'!C:C)+SUMIF('2022'!B:B,B1542,'2022'!C:C)</f>
        <v>105978.41</v>
      </c>
      <c r="J1542" s="59">
        <v>44925</v>
      </c>
      <c r="K1542" s="273" t="s">
        <v>3118</v>
      </c>
    </row>
    <row r="1543" spans="1:11" x14ac:dyDescent="0.3">
      <c r="A1543" s="259">
        <f>A1542+1</f>
        <v>1404</v>
      </c>
      <c r="B1543" s="20" t="s">
        <v>1506</v>
      </c>
      <c r="C1543" s="162">
        <v>1952</v>
      </c>
      <c r="D1543" s="273"/>
      <c r="E1543" s="273" t="s">
        <v>3123</v>
      </c>
      <c r="F1543" s="50">
        <v>2</v>
      </c>
      <c r="G1543" s="273">
        <v>819.9</v>
      </c>
      <c r="H1543" s="10">
        <v>31</v>
      </c>
      <c r="I1543" s="273">
        <f>SUMIF('2020'!B:B,B1543,'2020'!C:C)+SUMIF('2021'!B:B,B1543,'2021'!C:C)+SUMIF('2022'!B:B,B1543,'2022'!C:C)</f>
        <v>175059.01</v>
      </c>
      <c r="J1543" s="59">
        <v>44925</v>
      </c>
      <c r="K1543" s="273" t="s">
        <v>3118</v>
      </c>
    </row>
    <row r="1544" spans="1:11" x14ac:dyDescent="0.3">
      <c r="A1544" s="259">
        <f>A1543+1</f>
        <v>1405</v>
      </c>
      <c r="B1544" s="20" t="s">
        <v>1507</v>
      </c>
      <c r="C1544" s="162">
        <v>1952</v>
      </c>
      <c r="D1544" s="273"/>
      <c r="E1544" s="273" t="s">
        <v>3123</v>
      </c>
      <c r="F1544" s="50">
        <v>2</v>
      </c>
      <c r="G1544" s="273">
        <v>825.5</v>
      </c>
      <c r="H1544" s="10">
        <v>14</v>
      </c>
      <c r="I1544" s="273">
        <f>SUMIF('2020'!B:B,B1544,'2020'!C:C)+SUMIF('2021'!B:B,B1544,'2021'!C:C)+SUMIF('2022'!B:B,B1544,'2022'!C:C)</f>
        <v>183265.39</v>
      </c>
      <c r="J1544" s="59">
        <v>44925</v>
      </c>
      <c r="K1544" s="273" t="s">
        <v>3118</v>
      </c>
    </row>
    <row r="1545" spans="1:11" x14ac:dyDescent="0.3">
      <c r="A1545" s="259">
        <f>A1544+1</f>
        <v>1406</v>
      </c>
      <c r="B1545" s="20" t="s">
        <v>1508</v>
      </c>
      <c r="C1545" s="162">
        <v>1952</v>
      </c>
      <c r="D1545" s="273"/>
      <c r="E1545" s="273" t="s">
        <v>3123</v>
      </c>
      <c r="F1545" s="50">
        <v>2</v>
      </c>
      <c r="G1545" s="273">
        <v>915.8</v>
      </c>
      <c r="H1545" s="10">
        <v>36</v>
      </c>
      <c r="I1545" s="273">
        <f>SUMIF('2020'!B:B,B1545,'2020'!C:C)+SUMIF('2021'!B:B,B1545,'2021'!C:C)+SUMIF('2022'!B:B,B1545,'2022'!C:C)</f>
        <v>180563.92</v>
      </c>
      <c r="J1545" s="59">
        <v>44925</v>
      </c>
      <c r="K1545" s="273" t="s">
        <v>3118</v>
      </c>
    </row>
    <row r="1546" spans="1:11" x14ac:dyDescent="0.3">
      <c r="A1546" s="259">
        <f>A1545+1</f>
        <v>1407</v>
      </c>
      <c r="B1546" s="20" t="s">
        <v>1509</v>
      </c>
      <c r="C1546" s="162">
        <v>1982</v>
      </c>
      <c r="D1546" s="273"/>
      <c r="E1546" s="273" t="s">
        <v>3156</v>
      </c>
      <c r="F1546" s="50">
        <v>2</v>
      </c>
      <c r="G1546" s="273">
        <v>6545.1</v>
      </c>
      <c r="H1546" s="10">
        <v>188</v>
      </c>
      <c r="I1546" s="273">
        <f>SUMIF('2020'!B:B,B1546,'2020'!C:C)+SUMIF('2021'!B:B,B1546,'2021'!C:C)+SUMIF('2022'!B:B,B1546,'2022'!C:C)</f>
        <v>11271952.359999999</v>
      </c>
      <c r="J1546" s="59">
        <v>44925</v>
      </c>
      <c r="K1546" s="273" t="s">
        <v>3118</v>
      </c>
    </row>
    <row r="1547" spans="1:11" x14ac:dyDescent="0.3">
      <c r="A1547" s="259">
        <f>A1546+1</f>
        <v>1408</v>
      </c>
      <c r="B1547" s="20" t="s">
        <v>1510</v>
      </c>
      <c r="C1547" s="162">
        <v>1981</v>
      </c>
      <c r="D1547" s="273"/>
      <c r="E1547" s="273" t="s">
        <v>3156</v>
      </c>
      <c r="F1547" s="50">
        <v>2</v>
      </c>
      <c r="G1547" s="273">
        <v>6365.4</v>
      </c>
      <c r="H1547" s="10">
        <v>238</v>
      </c>
      <c r="I1547" s="273">
        <f>SUMIF('2020'!B:B,B1547,'2020'!C:C)+SUMIF('2021'!B:B,B1547,'2021'!C:C)+SUMIF('2022'!B:B,B1547,'2022'!C:C)</f>
        <v>28438872.629999999</v>
      </c>
      <c r="J1547" s="59">
        <v>44925</v>
      </c>
      <c r="K1547" s="273" t="s">
        <v>3118</v>
      </c>
    </row>
    <row r="1548" spans="1:11" x14ac:dyDescent="0.3">
      <c r="A1548" s="259"/>
      <c r="B1548" s="20" t="s">
        <v>208</v>
      </c>
      <c r="C1548" s="273" t="s">
        <v>3558</v>
      </c>
      <c r="D1548" s="273" t="s">
        <v>3558</v>
      </c>
      <c r="E1548" s="273" t="s">
        <v>3558</v>
      </c>
      <c r="F1548" s="273" t="s">
        <v>3558</v>
      </c>
      <c r="G1548" s="273">
        <f>SUM(G1542:G1547)</f>
        <v>16710.900000000001</v>
      </c>
      <c r="H1548" s="10">
        <f>SUM(H1542:H1547)</f>
        <v>528</v>
      </c>
      <c r="I1548" s="273">
        <f>SUM(I1542:I1547)</f>
        <v>40355691.719999999</v>
      </c>
      <c r="J1548" s="273" t="s">
        <v>3558</v>
      </c>
      <c r="K1548" s="273" t="s">
        <v>3558</v>
      </c>
    </row>
    <row r="1549" spans="1:11" x14ac:dyDescent="0.3">
      <c r="A1549" s="297" t="s">
        <v>1511</v>
      </c>
      <c r="B1549" s="297"/>
      <c r="C1549" s="273"/>
      <c r="D1549" s="273"/>
      <c r="E1549" s="273"/>
      <c r="F1549" s="273"/>
      <c r="G1549" s="273"/>
      <c r="H1549" s="10"/>
      <c r="I1549" s="273"/>
      <c r="J1549" s="273"/>
      <c r="K1549" s="273"/>
    </row>
    <row r="1550" spans="1:11" x14ac:dyDescent="0.3">
      <c r="A1550" s="259">
        <f>A1547+1</f>
        <v>1409</v>
      </c>
      <c r="B1550" s="20" t="s">
        <v>1512</v>
      </c>
      <c r="C1550" s="162">
        <v>1950</v>
      </c>
      <c r="D1550" s="273"/>
      <c r="E1550" s="273" t="s">
        <v>3437</v>
      </c>
      <c r="F1550" s="50">
        <v>2</v>
      </c>
      <c r="G1550" s="273">
        <v>377.31</v>
      </c>
      <c r="H1550" s="10">
        <v>48</v>
      </c>
      <c r="I1550" s="273">
        <f>SUMIF('2020'!B:B,B1550,'2020'!C:C)+SUMIF('2021'!B:B,B1550,'2021'!C:C)+SUMIF('2022'!B:B,B1550,'2022'!C:C)</f>
        <v>176595.64</v>
      </c>
      <c r="J1550" s="59">
        <v>44925</v>
      </c>
      <c r="K1550" s="273" t="s">
        <v>3118</v>
      </c>
    </row>
    <row r="1551" spans="1:11" x14ac:dyDescent="0.3">
      <c r="A1551" s="259"/>
      <c r="B1551" s="20" t="s">
        <v>208</v>
      </c>
      <c r="C1551" s="273" t="s">
        <v>3558</v>
      </c>
      <c r="D1551" s="273" t="s">
        <v>3558</v>
      </c>
      <c r="E1551" s="273" t="s">
        <v>3558</v>
      </c>
      <c r="F1551" s="273" t="s">
        <v>3558</v>
      </c>
      <c r="G1551" s="273">
        <f>SUM(G1550:G1550)</f>
        <v>377.31</v>
      </c>
      <c r="H1551" s="10">
        <f>SUM(H1550:H1550)</f>
        <v>48</v>
      </c>
      <c r="I1551" s="273">
        <f>SUM(I1550:I1550)</f>
        <v>176595.64</v>
      </c>
      <c r="J1551" s="273" t="s">
        <v>3558</v>
      </c>
      <c r="K1551" s="273" t="s">
        <v>3558</v>
      </c>
    </row>
    <row r="1552" spans="1:11" x14ac:dyDescent="0.3">
      <c r="A1552" s="299" t="s">
        <v>1513</v>
      </c>
      <c r="B1552" s="299"/>
      <c r="C1552" s="273"/>
      <c r="D1552" s="273"/>
      <c r="E1552" s="273"/>
      <c r="F1552" s="273"/>
      <c r="G1552" s="273"/>
      <c r="H1552" s="10"/>
      <c r="I1552" s="273"/>
      <c r="J1552" s="273"/>
      <c r="K1552" s="273"/>
    </row>
    <row r="1553" spans="1:11" x14ac:dyDescent="0.3">
      <c r="A1553" s="259">
        <f>A1550+1</f>
        <v>1410</v>
      </c>
      <c r="B1553" s="20" t="s">
        <v>1514</v>
      </c>
      <c r="C1553" s="162">
        <v>1917</v>
      </c>
      <c r="D1553" s="273"/>
      <c r="E1553" s="273" t="s">
        <v>3437</v>
      </c>
      <c r="F1553" s="50">
        <v>2</v>
      </c>
      <c r="G1553" s="273">
        <v>814.8</v>
      </c>
      <c r="H1553" s="10">
        <v>37</v>
      </c>
      <c r="I1553" s="273">
        <f>SUMIF('2020'!B:B,B1553,'2020'!C:C)+SUMIF('2021'!B:B,B1553,'2021'!C:C)+SUMIF('2022'!B:B,B1553,'2022'!C:C)</f>
        <v>326237.15000000002</v>
      </c>
      <c r="J1553" s="59">
        <v>44925</v>
      </c>
      <c r="K1553" s="273" t="s">
        <v>3118</v>
      </c>
    </row>
    <row r="1554" spans="1:11" x14ac:dyDescent="0.3">
      <c r="A1554" s="259"/>
      <c r="B1554" s="20" t="s">
        <v>208</v>
      </c>
      <c r="C1554" s="273" t="s">
        <v>3558</v>
      </c>
      <c r="D1554" s="273" t="s">
        <v>3558</v>
      </c>
      <c r="E1554" s="273" t="s">
        <v>3558</v>
      </c>
      <c r="F1554" s="273" t="s">
        <v>3558</v>
      </c>
      <c r="G1554" s="273">
        <f>SUM(G1553)</f>
        <v>814.8</v>
      </c>
      <c r="H1554" s="10">
        <f>SUM(H1553)</f>
        <v>37</v>
      </c>
      <c r="I1554" s="273">
        <f>SUM(I1553)</f>
        <v>326237.15000000002</v>
      </c>
      <c r="J1554" s="273" t="s">
        <v>3558</v>
      </c>
      <c r="K1554" s="273" t="s">
        <v>3558</v>
      </c>
    </row>
    <row r="1555" spans="1:11" x14ac:dyDescent="0.3">
      <c r="A1555" s="298" t="s">
        <v>1515</v>
      </c>
      <c r="B1555" s="298"/>
      <c r="C1555" s="273"/>
      <c r="D1555" s="273"/>
      <c r="E1555" s="273"/>
      <c r="F1555" s="273"/>
      <c r="G1555" s="273"/>
      <c r="H1555" s="10"/>
      <c r="I1555" s="273"/>
      <c r="J1555" s="273"/>
      <c r="K1555" s="273"/>
    </row>
    <row r="1556" spans="1:11" x14ac:dyDescent="0.3">
      <c r="A1556" s="259">
        <f>A1553+1</f>
        <v>1411</v>
      </c>
      <c r="B1556" s="20" t="s">
        <v>1516</v>
      </c>
      <c r="C1556" s="162">
        <v>1967</v>
      </c>
      <c r="D1556" s="273"/>
      <c r="E1556" s="273" t="s">
        <v>3123</v>
      </c>
      <c r="F1556" s="50">
        <v>2</v>
      </c>
      <c r="G1556" s="273">
        <v>526.6</v>
      </c>
      <c r="H1556" s="10">
        <v>24</v>
      </c>
      <c r="I1556" s="273">
        <f>SUMIF('2020'!B:B,B1556,'2020'!C:C)+SUMIF('2021'!B:B,B1556,'2021'!C:C)+SUMIF('2022'!B:B,B1556,'2022'!C:C)</f>
        <v>4163802.98</v>
      </c>
      <c r="J1556" s="59">
        <v>44925</v>
      </c>
      <c r="K1556" s="273" t="s">
        <v>3118</v>
      </c>
    </row>
    <row r="1557" spans="1:11" x14ac:dyDescent="0.3">
      <c r="A1557" s="259"/>
      <c r="B1557" s="20" t="s">
        <v>208</v>
      </c>
      <c r="C1557" s="273" t="s">
        <v>3558</v>
      </c>
      <c r="D1557" s="273" t="s">
        <v>3558</v>
      </c>
      <c r="E1557" s="273" t="s">
        <v>3558</v>
      </c>
      <c r="F1557" s="273" t="s">
        <v>3558</v>
      </c>
      <c r="G1557" s="273">
        <f>SUM(G1556)</f>
        <v>526.6</v>
      </c>
      <c r="H1557" s="10">
        <f>SUM(H1556)</f>
        <v>24</v>
      </c>
      <c r="I1557" s="273">
        <f>SUM(I1556)</f>
        <v>4163802.98</v>
      </c>
      <c r="J1557" s="273" t="s">
        <v>3558</v>
      </c>
      <c r="K1557" s="273" t="s">
        <v>3558</v>
      </c>
    </row>
    <row r="1558" spans="1:11" x14ac:dyDescent="0.3">
      <c r="A1558" s="298" t="s">
        <v>1517</v>
      </c>
      <c r="B1558" s="298"/>
      <c r="C1558" s="162"/>
      <c r="D1558" s="273"/>
      <c r="E1558" s="273"/>
      <c r="F1558" s="273"/>
      <c r="G1558" s="273"/>
      <c r="H1558" s="10"/>
      <c r="I1558" s="273"/>
      <c r="J1558" s="273"/>
      <c r="K1558" s="273"/>
    </row>
    <row r="1559" spans="1:11" x14ac:dyDescent="0.3">
      <c r="A1559" s="259">
        <f>A1556+1</f>
        <v>1412</v>
      </c>
      <c r="B1559" s="20" t="s">
        <v>1518</v>
      </c>
      <c r="C1559" s="162">
        <v>1992</v>
      </c>
      <c r="D1559" s="273"/>
      <c r="E1559" s="273" t="s">
        <v>3121</v>
      </c>
      <c r="F1559" s="50">
        <v>5</v>
      </c>
      <c r="G1559" s="273">
        <v>3417.8</v>
      </c>
      <c r="H1559" s="10">
        <v>152</v>
      </c>
      <c r="I1559" s="273">
        <f>SUMIF('2020'!B:B,B1559,'2020'!C:C)+SUMIF('2021'!B:B,B1559,'2021'!C:C)+SUMIF('2022'!B:B,B1559,'2022'!C:C)</f>
        <v>16084653.220000001</v>
      </c>
      <c r="J1559" s="59">
        <v>44925</v>
      </c>
      <c r="K1559" s="273" t="s">
        <v>3118</v>
      </c>
    </row>
    <row r="1560" spans="1:11" x14ac:dyDescent="0.3">
      <c r="A1560" s="259"/>
      <c r="B1560" s="20" t="s">
        <v>208</v>
      </c>
      <c r="C1560" s="273" t="s">
        <v>3558</v>
      </c>
      <c r="D1560" s="273" t="s">
        <v>3558</v>
      </c>
      <c r="E1560" s="273" t="s">
        <v>3558</v>
      </c>
      <c r="F1560" s="273" t="s">
        <v>3558</v>
      </c>
      <c r="G1560" s="273">
        <f>SUM(G1559)</f>
        <v>3417.8</v>
      </c>
      <c r="H1560" s="10">
        <f>SUM(H1559)</f>
        <v>152</v>
      </c>
      <c r="I1560" s="273">
        <f>SUM(I1559)</f>
        <v>16084653.220000001</v>
      </c>
      <c r="J1560" s="273" t="s">
        <v>3558</v>
      </c>
      <c r="K1560" s="273" t="s">
        <v>3558</v>
      </c>
    </row>
    <row r="1561" spans="1:11" x14ac:dyDescent="0.3">
      <c r="A1561" s="298" t="s">
        <v>1519</v>
      </c>
      <c r="B1561" s="298"/>
      <c r="C1561" s="162"/>
      <c r="D1561" s="273"/>
      <c r="E1561" s="273"/>
      <c r="F1561" s="273"/>
      <c r="G1561" s="273"/>
      <c r="H1561" s="10"/>
      <c r="I1561" s="273"/>
      <c r="J1561" s="273"/>
      <c r="K1561" s="273"/>
    </row>
    <row r="1562" spans="1:11" x14ac:dyDescent="0.3">
      <c r="A1562" s="259">
        <f>A1559+1</f>
        <v>1413</v>
      </c>
      <c r="B1562" s="20" t="s">
        <v>1520</v>
      </c>
      <c r="C1562" s="162">
        <v>1965</v>
      </c>
      <c r="D1562" s="273"/>
      <c r="E1562" s="273" t="s">
        <v>3437</v>
      </c>
      <c r="F1562" s="50">
        <v>2</v>
      </c>
      <c r="G1562" s="273">
        <v>268.39999999999998</v>
      </c>
      <c r="H1562" s="10">
        <v>15</v>
      </c>
      <c r="I1562" s="273">
        <f>SUMIF('2020'!B:B,B1562,'2020'!C:C)+SUMIF('2021'!B:B,B1562,'2021'!C:C)+SUMIF('2022'!B:B,B1562,'2022'!C:C)</f>
        <v>3836078.28</v>
      </c>
      <c r="J1562" s="59">
        <v>44925</v>
      </c>
      <c r="K1562" s="273" t="s">
        <v>3118</v>
      </c>
    </row>
    <row r="1563" spans="1:11" x14ac:dyDescent="0.3">
      <c r="A1563" s="259">
        <f>A1562+1</f>
        <v>1414</v>
      </c>
      <c r="B1563" s="20" t="s">
        <v>1521</v>
      </c>
      <c r="C1563" s="162">
        <v>1917</v>
      </c>
      <c r="D1563" s="273"/>
      <c r="E1563" s="273" t="s">
        <v>3437</v>
      </c>
      <c r="F1563" s="50">
        <v>2</v>
      </c>
      <c r="G1563" s="273">
        <v>169.2</v>
      </c>
      <c r="H1563" s="10">
        <v>15</v>
      </c>
      <c r="I1563" s="273">
        <f>SUMIF('2020'!B:B,B1563,'2020'!C:C)+SUMIF('2021'!B:B,B1563,'2021'!C:C)+SUMIF('2022'!B:B,B1563,'2022'!C:C)</f>
        <v>255488.03999999998</v>
      </c>
      <c r="J1563" s="59">
        <v>44925</v>
      </c>
      <c r="K1563" s="273" t="s">
        <v>3118</v>
      </c>
    </row>
    <row r="1564" spans="1:11" x14ac:dyDescent="0.3">
      <c r="A1564" s="259">
        <f>A1563+1</f>
        <v>1415</v>
      </c>
      <c r="B1564" s="20" t="s">
        <v>1522</v>
      </c>
      <c r="C1564" s="162">
        <v>1972</v>
      </c>
      <c r="D1564" s="273"/>
      <c r="E1564" s="273" t="s">
        <v>3123</v>
      </c>
      <c r="F1564" s="50">
        <v>2</v>
      </c>
      <c r="G1564" s="273">
        <v>689.7</v>
      </c>
      <c r="H1564" s="10">
        <v>26</v>
      </c>
      <c r="I1564" s="273">
        <f>SUMIF('2020'!B:B,B1564,'2020'!C:C)+SUMIF('2021'!B:B,B1564,'2021'!C:C)+SUMIF('2022'!B:B,B1564,'2022'!C:C)</f>
        <v>5961247.2000000002</v>
      </c>
      <c r="J1564" s="59">
        <v>44925</v>
      </c>
      <c r="K1564" s="273" t="s">
        <v>3118</v>
      </c>
    </row>
    <row r="1565" spans="1:11" x14ac:dyDescent="0.3">
      <c r="A1565" s="259">
        <f>A1564+1</f>
        <v>1416</v>
      </c>
      <c r="B1565" s="20" t="s">
        <v>1523</v>
      </c>
      <c r="C1565" s="162">
        <v>1970</v>
      </c>
      <c r="D1565" s="273"/>
      <c r="E1565" s="273" t="s">
        <v>3123</v>
      </c>
      <c r="F1565" s="50">
        <v>2</v>
      </c>
      <c r="G1565" s="273">
        <v>834.2</v>
      </c>
      <c r="H1565" s="10">
        <v>48</v>
      </c>
      <c r="I1565" s="273">
        <f>SUMIF('2020'!B:B,B1565,'2020'!C:C)+SUMIF('2021'!B:B,B1565,'2021'!C:C)+SUMIF('2022'!B:B,B1565,'2022'!C:C)</f>
        <v>6717305.8600000003</v>
      </c>
      <c r="J1565" s="59">
        <v>44925</v>
      </c>
      <c r="K1565" s="273" t="s">
        <v>3118</v>
      </c>
    </row>
    <row r="1566" spans="1:11" x14ac:dyDescent="0.3">
      <c r="A1566" s="259"/>
      <c r="B1566" s="20" t="s">
        <v>208</v>
      </c>
      <c r="C1566" s="273" t="s">
        <v>3558</v>
      </c>
      <c r="D1566" s="273" t="s">
        <v>3558</v>
      </c>
      <c r="E1566" s="273" t="s">
        <v>3558</v>
      </c>
      <c r="F1566" s="273" t="s">
        <v>3558</v>
      </c>
      <c r="G1566" s="273">
        <f>SUM(G1562:G1565)</f>
        <v>1961.5</v>
      </c>
      <c r="H1566" s="10">
        <f>SUM(H1562:H1565)</f>
        <v>104</v>
      </c>
      <c r="I1566" s="273">
        <f>SUM(I1562:I1565)</f>
        <v>16770119.379999999</v>
      </c>
      <c r="J1566" s="273" t="s">
        <v>3558</v>
      </c>
      <c r="K1566" s="273" t="s">
        <v>3558</v>
      </c>
    </row>
    <row r="1567" spans="1:11" x14ac:dyDescent="0.3">
      <c r="A1567" s="298" t="s">
        <v>1524</v>
      </c>
      <c r="B1567" s="298"/>
      <c r="C1567" s="162"/>
      <c r="D1567" s="273"/>
      <c r="E1567" s="273"/>
      <c r="F1567" s="273"/>
      <c r="G1567" s="273"/>
      <c r="H1567" s="10"/>
      <c r="I1567" s="273"/>
      <c r="J1567" s="273"/>
      <c r="K1567" s="273"/>
    </row>
    <row r="1568" spans="1:11" x14ac:dyDescent="0.3">
      <c r="A1568" s="259">
        <f>A1565+1</f>
        <v>1417</v>
      </c>
      <c r="B1568" s="20" t="s">
        <v>1525</v>
      </c>
      <c r="C1568" s="162">
        <v>1952</v>
      </c>
      <c r="D1568" s="273"/>
      <c r="E1568" s="273" t="s">
        <v>3123</v>
      </c>
      <c r="F1568" s="50">
        <v>2</v>
      </c>
      <c r="G1568" s="273">
        <v>246.3</v>
      </c>
      <c r="H1568" s="10">
        <v>10</v>
      </c>
      <c r="I1568" s="273">
        <f>SUMIF('2020'!B:B,B1568,'2020'!C:C)+SUMIF('2021'!B:B,B1568,'2021'!C:C)+SUMIF('2022'!B:B,B1568,'2022'!C:C)</f>
        <v>525349.79</v>
      </c>
      <c r="J1568" s="59">
        <v>44925</v>
      </c>
      <c r="K1568" s="273" t="s">
        <v>3118</v>
      </c>
    </row>
    <row r="1569" spans="1:11" x14ac:dyDescent="0.3">
      <c r="A1569" s="259">
        <f>A1568+1</f>
        <v>1418</v>
      </c>
      <c r="B1569" s="20" t="s">
        <v>1526</v>
      </c>
      <c r="C1569" s="162">
        <v>1973</v>
      </c>
      <c r="D1569" s="273"/>
      <c r="E1569" s="273" t="s">
        <v>3123</v>
      </c>
      <c r="F1569" s="50">
        <v>2</v>
      </c>
      <c r="G1569" s="273">
        <v>503.9</v>
      </c>
      <c r="H1569" s="10">
        <v>30</v>
      </c>
      <c r="I1569" s="273">
        <f>SUMIF('2020'!B:B,B1569,'2020'!C:C)+SUMIF('2021'!B:B,B1569,'2021'!C:C)+SUMIF('2022'!B:B,B1569,'2022'!C:C)</f>
        <v>5645878.7999999998</v>
      </c>
      <c r="J1569" s="59">
        <v>44925</v>
      </c>
      <c r="K1569" s="273" t="s">
        <v>3118</v>
      </c>
    </row>
    <row r="1570" spans="1:11" x14ac:dyDescent="0.3">
      <c r="A1570" s="259"/>
      <c r="B1570" s="20" t="s">
        <v>208</v>
      </c>
      <c r="C1570" s="273" t="s">
        <v>3558</v>
      </c>
      <c r="D1570" s="273" t="s">
        <v>3558</v>
      </c>
      <c r="E1570" s="273" t="s">
        <v>3558</v>
      </c>
      <c r="F1570" s="273" t="s">
        <v>3558</v>
      </c>
      <c r="G1570" s="273">
        <f>SUM(G1568:G1569)</f>
        <v>750.2</v>
      </c>
      <c r="H1570" s="10">
        <f>SUM(H1568:H1569)</f>
        <v>40</v>
      </c>
      <c r="I1570" s="273">
        <f>SUM(I1568:I1569)</f>
        <v>6171228.5899999999</v>
      </c>
      <c r="J1570" s="273" t="s">
        <v>3558</v>
      </c>
      <c r="K1570" s="273" t="s">
        <v>3558</v>
      </c>
    </row>
    <row r="1571" spans="1:11" x14ac:dyDescent="0.3">
      <c r="A1571" s="300" t="s">
        <v>1527</v>
      </c>
      <c r="B1571" s="300"/>
      <c r="C1571" s="273"/>
      <c r="D1571" s="273"/>
      <c r="E1571" s="273"/>
      <c r="F1571" s="273"/>
      <c r="G1571" s="273"/>
      <c r="H1571" s="10"/>
      <c r="I1571" s="273"/>
      <c r="J1571" s="273"/>
      <c r="K1571" s="273"/>
    </row>
    <row r="1572" spans="1:11" x14ac:dyDescent="0.3">
      <c r="A1572" s="259">
        <f>A1569+1</f>
        <v>1419</v>
      </c>
      <c r="B1572" s="20" t="s">
        <v>1528</v>
      </c>
      <c r="C1572" s="162">
        <v>1986</v>
      </c>
      <c r="D1572" s="273"/>
      <c r="E1572" s="273" t="s">
        <v>3437</v>
      </c>
      <c r="F1572" s="50">
        <v>1</v>
      </c>
      <c r="G1572" s="273">
        <v>163.1</v>
      </c>
      <c r="H1572" s="10">
        <v>16</v>
      </c>
      <c r="I1572" s="273">
        <f>SUMIF('2020'!B:B,B1572,'2020'!C:C)+SUMIF('2021'!B:B,B1572,'2021'!C:C)+SUMIF('2022'!B:B,B1572,'2022'!C:C)</f>
        <v>48105.98</v>
      </c>
      <c r="J1572" s="59">
        <v>44925</v>
      </c>
      <c r="K1572" s="273" t="s">
        <v>3118</v>
      </c>
    </row>
    <row r="1573" spans="1:11" x14ac:dyDescent="0.3">
      <c r="A1573" s="259">
        <f t="shared" ref="A1573:A1583" si="56">A1572+1</f>
        <v>1420</v>
      </c>
      <c r="B1573" s="20" t="s">
        <v>1529</v>
      </c>
      <c r="C1573" s="162">
        <v>1950</v>
      </c>
      <c r="D1573" s="273"/>
      <c r="E1573" s="273" t="s">
        <v>3437</v>
      </c>
      <c r="F1573" s="50">
        <v>2</v>
      </c>
      <c r="G1573" s="273">
        <v>645.4</v>
      </c>
      <c r="H1573" s="10">
        <v>34</v>
      </c>
      <c r="I1573" s="273">
        <f>SUMIF('2020'!B:B,B1573,'2020'!C:C)+SUMIF('2021'!B:B,B1573,'2021'!C:C)+SUMIF('2022'!B:B,B1573,'2022'!C:C)</f>
        <v>74027.63</v>
      </c>
      <c r="J1573" s="59">
        <v>44925</v>
      </c>
      <c r="K1573" s="273" t="s">
        <v>3118</v>
      </c>
    </row>
    <row r="1574" spans="1:11" x14ac:dyDescent="0.3">
      <c r="A1574" s="259">
        <f t="shared" si="56"/>
        <v>1421</v>
      </c>
      <c r="B1574" s="20" t="s">
        <v>1530</v>
      </c>
      <c r="C1574" s="162">
        <v>1917</v>
      </c>
      <c r="D1574" s="273"/>
      <c r="E1574" s="273" t="s">
        <v>3437</v>
      </c>
      <c r="F1574" s="50">
        <v>2</v>
      </c>
      <c r="G1574" s="273">
        <v>311</v>
      </c>
      <c r="H1574" s="10">
        <v>16</v>
      </c>
      <c r="I1574" s="273">
        <f>SUMIF('2020'!B:B,B1574,'2020'!C:C)+SUMIF('2021'!B:B,B1574,'2021'!C:C)+SUMIF('2022'!B:B,B1574,'2022'!C:C)</f>
        <v>245121.92000000001</v>
      </c>
      <c r="J1574" s="59">
        <v>44925</v>
      </c>
      <c r="K1574" s="273" t="s">
        <v>3118</v>
      </c>
    </row>
    <row r="1575" spans="1:11" x14ac:dyDescent="0.3">
      <c r="A1575" s="259">
        <f t="shared" si="56"/>
        <v>1422</v>
      </c>
      <c r="B1575" s="20" t="s">
        <v>1531</v>
      </c>
      <c r="C1575" s="162">
        <v>1917</v>
      </c>
      <c r="D1575" s="273"/>
      <c r="E1575" s="273" t="s">
        <v>3437</v>
      </c>
      <c r="F1575" s="50">
        <v>2</v>
      </c>
      <c r="G1575" s="273">
        <v>260.77</v>
      </c>
      <c r="H1575" s="10">
        <v>18</v>
      </c>
      <c r="I1575" s="273">
        <f>SUMIF('2020'!B:B,B1575,'2020'!C:C)+SUMIF('2021'!B:B,B1575,'2021'!C:C)+SUMIF('2022'!B:B,B1575,'2022'!C:C)</f>
        <v>214744.08000000002</v>
      </c>
      <c r="J1575" s="59">
        <v>44925</v>
      </c>
      <c r="K1575" s="273" t="s">
        <v>3118</v>
      </c>
    </row>
    <row r="1576" spans="1:11" x14ac:dyDescent="0.3">
      <c r="A1576" s="259">
        <f t="shared" si="56"/>
        <v>1423</v>
      </c>
      <c r="B1576" s="20" t="s">
        <v>1532</v>
      </c>
      <c r="C1576" s="162">
        <v>1917</v>
      </c>
      <c r="D1576" s="273"/>
      <c r="E1576" s="273" t="s">
        <v>3437</v>
      </c>
      <c r="F1576" s="50">
        <v>2</v>
      </c>
      <c r="G1576" s="273">
        <v>311</v>
      </c>
      <c r="H1576" s="10">
        <v>26</v>
      </c>
      <c r="I1576" s="273">
        <f>SUMIF('2020'!B:B,B1576,'2020'!C:C)+SUMIF('2021'!B:B,B1576,'2021'!C:C)+SUMIF('2022'!B:B,B1576,'2022'!C:C)</f>
        <v>246233.95</v>
      </c>
      <c r="J1576" s="59">
        <v>44925</v>
      </c>
      <c r="K1576" s="273" t="s">
        <v>3118</v>
      </c>
    </row>
    <row r="1577" spans="1:11" x14ac:dyDescent="0.3">
      <c r="A1577" s="259">
        <f t="shared" si="56"/>
        <v>1424</v>
      </c>
      <c r="B1577" s="20" t="s">
        <v>1533</v>
      </c>
      <c r="C1577" s="162">
        <v>1917</v>
      </c>
      <c r="D1577" s="273"/>
      <c r="E1577" s="273" t="s">
        <v>3437</v>
      </c>
      <c r="F1577" s="50">
        <v>2</v>
      </c>
      <c r="G1577" s="273">
        <v>283.17</v>
      </c>
      <c r="H1577" s="10">
        <v>12</v>
      </c>
      <c r="I1577" s="273">
        <f>SUMIF('2020'!B:B,B1577,'2020'!C:C)+SUMIF('2021'!B:B,B1577,'2021'!C:C)+SUMIF('2022'!B:B,B1577,'2022'!C:C)</f>
        <v>277197.05</v>
      </c>
      <c r="J1577" s="59">
        <v>44925</v>
      </c>
      <c r="K1577" s="273" t="s">
        <v>3118</v>
      </c>
    </row>
    <row r="1578" spans="1:11" x14ac:dyDescent="0.3">
      <c r="A1578" s="259">
        <f t="shared" si="56"/>
        <v>1425</v>
      </c>
      <c r="B1578" s="20" t="s">
        <v>1534</v>
      </c>
      <c r="C1578" s="162">
        <v>1935</v>
      </c>
      <c r="D1578" s="273"/>
      <c r="E1578" s="273" t="s">
        <v>3437</v>
      </c>
      <c r="F1578" s="50">
        <v>2</v>
      </c>
      <c r="G1578" s="273">
        <v>384</v>
      </c>
      <c r="H1578" s="10">
        <v>16</v>
      </c>
      <c r="I1578" s="273">
        <f>SUMIF('2020'!B:B,B1578,'2020'!C:C)+SUMIF('2021'!B:B,B1578,'2021'!C:C)+SUMIF('2022'!B:B,B1578,'2022'!C:C)</f>
        <v>307293.7</v>
      </c>
      <c r="J1578" s="59">
        <v>44925</v>
      </c>
      <c r="K1578" s="273" t="s">
        <v>3118</v>
      </c>
    </row>
    <row r="1579" spans="1:11" x14ac:dyDescent="0.3">
      <c r="A1579" s="259">
        <f t="shared" si="56"/>
        <v>1426</v>
      </c>
      <c r="B1579" s="20" t="s">
        <v>1535</v>
      </c>
      <c r="C1579" s="162">
        <v>1917</v>
      </c>
      <c r="D1579" s="273"/>
      <c r="E1579" s="273" t="s">
        <v>3437</v>
      </c>
      <c r="F1579" s="50">
        <v>2</v>
      </c>
      <c r="G1579" s="273">
        <v>208.39</v>
      </c>
      <c r="H1579" s="10">
        <v>9</v>
      </c>
      <c r="I1579" s="273">
        <f>SUMIF('2020'!B:B,B1579,'2020'!C:C)+SUMIF('2021'!B:B,B1579,'2021'!C:C)+SUMIF('2022'!B:B,B1579,'2022'!C:C)</f>
        <v>204352.40000000002</v>
      </c>
      <c r="J1579" s="59">
        <v>44925</v>
      </c>
      <c r="K1579" s="273" t="s">
        <v>3118</v>
      </c>
    </row>
    <row r="1580" spans="1:11" x14ac:dyDescent="0.3">
      <c r="A1580" s="259">
        <f t="shared" si="56"/>
        <v>1427</v>
      </c>
      <c r="B1580" s="20" t="s">
        <v>1536</v>
      </c>
      <c r="C1580" s="162">
        <v>1917</v>
      </c>
      <c r="D1580" s="273"/>
      <c r="E1580" s="273" t="s">
        <v>3437</v>
      </c>
      <c r="F1580" s="50">
        <v>2</v>
      </c>
      <c r="G1580" s="273">
        <v>124.21</v>
      </c>
      <c r="H1580" s="10">
        <v>5</v>
      </c>
      <c r="I1580" s="273">
        <f>SUMIF('2020'!B:B,B1580,'2020'!C:C)+SUMIF('2021'!B:B,B1580,'2021'!C:C)+SUMIF('2022'!B:B,B1580,'2022'!C:C)</f>
        <v>192433.58</v>
      </c>
      <c r="J1580" s="59">
        <v>44925</v>
      </c>
      <c r="K1580" s="273" t="s">
        <v>3118</v>
      </c>
    </row>
    <row r="1581" spans="1:11" x14ac:dyDescent="0.3">
      <c r="A1581" s="259">
        <f t="shared" si="56"/>
        <v>1428</v>
      </c>
      <c r="B1581" s="20" t="s">
        <v>1537</v>
      </c>
      <c r="C1581" s="162">
        <v>1917</v>
      </c>
      <c r="D1581" s="273"/>
      <c r="E1581" s="273" t="s">
        <v>3437</v>
      </c>
      <c r="F1581" s="50">
        <v>2</v>
      </c>
      <c r="G1581" s="273">
        <v>217.61</v>
      </c>
      <c r="H1581" s="10">
        <v>10</v>
      </c>
      <c r="I1581" s="273">
        <f>SUMIF('2020'!B:B,B1581,'2020'!C:C)+SUMIF('2021'!B:B,B1581,'2021'!C:C)+SUMIF('2022'!B:B,B1581,'2022'!C:C)</f>
        <v>224320.47000000003</v>
      </c>
      <c r="J1581" s="59">
        <v>44925</v>
      </c>
      <c r="K1581" s="273" t="s">
        <v>3118</v>
      </c>
    </row>
    <row r="1582" spans="1:11" x14ac:dyDescent="0.3">
      <c r="A1582" s="259">
        <f t="shared" si="56"/>
        <v>1429</v>
      </c>
      <c r="B1582" s="20" t="s">
        <v>1538</v>
      </c>
      <c r="C1582" s="162">
        <v>1917</v>
      </c>
      <c r="D1582" s="273"/>
      <c r="E1582" s="273" t="s">
        <v>3437</v>
      </c>
      <c r="F1582" s="50">
        <v>2</v>
      </c>
      <c r="G1582" s="273">
        <v>214.65</v>
      </c>
      <c r="H1582" s="10">
        <v>13</v>
      </c>
      <c r="I1582" s="273">
        <f>SUMIF('2020'!B:B,B1582,'2020'!C:C)+SUMIF('2021'!B:B,B1582,'2021'!C:C)+SUMIF('2022'!B:B,B1582,'2022'!C:C)</f>
        <v>219609.93</v>
      </c>
      <c r="J1582" s="59">
        <v>44925</v>
      </c>
      <c r="K1582" s="273" t="s">
        <v>3118</v>
      </c>
    </row>
    <row r="1583" spans="1:11" x14ac:dyDescent="0.3">
      <c r="A1583" s="259">
        <f t="shared" si="56"/>
        <v>1430</v>
      </c>
      <c r="B1583" s="20" t="s">
        <v>1539</v>
      </c>
      <c r="C1583" s="162">
        <v>1917</v>
      </c>
      <c r="D1583" s="273"/>
      <c r="E1583" s="273" t="s">
        <v>3437</v>
      </c>
      <c r="F1583" s="50">
        <v>2</v>
      </c>
      <c r="G1583" s="273">
        <v>297.39999999999998</v>
      </c>
      <c r="H1583" s="10">
        <v>12</v>
      </c>
      <c r="I1583" s="273">
        <f>SUMIF('2020'!B:B,B1583,'2020'!C:C)+SUMIF('2021'!B:B,B1583,'2021'!C:C)+SUMIF('2022'!B:B,B1583,'2022'!C:C)</f>
        <v>243081.18</v>
      </c>
      <c r="J1583" s="59">
        <v>44925</v>
      </c>
      <c r="K1583" s="273" t="s">
        <v>3118</v>
      </c>
    </row>
    <row r="1584" spans="1:11" x14ac:dyDescent="0.3">
      <c r="A1584" s="250"/>
      <c r="B1584" s="20" t="s">
        <v>208</v>
      </c>
      <c r="C1584" s="273" t="s">
        <v>3558</v>
      </c>
      <c r="D1584" s="273" t="s">
        <v>3558</v>
      </c>
      <c r="E1584" s="273" t="s">
        <v>3558</v>
      </c>
      <c r="F1584" s="273" t="s">
        <v>3558</v>
      </c>
      <c r="G1584" s="273">
        <f>SUM(G1572:G1583)</f>
        <v>3420.7000000000003</v>
      </c>
      <c r="H1584" s="10">
        <f>SUM(H1572:H1583)</f>
        <v>187</v>
      </c>
      <c r="I1584" s="273">
        <f>SUM(I1572:I1583)</f>
        <v>2496521.87</v>
      </c>
      <c r="J1584" s="273" t="s">
        <v>3558</v>
      </c>
      <c r="K1584" s="273" t="s">
        <v>3558</v>
      </c>
    </row>
    <row r="1585" spans="1:13" s="43" customFormat="1" x14ac:dyDescent="0.3">
      <c r="A1585" s="291" t="s">
        <v>1540</v>
      </c>
      <c r="B1585" s="291"/>
      <c r="C1585" s="251" t="s">
        <v>3558</v>
      </c>
      <c r="D1585" s="251" t="s">
        <v>3558</v>
      </c>
      <c r="E1585" s="251" t="s">
        <v>3558</v>
      </c>
      <c r="F1585" s="251" t="s">
        <v>3558</v>
      </c>
      <c r="G1585" s="251">
        <f>G1584+G1570+G1566+G1560+G1557+G1554+G1551+G1548+G1540+G1534+G1526+G1166+G1148+G1136+G1131</f>
        <v>821985.29000000015</v>
      </c>
      <c r="H1585" s="132">
        <f>H1584+H1570+H1566+H1560+H1557+H1554+H1551+H1548+H1540+H1534+H1526+H1166+H1148+H1136+H1131</f>
        <v>35943</v>
      </c>
      <c r="I1585" s="251">
        <f>I1584+I1570+I1566+I1560+I1557+I1554+I1551+I1548+I1540+I1534+I1526+I1166+I1148+I1136+I1131</f>
        <v>872766721.46000016</v>
      </c>
      <c r="J1585" s="251" t="s">
        <v>3558</v>
      </c>
      <c r="K1585" s="251" t="s">
        <v>3558</v>
      </c>
      <c r="L1585" s="196">
        <f>I1585-'2020'!C342-'2021'!C1293-'2022'!C383</f>
        <v>0</v>
      </c>
      <c r="M1585" s="198"/>
    </row>
    <row r="1586" spans="1:13" s="43" customFormat="1" x14ac:dyDescent="0.3">
      <c r="A1586" s="292" t="s">
        <v>1541</v>
      </c>
      <c r="B1586" s="292"/>
      <c r="C1586" s="292"/>
      <c r="D1586" s="292"/>
      <c r="E1586" s="292"/>
      <c r="F1586" s="292"/>
      <c r="G1586" s="292"/>
      <c r="H1586" s="292"/>
      <c r="I1586" s="292"/>
      <c r="J1586" s="292"/>
      <c r="K1586" s="292"/>
      <c r="L1586" s="198"/>
      <c r="M1586" s="198"/>
    </row>
    <row r="1587" spans="1:13" x14ac:dyDescent="0.3">
      <c r="A1587" s="291" t="s">
        <v>1542</v>
      </c>
      <c r="B1587" s="291"/>
      <c r="C1587" s="273"/>
      <c r="D1587" s="234"/>
      <c r="E1587" s="234"/>
      <c r="F1587" s="234"/>
      <c r="G1587" s="273"/>
      <c r="H1587" s="10"/>
      <c r="I1587" s="273"/>
      <c r="J1587" s="273"/>
      <c r="K1587" s="273"/>
    </row>
    <row r="1588" spans="1:13" x14ac:dyDescent="0.3">
      <c r="A1588" s="259">
        <f>A1583+1</f>
        <v>1431</v>
      </c>
      <c r="B1588" s="20" t="s">
        <v>1543</v>
      </c>
      <c r="C1588" s="162">
        <v>1917</v>
      </c>
      <c r="D1588" s="234"/>
      <c r="E1588" s="234" t="s">
        <v>3123</v>
      </c>
      <c r="F1588" s="10">
        <v>2</v>
      </c>
      <c r="G1588" s="273">
        <v>1613.3</v>
      </c>
      <c r="H1588" s="10">
        <v>31</v>
      </c>
      <c r="I1588" s="273">
        <f>SUMIF('2020'!B:B,B1588,'2020'!C:C)+SUMIF('2021'!B:B,B1588,'2021'!C:C)+SUMIF('2022'!B:B,B1588,'2022'!C:C)</f>
        <v>525170.65</v>
      </c>
      <c r="J1588" s="59">
        <v>44925</v>
      </c>
      <c r="K1588" s="273" t="s">
        <v>3118</v>
      </c>
    </row>
    <row r="1589" spans="1:13" x14ac:dyDescent="0.3">
      <c r="A1589" s="259">
        <f>A1588+1</f>
        <v>1432</v>
      </c>
      <c r="B1589" s="20" t="s">
        <v>3563</v>
      </c>
      <c r="C1589" s="162"/>
      <c r="D1589" s="234"/>
      <c r="E1589" s="234"/>
      <c r="F1589" s="10"/>
      <c r="G1589" s="273"/>
      <c r="H1589" s="10"/>
      <c r="I1589" s="273">
        <f>SUMIF('2020'!B:B,B1589,'2020'!C:C)+SUMIF('2021'!B:B,B1589,'2021'!C:C)+SUMIF('2022'!B:B,B1589,'2022'!C:C)</f>
        <v>22453103.640000001</v>
      </c>
      <c r="J1589" s="59">
        <v>44925</v>
      </c>
      <c r="K1589" s="273" t="s">
        <v>3118</v>
      </c>
    </row>
    <row r="1590" spans="1:13" x14ac:dyDescent="0.3">
      <c r="A1590" s="259">
        <f>A1589+1</f>
        <v>1433</v>
      </c>
      <c r="B1590" s="20" t="s">
        <v>1544</v>
      </c>
      <c r="C1590" s="162">
        <v>1946</v>
      </c>
      <c r="D1590" s="234"/>
      <c r="E1590" s="234" t="s">
        <v>3123</v>
      </c>
      <c r="F1590" s="10">
        <v>2</v>
      </c>
      <c r="G1590" s="273">
        <v>1613.3</v>
      </c>
      <c r="H1590" s="10">
        <v>31</v>
      </c>
      <c r="I1590" s="273">
        <f>SUMIF('2020'!B:B,B1590,'2020'!C:C)+SUMIF('2021'!B:B,B1590,'2021'!C:C)+SUMIF('2022'!B:B,B1590,'2022'!C:C)</f>
        <v>1625229.5999999999</v>
      </c>
      <c r="J1590" s="59">
        <v>44925</v>
      </c>
      <c r="K1590" s="273" t="s">
        <v>3118</v>
      </c>
    </row>
    <row r="1591" spans="1:13" x14ac:dyDescent="0.3">
      <c r="A1591" s="259">
        <f>A1590+1</f>
        <v>1434</v>
      </c>
      <c r="B1591" s="20" t="s">
        <v>1545</v>
      </c>
      <c r="C1591" s="162">
        <v>1917</v>
      </c>
      <c r="D1591" s="234"/>
      <c r="E1591" s="234" t="s">
        <v>3437</v>
      </c>
      <c r="F1591" s="10">
        <v>2</v>
      </c>
      <c r="G1591" s="273">
        <v>658.7</v>
      </c>
      <c r="H1591" s="10">
        <v>16</v>
      </c>
      <c r="I1591" s="273">
        <f>SUMIF('2020'!B:B,B1591,'2020'!C:C)+SUMIF('2021'!B:B,B1591,'2021'!C:C)+SUMIF('2022'!B:B,B1591,'2022'!C:C)</f>
        <v>2284107.7199999997</v>
      </c>
      <c r="J1591" s="59">
        <v>44925</v>
      </c>
      <c r="K1591" s="273" t="s">
        <v>3118</v>
      </c>
    </row>
    <row r="1592" spans="1:13" x14ac:dyDescent="0.3">
      <c r="A1592" s="259">
        <f>A1591+1</f>
        <v>1435</v>
      </c>
      <c r="B1592" s="20" t="s">
        <v>1546</v>
      </c>
      <c r="C1592" s="162">
        <v>1946</v>
      </c>
      <c r="D1592" s="234"/>
      <c r="E1592" s="234" t="s">
        <v>3123</v>
      </c>
      <c r="F1592" s="10">
        <v>3</v>
      </c>
      <c r="G1592" s="273">
        <v>3013.8</v>
      </c>
      <c r="H1592" s="10">
        <v>60</v>
      </c>
      <c r="I1592" s="273">
        <f>SUMIF('2020'!B:B,B1592,'2020'!C:C)+SUMIF('2021'!B:B,B1592,'2021'!C:C)+SUMIF('2022'!B:B,B1592,'2022'!C:C)</f>
        <v>285774.36</v>
      </c>
      <c r="J1592" s="59">
        <v>44925</v>
      </c>
      <c r="K1592" s="273" t="s">
        <v>3118</v>
      </c>
    </row>
    <row r="1593" spans="1:13" x14ac:dyDescent="0.3">
      <c r="A1593" s="259">
        <f>A1592+1</f>
        <v>1436</v>
      </c>
      <c r="B1593" s="20" t="s">
        <v>1547</v>
      </c>
      <c r="C1593" s="162">
        <v>1917</v>
      </c>
      <c r="D1593" s="234"/>
      <c r="E1593" s="234" t="s">
        <v>3123</v>
      </c>
      <c r="F1593" s="10">
        <v>4</v>
      </c>
      <c r="G1593" s="273">
        <v>4047.2</v>
      </c>
      <c r="H1593" s="10">
        <v>108</v>
      </c>
      <c r="I1593" s="273">
        <f>SUMIF('2020'!B:B,B1593,'2020'!C:C)+SUMIF('2021'!B:B,B1593,'2021'!C:C)+SUMIF('2022'!B:B,B1593,'2022'!C:C)</f>
        <v>1680020.7499999998</v>
      </c>
      <c r="J1593" s="59">
        <v>44925</v>
      </c>
      <c r="K1593" s="273" t="s">
        <v>3118</v>
      </c>
    </row>
    <row r="1594" spans="1:13" x14ac:dyDescent="0.3">
      <c r="A1594" s="259"/>
      <c r="B1594" s="20" t="s">
        <v>208</v>
      </c>
      <c r="C1594" s="273" t="s">
        <v>3558</v>
      </c>
      <c r="D1594" s="273" t="s">
        <v>3558</v>
      </c>
      <c r="E1594" s="273" t="s">
        <v>3558</v>
      </c>
      <c r="F1594" s="273" t="s">
        <v>3558</v>
      </c>
      <c r="G1594" s="273">
        <f>SUM(G1588:G1593)</f>
        <v>10946.3</v>
      </c>
      <c r="H1594" s="10">
        <f>SUM(H1588:H1593)</f>
        <v>246</v>
      </c>
      <c r="I1594" s="273">
        <f>SUM(I1588:I1593)</f>
        <v>28853406.719999999</v>
      </c>
      <c r="J1594" s="273" t="s">
        <v>3558</v>
      </c>
      <c r="K1594" s="273" t="s">
        <v>3558</v>
      </c>
      <c r="L1594" s="197">
        <f>I1594-'2021'!C1302-'2022'!C388</f>
        <v>0</v>
      </c>
    </row>
    <row r="1595" spans="1:13" x14ac:dyDescent="0.3">
      <c r="A1595" s="291" t="s">
        <v>1548</v>
      </c>
      <c r="B1595" s="291"/>
      <c r="C1595" s="273"/>
      <c r="D1595" s="234"/>
      <c r="E1595" s="234"/>
      <c r="F1595" s="234"/>
      <c r="G1595" s="273"/>
      <c r="H1595" s="10"/>
      <c r="I1595" s="273"/>
      <c r="J1595" s="273"/>
      <c r="K1595" s="273"/>
    </row>
    <row r="1596" spans="1:13" x14ac:dyDescent="0.3">
      <c r="A1596" s="259">
        <f>A1593+1</f>
        <v>1437</v>
      </c>
      <c r="B1596" s="20" t="s">
        <v>1549</v>
      </c>
      <c r="C1596" s="162">
        <v>1970</v>
      </c>
      <c r="D1596" s="234"/>
      <c r="E1596" s="273" t="s">
        <v>3437</v>
      </c>
      <c r="F1596" s="10">
        <v>2</v>
      </c>
      <c r="G1596" s="273">
        <v>526</v>
      </c>
      <c r="H1596" s="10">
        <v>12</v>
      </c>
      <c r="I1596" s="273">
        <f>SUMIF('2020'!B:B,B1596,'2020'!C:C)+SUMIF('2021'!B:B,B1596,'2021'!C:C)+SUMIF('2022'!B:B,B1596,'2022'!C:C)</f>
        <v>96957.88</v>
      </c>
      <c r="J1596" s="59">
        <v>44925</v>
      </c>
      <c r="K1596" s="273" t="s">
        <v>3118</v>
      </c>
    </row>
    <row r="1597" spans="1:13" x14ac:dyDescent="0.3">
      <c r="A1597" s="259">
        <f t="shared" ref="A1597:A1625" si="57">A1596+1</f>
        <v>1438</v>
      </c>
      <c r="B1597" s="20" t="s">
        <v>1550</v>
      </c>
      <c r="C1597" s="162">
        <v>1916</v>
      </c>
      <c r="D1597" s="234"/>
      <c r="E1597" s="273" t="s">
        <v>3123</v>
      </c>
      <c r="F1597" s="10">
        <v>2</v>
      </c>
      <c r="G1597" s="273">
        <v>359.8</v>
      </c>
      <c r="H1597" s="10">
        <v>8</v>
      </c>
      <c r="I1597" s="273">
        <f>SUMIF('2020'!B:B,B1597,'2020'!C:C)+SUMIF('2021'!B:B,B1597,'2021'!C:C)+SUMIF('2022'!B:B,B1597,'2022'!C:C)</f>
        <v>87492</v>
      </c>
      <c r="J1597" s="59">
        <v>44925</v>
      </c>
      <c r="K1597" s="273" t="s">
        <v>3118</v>
      </c>
    </row>
    <row r="1598" spans="1:13" x14ac:dyDescent="0.3">
      <c r="A1598" s="259">
        <f t="shared" si="57"/>
        <v>1439</v>
      </c>
      <c r="B1598" s="20" t="s">
        <v>1551</v>
      </c>
      <c r="C1598" s="162">
        <v>1961</v>
      </c>
      <c r="D1598" s="234"/>
      <c r="E1598" s="273" t="s">
        <v>3123</v>
      </c>
      <c r="F1598" s="10">
        <v>2</v>
      </c>
      <c r="G1598" s="273">
        <v>620.29999999999995</v>
      </c>
      <c r="H1598" s="10">
        <v>31</v>
      </c>
      <c r="I1598" s="273">
        <f>SUMIF('2020'!B:B,B1598,'2020'!C:C)+SUMIF('2021'!B:B,B1598,'2021'!C:C)+SUMIF('2022'!B:B,B1598,'2022'!C:C)</f>
        <v>108353.89</v>
      </c>
      <c r="J1598" s="59">
        <v>44925</v>
      </c>
      <c r="K1598" s="273" t="s">
        <v>3118</v>
      </c>
    </row>
    <row r="1599" spans="1:13" x14ac:dyDescent="0.3">
      <c r="A1599" s="259">
        <f t="shared" si="57"/>
        <v>1440</v>
      </c>
      <c r="B1599" s="20" t="s">
        <v>1552</v>
      </c>
      <c r="C1599" s="162">
        <v>1959</v>
      </c>
      <c r="D1599" s="234"/>
      <c r="E1599" s="273" t="s">
        <v>3123</v>
      </c>
      <c r="F1599" s="10">
        <v>2</v>
      </c>
      <c r="G1599" s="273">
        <v>440.8</v>
      </c>
      <c r="H1599" s="10">
        <v>14</v>
      </c>
      <c r="I1599" s="273">
        <f>SUMIF('2020'!B:B,B1599,'2020'!C:C)+SUMIF('2021'!B:B,B1599,'2021'!C:C)+SUMIF('2022'!B:B,B1599,'2022'!C:C)</f>
        <v>101316.56</v>
      </c>
      <c r="J1599" s="59">
        <v>44925</v>
      </c>
      <c r="K1599" s="273" t="s">
        <v>3118</v>
      </c>
    </row>
    <row r="1600" spans="1:13" x14ac:dyDescent="0.3">
      <c r="A1600" s="259">
        <f t="shared" si="57"/>
        <v>1441</v>
      </c>
      <c r="B1600" s="20" t="s">
        <v>1553</v>
      </c>
      <c r="C1600" s="162">
        <v>1958</v>
      </c>
      <c r="D1600" s="234"/>
      <c r="E1600" s="273" t="s">
        <v>3123</v>
      </c>
      <c r="F1600" s="10">
        <v>2</v>
      </c>
      <c r="G1600" s="273">
        <v>376.7</v>
      </c>
      <c r="H1600" s="10">
        <v>19</v>
      </c>
      <c r="I1600" s="273">
        <f>SUMIF('2020'!B:B,B1600,'2020'!C:C)+SUMIF('2021'!B:B,B1600,'2021'!C:C)+SUMIF('2022'!B:B,B1600,'2022'!C:C)</f>
        <v>117417.54</v>
      </c>
      <c r="J1600" s="59">
        <v>44925</v>
      </c>
      <c r="K1600" s="273" t="s">
        <v>3118</v>
      </c>
    </row>
    <row r="1601" spans="1:11" x14ac:dyDescent="0.3">
      <c r="A1601" s="259">
        <f t="shared" si="57"/>
        <v>1442</v>
      </c>
      <c r="B1601" s="20" t="s">
        <v>1554</v>
      </c>
      <c r="C1601" s="162">
        <v>1969</v>
      </c>
      <c r="D1601" s="234"/>
      <c r="E1601" s="273" t="s">
        <v>3123</v>
      </c>
      <c r="F1601" s="10">
        <v>5</v>
      </c>
      <c r="G1601" s="273">
        <v>3341.9</v>
      </c>
      <c r="H1601" s="10">
        <v>161</v>
      </c>
      <c r="I1601" s="273">
        <f>SUMIF('2020'!B:B,B1601,'2020'!C:C)+SUMIF('2021'!B:B,B1601,'2021'!C:C)+SUMIF('2022'!B:B,B1601,'2022'!C:C)</f>
        <v>218895.58</v>
      </c>
      <c r="J1601" s="59">
        <v>44925</v>
      </c>
      <c r="K1601" s="273" t="s">
        <v>3118</v>
      </c>
    </row>
    <row r="1602" spans="1:11" x14ac:dyDescent="0.3">
      <c r="A1602" s="259">
        <f t="shared" si="57"/>
        <v>1443</v>
      </c>
      <c r="B1602" s="20" t="s">
        <v>1555</v>
      </c>
      <c r="C1602" s="162">
        <v>1969</v>
      </c>
      <c r="D1602" s="234"/>
      <c r="E1602" s="273" t="s">
        <v>3123</v>
      </c>
      <c r="F1602" s="10">
        <v>5</v>
      </c>
      <c r="G1602" s="273">
        <v>2496.71</v>
      </c>
      <c r="H1602" s="10">
        <v>131</v>
      </c>
      <c r="I1602" s="273">
        <f>SUMIF('2020'!B:B,B1602,'2020'!C:C)+SUMIF('2021'!B:B,B1602,'2021'!C:C)+SUMIF('2022'!B:B,B1602,'2022'!C:C)</f>
        <v>174632</v>
      </c>
      <c r="J1602" s="59">
        <v>44925</v>
      </c>
      <c r="K1602" s="273" t="s">
        <v>3118</v>
      </c>
    </row>
    <row r="1603" spans="1:11" x14ac:dyDescent="0.3">
      <c r="A1603" s="259">
        <f t="shared" si="57"/>
        <v>1444</v>
      </c>
      <c r="B1603" s="20" t="s">
        <v>1556</v>
      </c>
      <c r="C1603" s="162">
        <v>1964</v>
      </c>
      <c r="D1603" s="234"/>
      <c r="E1603" s="273" t="s">
        <v>3123</v>
      </c>
      <c r="F1603" s="10">
        <v>4</v>
      </c>
      <c r="G1603" s="273">
        <v>2055.65</v>
      </c>
      <c r="H1603" s="10">
        <v>97</v>
      </c>
      <c r="I1603" s="273">
        <f>SUMIF('2020'!B:B,B1603,'2020'!C:C)+SUMIF('2021'!B:B,B1603,'2021'!C:C)+SUMIF('2022'!B:B,B1603,'2022'!C:C)</f>
        <v>147798.10999999999</v>
      </c>
      <c r="J1603" s="59">
        <v>44925</v>
      </c>
      <c r="K1603" s="273" t="s">
        <v>3118</v>
      </c>
    </row>
    <row r="1604" spans="1:11" x14ac:dyDescent="0.3">
      <c r="A1604" s="259">
        <f t="shared" si="57"/>
        <v>1445</v>
      </c>
      <c r="B1604" s="20" t="s">
        <v>1557</v>
      </c>
      <c r="C1604" s="162">
        <v>1968</v>
      </c>
      <c r="D1604" s="234"/>
      <c r="E1604" s="273" t="s">
        <v>3123</v>
      </c>
      <c r="F1604" s="10">
        <v>5</v>
      </c>
      <c r="G1604" s="273">
        <v>3002.4</v>
      </c>
      <c r="H1604" s="10">
        <v>113</v>
      </c>
      <c r="I1604" s="273">
        <f>SUMIF('2020'!B:B,B1604,'2020'!C:C)+SUMIF('2021'!B:B,B1604,'2021'!C:C)+SUMIF('2022'!B:B,B1604,'2022'!C:C)</f>
        <v>169441.62</v>
      </c>
      <c r="J1604" s="59">
        <v>44925</v>
      </c>
      <c r="K1604" s="273" t="s">
        <v>3118</v>
      </c>
    </row>
    <row r="1605" spans="1:11" x14ac:dyDescent="0.3">
      <c r="A1605" s="259">
        <f t="shared" si="57"/>
        <v>1446</v>
      </c>
      <c r="B1605" s="20" t="s">
        <v>1558</v>
      </c>
      <c r="C1605" s="162">
        <v>1963</v>
      </c>
      <c r="D1605" s="234"/>
      <c r="E1605" s="273" t="s">
        <v>3123</v>
      </c>
      <c r="F1605" s="10">
        <v>4</v>
      </c>
      <c r="G1605" s="273">
        <v>2066.8000000000002</v>
      </c>
      <c r="H1605" s="10">
        <v>98</v>
      </c>
      <c r="I1605" s="273">
        <f>SUMIF('2020'!B:B,B1605,'2020'!C:C)+SUMIF('2021'!B:B,B1605,'2021'!C:C)+SUMIF('2022'!B:B,B1605,'2022'!C:C)</f>
        <v>163264.35999999999</v>
      </c>
      <c r="J1605" s="59">
        <v>44925</v>
      </c>
      <c r="K1605" s="273" t="s">
        <v>3118</v>
      </c>
    </row>
    <row r="1606" spans="1:11" x14ac:dyDescent="0.3">
      <c r="A1606" s="259">
        <f t="shared" si="57"/>
        <v>1447</v>
      </c>
      <c r="B1606" s="20" t="s">
        <v>1559</v>
      </c>
      <c r="C1606" s="162">
        <v>1968</v>
      </c>
      <c r="D1606" s="234"/>
      <c r="E1606" s="273" t="s">
        <v>3123</v>
      </c>
      <c r="F1606" s="10">
        <v>5</v>
      </c>
      <c r="G1606" s="273">
        <v>3105.6</v>
      </c>
      <c r="H1606" s="10">
        <v>119</v>
      </c>
      <c r="I1606" s="273">
        <f>SUMIF('2020'!B:B,B1606,'2020'!C:C)+SUMIF('2021'!B:B,B1606,'2021'!C:C)+SUMIF('2022'!B:B,B1606,'2022'!C:C)</f>
        <v>164480.32999999999</v>
      </c>
      <c r="J1606" s="59">
        <v>44925</v>
      </c>
      <c r="K1606" s="273" t="s">
        <v>3118</v>
      </c>
    </row>
    <row r="1607" spans="1:11" x14ac:dyDescent="0.3">
      <c r="A1607" s="259">
        <f t="shared" si="57"/>
        <v>1448</v>
      </c>
      <c r="B1607" s="20" t="s">
        <v>1560</v>
      </c>
      <c r="C1607" s="162">
        <v>1963</v>
      </c>
      <c r="D1607" s="234"/>
      <c r="E1607" s="273" t="s">
        <v>3123</v>
      </c>
      <c r="F1607" s="10">
        <v>4</v>
      </c>
      <c r="G1607" s="273">
        <v>1300.6600000000001</v>
      </c>
      <c r="H1607" s="10">
        <v>60</v>
      </c>
      <c r="I1607" s="273">
        <f>SUMIF('2020'!B:B,B1607,'2020'!C:C)+SUMIF('2021'!B:B,B1607,'2021'!C:C)+SUMIF('2022'!B:B,B1607,'2022'!C:C)</f>
        <v>127620.91</v>
      </c>
      <c r="J1607" s="59">
        <v>44925</v>
      </c>
      <c r="K1607" s="273" t="s">
        <v>3118</v>
      </c>
    </row>
    <row r="1608" spans="1:11" x14ac:dyDescent="0.3">
      <c r="A1608" s="259">
        <f t="shared" si="57"/>
        <v>1449</v>
      </c>
      <c r="B1608" s="20" t="s">
        <v>1561</v>
      </c>
      <c r="C1608" s="162">
        <v>1969</v>
      </c>
      <c r="D1608" s="234"/>
      <c r="E1608" s="273" t="s">
        <v>3123</v>
      </c>
      <c r="F1608" s="10">
        <v>5</v>
      </c>
      <c r="G1608" s="273">
        <v>2454.41</v>
      </c>
      <c r="H1608" s="10">
        <v>107</v>
      </c>
      <c r="I1608" s="273">
        <f>SUMIF('2020'!B:B,B1608,'2020'!C:C)+SUMIF('2021'!B:B,B1608,'2021'!C:C)+SUMIF('2022'!B:B,B1608,'2022'!C:C)</f>
        <v>163076.89000000001</v>
      </c>
      <c r="J1608" s="59">
        <v>44925</v>
      </c>
      <c r="K1608" s="273" t="s">
        <v>3118</v>
      </c>
    </row>
    <row r="1609" spans="1:11" x14ac:dyDescent="0.3">
      <c r="A1609" s="259">
        <f t="shared" si="57"/>
        <v>1450</v>
      </c>
      <c r="B1609" s="20" t="s">
        <v>1562</v>
      </c>
      <c r="C1609" s="162">
        <v>1963</v>
      </c>
      <c r="D1609" s="234"/>
      <c r="E1609" s="273" t="s">
        <v>3123</v>
      </c>
      <c r="F1609" s="10">
        <v>4</v>
      </c>
      <c r="G1609" s="273">
        <v>2033.72</v>
      </c>
      <c r="H1609" s="10">
        <v>88</v>
      </c>
      <c r="I1609" s="273">
        <f>SUMIF('2020'!B:B,B1609,'2020'!C:C)+SUMIF('2021'!B:B,B1609,'2021'!C:C)+SUMIF('2022'!B:B,B1609,'2022'!C:C)</f>
        <v>157616.56</v>
      </c>
      <c r="J1609" s="59">
        <v>44925</v>
      </c>
      <c r="K1609" s="273" t="s">
        <v>3118</v>
      </c>
    </row>
    <row r="1610" spans="1:11" x14ac:dyDescent="0.3">
      <c r="A1610" s="259">
        <f t="shared" si="57"/>
        <v>1451</v>
      </c>
      <c r="B1610" s="20" t="s">
        <v>1563</v>
      </c>
      <c r="C1610" s="162">
        <v>1965</v>
      </c>
      <c r="D1610" s="234"/>
      <c r="E1610" s="273" t="s">
        <v>3123</v>
      </c>
      <c r="F1610" s="10">
        <v>4</v>
      </c>
      <c r="G1610" s="273">
        <v>2004.81</v>
      </c>
      <c r="H1610" s="10">
        <v>82</v>
      </c>
      <c r="I1610" s="273">
        <f>SUMIF('2020'!B:B,B1610,'2020'!C:C)+SUMIF('2021'!B:B,B1610,'2021'!C:C)+SUMIF('2022'!B:B,B1610,'2022'!C:C)</f>
        <v>156496.34</v>
      </c>
      <c r="J1610" s="59">
        <v>44925</v>
      </c>
      <c r="K1610" s="273" t="s">
        <v>3118</v>
      </c>
    </row>
    <row r="1611" spans="1:11" x14ac:dyDescent="0.3">
      <c r="A1611" s="259">
        <f t="shared" si="57"/>
        <v>1452</v>
      </c>
      <c r="B1611" s="20" t="s">
        <v>1564</v>
      </c>
      <c r="C1611" s="162">
        <v>1974</v>
      </c>
      <c r="D1611" s="234"/>
      <c r="E1611" s="273" t="s">
        <v>3123</v>
      </c>
      <c r="F1611" s="10">
        <v>9</v>
      </c>
      <c r="G1611" s="273">
        <v>3863.11</v>
      </c>
      <c r="H1611" s="10">
        <v>147</v>
      </c>
      <c r="I1611" s="273">
        <f>SUMIF('2020'!B:B,B1611,'2020'!C:C)+SUMIF('2021'!B:B,B1611,'2021'!C:C)+SUMIF('2022'!B:B,B1611,'2022'!C:C)</f>
        <v>1551798.2</v>
      </c>
      <c r="J1611" s="59">
        <v>44925</v>
      </c>
      <c r="K1611" s="273" t="s">
        <v>3118</v>
      </c>
    </row>
    <row r="1612" spans="1:11" x14ac:dyDescent="0.3">
      <c r="A1612" s="259">
        <f t="shared" si="57"/>
        <v>1453</v>
      </c>
      <c r="B1612" s="20" t="s">
        <v>1565</v>
      </c>
      <c r="C1612" s="162">
        <v>1978</v>
      </c>
      <c r="D1612" s="234"/>
      <c r="E1612" s="273" t="s">
        <v>3123</v>
      </c>
      <c r="F1612" s="10">
        <v>5</v>
      </c>
      <c r="G1612" s="273">
        <v>3613.7</v>
      </c>
      <c r="H1612" s="10">
        <v>166</v>
      </c>
      <c r="I1612" s="273">
        <f>SUMIF('2020'!B:B,B1612,'2020'!C:C)+SUMIF('2021'!B:B,B1612,'2021'!C:C)+SUMIF('2022'!B:B,B1612,'2022'!C:C)</f>
        <v>194421.67</v>
      </c>
      <c r="J1612" s="59">
        <v>44925</v>
      </c>
      <c r="K1612" s="273" t="s">
        <v>3118</v>
      </c>
    </row>
    <row r="1613" spans="1:11" x14ac:dyDescent="0.3">
      <c r="A1613" s="259">
        <f t="shared" si="57"/>
        <v>1454</v>
      </c>
      <c r="B1613" s="20" t="s">
        <v>1566</v>
      </c>
      <c r="C1613" s="162">
        <v>1948</v>
      </c>
      <c r="D1613" s="234"/>
      <c r="E1613" s="234" t="s">
        <v>3123</v>
      </c>
      <c r="F1613" s="10">
        <v>3</v>
      </c>
      <c r="G1613" s="273">
        <v>1136.9000000000001</v>
      </c>
      <c r="H1613" s="10">
        <v>58</v>
      </c>
      <c r="I1613" s="273">
        <f>SUMIF('2020'!B:B,B1613,'2020'!C:C)+SUMIF('2021'!B:B,B1613,'2021'!C:C)+SUMIF('2022'!B:B,B1613,'2022'!C:C)</f>
        <v>504124.2</v>
      </c>
      <c r="J1613" s="59">
        <v>44925</v>
      </c>
      <c r="K1613" s="273" t="s">
        <v>3118</v>
      </c>
    </row>
    <row r="1614" spans="1:11" x14ac:dyDescent="0.3">
      <c r="A1614" s="259">
        <f t="shared" si="57"/>
        <v>1455</v>
      </c>
      <c r="B1614" s="20" t="s">
        <v>1567</v>
      </c>
      <c r="C1614" s="162">
        <v>1916</v>
      </c>
      <c r="D1614" s="234"/>
      <c r="E1614" s="273" t="s">
        <v>3437</v>
      </c>
      <c r="F1614" s="10">
        <v>2</v>
      </c>
      <c r="G1614" s="273">
        <v>276.60000000000002</v>
      </c>
      <c r="H1614" s="10">
        <v>21</v>
      </c>
      <c r="I1614" s="273">
        <f>SUMIF('2020'!B:B,B1614,'2020'!C:C)+SUMIF('2021'!B:B,B1614,'2021'!C:C)+SUMIF('2022'!B:B,B1614,'2022'!C:C)</f>
        <v>79802.460000000006</v>
      </c>
      <c r="J1614" s="59">
        <v>44925</v>
      </c>
      <c r="K1614" s="273" t="s">
        <v>3118</v>
      </c>
    </row>
    <row r="1615" spans="1:11" x14ac:dyDescent="0.3">
      <c r="A1615" s="259">
        <f t="shared" si="57"/>
        <v>1456</v>
      </c>
      <c r="B1615" s="20" t="s">
        <v>1568</v>
      </c>
      <c r="C1615" s="162">
        <v>1960</v>
      </c>
      <c r="D1615" s="234"/>
      <c r="E1615" s="234" t="s">
        <v>3123</v>
      </c>
      <c r="F1615" s="10">
        <v>2</v>
      </c>
      <c r="G1615" s="273">
        <v>554.4</v>
      </c>
      <c r="H1615" s="10">
        <v>37</v>
      </c>
      <c r="I1615" s="273">
        <f>SUMIF('2020'!B:B,B1615,'2020'!C:C)+SUMIF('2021'!B:B,B1615,'2021'!C:C)+SUMIF('2022'!B:B,B1615,'2022'!C:C)</f>
        <v>130000</v>
      </c>
      <c r="J1615" s="59">
        <v>44925</v>
      </c>
      <c r="K1615" s="273" t="s">
        <v>3118</v>
      </c>
    </row>
    <row r="1616" spans="1:11" x14ac:dyDescent="0.3">
      <c r="A1616" s="259">
        <f t="shared" si="57"/>
        <v>1457</v>
      </c>
      <c r="B1616" s="20" t="s">
        <v>1569</v>
      </c>
      <c r="C1616" s="162">
        <v>1967</v>
      </c>
      <c r="D1616" s="234"/>
      <c r="E1616" s="234" t="s">
        <v>3123</v>
      </c>
      <c r="F1616" s="10">
        <v>9</v>
      </c>
      <c r="G1616" s="273">
        <v>1963</v>
      </c>
      <c r="H1616" s="10">
        <v>87</v>
      </c>
      <c r="I1616" s="273">
        <f>SUMIF('2020'!B:B,B1616,'2020'!C:C)+SUMIF('2021'!B:B,B1616,'2021'!C:C)+SUMIF('2022'!B:B,B1616,'2022'!C:C)</f>
        <v>28272057</v>
      </c>
      <c r="J1616" s="59">
        <v>44925</v>
      </c>
      <c r="K1616" s="273" t="s">
        <v>3118</v>
      </c>
    </row>
    <row r="1617" spans="1:11" x14ac:dyDescent="0.3">
      <c r="A1617" s="259">
        <f t="shared" si="57"/>
        <v>1458</v>
      </c>
      <c r="B1617" s="20" t="s">
        <v>1570</v>
      </c>
      <c r="C1617" s="162">
        <v>1968</v>
      </c>
      <c r="D1617" s="234"/>
      <c r="E1617" s="273" t="s">
        <v>3123</v>
      </c>
      <c r="F1617" s="10">
        <v>9</v>
      </c>
      <c r="G1617" s="273">
        <v>1936.2</v>
      </c>
      <c r="H1617" s="10">
        <v>94</v>
      </c>
      <c r="I1617" s="273">
        <f>SUMIF('2020'!B:B,B1617,'2020'!C:C)+SUMIF('2021'!B:B,B1617,'2021'!C:C)+SUMIF('2022'!B:B,B1617,'2022'!C:C)</f>
        <v>130000</v>
      </c>
      <c r="J1617" s="59">
        <v>44925</v>
      </c>
      <c r="K1617" s="273" t="s">
        <v>3118</v>
      </c>
    </row>
    <row r="1618" spans="1:11" x14ac:dyDescent="0.3">
      <c r="A1618" s="259">
        <f t="shared" si="57"/>
        <v>1459</v>
      </c>
      <c r="B1618" s="20" t="s">
        <v>1571</v>
      </c>
      <c r="C1618" s="162">
        <v>1967</v>
      </c>
      <c r="D1618" s="234"/>
      <c r="E1618" s="273" t="s">
        <v>3123</v>
      </c>
      <c r="F1618" s="10">
        <v>9</v>
      </c>
      <c r="G1618" s="273">
        <v>1973.1</v>
      </c>
      <c r="H1618" s="10">
        <v>80</v>
      </c>
      <c r="I1618" s="273">
        <f>SUMIF('2020'!B:B,B1618,'2020'!C:C)+SUMIF('2021'!B:B,B1618,'2021'!C:C)+SUMIF('2022'!B:B,B1618,'2022'!C:C)</f>
        <v>130000</v>
      </c>
      <c r="J1618" s="59">
        <v>44925</v>
      </c>
      <c r="K1618" s="273" t="s">
        <v>3118</v>
      </c>
    </row>
    <row r="1619" spans="1:11" x14ac:dyDescent="0.3">
      <c r="A1619" s="259">
        <f t="shared" si="57"/>
        <v>1460</v>
      </c>
      <c r="B1619" s="20" t="s">
        <v>1572</v>
      </c>
      <c r="C1619" s="162">
        <v>1947</v>
      </c>
      <c r="D1619" s="234"/>
      <c r="E1619" s="273" t="s">
        <v>3437</v>
      </c>
      <c r="F1619" s="10">
        <v>2</v>
      </c>
      <c r="G1619" s="273">
        <v>183.1</v>
      </c>
      <c r="H1619" s="10">
        <v>9</v>
      </c>
      <c r="I1619" s="273">
        <f>SUMIF('2020'!B:B,B1619,'2020'!C:C)+SUMIF('2021'!B:B,B1619,'2021'!C:C)+SUMIF('2022'!B:B,B1619,'2022'!C:C)</f>
        <v>63666.34</v>
      </c>
      <c r="J1619" s="59">
        <v>44925</v>
      </c>
      <c r="K1619" s="273" t="s">
        <v>3118</v>
      </c>
    </row>
    <row r="1620" spans="1:11" x14ac:dyDescent="0.3">
      <c r="A1620" s="259">
        <f t="shared" si="57"/>
        <v>1461</v>
      </c>
      <c r="B1620" s="20" t="s">
        <v>1573</v>
      </c>
      <c r="C1620" s="162">
        <v>1973</v>
      </c>
      <c r="D1620" s="234"/>
      <c r="E1620" s="234" t="s">
        <v>3123</v>
      </c>
      <c r="F1620" s="10">
        <v>3</v>
      </c>
      <c r="G1620" s="273">
        <v>1105</v>
      </c>
      <c r="H1620" s="10">
        <v>55</v>
      </c>
      <c r="I1620" s="273">
        <f>SUMIF('2020'!B:B,B1620,'2020'!C:C)+SUMIF('2021'!B:B,B1620,'2021'!C:C)+SUMIF('2022'!B:B,B1620,'2022'!C:C)</f>
        <v>130000</v>
      </c>
      <c r="J1620" s="59">
        <v>44925</v>
      </c>
      <c r="K1620" s="273" t="s">
        <v>3118</v>
      </c>
    </row>
    <row r="1621" spans="1:11" x14ac:dyDescent="0.3">
      <c r="A1621" s="259">
        <f t="shared" si="57"/>
        <v>1462</v>
      </c>
      <c r="B1621" s="20" t="s">
        <v>1574</v>
      </c>
      <c r="C1621" s="162">
        <v>1963</v>
      </c>
      <c r="D1621" s="234"/>
      <c r="E1621" s="234" t="s">
        <v>3123</v>
      </c>
      <c r="F1621" s="10">
        <v>4</v>
      </c>
      <c r="G1621" s="273">
        <v>2018.03</v>
      </c>
      <c r="H1621" s="10">
        <v>84</v>
      </c>
      <c r="I1621" s="273">
        <f>SUMIF('2020'!B:B,B1621,'2020'!C:C)+SUMIF('2021'!B:B,B1621,'2021'!C:C)+SUMIF('2022'!B:B,B1621,'2022'!C:C)</f>
        <v>130000</v>
      </c>
      <c r="J1621" s="59">
        <v>44925</v>
      </c>
      <c r="K1621" s="273" t="s">
        <v>3118</v>
      </c>
    </row>
    <row r="1622" spans="1:11" x14ac:dyDescent="0.3">
      <c r="A1622" s="259">
        <f t="shared" si="57"/>
        <v>1463</v>
      </c>
      <c r="B1622" s="20" t="s">
        <v>1575</v>
      </c>
      <c r="C1622" s="162">
        <v>1964</v>
      </c>
      <c r="D1622" s="234"/>
      <c r="E1622" s="234" t="s">
        <v>3123</v>
      </c>
      <c r="F1622" s="10">
        <v>5</v>
      </c>
      <c r="G1622" s="273">
        <v>2487</v>
      </c>
      <c r="H1622" s="10">
        <v>128</v>
      </c>
      <c r="I1622" s="273">
        <f>SUMIF('2020'!B:B,B1622,'2020'!C:C)+SUMIF('2021'!B:B,B1622,'2021'!C:C)+SUMIF('2022'!B:B,B1622,'2022'!C:C)</f>
        <v>154514</v>
      </c>
      <c r="J1622" s="59">
        <v>44925</v>
      </c>
      <c r="K1622" s="273" t="s">
        <v>3118</v>
      </c>
    </row>
    <row r="1623" spans="1:11" x14ac:dyDescent="0.3">
      <c r="A1623" s="259">
        <f t="shared" si="57"/>
        <v>1464</v>
      </c>
      <c r="B1623" s="20" t="s">
        <v>1576</v>
      </c>
      <c r="C1623" s="162">
        <v>1964</v>
      </c>
      <c r="D1623" s="234"/>
      <c r="E1623" s="273" t="s">
        <v>3448</v>
      </c>
      <c r="F1623" s="10">
        <v>5</v>
      </c>
      <c r="G1623" s="273">
        <v>3531.1</v>
      </c>
      <c r="H1623" s="10">
        <v>164</v>
      </c>
      <c r="I1623" s="273">
        <f>SUMIF('2020'!B:B,B1623,'2020'!C:C)+SUMIF('2021'!B:B,B1623,'2021'!C:C)+SUMIF('2022'!B:B,B1623,'2022'!C:C)</f>
        <v>551875.68000000005</v>
      </c>
      <c r="J1623" s="59">
        <v>44925</v>
      </c>
      <c r="K1623" s="273" t="s">
        <v>3118</v>
      </c>
    </row>
    <row r="1624" spans="1:11" x14ac:dyDescent="0.3">
      <c r="A1624" s="259">
        <f t="shared" si="57"/>
        <v>1465</v>
      </c>
      <c r="B1624" s="20" t="s">
        <v>1577</v>
      </c>
      <c r="C1624" s="162">
        <v>1965</v>
      </c>
      <c r="D1624" s="234"/>
      <c r="E1624" s="234" t="s">
        <v>3123</v>
      </c>
      <c r="F1624" s="10">
        <v>5</v>
      </c>
      <c r="G1624" s="273">
        <v>2503.6999999999998</v>
      </c>
      <c r="H1624" s="10">
        <v>122</v>
      </c>
      <c r="I1624" s="273">
        <f>SUMIF('2020'!B:B,B1624,'2020'!C:C)+SUMIF('2021'!B:B,B1624,'2021'!C:C)+SUMIF('2022'!B:B,B1624,'2022'!C:C)</f>
        <v>130000</v>
      </c>
      <c r="J1624" s="59">
        <v>44925</v>
      </c>
      <c r="K1624" s="273" t="s">
        <v>3118</v>
      </c>
    </row>
    <row r="1625" spans="1:11" x14ac:dyDescent="0.3">
      <c r="A1625" s="259">
        <f t="shared" si="57"/>
        <v>1466</v>
      </c>
      <c r="B1625" s="20" t="s">
        <v>1578</v>
      </c>
      <c r="C1625" s="162">
        <v>1966</v>
      </c>
      <c r="D1625" s="234"/>
      <c r="E1625" s="234" t="s">
        <v>3123</v>
      </c>
      <c r="F1625" s="10">
        <v>5</v>
      </c>
      <c r="G1625" s="273">
        <v>3115.3</v>
      </c>
      <c r="H1625" s="10">
        <v>112</v>
      </c>
      <c r="I1625" s="273">
        <f>SUMIF('2020'!B:B,B1625,'2020'!C:C)+SUMIF('2021'!B:B,B1625,'2021'!C:C)+SUMIF('2022'!B:B,B1625,'2022'!C:C)</f>
        <v>130000</v>
      </c>
      <c r="J1625" s="59">
        <v>44925</v>
      </c>
      <c r="K1625" s="273" t="s">
        <v>3118</v>
      </c>
    </row>
    <row r="1626" spans="1:11" x14ac:dyDescent="0.3">
      <c r="A1626" s="259"/>
      <c r="B1626" s="20" t="s">
        <v>208</v>
      </c>
      <c r="C1626" s="273" t="s">
        <v>3558</v>
      </c>
      <c r="D1626" s="273" t="s">
        <v>3558</v>
      </c>
      <c r="E1626" s="273" t="s">
        <v>3558</v>
      </c>
      <c r="F1626" s="273" t="s">
        <v>3558</v>
      </c>
      <c r="G1626" s="273">
        <f>SUM(G1596:G1625)</f>
        <v>56446.499999999993</v>
      </c>
      <c r="H1626" s="10">
        <f>SUM(H1596:H1625)</f>
        <v>2504</v>
      </c>
      <c r="I1626" s="273">
        <f>SUM(I1596:I1625)</f>
        <v>34437120.119999997</v>
      </c>
      <c r="J1626" s="273" t="s">
        <v>3558</v>
      </c>
      <c r="K1626" s="273" t="s">
        <v>3558</v>
      </c>
    </row>
    <row r="1627" spans="1:11" x14ac:dyDescent="0.3">
      <c r="A1627" s="291" t="s">
        <v>1579</v>
      </c>
      <c r="B1627" s="291"/>
      <c r="C1627" s="273"/>
      <c r="D1627" s="234"/>
      <c r="E1627" s="234"/>
      <c r="F1627" s="234"/>
      <c r="G1627" s="273"/>
      <c r="H1627" s="10"/>
      <c r="I1627" s="273"/>
      <c r="J1627" s="273"/>
      <c r="K1627" s="273"/>
    </row>
    <row r="1628" spans="1:11" x14ac:dyDescent="0.3">
      <c r="A1628" s="259">
        <f>A1625+1</f>
        <v>1467</v>
      </c>
      <c r="B1628" s="20" t="s">
        <v>1580</v>
      </c>
      <c r="C1628" s="162">
        <v>1974</v>
      </c>
      <c r="D1628" s="234"/>
      <c r="E1628" s="234" t="s">
        <v>3123</v>
      </c>
      <c r="F1628" s="10">
        <v>2</v>
      </c>
      <c r="G1628" s="273">
        <v>333.8</v>
      </c>
      <c r="H1628" s="10">
        <v>14</v>
      </c>
      <c r="I1628" s="273">
        <f>SUMIF('2020'!B:B,B1628,'2020'!C:C)+SUMIF('2021'!B:B,B1628,'2021'!C:C)+SUMIF('2022'!B:B,B1628,'2022'!C:C)</f>
        <v>2308136.4</v>
      </c>
      <c r="J1628" s="59">
        <v>44925</v>
      </c>
      <c r="K1628" s="273" t="s">
        <v>3118</v>
      </c>
    </row>
    <row r="1629" spans="1:11" x14ac:dyDescent="0.3">
      <c r="A1629" s="259"/>
      <c r="B1629" s="20" t="s">
        <v>208</v>
      </c>
      <c r="C1629" s="273" t="s">
        <v>3558</v>
      </c>
      <c r="D1629" s="273" t="s">
        <v>3558</v>
      </c>
      <c r="E1629" s="273" t="s">
        <v>3558</v>
      </c>
      <c r="F1629" s="273" t="s">
        <v>3558</v>
      </c>
      <c r="G1629" s="273">
        <f>SUM(G1628:G1628)</f>
        <v>333.8</v>
      </c>
      <c r="H1629" s="10">
        <f>SUM(H1628:H1628)</f>
        <v>14</v>
      </c>
      <c r="I1629" s="273">
        <f>SUM(I1628:I1628)</f>
        <v>2308136.4</v>
      </c>
      <c r="J1629" s="273" t="s">
        <v>3558</v>
      </c>
      <c r="K1629" s="273" t="s">
        <v>3558</v>
      </c>
    </row>
    <row r="1630" spans="1:11" x14ac:dyDescent="0.3">
      <c r="A1630" s="291" t="s">
        <v>1581</v>
      </c>
      <c r="B1630" s="291"/>
      <c r="C1630" s="273"/>
      <c r="D1630" s="234"/>
      <c r="E1630" s="234"/>
      <c r="F1630" s="234"/>
      <c r="G1630" s="273"/>
      <c r="H1630" s="10"/>
      <c r="I1630" s="273"/>
      <c r="J1630" s="273"/>
      <c r="K1630" s="273"/>
    </row>
    <row r="1631" spans="1:11" x14ac:dyDescent="0.3">
      <c r="A1631" s="259">
        <f>A1628+1</f>
        <v>1468</v>
      </c>
      <c r="B1631" s="20" t="s">
        <v>1582</v>
      </c>
      <c r="C1631" s="162">
        <v>1970</v>
      </c>
      <c r="D1631" s="234"/>
      <c r="E1631" s="234" t="s">
        <v>3123</v>
      </c>
      <c r="F1631" s="10">
        <v>2</v>
      </c>
      <c r="G1631" s="273">
        <v>546.20000000000005</v>
      </c>
      <c r="H1631" s="10">
        <v>39</v>
      </c>
      <c r="I1631" s="273">
        <f>SUMIF('2020'!B:B,B1631,'2020'!C:C)+SUMIF('2021'!B:B,B1631,'2021'!C:C)+SUMIF('2022'!B:B,B1631,'2022'!C:C)</f>
        <v>9466984.8000000007</v>
      </c>
      <c r="J1631" s="59">
        <v>44925</v>
      </c>
      <c r="K1631" s="273" t="s">
        <v>3118</v>
      </c>
    </row>
    <row r="1632" spans="1:11" x14ac:dyDescent="0.3">
      <c r="A1632" s="259">
        <f t="shared" ref="A1632:A1637" si="58">A1631+1</f>
        <v>1469</v>
      </c>
      <c r="B1632" s="20" t="s">
        <v>1583</v>
      </c>
      <c r="C1632" s="162">
        <v>1980</v>
      </c>
      <c r="D1632" s="234"/>
      <c r="E1632" s="234" t="s">
        <v>3123</v>
      </c>
      <c r="F1632" s="10">
        <v>2</v>
      </c>
      <c r="G1632" s="273">
        <v>912.7</v>
      </c>
      <c r="H1632" s="10">
        <v>38</v>
      </c>
      <c r="I1632" s="273">
        <f>SUMIF('2020'!B:B,B1632,'2020'!C:C)+SUMIF('2021'!B:B,B1632,'2021'!C:C)+SUMIF('2022'!B:B,B1632,'2022'!C:C)</f>
        <v>964008.39</v>
      </c>
      <c r="J1632" s="59">
        <v>44925</v>
      </c>
      <c r="K1632" s="273" t="s">
        <v>3118</v>
      </c>
    </row>
    <row r="1633" spans="1:13" x14ac:dyDescent="0.3">
      <c r="A1633" s="259">
        <f t="shared" si="58"/>
        <v>1470</v>
      </c>
      <c r="B1633" s="20" t="s">
        <v>1584</v>
      </c>
      <c r="C1633" s="162">
        <v>1973</v>
      </c>
      <c r="D1633" s="234"/>
      <c r="E1633" s="234" t="s">
        <v>3123</v>
      </c>
      <c r="F1633" s="10">
        <v>2</v>
      </c>
      <c r="G1633" s="273">
        <v>748</v>
      </c>
      <c r="H1633" s="10">
        <v>48</v>
      </c>
      <c r="I1633" s="273">
        <f>SUMIF('2020'!B:B,B1633,'2020'!C:C)+SUMIF('2021'!B:B,B1633,'2021'!C:C)+SUMIF('2022'!B:B,B1633,'2022'!C:C)</f>
        <v>11083478.4</v>
      </c>
      <c r="J1633" s="59">
        <v>44925</v>
      </c>
      <c r="K1633" s="273" t="s">
        <v>3118</v>
      </c>
    </row>
    <row r="1634" spans="1:13" x14ac:dyDescent="0.3">
      <c r="A1634" s="259">
        <f t="shared" si="58"/>
        <v>1471</v>
      </c>
      <c r="B1634" s="20" t="s">
        <v>1585</v>
      </c>
      <c r="C1634" s="162">
        <v>1974</v>
      </c>
      <c r="D1634" s="234"/>
      <c r="E1634" s="234" t="s">
        <v>3123</v>
      </c>
      <c r="F1634" s="10">
        <v>2</v>
      </c>
      <c r="G1634" s="273">
        <v>713.6</v>
      </c>
      <c r="H1634" s="10">
        <v>39</v>
      </c>
      <c r="I1634" s="273">
        <f>SUMIF('2020'!B:B,B1634,'2020'!C:C)+SUMIF('2021'!B:B,B1634,'2021'!C:C)+SUMIF('2022'!B:B,B1634,'2022'!C:C)</f>
        <v>9907411.5399999991</v>
      </c>
      <c r="J1634" s="59">
        <v>44925</v>
      </c>
      <c r="K1634" s="273" t="s">
        <v>3118</v>
      </c>
    </row>
    <row r="1635" spans="1:13" x14ac:dyDescent="0.3">
      <c r="A1635" s="259">
        <f t="shared" si="58"/>
        <v>1472</v>
      </c>
      <c r="B1635" s="20" t="s">
        <v>1586</v>
      </c>
      <c r="C1635" s="162">
        <v>1970</v>
      </c>
      <c r="D1635" s="234"/>
      <c r="E1635" s="234" t="s">
        <v>3123</v>
      </c>
      <c r="F1635" s="10">
        <v>2</v>
      </c>
      <c r="G1635" s="273">
        <v>516.29999999999995</v>
      </c>
      <c r="H1635" s="10">
        <v>21</v>
      </c>
      <c r="I1635" s="273">
        <f>SUMIF('2020'!B:B,B1635,'2020'!C:C)+SUMIF('2021'!B:B,B1635,'2021'!C:C)+SUMIF('2022'!B:B,B1635,'2022'!C:C)</f>
        <v>879324.58</v>
      </c>
      <c r="J1635" s="59">
        <v>44925</v>
      </c>
      <c r="K1635" s="273" t="s">
        <v>3118</v>
      </c>
    </row>
    <row r="1636" spans="1:13" x14ac:dyDescent="0.3">
      <c r="A1636" s="259">
        <f t="shared" si="58"/>
        <v>1473</v>
      </c>
      <c r="B1636" s="20" t="s">
        <v>1587</v>
      </c>
      <c r="C1636" s="162">
        <v>1981</v>
      </c>
      <c r="D1636" s="234"/>
      <c r="E1636" s="234" t="s">
        <v>3123</v>
      </c>
      <c r="F1636" s="10">
        <v>3</v>
      </c>
      <c r="G1636" s="273">
        <v>1281.4000000000001</v>
      </c>
      <c r="H1636" s="10">
        <v>72</v>
      </c>
      <c r="I1636" s="273">
        <f>SUMIF('2020'!B:B,B1636,'2020'!C:C)+SUMIF('2021'!B:B,B1636,'2021'!C:C)+SUMIF('2022'!B:B,B1636,'2022'!C:C)</f>
        <v>14470517.59</v>
      </c>
      <c r="J1636" s="59">
        <v>44925</v>
      </c>
      <c r="K1636" s="273" t="s">
        <v>3118</v>
      </c>
    </row>
    <row r="1637" spans="1:13" x14ac:dyDescent="0.3">
      <c r="A1637" s="259">
        <f t="shared" si="58"/>
        <v>1474</v>
      </c>
      <c r="B1637" s="20" t="s">
        <v>1588</v>
      </c>
      <c r="C1637" s="162">
        <v>1975</v>
      </c>
      <c r="D1637" s="234"/>
      <c r="E1637" s="234" t="s">
        <v>3123</v>
      </c>
      <c r="F1637" s="10">
        <v>2</v>
      </c>
      <c r="G1637" s="273">
        <v>334</v>
      </c>
      <c r="H1637" s="10">
        <v>21</v>
      </c>
      <c r="I1637" s="273">
        <f>SUMIF('2020'!B:B,B1637,'2020'!C:C)+SUMIF('2021'!B:B,B1637,'2021'!C:C)+SUMIF('2022'!B:B,B1637,'2022'!C:C)</f>
        <v>4323578.4400000004</v>
      </c>
      <c r="J1637" s="59">
        <v>44925</v>
      </c>
      <c r="K1637" s="273" t="s">
        <v>3118</v>
      </c>
    </row>
    <row r="1638" spans="1:13" x14ac:dyDescent="0.3">
      <c r="A1638" s="250"/>
      <c r="B1638" s="20" t="s">
        <v>208</v>
      </c>
      <c r="C1638" s="273" t="s">
        <v>3558</v>
      </c>
      <c r="D1638" s="273" t="s">
        <v>3558</v>
      </c>
      <c r="E1638" s="273" t="s">
        <v>3558</v>
      </c>
      <c r="F1638" s="273" t="s">
        <v>3558</v>
      </c>
      <c r="G1638" s="273">
        <f>SUM(G1631:G1637)</f>
        <v>5052.2000000000007</v>
      </c>
      <c r="H1638" s="10">
        <f>SUM(H1631:H1637)</f>
        <v>278</v>
      </c>
      <c r="I1638" s="273">
        <f>SUM(I1631:I1637)</f>
        <v>51095303.739999995</v>
      </c>
      <c r="J1638" s="273" t="s">
        <v>3558</v>
      </c>
      <c r="K1638" s="273" t="s">
        <v>3558</v>
      </c>
    </row>
    <row r="1639" spans="1:13" s="43" customFormat="1" x14ac:dyDescent="0.3">
      <c r="A1639" s="295" t="s">
        <v>1589</v>
      </c>
      <c r="B1639" s="295"/>
      <c r="C1639" s="251" t="s">
        <v>3558</v>
      </c>
      <c r="D1639" s="251" t="s">
        <v>3558</v>
      </c>
      <c r="E1639" s="251" t="s">
        <v>3558</v>
      </c>
      <c r="F1639" s="251" t="s">
        <v>3558</v>
      </c>
      <c r="G1639" s="251">
        <f>G1638+G1629+G1626+G1594</f>
        <v>72778.799999999988</v>
      </c>
      <c r="H1639" s="132">
        <f>H1638+H1629+H1626+H1594</f>
        <v>3042</v>
      </c>
      <c r="I1639" s="251">
        <f>I1638+I1629+I1626+I1594</f>
        <v>116693966.97999999</v>
      </c>
      <c r="J1639" s="251" t="s">
        <v>3558</v>
      </c>
      <c r="K1639" s="251" t="s">
        <v>3558</v>
      </c>
      <c r="L1639" s="196">
        <f>I1639-'2020'!C355-'2021'!C1332-'2022'!C406</f>
        <v>0</v>
      </c>
      <c r="M1639" s="198"/>
    </row>
    <row r="1640" spans="1:13" s="43" customFormat="1" x14ac:dyDescent="0.3">
      <c r="A1640" s="292" t="s">
        <v>1590</v>
      </c>
      <c r="B1640" s="292"/>
      <c r="C1640" s="292"/>
      <c r="D1640" s="292"/>
      <c r="E1640" s="292"/>
      <c r="F1640" s="292"/>
      <c r="G1640" s="292"/>
      <c r="H1640" s="292"/>
      <c r="I1640" s="292"/>
      <c r="J1640" s="292"/>
      <c r="K1640" s="292"/>
      <c r="L1640" s="198"/>
      <c r="M1640" s="198"/>
    </row>
    <row r="1641" spans="1:13" x14ac:dyDescent="0.3">
      <c r="A1641" s="291" t="s">
        <v>1591</v>
      </c>
      <c r="B1641" s="291"/>
      <c r="C1641" s="273"/>
      <c r="D1641" s="234"/>
      <c r="E1641" s="234"/>
      <c r="F1641" s="234"/>
      <c r="G1641" s="234"/>
      <c r="H1641" s="10"/>
      <c r="I1641" s="273"/>
      <c r="J1641" s="273"/>
      <c r="K1641" s="273"/>
    </row>
    <row r="1642" spans="1:13" x14ac:dyDescent="0.3">
      <c r="A1642" s="259">
        <f>A1637+1</f>
        <v>1475</v>
      </c>
      <c r="B1642" s="20" t="s">
        <v>1592</v>
      </c>
      <c r="C1642" s="162">
        <v>1930</v>
      </c>
      <c r="D1642" s="234"/>
      <c r="E1642" s="273" t="s">
        <v>3437</v>
      </c>
      <c r="F1642" s="10">
        <v>2</v>
      </c>
      <c r="G1642" s="234">
        <v>161.30000000000001</v>
      </c>
      <c r="H1642" s="10">
        <v>9</v>
      </c>
      <c r="I1642" s="273">
        <f>SUMIF('2020'!B:B,B1642,'2020'!C:C)+SUMIF('2021'!B:B,B1642,'2021'!C:C)+SUMIF('2022'!B:B,B1642,'2022'!C:C)</f>
        <v>228087.11</v>
      </c>
      <c r="J1642" s="59">
        <v>44925</v>
      </c>
      <c r="K1642" s="273" t="s">
        <v>3118</v>
      </c>
    </row>
    <row r="1643" spans="1:13" x14ac:dyDescent="0.3">
      <c r="A1643" s="259">
        <f>A1642+1</f>
        <v>1476</v>
      </c>
      <c r="B1643" s="20" t="s">
        <v>1594</v>
      </c>
      <c r="C1643" s="162">
        <v>1929</v>
      </c>
      <c r="D1643" s="234"/>
      <c r="E1643" s="273" t="s">
        <v>3437</v>
      </c>
      <c r="F1643" s="10">
        <v>2</v>
      </c>
      <c r="G1643" s="234">
        <v>129.69999999999999</v>
      </c>
      <c r="H1643" s="10">
        <v>2</v>
      </c>
      <c r="I1643" s="273">
        <f>SUMIF('2020'!B:B,B1643,'2020'!C:C)+SUMIF('2021'!B:B,B1643,'2021'!C:C)+SUMIF('2022'!B:B,B1643,'2022'!C:C)</f>
        <v>328951.58</v>
      </c>
      <c r="J1643" s="59">
        <v>44925</v>
      </c>
      <c r="K1643" s="273" t="s">
        <v>3118</v>
      </c>
    </row>
    <row r="1644" spans="1:13" x14ac:dyDescent="0.3">
      <c r="A1644" s="259">
        <f>A1643+1</f>
        <v>1477</v>
      </c>
      <c r="B1644" s="20" t="s">
        <v>1595</v>
      </c>
      <c r="C1644" s="162">
        <v>1948</v>
      </c>
      <c r="D1644" s="234"/>
      <c r="E1644" s="273" t="s">
        <v>3437</v>
      </c>
      <c r="F1644" s="10">
        <v>2</v>
      </c>
      <c r="G1644" s="234">
        <v>187.6</v>
      </c>
      <c r="H1644" s="10">
        <v>8</v>
      </c>
      <c r="I1644" s="273">
        <f>SUMIF('2020'!B:B,B1644,'2020'!C:C)+SUMIF('2021'!B:B,B1644,'2021'!C:C)+SUMIF('2022'!B:B,B1644,'2022'!C:C)</f>
        <v>139839.34</v>
      </c>
      <c r="J1644" s="59">
        <v>44925</v>
      </c>
      <c r="K1644" s="273" t="s">
        <v>3118</v>
      </c>
    </row>
    <row r="1645" spans="1:13" x14ac:dyDescent="0.3">
      <c r="A1645" s="259"/>
      <c r="B1645" s="20" t="s">
        <v>208</v>
      </c>
      <c r="C1645" s="273" t="s">
        <v>3558</v>
      </c>
      <c r="D1645" s="273" t="s">
        <v>3558</v>
      </c>
      <c r="E1645" s="273" t="s">
        <v>3558</v>
      </c>
      <c r="F1645" s="273" t="s">
        <v>3558</v>
      </c>
      <c r="G1645" s="273">
        <f>SUM(G1642:G1644)</f>
        <v>478.6</v>
      </c>
      <c r="H1645" s="10">
        <f>SUM(H1642:H1644)</f>
        <v>19</v>
      </c>
      <c r="I1645" s="273">
        <f>SUM(I1642:I1644)</f>
        <v>696878.02999999991</v>
      </c>
      <c r="J1645" s="273" t="s">
        <v>3558</v>
      </c>
      <c r="K1645" s="273" t="s">
        <v>3558</v>
      </c>
    </row>
    <row r="1646" spans="1:13" x14ac:dyDescent="0.3">
      <c r="A1646" s="291" t="s">
        <v>1597</v>
      </c>
      <c r="B1646" s="291"/>
      <c r="C1646" s="273"/>
      <c r="D1646" s="234"/>
      <c r="E1646" s="234"/>
      <c r="F1646" s="234"/>
      <c r="G1646" s="234"/>
      <c r="H1646" s="10"/>
      <c r="I1646" s="273"/>
      <c r="J1646" s="273"/>
      <c r="K1646" s="273"/>
    </row>
    <row r="1647" spans="1:13" x14ac:dyDescent="0.3">
      <c r="A1647" s="259">
        <f>A1642+1</f>
        <v>1476</v>
      </c>
      <c r="B1647" s="20" t="s">
        <v>145</v>
      </c>
      <c r="C1647" s="162">
        <v>1971</v>
      </c>
      <c r="D1647" s="234"/>
      <c r="E1647" s="273" t="s">
        <v>3123</v>
      </c>
      <c r="F1647" s="10">
        <v>2</v>
      </c>
      <c r="G1647" s="259">
        <v>547.20000000000005</v>
      </c>
      <c r="H1647" s="10">
        <v>38</v>
      </c>
      <c r="I1647" s="273">
        <f>'2021'!C1335</f>
        <v>91146.240000000005</v>
      </c>
      <c r="J1647" s="59">
        <v>44925</v>
      </c>
      <c r="K1647" s="273" t="s">
        <v>3118</v>
      </c>
    </row>
    <row r="1648" spans="1:13" x14ac:dyDescent="0.3">
      <c r="A1648" s="259">
        <f t="shared" ref="A1648:A1658" si="59">A1647+1</f>
        <v>1477</v>
      </c>
      <c r="B1648" s="20" t="s">
        <v>1598</v>
      </c>
      <c r="C1648" s="162">
        <v>1971</v>
      </c>
      <c r="D1648" s="234"/>
      <c r="E1648" s="273" t="s">
        <v>3123</v>
      </c>
      <c r="F1648" s="10">
        <v>2</v>
      </c>
      <c r="G1648" s="259">
        <v>549.6</v>
      </c>
      <c r="H1648" s="10">
        <v>27</v>
      </c>
      <c r="I1648" s="273">
        <f>SUMIF('2020'!B:B,B1648,'2020'!C:C)+SUMIF('2021'!B:B,B1648,'2021'!C:C)+SUMIF('2022'!B:B,B1648,'2022'!C:C)</f>
        <v>91274.41</v>
      </c>
      <c r="J1648" s="59">
        <v>44925</v>
      </c>
      <c r="K1648" s="273" t="s">
        <v>3118</v>
      </c>
    </row>
    <row r="1649" spans="1:11" x14ac:dyDescent="0.3">
      <c r="A1649" s="259">
        <f t="shared" si="59"/>
        <v>1478</v>
      </c>
      <c r="B1649" s="20" t="s">
        <v>1599</v>
      </c>
      <c r="C1649" s="162">
        <v>1961</v>
      </c>
      <c r="D1649" s="234"/>
      <c r="E1649" s="273" t="s">
        <v>3123</v>
      </c>
      <c r="F1649" s="10">
        <v>2</v>
      </c>
      <c r="G1649" s="234">
        <v>446</v>
      </c>
      <c r="H1649" s="10">
        <v>19</v>
      </c>
      <c r="I1649" s="273">
        <f>SUMIF('2020'!B:B,B1649,'2020'!C:C)+SUMIF('2021'!B:B,B1649,'2021'!C:C)+SUMIF('2022'!B:B,B1649,'2022'!C:C)</f>
        <v>3355334.05</v>
      </c>
      <c r="J1649" s="59">
        <v>44925</v>
      </c>
      <c r="K1649" s="273" t="s">
        <v>3118</v>
      </c>
    </row>
    <row r="1650" spans="1:11" x14ac:dyDescent="0.3">
      <c r="A1650" s="259">
        <f t="shared" si="59"/>
        <v>1479</v>
      </c>
      <c r="B1650" s="20" t="s">
        <v>1600</v>
      </c>
      <c r="C1650" s="162">
        <v>1977</v>
      </c>
      <c r="D1650" s="234"/>
      <c r="E1650" s="273" t="s">
        <v>3119</v>
      </c>
      <c r="F1650" s="10">
        <v>5</v>
      </c>
      <c r="G1650" s="234">
        <v>4624.3</v>
      </c>
      <c r="H1650" s="10">
        <v>230</v>
      </c>
      <c r="I1650" s="273">
        <f>SUMIF('2020'!B:B,B1650,'2020'!C:C)+SUMIF('2021'!B:B,B1650,'2021'!C:C)+SUMIF('2022'!B:B,B1650,'2022'!C:C)</f>
        <v>474841.52</v>
      </c>
      <c r="J1650" s="59">
        <v>44925</v>
      </c>
      <c r="K1650" s="273" t="s">
        <v>3118</v>
      </c>
    </row>
    <row r="1651" spans="1:11" x14ac:dyDescent="0.3">
      <c r="A1651" s="259">
        <f t="shared" si="59"/>
        <v>1480</v>
      </c>
      <c r="B1651" s="20" t="s">
        <v>1601</v>
      </c>
      <c r="C1651" s="162">
        <v>1964</v>
      </c>
      <c r="D1651" s="234"/>
      <c r="E1651" s="273" t="s">
        <v>3123</v>
      </c>
      <c r="F1651" s="10">
        <v>2</v>
      </c>
      <c r="G1651" s="273">
        <v>374.9</v>
      </c>
      <c r="H1651" s="10">
        <v>27</v>
      </c>
      <c r="I1651" s="273">
        <f>SUMIF('2020'!B:B,B1651,'2020'!C:C)+SUMIF('2021'!B:B,B1651,'2021'!C:C)+SUMIF('2022'!B:B,B1651,'2022'!C:C)</f>
        <v>130000</v>
      </c>
      <c r="J1651" s="59">
        <v>44925</v>
      </c>
      <c r="K1651" s="273" t="s">
        <v>3118</v>
      </c>
    </row>
    <row r="1652" spans="1:11" x14ac:dyDescent="0.3">
      <c r="A1652" s="259">
        <f t="shared" si="59"/>
        <v>1481</v>
      </c>
      <c r="B1652" s="20" t="s">
        <v>1602</v>
      </c>
      <c r="C1652" s="162">
        <v>1970</v>
      </c>
      <c r="D1652" s="234"/>
      <c r="E1652" s="273" t="s">
        <v>3123</v>
      </c>
      <c r="F1652" s="10">
        <v>5</v>
      </c>
      <c r="G1652" s="234">
        <v>2982.7</v>
      </c>
      <c r="H1652" s="10">
        <v>154</v>
      </c>
      <c r="I1652" s="273">
        <f>SUMIF('2020'!B:B,B1652,'2020'!C:C)+SUMIF('2021'!B:B,B1652,'2021'!C:C)+SUMIF('2022'!B:B,B1652,'2022'!C:C)</f>
        <v>11153931.289999999</v>
      </c>
      <c r="J1652" s="59">
        <v>44925</v>
      </c>
      <c r="K1652" s="273" t="s">
        <v>3118</v>
      </c>
    </row>
    <row r="1653" spans="1:11" x14ac:dyDescent="0.3">
      <c r="A1653" s="259">
        <f t="shared" si="59"/>
        <v>1482</v>
      </c>
      <c r="B1653" s="20" t="s">
        <v>1603</v>
      </c>
      <c r="C1653" s="162">
        <v>1972</v>
      </c>
      <c r="D1653" s="234"/>
      <c r="E1653" s="273" t="s">
        <v>3123</v>
      </c>
      <c r="F1653" s="10">
        <v>5</v>
      </c>
      <c r="G1653" s="234">
        <v>2774.8</v>
      </c>
      <c r="H1653" s="10">
        <v>170</v>
      </c>
      <c r="I1653" s="273">
        <f>SUMIF('2020'!B:B,B1653,'2020'!C:C)+SUMIF('2021'!B:B,B1653,'2021'!C:C)+SUMIF('2022'!B:B,B1653,'2022'!C:C)</f>
        <v>168898.76</v>
      </c>
      <c r="J1653" s="59">
        <v>44925</v>
      </c>
      <c r="K1653" s="273" t="s">
        <v>3118</v>
      </c>
    </row>
    <row r="1654" spans="1:11" x14ac:dyDescent="0.3">
      <c r="A1654" s="259">
        <f t="shared" si="59"/>
        <v>1483</v>
      </c>
      <c r="B1654" s="20" t="s">
        <v>1604</v>
      </c>
      <c r="C1654" s="162">
        <v>1975</v>
      </c>
      <c r="D1654" s="234"/>
      <c r="E1654" s="273" t="s">
        <v>3119</v>
      </c>
      <c r="F1654" s="10">
        <v>5</v>
      </c>
      <c r="G1654" s="234">
        <v>2652.6</v>
      </c>
      <c r="H1654" s="10">
        <v>159</v>
      </c>
      <c r="I1654" s="273">
        <f>SUMIF('2020'!B:B,B1654,'2020'!C:C)+SUMIF('2021'!B:B,B1654,'2021'!C:C)+SUMIF('2022'!B:B,B1654,'2022'!C:C)</f>
        <v>303249.68</v>
      </c>
      <c r="J1654" s="59">
        <v>44925</v>
      </c>
      <c r="K1654" s="273" t="s">
        <v>3118</v>
      </c>
    </row>
    <row r="1655" spans="1:11" x14ac:dyDescent="0.3">
      <c r="A1655" s="259">
        <f t="shared" si="59"/>
        <v>1484</v>
      </c>
      <c r="B1655" s="20" t="s">
        <v>1605</v>
      </c>
      <c r="C1655" s="162">
        <v>1972</v>
      </c>
      <c r="D1655" s="234"/>
      <c r="E1655" s="273" t="s">
        <v>3119</v>
      </c>
      <c r="F1655" s="10">
        <v>5</v>
      </c>
      <c r="G1655" s="234">
        <v>2740.4</v>
      </c>
      <c r="H1655" s="10">
        <v>155</v>
      </c>
      <c r="I1655" s="273">
        <f>SUMIF('2020'!B:B,B1655,'2020'!C:C)+SUMIF('2021'!B:B,B1655,'2021'!C:C)+SUMIF('2022'!B:B,B1655,'2022'!C:C)</f>
        <v>452113.68</v>
      </c>
      <c r="J1655" s="59">
        <v>44925</v>
      </c>
      <c r="K1655" s="273" t="s">
        <v>3118</v>
      </c>
    </row>
    <row r="1656" spans="1:11" x14ac:dyDescent="0.3">
      <c r="A1656" s="259">
        <f t="shared" si="59"/>
        <v>1485</v>
      </c>
      <c r="B1656" s="20" t="s">
        <v>1606</v>
      </c>
      <c r="C1656" s="162">
        <v>1976</v>
      </c>
      <c r="D1656" s="234"/>
      <c r="E1656" s="273" t="s">
        <v>3119</v>
      </c>
      <c r="F1656" s="10">
        <v>5</v>
      </c>
      <c r="G1656" s="234">
        <v>2664.7</v>
      </c>
      <c r="H1656" s="10">
        <v>161</v>
      </c>
      <c r="I1656" s="273">
        <f>SUMIF('2020'!B:B,B1656,'2020'!C:C)+SUMIF('2021'!B:B,B1656,'2021'!C:C)+SUMIF('2022'!B:B,B1656,'2022'!C:C)</f>
        <v>304841.40000000002</v>
      </c>
      <c r="J1656" s="59">
        <v>44925</v>
      </c>
      <c r="K1656" s="273" t="s">
        <v>3118</v>
      </c>
    </row>
    <row r="1657" spans="1:11" x14ac:dyDescent="0.3">
      <c r="A1657" s="259">
        <f t="shared" si="59"/>
        <v>1486</v>
      </c>
      <c r="B1657" s="20" t="s">
        <v>1607</v>
      </c>
      <c r="C1657" s="162">
        <v>1976</v>
      </c>
      <c r="D1657" s="234"/>
      <c r="E1657" s="273" t="s">
        <v>3119</v>
      </c>
      <c r="F1657" s="10">
        <v>5</v>
      </c>
      <c r="G1657" s="234">
        <v>2662.1</v>
      </c>
      <c r="H1657" s="10">
        <v>165</v>
      </c>
      <c r="I1657" s="273">
        <f>SUMIF('2020'!B:B,B1657,'2020'!C:C)+SUMIF('2021'!B:B,B1657,'2021'!C:C)+SUMIF('2022'!B:B,B1657,'2022'!C:C)</f>
        <v>547103.39</v>
      </c>
      <c r="J1657" s="59">
        <v>44925</v>
      </c>
      <c r="K1657" s="273" t="s">
        <v>3118</v>
      </c>
    </row>
    <row r="1658" spans="1:11" x14ac:dyDescent="0.3">
      <c r="A1658" s="259">
        <f t="shared" si="59"/>
        <v>1487</v>
      </c>
      <c r="B1658" s="20" t="s">
        <v>1608</v>
      </c>
      <c r="C1658" s="162">
        <v>1977</v>
      </c>
      <c r="D1658" s="234"/>
      <c r="E1658" s="273" t="s">
        <v>3119</v>
      </c>
      <c r="F1658" s="10">
        <v>5</v>
      </c>
      <c r="G1658" s="234">
        <v>4576.3</v>
      </c>
      <c r="H1658" s="10">
        <v>228</v>
      </c>
      <c r="I1658" s="273">
        <f>SUMIF('2020'!B:B,B1658,'2020'!C:C)+SUMIF('2021'!B:B,B1658,'2021'!C:C)+SUMIF('2022'!B:B,B1658,'2022'!C:C)</f>
        <v>453597.61</v>
      </c>
      <c r="J1658" s="59">
        <v>44925</v>
      </c>
      <c r="K1658" s="273" t="s">
        <v>3118</v>
      </c>
    </row>
    <row r="1659" spans="1:11" x14ac:dyDescent="0.3">
      <c r="A1659" s="259"/>
      <c r="B1659" s="20" t="s">
        <v>208</v>
      </c>
      <c r="C1659" s="273" t="s">
        <v>3558</v>
      </c>
      <c r="D1659" s="273" t="s">
        <v>3558</v>
      </c>
      <c r="E1659" s="273" t="s">
        <v>3558</v>
      </c>
      <c r="F1659" s="273" t="s">
        <v>3558</v>
      </c>
      <c r="G1659" s="273">
        <f>SUM(G1647:G1658)</f>
        <v>27595.599999999999</v>
      </c>
      <c r="H1659" s="10">
        <f>SUM(H1647:H1658)</f>
        <v>1533</v>
      </c>
      <c r="I1659" s="273">
        <f>SUM(I1647:I1658)</f>
        <v>17526332.029999997</v>
      </c>
      <c r="J1659" s="273" t="s">
        <v>3558</v>
      </c>
      <c r="K1659" s="273" t="s">
        <v>3558</v>
      </c>
    </row>
    <row r="1660" spans="1:11" x14ac:dyDescent="0.3">
      <c r="A1660" s="291" t="s">
        <v>1609</v>
      </c>
      <c r="B1660" s="291"/>
      <c r="C1660" s="273"/>
      <c r="D1660" s="234"/>
      <c r="E1660" s="234"/>
      <c r="F1660" s="234"/>
      <c r="G1660" s="234"/>
      <c r="H1660" s="10"/>
      <c r="I1660" s="273"/>
      <c r="J1660" s="273"/>
      <c r="K1660" s="273"/>
    </row>
    <row r="1661" spans="1:11" x14ac:dyDescent="0.3">
      <c r="A1661" s="259">
        <f>A1658+1</f>
        <v>1488</v>
      </c>
      <c r="B1661" s="20" t="s">
        <v>1610</v>
      </c>
      <c r="C1661" s="162">
        <v>1980</v>
      </c>
      <c r="D1661" s="234"/>
      <c r="E1661" s="273" t="s">
        <v>3123</v>
      </c>
      <c r="F1661" s="50">
        <v>5</v>
      </c>
      <c r="G1661" s="234">
        <v>7393</v>
      </c>
      <c r="H1661" s="10">
        <v>323</v>
      </c>
      <c r="I1661" s="273">
        <f>SUMIF('2020'!B:B,B1661,'2020'!C:C)+SUMIF('2021'!B:B,B1661,'2021'!C:C)+SUMIF('2022'!B:B,B1661,'2022'!C:C)</f>
        <v>25390987.800000001</v>
      </c>
      <c r="J1661" s="59">
        <v>44925</v>
      </c>
      <c r="K1661" s="273" t="s">
        <v>3118</v>
      </c>
    </row>
    <row r="1662" spans="1:11" x14ac:dyDescent="0.3">
      <c r="A1662" s="259">
        <f t="shared" ref="A1662:A1696" si="60">A1661+1</f>
        <v>1489</v>
      </c>
      <c r="B1662" s="20" t="s">
        <v>1611</v>
      </c>
      <c r="C1662" s="162">
        <v>1996</v>
      </c>
      <c r="D1662" s="234"/>
      <c r="E1662" s="234" t="s">
        <v>3129</v>
      </c>
      <c r="F1662" s="50">
        <v>9</v>
      </c>
      <c r="G1662" s="234">
        <v>2344</v>
      </c>
      <c r="H1662" s="10">
        <v>101</v>
      </c>
      <c r="I1662" s="273">
        <f>SUMIF('2020'!B:B,B1662,'2020'!C:C)+SUMIF('2021'!B:B,B1662,'2021'!C:C)+SUMIF('2022'!B:B,B1662,'2022'!C:C)</f>
        <v>40433824.799999997</v>
      </c>
      <c r="J1662" s="59">
        <v>44925</v>
      </c>
      <c r="K1662" s="273" t="s">
        <v>3118</v>
      </c>
    </row>
    <row r="1663" spans="1:11" x14ac:dyDescent="0.3">
      <c r="A1663" s="259">
        <f t="shared" si="60"/>
        <v>1490</v>
      </c>
      <c r="B1663" s="20" t="s">
        <v>1612</v>
      </c>
      <c r="C1663" s="162">
        <v>1969</v>
      </c>
      <c r="D1663" s="234"/>
      <c r="E1663" s="273" t="s">
        <v>3123</v>
      </c>
      <c r="F1663" s="50">
        <v>5</v>
      </c>
      <c r="G1663" s="273">
        <v>4056.4</v>
      </c>
      <c r="H1663" s="10">
        <v>214</v>
      </c>
      <c r="I1663" s="273">
        <f>SUMIF('2020'!B:B,B1663,'2020'!C:C)+SUMIF('2021'!B:B,B1663,'2021'!C:C)+SUMIF('2022'!B:B,B1663,'2022'!C:C)</f>
        <v>1503893.3599999999</v>
      </c>
      <c r="J1663" s="59">
        <v>44925</v>
      </c>
      <c r="K1663" s="273" t="s">
        <v>3118</v>
      </c>
    </row>
    <row r="1664" spans="1:11" x14ac:dyDescent="0.3">
      <c r="A1664" s="259">
        <f t="shared" si="60"/>
        <v>1491</v>
      </c>
      <c r="B1664" s="20" t="s">
        <v>1613</v>
      </c>
      <c r="C1664" s="162">
        <v>1986</v>
      </c>
      <c r="D1664" s="234"/>
      <c r="E1664" s="234" t="s">
        <v>3119</v>
      </c>
      <c r="F1664" s="50">
        <v>9</v>
      </c>
      <c r="G1664" s="234">
        <v>5628</v>
      </c>
      <c r="H1664" s="10">
        <v>241</v>
      </c>
      <c r="I1664" s="273">
        <f>SUMIF('2020'!B:B,B1664,'2020'!C:C)+SUMIF('2021'!B:B,B1664,'2021'!C:C)+SUMIF('2022'!B:B,B1664,'2022'!C:C)</f>
        <v>75425814</v>
      </c>
      <c r="J1664" s="59">
        <v>44925</v>
      </c>
      <c r="K1664" s="273" t="s">
        <v>3118</v>
      </c>
    </row>
    <row r="1665" spans="1:11" x14ac:dyDescent="0.3">
      <c r="A1665" s="259">
        <f t="shared" si="60"/>
        <v>1492</v>
      </c>
      <c r="B1665" s="20" t="s">
        <v>1614</v>
      </c>
      <c r="C1665" s="162">
        <v>1994</v>
      </c>
      <c r="D1665" s="234"/>
      <c r="E1665" s="234" t="s">
        <v>3119</v>
      </c>
      <c r="F1665" s="50">
        <v>9</v>
      </c>
      <c r="G1665" s="234">
        <v>2205</v>
      </c>
      <c r="H1665" s="10">
        <v>71</v>
      </c>
      <c r="I1665" s="273">
        <f>SUMIF('2020'!B:B,B1665,'2020'!C:C)+SUMIF('2021'!B:B,B1665,'2021'!C:C)+SUMIF('2022'!B:B,B1665,'2022'!C:C)</f>
        <v>37478562</v>
      </c>
      <c r="J1665" s="59">
        <v>44925</v>
      </c>
      <c r="K1665" s="273" t="s">
        <v>3118</v>
      </c>
    </row>
    <row r="1666" spans="1:11" x14ac:dyDescent="0.3">
      <c r="A1666" s="259">
        <f t="shared" si="60"/>
        <v>1493</v>
      </c>
      <c r="B1666" s="20" t="s">
        <v>1615</v>
      </c>
      <c r="C1666" s="162">
        <v>1993</v>
      </c>
      <c r="D1666" s="234"/>
      <c r="E1666" s="234" t="s">
        <v>3119</v>
      </c>
      <c r="F1666" s="50">
        <v>9</v>
      </c>
      <c r="G1666" s="234">
        <v>4740</v>
      </c>
      <c r="H1666" s="10">
        <v>159</v>
      </c>
      <c r="I1666" s="273">
        <f>SUMIF('2020'!B:B,B1666,'2020'!C:C)+SUMIF('2021'!B:B,B1666,'2021'!C:C)+SUMIF('2022'!B:B,B1666,'2022'!C:C)</f>
        <v>72717076.799999997</v>
      </c>
      <c r="J1666" s="59">
        <v>44925</v>
      </c>
      <c r="K1666" s="273" t="s">
        <v>3118</v>
      </c>
    </row>
    <row r="1667" spans="1:11" x14ac:dyDescent="0.3">
      <c r="A1667" s="259">
        <f t="shared" si="60"/>
        <v>1494</v>
      </c>
      <c r="B1667" s="20" t="s">
        <v>1616</v>
      </c>
      <c r="C1667" s="162">
        <v>1968</v>
      </c>
      <c r="D1667" s="234"/>
      <c r="E1667" s="234" t="s">
        <v>3119</v>
      </c>
      <c r="F1667" s="50">
        <v>5</v>
      </c>
      <c r="G1667" s="273">
        <v>5404</v>
      </c>
      <c r="H1667" s="10">
        <v>238</v>
      </c>
      <c r="I1667" s="273">
        <f>SUMIF('2020'!B:B,B1667,'2020'!C:C)+SUMIF('2021'!B:B,B1667,'2021'!C:C)+SUMIF('2022'!B:B,B1667,'2022'!C:C)</f>
        <v>22899641.800000001</v>
      </c>
      <c r="J1667" s="59">
        <v>44925</v>
      </c>
      <c r="K1667" s="273" t="s">
        <v>3118</v>
      </c>
    </row>
    <row r="1668" spans="1:11" x14ac:dyDescent="0.3">
      <c r="A1668" s="259">
        <f t="shared" si="60"/>
        <v>1495</v>
      </c>
      <c r="B1668" s="20" t="s">
        <v>1617</v>
      </c>
      <c r="C1668" s="162">
        <v>1969</v>
      </c>
      <c r="D1668" s="234"/>
      <c r="E1668" s="234" t="s">
        <v>3119</v>
      </c>
      <c r="F1668" s="50">
        <v>5</v>
      </c>
      <c r="G1668" s="273">
        <v>5767</v>
      </c>
      <c r="H1668" s="10">
        <v>244</v>
      </c>
      <c r="I1668" s="273">
        <f>SUMIF('2020'!B:B,B1668,'2020'!C:C)+SUMIF('2021'!B:B,B1668,'2021'!C:C)+SUMIF('2022'!B:B,B1668,'2022'!C:C)</f>
        <v>22106673.400000002</v>
      </c>
      <c r="J1668" s="59">
        <v>44925</v>
      </c>
      <c r="K1668" s="273" t="s">
        <v>3118</v>
      </c>
    </row>
    <row r="1669" spans="1:11" x14ac:dyDescent="0.3">
      <c r="A1669" s="259">
        <f t="shared" si="60"/>
        <v>1496</v>
      </c>
      <c r="B1669" s="20" t="s">
        <v>1618</v>
      </c>
      <c r="C1669" s="162">
        <v>1993</v>
      </c>
      <c r="D1669" s="234"/>
      <c r="E1669" s="234" t="s">
        <v>3119</v>
      </c>
      <c r="F1669" s="50">
        <v>9</v>
      </c>
      <c r="G1669" s="234">
        <v>3735</v>
      </c>
      <c r="H1669" s="10">
        <v>133</v>
      </c>
      <c r="I1669" s="273">
        <f>SUMIF('2020'!B:B,B1669,'2020'!C:C)+SUMIF('2021'!B:B,B1669,'2021'!C:C)+SUMIF('2022'!B:B,B1669,'2022'!C:C)</f>
        <v>50112697.200000003</v>
      </c>
      <c r="J1669" s="59">
        <v>44925</v>
      </c>
      <c r="K1669" s="273" t="s">
        <v>3118</v>
      </c>
    </row>
    <row r="1670" spans="1:11" x14ac:dyDescent="0.3">
      <c r="A1670" s="259">
        <f t="shared" si="60"/>
        <v>1497</v>
      </c>
      <c r="B1670" s="20" t="s">
        <v>1619</v>
      </c>
      <c r="C1670" s="162">
        <v>1990</v>
      </c>
      <c r="D1670" s="234"/>
      <c r="E1670" s="234" t="s">
        <v>3119</v>
      </c>
      <c r="F1670" s="50">
        <v>9</v>
      </c>
      <c r="G1670" s="234">
        <v>2713</v>
      </c>
      <c r="H1670" s="10">
        <v>101</v>
      </c>
      <c r="I1670" s="273">
        <f>SUMIF('2020'!B:B,B1670,'2020'!C:C)+SUMIF('2021'!B:B,B1670,'2021'!C:C)+SUMIF('2022'!B:B,B1670,'2022'!C:C)</f>
        <v>37756554</v>
      </c>
      <c r="J1670" s="59">
        <v>44925</v>
      </c>
      <c r="K1670" s="273" t="s">
        <v>3118</v>
      </c>
    </row>
    <row r="1671" spans="1:11" x14ac:dyDescent="0.3">
      <c r="A1671" s="259">
        <f t="shared" si="60"/>
        <v>1498</v>
      </c>
      <c r="B1671" s="20" t="s">
        <v>1620</v>
      </c>
      <c r="C1671" s="162">
        <v>1979</v>
      </c>
      <c r="D1671" s="234"/>
      <c r="E1671" s="234" t="s">
        <v>3119</v>
      </c>
      <c r="F1671" s="50">
        <v>5</v>
      </c>
      <c r="G1671" s="234">
        <v>1523</v>
      </c>
      <c r="H1671" s="10">
        <v>69</v>
      </c>
      <c r="I1671" s="273">
        <f>SUMIF('2020'!B:B,B1671,'2020'!C:C)+SUMIF('2021'!B:B,B1671,'2021'!C:C)+SUMIF('2022'!B:B,B1671,'2022'!C:C)</f>
        <v>10293680.4</v>
      </c>
      <c r="J1671" s="59">
        <v>44925</v>
      </c>
      <c r="K1671" s="273" t="s">
        <v>3118</v>
      </c>
    </row>
    <row r="1672" spans="1:11" x14ac:dyDescent="0.3">
      <c r="A1672" s="259">
        <f t="shared" si="60"/>
        <v>1499</v>
      </c>
      <c r="B1672" s="20" t="s">
        <v>1621</v>
      </c>
      <c r="C1672" s="162">
        <v>1964</v>
      </c>
      <c r="D1672" s="234"/>
      <c r="E1672" s="234" t="s">
        <v>3123</v>
      </c>
      <c r="F1672" s="50">
        <v>4</v>
      </c>
      <c r="G1672" s="273">
        <v>1997</v>
      </c>
      <c r="H1672" s="10">
        <v>80</v>
      </c>
      <c r="I1672" s="273">
        <f>SUMIF('2020'!B:B,B1672,'2020'!C:C)+SUMIF('2021'!B:B,B1672,'2021'!C:C)+SUMIF('2022'!B:B,B1672,'2022'!C:C)</f>
        <v>9375594.5999999996</v>
      </c>
      <c r="J1672" s="59">
        <v>44925</v>
      </c>
      <c r="K1672" s="273" t="s">
        <v>3118</v>
      </c>
    </row>
    <row r="1673" spans="1:11" x14ac:dyDescent="0.3">
      <c r="A1673" s="259">
        <f t="shared" si="60"/>
        <v>1500</v>
      </c>
      <c r="B1673" s="20" t="s">
        <v>1622</v>
      </c>
      <c r="C1673" s="162">
        <v>1964</v>
      </c>
      <c r="D1673" s="234"/>
      <c r="E1673" s="234" t="s">
        <v>3123</v>
      </c>
      <c r="F1673" s="50">
        <v>5</v>
      </c>
      <c r="G1673" s="273">
        <v>3220</v>
      </c>
      <c r="H1673" s="10">
        <v>120</v>
      </c>
      <c r="I1673" s="273">
        <f>SUMIF('2020'!B:B,B1673,'2020'!C:C)+SUMIF('2021'!B:B,B1673,'2021'!C:C)+SUMIF('2022'!B:B,B1673,'2022'!C:C)</f>
        <v>7884596.4000000004</v>
      </c>
      <c r="J1673" s="59">
        <v>44925</v>
      </c>
      <c r="K1673" s="273" t="s">
        <v>3118</v>
      </c>
    </row>
    <row r="1674" spans="1:11" x14ac:dyDescent="0.3">
      <c r="A1674" s="259">
        <f t="shared" si="60"/>
        <v>1501</v>
      </c>
      <c r="B1674" s="20" t="s">
        <v>1623</v>
      </c>
      <c r="C1674" s="162">
        <v>1963</v>
      </c>
      <c r="D1674" s="234"/>
      <c r="E1674" s="234" t="s">
        <v>3123</v>
      </c>
      <c r="F1674" s="50">
        <v>5</v>
      </c>
      <c r="G1674" s="234">
        <v>3210</v>
      </c>
      <c r="H1674" s="10">
        <v>145</v>
      </c>
      <c r="I1674" s="273">
        <f>SUMIF('2020'!B:B,B1674,'2020'!C:C)+SUMIF('2021'!B:B,B1674,'2021'!C:C)+SUMIF('2022'!B:B,B1674,'2022'!C:C)</f>
        <v>17061554.399999999</v>
      </c>
      <c r="J1674" s="59">
        <v>44925</v>
      </c>
      <c r="K1674" s="273" t="s">
        <v>3118</v>
      </c>
    </row>
    <row r="1675" spans="1:11" x14ac:dyDescent="0.3">
      <c r="A1675" s="259">
        <f t="shared" si="60"/>
        <v>1502</v>
      </c>
      <c r="B1675" s="20" t="s">
        <v>1624</v>
      </c>
      <c r="C1675" s="162">
        <v>1975</v>
      </c>
      <c r="D1675" s="234"/>
      <c r="E1675" s="234" t="s">
        <v>3119</v>
      </c>
      <c r="F1675" s="50">
        <v>5</v>
      </c>
      <c r="G1675" s="234">
        <v>2634</v>
      </c>
      <c r="H1675" s="10">
        <v>114</v>
      </c>
      <c r="I1675" s="273">
        <f>SUMIF('2020'!B:B,B1675,'2020'!C:C)+SUMIF('2021'!B:B,B1675,'2021'!C:C)+SUMIF('2022'!B:B,B1675,'2022'!C:C)</f>
        <v>10965387.6</v>
      </c>
      <c r="J1675" s="59">
        <v>44925</v>
      </c>
      <c r="K1675" s="273" t="s">
        <v>3118</v>
      </c>
    </row>
    <row r="1676" spans="1:11" x14ac:dyDescent="0.3">
      <c r="A1676" s="259">
        <f t="shared" si="60"/>
        <v>1503</v>
      </c>
      <c r="B1676" s="20" t="s">
        <v>1625</v>
      </c>
      <c r="C1676" s="162">
        <v>1963</v>
      </c>
      <c r="D1676" s="234"/>
      <c r="E1676" s="234" t="s">
        <v>3123</v>
      </c>
      <c r="F1676" s="50">
        <v>4</v>
      </c>
      <c r="G1676" s="273">
        <v>2063</v>
      </c>
      <c r="H1676" s="10">
        <v>84</v>
      </c>
      <c r="I1676" s="273">
        <f>SUMIF('2020'!B:B,B1676,'2020'!C:C)+SUMIF('2021'!B:B,B1676,'2021'!C:C)+SUMIF('2022'!B:B,B1676,'2022'!C:C)</f>
        <v>5821392</v>
      </c>
      <c r="J1676" s="59">
        <v>44925</v>
      </c>
      <c r="K1676" s="273" t="s">
        <v>3118</v>
      </c>
    </row>
    <row r="1677" spans="1:11" x14ac:dyDescent="0.3">
      <c r="A1677" s="259">
        <f t="shared" si="60"/>
        <v>1504</v>
      </c>
      <c r="B1677" s="20" t="s">
        <v>1626</v>
      </c>
      <c r="C1677" s="162">
        <v>1964</v>
      </c>
      <c r="D1677" s="234"/>
      <c r="E1677" s="234" t="s">
        <v>3123</v>
      </c>
      <c r="F1677" s="50">
        <v>5</v>
      </c>
      <c r="G1677" s="273">
        <v>3250</v>
      </c>
      <c r="H1677" s="10">
        <v>135</v>
      </c>
      <c r="I1677" s="273">
        <f>SUMIF('2020'!B:B,B1677,'2020'!C:C)+SUMIF('2021'!B:B,B1677,'2021'!C:C)+SUMIF('2022'!B:B,B1677,'2022'!C:C)</f>
        <v>5974731.5999999996</v>
      </c>
      <c r="J1677" s="59">
        <v>44925</v>
      </c>
      <c r="K1677" s="273" t="s">
        <v>3118</v>
      </c>
    </row>
    <row r="1678" spans="1:11" x14ac:dyDescent="0.3">
      <c r="A1678" s="259">
        <f t="shared" si="60"/>
        <v>1505</v>
      </c>
      <c r="B1678" s="20" t="s">
        <v>1627</v>
      </c>
      <c r="C1678" s="162">
        <v>1963</v>
      </c>
      <c r="D1678" s="234"/>
      <c r="E1678" s="234" t="s">
        <v>3123</v>
      </c>
      <c r="F1678" s="50">
        <v>5</v>
      </c>
      <c r="G1678" s="273">
        <v>2366</v>
      </c>
      <c r="H1678" s="10">
        <v>101</v>
      </c>
      <c r="I1678" s="273">
        <f>SUMIF('2020'!B:B,B1678,'2020'!C:C)+SUMIF('2021'!B:B,B1678,'2021'!C:C)+SUMIF('2022'!B:B,B1678,'2022'!C:C)</f>
        <v>21914961.399999999</v>
      </c>
      <c r="J1678" s="59">
        <v>44925</v>
      </c>
      <c r="K1678" s="273" t="s">
        <v>3118</v>
      </c>
    </row>
    <row r="1679" spans="1:11" x14ac:dyDescent="0.3">
      <c r="A1679" s="259">
        <f t="shared" si="60"/>
        <v>1506</v>
      </c>
      <c r="B1679" s="20" t="s">
        <v>1628</v>
      </c>
      <c r="C1679" s="162">
        <v>1967</v>
      </c>
      <c r="D1679" s="234"/>
      <c r="E1679" s="234" t="s">
        <v>3123</v>
      </c>
      <c r="F1679" s="50">
        <v>9</v>
      </c>
      <c r="G1679" s="234">
        <v>2004</v>
      </c>
      <c r="H1679" s="10">
        <v>63</v>
      </c>
      <c r="I1679" s="273">
        <f>SUMIF('2020'!B:B,B1679,'2020'!C:C)+SUMIF('2021'!B:B,B1679,'2021'!C:C)+SUMIF('2022'!B:B,B1679,'2022'!C:C)</f>
        <v>130000</v>
      </c>
      <c r="J1679" s="59">
        <v>44925</v>
      </c>
      <c r="K1679" s="273" t="s">
        <v>3118</v>
      </c>
    </row>
    <row r="1680" spans="1:11" x14ac:dyDescent="0.3">
      <c r="A1680" s="259">
        <f t="shared" si="60"/>
        <v>1507</v>
      </c>
      <c r="B1680" s="20" t="s">
        <v>1629</v>
      </c>
      <c r="C1680" s="162">
        <v>1965</v>
      </c>
      <c r="D1680" s="234"/>
      <c r="E1680" s="234" t="s">
        <v>3119</v>
      </c>
      <c r="F1680" s="50">
        <v>5</v>
      </c>
      <c r="G1680" s="234">
        <v>3556</v>
      </c>
      <c r="H1680" s="10">
        <v>159</v>
      </c>
      <c r="I1680" s="273">
        <f>SUMIF('2020'!B:B,B1680,'2020'!C:C)+SUMIF('2021'!B:B,B1680,'2021'!C:C)+SUMIF('2022'!B:B,B1680,'2022'!C:C)</f>
        <v>21019412.399999999</v>
      </c>
      <c r="J1680" s="59">
        <v>44925</v>
      </c>
      <c r="K1680" s="273" t="s">
        <v>3118</v>
      </c>
    </row>
    <row r="1681" spans="1:11" x14ac:dyDescent="0.3">
      <c r="A1681" s="259">
        <f t="shared" si="60"/>
        <v>1508</v>
      </c>
      <c r="B1681" s="20" t="s">
        <v>1630</v>
      </c>
      <c r="C1681" s="162">
        <v>1965</v>
      </c>
      <c r="D1681" s="234"/>
      <c r="E1681" s="234" t="s">
        <v>3119</v>
      </c>
      <c r="F1681" s="50">
        <v>5</v>
      </c>
      <c r="G1681" s="234">
        <v>3198</v>
      </c>
      <c r="H1681" s="10">
        <v>121</v>
      </c>
      <c r="I1681" s="273">
        <f>SUMIF('2020'!B:B,B1681,'2020'!C:C)+SUMIF('2021'!B:B,B1681,'2021'!C:C)+SUMIF('2022'!B:B,B1681,'2022'!C:C)</f>
        <v>3944478</v>
      </c>
      <c r="J1681" s="59">
        <v>44925</v>
      </c>
      <c r="K1681" s="273" t="s">
        <v>3118</v>
      </c>
    </row>
    <row r="1682" spans="1:11" x14ac:dyDescent="0.3">
      <c r="A1682" s="259">
        <f t="shared" si="60"/>
        <v>1509</v>
      </c>
      <c r="B1682" s="20" t="s">
        <v>1631</v>
      </c>
      <c r="C1682" s="162">
        <v>1966</v>
      </c>
      <c r="D1682" s="234"/>
      <c r="E1682" s="234" t="s">
        <v>3123</v>
      </c>
      <c r="F1682" s="50">
        <v>5</v>
      </c>
      <c r="G1682" s="273">
        <v>3166</v>
      </c>
      <c r="H1682" s="10">
        <v>118</v>
      </c>
      <c r="I1682" s="273">
        <f>SUMIF('2020'!B:B,B1682,'2020'!C:C)+SUMIF('2021'!B:B,B1682,'2021'!C:C)+SUMIF('2022'!B:B,B1682,'2022'!C:C)</f>
        <v>12872455.4</v>
      </c>
      <c r="J1682" s="59">
        <v>44925</v>
      </c>
      <c r="K1682" s="273" t="s">
        <v>3118</v>
      </c>
    </row>
    <row r="1683" spans="1:11" x14ac:dyDescent="0.3">
      <c r="A1683" s="259">
        <f t="shared" si="60"/>
        <v>1510</v>
      </c>
      <c r="B1683" s="20" t="s">
        <v>1632</v>
      </c>
      <c r="C1683" s="162">
        <v>1970</v>
      </c>
      <c r="D1683" s="234"/>
      <c r="E1683" s="234" t="s">
        <v>3123</v>
      </c>
      <c r="F1683" s="50">
        <v>5</v>
      </c>
      <c r="G1683" s="273">
        <v>3384</v>
      </c>
      <c r="H1683" s="10">
        <v>125</v>
      </c>
      <c r="I1683" s="273">
        <f>SUMIF('2020'!B:B,B1683,'2020'!C:C)+SUMIF('2021'!B:B,B1683,'2021'!C:C)+SUMIF('2022'!B:B,B1683,'2022'!C:C)</f>
        <v>10776038.399999999</v>
      </c>
      <c r="J1683" s="59">
        <v>44925</v>
      </c>
      <c r="K1683" s="273" t="s">
        <v>3118</v>
      </c>
    </row>
    <row r="1684" spans="1:11" x14ac:dyDescent="0.3">
      <c r="A1684" s="259">
        <f t="shared" si="60"/>
        <v>1511</v>
      </c>
      <c r="B1684" s="20" t="s">
        <v>1633</v>
      </c>
      <c r="C1684" s="162">
        <v>1970</v>
      </c>
      <c r="D1684" s="234"/>
      <c r="E1684" s="234" t="s">
        <v>3119</v>
      </c>
      <c r="F1684" s="50">
        <v>5</v>
      </c>
      <c r="G1684" s="234">
        <v>5754</v>
      </c>
      <c r="H1684" s="10">
        <v>273</v>
      </c>
      <c r="I1684" s="273">
        <f>SUMIF('2020'!B:B,B1684,'2020'!C:C)+SUMIF('2021'!B:B,B1684,'2021'!C:C)+SUMIF('2022'!B:B,B1684,'2022'!C:C)</f>
        <v>13332718.799999999</v>
      </c>
      <c r="J1684" s="59">
        <v>44925</v>
      </c>
      <c r="K1684" s="273" t="s">
        <v>3118</v>
      </c>
    </row>
    <row r="1685" spans="1:11" x14ac:dyDescent="0.3">
      <c r="A1685" s="259">
        <f t="shared" si="60"/>
        <v>1512</v>
      </c>
      <c r="B1685" s="20" t="s">
        <v>1634</v>
      </c>
      <c r="C1685" s="162">
        <v>1970</v>
      </c>
      <c r="D1685" s="234"/>
      <c r="E1685" s="234" t="s">
        <v>3123</v>
      </c>
      <c r="F1685" s="50">
        <v>5</v>
      </c>
      <c r="G1685" s="234">
        <v>4381</v>
      </c>
      <c r="H1685" s="10">
        <v>191</v>
      </c>
      <c r="I1685" s="273">
        <f>SUMIF('2020'!B:B,B1685,'2020'!C:C)+SUMIF('2021'!B:B,B1685,'2021'!C:C)+SUMIF('2022'!B:B,B1685,'2022'!C:C)</f>
        <v>10283644.799999999</v>
      </c>
      <c r="J1685" s="59">
        <v>44925</v>
      </c>
      <c r="K1685" s="273" t="s">
        <v>3118</v>
      </c>
    </row>
    <row r="1686" spans="1:11" x14ac:dyDescent="0.3">
      <c r="A1686" s="259">
        <f t="shared" si="60"/>
        <v>1513</v>
      </c>
      <c r="B1686" s="20" t="s">
        <v>1635</v>
      </c>
      <c r="C1686" s="162">
        <v>1967</v>
      </c>
      <c r="D1686" s="234"/>
      <c r="E1686" s="234" t="s">
        <v>3123</v>
      </c>
      <c r="F1686" s="50">
        <v>5</v>
      </c>
      <c r="G1686" s="234">
        <v>5283</v>
      </c>
      <c r="H1686" s="10">
        <v>209</v>
      </c>
      <c r="I1686" s="273">
        <f>SUMIF('2020'!B:B,B1686,'2020'!C:C)+SUMIF('2021'!B:B,B1686,'2021'!C:C)+SUMIF('2022'!B:B,B1686,'2022'!C:C)</f>
        <v>6534430.7999999998</v>
      </c>
      <c r="J1686" s="59">
        <v>44925</v>
      </c>
      <c r="K1686" s="273" t="s">
        <v>3118</v>
      </c>
    </row>
    <row r="1687" spans="1:11" x14ac:dyDescent="0.3">
      <c r="A1687" s="259">
        <f t="shared" si="60"/>
        <v>1514</v>
      </c>
      <c r="B1687" s="20" t="s">
        <v>1636</v>
      </c>
      <c r="C1687" s="162">
        <v>1975</v>
      </c>
      <c r="D1687" s="234"/>
      <c r="E1687" s="234" t="s">
        <v>3123</v>
      </c>
      <c r="F1687" s="50">
        <v>9</v>
      </c>
      <c r="G1687" s="234">
        <v>13176</v>
      </c>
      <c r="H1687" s="10">
        <v>457</v>
      </c>
      <c r="I1687" s="273">
        <f>SUMIF('2020'!B:B,B1687,'2020'!C:C)+SUMIF('2021'!B:B,B1687,'2021'!C:C)+SUMIF('2022'!B:B,B1687,'2022'!C:C)</f>
        <v>70944207.599999994</v>
      </c>
      <c r="J1687" s="59">
        <v>44925</v>
      </c>
      <c r="K1687" s="273" t="s">
        <v>3118</v>
      </c>
    </row>
    <row r="1688" spans="1:11" x14ac:dyDescent="0.3">
      <c r="A1688" s="259">
        <f t="shared" si="60"/>
        <v>1515</v>
      </c>
      <c r="B1688" s="20" t="s">
        <v>1637</v>
      </c>
      <c r="C1688" s="162">
        <v>1986</v>
      </c>
      <c r="D1688" s="234"/>
      <c r="E1688" s="234" t="s">
        <v>3123</v>
      </c>
      <c r="F1688" s="50">
        <v>5</v>
      </c>
      <c r="G1688" s="234">
        <v>5411</v>
      </c>
      <c r="H1688" s="10">
        <v>224</v>
      </c>
      <c r="I1688" s="273">
        <f>SUMIF('2020'!B:B,B1688,'2020'!C:C)+SUMIF('2021'!B:B,B1688,'2021'!C:C)+SUMIF('2022'!B:B,B1688,'2022'!C:C)</f>
        <v>34242170.399999999</v>
      </c>
      <c r="J1688" s="59">
        <v>44925</v>
      </c>
      <c r="K1688" s="273" t="s">
        <v>3118</v>
      </c>
    </row>
    <row r="1689" spans="1:11" x14ac:dyDescent="0.3">
      <c r="A1689" s="259">
        <f t="shared" si="60"/>
        <v>1516</v>
      </c>
      <c r="B1689" s="20" t="s">
        <v>1638</v>
      </c>
      <c r="C1689" s="162">
        <v>1972</v>
      </c>
      <c r="D1689" s="234"/>
      <c r="E1689" s="234" t="s">
        <v>3123</v>
      </c>
      <c r="F1689" s="50">
        <v>5</v>
      </c>
      <c r="G1689" s="234">
        <v>4355</v>
      </c>
      <c r="H1689" s="10">
        <v>155</v>
      </c>
      <c r="I1689" s="273">
        <f>SUMIF('2020'!B:B,B1689,'2020'!C:C)+SUMIF('2021'!B:B,B1689,'2021'!C:C)+SUMIF('2022'!B:B,B1689,'2022'!C:C)</f>
        <v>1623939.6</v>
      </c>
      <c r="J1689" s="59">
        <v>44925</v>
      </c>
      <c r="K1689" s="273" t="s">
        <v>3118</v>
      </c>
    </row>
    <row r="1690" spans="1:11" x14ac:dyDescent="0.3">
      <c r="A1690" s="259">
        <f t="shared" si="60"/>
        <v>1517</v>
      </c>
      <c r="B1690" s="20" t="s">
        <v>1639</v>
      </c>
      <c r="C1690" s="162">
        <v>1971</v>
      </c>
      <c r="D1690" s="234"/>
      <c r="E1690" s="234" t="s">
        <v>3123</v>
      </c>
      <c r="F1690" s="50">
        <v>9</v>
      </c>
      <c r="G1690" s="234">
        <v>13458</v>
      </c>
      <c r="H1690" s="10">
        <v>497</v>
      </c>
      <c r="I1690" s="273">
        <f>SUMIF('2020'!B:B,B1690,'2020'!C:C)+SUMIF('2021'!B:B,B1690,'2021'!C:C)+SUMIF('2022'!B:B,B1690,'2022'!C:C)</f>
        <v>2427673.2000000002</v>
      </c>
      <c r="J1690" s="59">
        <v>44925</v>
      </c>
      <c r="K1690" s="273" t="s">
        <v>3118</v>
      </c>
    </row>
    <row r="1691" spans="1:11" x14ac:dyDescent="0.3">
      <c r="A1691" s="259">
        <f t="shared" si="60"/>
        <v>1518</v>
      </c>
      <c r="B1691" s="20" t="s">
        <v>1640</v>
      </c>
      <c r="C1691" s="162">
        <v>1974</v>
      </c>
      <c r="D1691" s="234"/>
      <c r="E1691" s="234" t="s">
        <v>3123</v>
      </c>
      <c r="F1691" s="50">
        <v>9</v>
      </c>
      <c r="G1691" s="234">
        <v>13387</v>
      </c>
      <c r="H1691" s="10">
        <v>429</v>
      </c>
      <c r="I1691" s="273">
        <f>SUMIF('2020'!B:B,B1691,'2020'!C:C)+SUMIF('2021'!B:B,B1691,'2021'!C:C)+SUMIF('2022'!B:B,B1691,'2022'!C:C)</f>
        <v>59581736.399999999</v>
      </c>
      <c r="J1691" s="59">
        <v>44925</v>
      </c>
      <c r="K1691" s="273" t="s">
        <v>3118</v>
      </c>
    </row>
    <row r="1692" spans="1:11" x14ac:dyDescent="0.3">
      <c r="A1692" s="259">
        <f t="shared" si="60"/>
        <v>1519</v>
      </c>
      <c r="B1692" s="20" t="s">
        <v>1641</v>
      </c>
      <c r="C1692" s="162">
        <v>1972</v>
      </c>
      <c r="D1692" s="234"/>
      <c r="E1692" s="273" t="s">
        <v>3123</v>
      </c>
      <c r="F1692" s="50">
        <v>5</v>
      </c>
      <c r="G1692" s="234">
        <v>3491</v>
      </c>
      <c r="H1692" s="10">
        <v>165</v>
      </c>
      <c r="I1692" s="273">
        <f>SUMIF('2020'!B:B,B1692,'2020'!C:C)+SUMIF('2021'!B:B,B1692,'2021'!C:C)+SUMIF('2022'!B:B,B1692,'2022'!C:C)</f>
        <v>1573184.4</v>
      </c>
      <c r="J1692" s="59">
        <v>44925</v>
      </c>
      <c r="K1692" s="273" t="s">
        <v>3118</v>
      </c>
    </row>
    <row r="1693" spans="1:11" x14ac:dyDescent="0.3">
      <c r="A1693" s="259">
        <f t="shared" si="60"/>
        <v>1520</v>
      </c>
      <c r="B1693" s="20" t="s">
        <v>1642</v>
      </c>
      <c r="C1693" s="162">
        <v>1973</v>
      </c>
      <c r="D1693" s="234"/>
      <c r="E1693" s="273" t="s">
        <v>3123</v>
      </c>
      <c r="F1693" s="50">
        <v>5</v>
      </c>
      <c r="G1693" s="234">
        <v>823</v>
      </c>
      <c r="H1693" s="10">
        <v>30</v>
      </c>
      <c r="I1693" s="273">
        <f>SUMIF('2020'!B:B,B1693,'2020'!C:C)+SUMIF('2021'!B:B,B1693,'2021'!C:C)+SUMIF('2022'!B:B,B1693,'2022'!C:C)</f>
        <v>582786</v>
      </c>
      <c r="J1693" s="59">
        <v>44925</v>
      </c>
      <c r="K1693" s="273" t="s">
        <v>3118</v>
      </c>
    </row>
    <row r="1694" spans="1:11" x14ac:dyDescent="0.3">
      <c r="A1694" s="259">
        <f t="shared" si="60"/>
        <v>1521</v>
      </c>
      <c r="B1694" s="20" t="s">
        <v>1643</v>
      </c>
      <c r="C1694" s="162">
        <v>1972</v>
      </c>
      <c r="D1694" s="234"/>
      <c r="E1694" s="273" t="s">
        <v>3123</v>
      </c>
      <c r="F1694" s="50">
        <v>5</v>
      </c>
      <c r="G1694" s="234">
        <v>2748</v>
      </c>
      <c r="H1694" s="10">
        <v>121</v>
      </c>
      <c r="I1694" s="273">
        <f>SUMIF('2020'!B:B,B1694,'2020'!C:C)+SUMIF('2021'!B:B,B1694,'2021'!C:C)+SUMIF('2022'!B:B,B1694,'2022'!C:C)</f>
        <v>1331134.8</v>
      </c>
      <c r="J1694" s="59">
        <v>44925</v>
      </c>
      <c r="K1694" s="273" t="s">
        <v>3118</v>
      </c>
    </row>
    <row r="1695" spans="1:11" x14ac:dyDescent="0.3">
      <c r="A1695" s="259">
        <f t="shared" si="60"/>
        <v>1522</v>
      </c>
      <c r="B1695" s="20" t="s">
        <v>1644</v>
      </c>
      <c r="C1695" s="162">
        <v>1986</v>
      </c>
      <c r="D1695" s="234"/>
      <c r="E1695" s="273" t="s">
        <v>3119</v>
      </c>
      <c r="F1695" s="50">
        <v>5</v>
      </c>
      <c r="G1695" s="234">
        <v>3094</v>
      </c>
      <c r="H1695" s="10">
        <v>150</v>
      </c>
      <c r="I1695" s="273">
        <f>SUMIF('2020'!B:B,B1695,'2020'!C:C)+SUMIF('2021'!B:B,B1695,'2021'!C:C)+SUMIF('2022'!B:B,B1695,'2022'!C:C)</f>
        <v>19628611.199999999</v>
      </c>
      <c r="J1695" s="59">
        <v>44925</v>
      </c>
      <c r="K1695" s="273" t="s">
        <v>3118</v>
      </c>
    </row>
    <row r="1696" spans="1:11" x14ac:dyDescent="0.3">
      <c r="A1696" s="259">
        <f t="shared" si="60"/>
        <v>1523</v>
      </c>
      <c r="B1696" s="20" t="s">
        <v>1645</v>
      </c>
      <c r="C1696" s="162">
        <v>1986</v>
      </c>
      <c r="D1696" s="234"/>
      <c r="E1696" s="273" t="s">
        <v>3119</v>
      </c>
      <c r="F1696" s="50">
        <v>5</v>
      </c>
      <c r="G1696" s="234">
        <v>5329</v>
      </c>
      <c r="H1696" s="10">
        <v>251</v>
      </c>
      <c r="I1696" s="273">
        <f>SUMIF('2020'!B:B,B1696,'2020'!C:C)+SUMIF('2021'!B:B,B1696,'2021'!C:C)+SUMIF('2022'!B:B,B1696,'2022'!C:C)</f>
        <v>34004422.799999997</v>
      </c>
      <c r="J1696" s="59">
        <v>44925</v>
      </c>
      <c r="K1696" s="273" t="s">
        <v>3118</v>
      </c>
    </row>
    <row r="1697" spans="1:11" x14ac:dyDescent="0.3">
      <c r="A1697" s="259"/>
      <c r="B1697" s="20" t="s">
        <v>208</v>
      </c>
      <c r="C1697" s="273" t="s">
        <v>3558</v>
      </c>
      <c r="D1697" s="273" t="s">
        <v>3558</v>
      </c>
      <c r="E1697" s="273" t="s">
        <v>3558</v>
      </c>
      <c r="F1697" s="273" t="s">
        <v>3558</v>
      </c>
      <c r="G1697" s="273">
        <f>SUM(G1661:G1696)</f>
        <v>160246.39999999999</v>
      </c>
      <c r="H1697" s="10">
        <f>SUM(H1661:H1696)</f>
        <v>6411</v>
      </c>
      <c r="I1697" s="273">
        <f>SUM(I1661:I1696)</f>
        <v>779950668.5599997</v>
      </c>
      <c r="J1697" s="273" t="s">
        <v>3558</v>
      </c>
      <c r="K1697" s="273" t="s">
        <v>3558</v>
      </c>
    </row>
    <row r="1698" spans="1:11" x14ac:dyDescent="0.3">
      <c r="A1698" s="291" t="s">
        <v>1646</v>
      </c>
      <c r="B1698" s="291"/>
      <c r="C1698" s="273"/>
      <c r="D1698" s="234"/>
      <c r="E1698" s="234"/>
      <c r="F1698" s="234"/>
      <c r="G1698" s="234"/>
      <c r="H1698" s="10"/>
      <c r="I1698" s="273"/>
      <c r="J1698" s="273"/>
      <c r="K1698" s="273"/>
    </row>
    <row r="1699" spans="1:11" x14ac:dyDescent="0.3">
      <c r="A1699" s="259">
        <f>A1696+1</f>
        <v>1524</v>
      </c>
      <c r="B1699" s="20" t="s">
        <v>1647</v>
      </c>
      <c r="C1699" s="162">
        <v>1975</v>
      </c>
      <c r="D1699" s="234"/>
      <c r="E1699" s="259" t="s">
        <v>3121</v>
      </c>
      <c r="F1699" s="10">
        <v>2</v>
      </c>
      <c r="G1699" s="234">
        <v>804.4</v>
      </c>
      <c r="H1699" s="10">
        <v>40</v>
      </c>
      <c r="I1699" s="273">
        <f>SUMIF('2020'!B:B,B1699,'2020'!C:C)+SUMIF('2021'!B:B,B1699,'2021'!C:C)+SUMIF('2022'!B:B,B1699,'2022'!C:C)</f>
        <v>215362.36</v>
      </c>
      <c r="J1699" s="59">
        <v>44925</v>
      </c>
      <c r="K1699" s="273" t="s">
        <v>3118</v>
      </c>
    </row>
    <row r="1700" spans="1:11" x14ac:dyDescent="0.3">
      <c r="A1700" s="259">
        <f t="shared" ref="A1700:A1705" si="61">A1699+1</f>
        <v>1525</v>
      </c>
      <c r="B1700" s="20" t="s">
        <v>1648</v>
      </c>
      <c r="C1700" s="162">
        <v>1975</v>
      </c>
      <c r="D1700" s="234"/>
      <c r="E1700" s="259" t="s">
        <v>3121</v>
      </c>
      <c r="F1700" s="10">
        <v>2</v>
      </c>
      <c r="G1700" s="234">
        <v>802</v>
      </c>
      <c r="H1700" s="10">
        <v>38</v>
      </c>
      <c r="I1700" s="273">
        <f>SUMIF('2020'!B:B,B1700,'2020'!C:C)+SUMIF('2021'!B:B,B1700,'2021'!C:C)+SUMIF('2022'!B:B,B1700,'2022'!C:C)</f>
        <v>207566.65</v>
      </c>
      <c r="J1700" s="59">
        <v>44925</v>
      </c>
      <c r="K1700" s="273" t="s">
        <v>3118</v>
      </c>
    </row>
    <row r="1701" spans="1:11" x14ac:dyDescent="0.3">
      <c r="A1701" s="259">
        <f t="shared" si="61"/>
        <v>1526</v>
      </c>
      <c r="B1701" s="20" t="s">
        <v>1649</v>
      </c>
      <c r="C1701" s="162">
        <v>1972</v>
      </c>
      <c r="D1701" s="234"/>
      <c r="E1701" s="259" t="s">
        <v>3123</v>
      </c>
      <c r="F1701" s="10">
        <v>2</v>
      </c>
      <c r="G1701" s="234">
        <v>893.4</v>
      </c>
      <c r="H1701" s="10">
        <v>67</v>
      </c>
      <c r="I1701" s="273">
        <f>SUMIF('2020'!B:B,B1701,'2020'!C:C)+SUMIF('2021'!B:B,B1701,'2021'!C:C)+SUMIF('2022'!B:B,B1701,'2022'!C:C)</f>
        <v>116124.9</v>
      </c>
      <c r="J1701" s="59">
        <v>44925</v>
      </c>
      <c r="K1701" s="273" t="s">
        <v>3118</v>
      </c>
    </row>
    <row r="1702" spans="1:11" x14ac:dyDescent="0.3">
      <c r="A1702" s="259">
        <f t="shared" si="61"/>
        <v>1527</v>
      </c>
      <c r="B1702" s="20" t="s">
        <v>1650</v>
      </c>
      <c r="C1702" s="162">
        <v>1973</v>
      </c>
      <c r="D1702" s="234"/>
      <c r="E1702" s="259" t="s">
        <v>3121</v>
      </c>
      <c r="F1702" s="10">
        <v>2</v>
      </c>
      <c r="G1702" s="234">
        <v>800.6</v>
      </c>
      <c r="H1702" s="10">
        <v>40</v>
      </c>
      <c r="I1702" s="273">
        <f>SUMIF('2020'!B:B,B1702,'2020'!C:C)+SUMIF('2021'!B:B,B1702,'2021'!C:C)+SUMIF('2022'!B:B,B1702,'2022'!C:C)</f>
        <v>128805.4</v>
      </c>
      <c r="J1702" s="59">
        <v>44925</v>
      </c>
      <c r="K1702" s="273" t="s">
        <v>3118</v>
      </c>
    </row>
    <row r="1703" spans="1:11" x14ac:dyDescent="0.3">
      <c r="A1703" s="259">
        <f t="shared" si="61"/>
        <v>1528</v>
      </c>
      <c r="B1703" s="20" t="s">
        <v>1651</v>
      </c>
      <c r="C1703" s="162">
        <v>1974</v>
      </c>
      <c r="D1703" s="234"/>
      <c r="E1703" s="259" t="s">
        <v>3121</v>
      </c>
      <c r="F1703" s="10">
        <v>2</v>
      </c>
      <c r="G1703" s="234">
        <v>804</v>
      </c>
      <c r="H1703" s="10">
        <v>29</v>
      </c>
      <c r="I1703" s="273">
        <f>SUMIF('2020'!B:B,B1703,'2020'!C:C)+SUMIF('2021'!B:B,B1703,'2021'!C:C)+SUMIF('2022'!B:B,B1703,'2022'!C:C)</f>
        <v>176443.19</v>
      </c>
      <c r="J1703" s="59">
        <v>44925</v>
      </c>
      <c r="K1703" s="273" t="s">
        <v>3118</v>
      </c>
    </row>
    <row r="1704" spans="1:11" x14ac:dyDescent="0.3">
      <c r="A1704" s="259">
        <f t="shared" si="61"/>
        <v>1529</v>
      </c>
      <c r="B1704" s="20" t="s">
        <v>1652</v>
      </c>
      <c r="C1704" s="162">
        <v>1974</v>
      </c>
      <c r="D1704" s="234"/>
      <c r="E1704" s="259" t="s">
        <v>3121</v>
      </c>
      <c r="F1704" s="10">
        <v>2</v>
      </c>
      <c r="G1704" s="234">
        <v>803.6</v>
      </c>
      <c r="H1704" s="10">
        <v>39</v>
      </c>
      <c r="I1704" s="273">
        <f>SUMIF('2020'!B:B,B1704,'2020'!C:C)+SUMIF('2021'!B:B,B1704,'2021'!C:C)+SUMIF('2022'!B:B,B1704,'2022'!C:C)</f>
        <v>212295.18</v>
      </c>
      <c r="J1704" s="59">
        <v>44925</v>
      </c>
      <c r="K1704" s="273" t="s">
        <v>3118</v>
      </c>
    </row>
    <row r="1705" spans="1:11" x14ac:dyDescent="0.3">
      <c r="A1705" s="259">
        <f t="shared" si="61"/>
        <v>1530</v>
      </c>
      <c r="B1705" s="20" t="s">
        <v>1653</v>
      </c>
      <c r="C1705" s="162">
        <v>1975</v>
      </c>
      <c r="D1705" s="234"/>
      <c r="E1705" s="259" t="s">
        <v>3121</v>
      </c>
      <c r="F1705" s="10">
        <v>2</v>
      </c>
      <c r="G1705" s="234">
        <v>802.6</v>
      </c>
      <c r="H1705" s="10">
        <v>40</v>
      </c>
      <c r="I1705" s="273">
        <f>SUMIF('2020'!B:B,B1705,'2020'!C:C)+SUMIF('2021'!B:B,B1705,'2021'!C:C)+SUMIF('2022'!B:B,B1705,'2022'!C:C)</f>
        <v>292833.2</v>
      </c>
      <c r="J1705" s="59">
        <v>44925</v>
      </c>
      <c r="K1705" s="273" t="s">
        <v>3118</v>
      </c>
    </row>
    <row r="1706" spans="1:11" x14ac:dyDescent="0.3">
      <c r="A1706" s="259"/>
      <c r="B1706" s="20" t="s">
        <v>208</v>
      </c>
      <c r="C1706" s="273" t="s">
        <v>3558</v>
      </c>
      <c r="D1706" s="273" t="s">
        <v>3558</v>
      </c>
      <c r="E1706" s="273" t="s">
        <v>3558</v>
      </c>
      <c r="F1706" s="10" t="s">
        <v>3558</v>
      </c>
      <c r="G1706" s="273">
        <f>SUM(G1699:G1705)</f>
        <v>5710.6</v>
      </c>
      <c r="H1706" s="10">
        <f>SUM(H1699:H1705)</f>
        <v>293</v>
      </c>
      <c r="I1706" s="273">
        <f>SUM(I1699:I1705)</f>
        <v>1349430.88</v>
      </c>
      <c r="J1706" s="273" t="s">
        <v>3558</v>
      </c>
      <c r="K1706" s="273" t="s">
        <v>3558</v>
      </c>
    </row>
    <row r="1707" spans="1:11" x14ac:dyDescent="0.3">
      <c r="A1707" s="291" t="s">
        <v>1654</v>
      </c>
      <c r="B1707" s="291"/>
      <c r="C1707" s="273"/>
      <c r="D1707" s="234"/>
      <c r="E1707" s="234"/>
      <c r="F1707" s="234"/>
      <c r="G1707" s="234"/>
      <c r="H1707" s="10"/>
      <c r="I1707" s="273"/>
      <c r="J1707" s="273"/>
      <c r="K1707" s="273"/>
    </row>
    <row r="1708" spans="1:11" x14ac:dyDescent="0.3">
      <c r="A1708" s="259">
        <f>A1705+1</f>
        <v>1531</v>
      </c>
      <c r="B1708" s="20" t="s">
        <v>1655</v>
      </c>
      <c r="C1708" s="162">
        <v>1971</v>
      </c>
      <c r="D1708" s="234"/>
      <c r="E1708" s="273" t="s">
        <v>3123</v>
      </c>
      <c r="F1708" s="10">
        <v>2</v>
      </c>
      <c r="G1708" s="234">
        <v>523.1</v>
      </c>
      <c r="H1708" s="10">
        <v>27</v>
      </c>
      <c r="I1708" s="273">
        <f>SUMIF('2020'!B:B,B1708,'2020'!C:C)+SUMIF('2021'!B:B,B1708,'2021'!C:C)+SUMIF('2022'!B:B,B1708,'2022'!C:C)</f>
        <v>958109.22</v>
      </c>
      <c r="J1708" s="59">
        <v>44925</v>
      </c>
      <c r="K1708" s="273" t="s">
        <v>3118</v>
      </c>
    </row>
    <row r="1709" spans="1:11" x14ac:dyDescent="0.3">
      <c r="A1709" s="259">
        <f t="shared" ref="A1709:A1717" si="62">A1708+1</f>
        <v>1532</v>
      </c>
      <c r="B1709" s="20" t="s">
        <v>1656</v>
      </c>
      <c r="C1709" s="162">
        <v>1964</v>
      </c>
      <c r="D1709" s="234"/>
      <c r="E1709" s="273" t="s">
        <v>3437</v>
      </c>
      <c r="F1709" s="10">
        <v>2</v>
      </c>
      <c r="G1709" s="273">
        <v>322.10000000000002</v>
      </c>
      <c r="H1709" s="10">
        <v>15</v>
      </c>
      <c r="I1709" s="273">
        <f>SUMIF('2020'!B:B,B1709,'2020'!C:C)+SUMIF('2021'!B:B,B1709,'2021'!C:C)+SUMIF('2022'!B:B,B1709,'2022'!C:C)</f>
        <v>467788.99</v>
      </c>
      <c r="J1709" s="59">
        <v>44925</v>
      </c>
      <c r="K1709" s="273" t="s">
        <v>3118</v>
      </c>
    </row>
    <row r="1710" spans="1:11" x14ac:dyDescent="0.3">
      <c r="A1710" s="259">
        <f t="shared" si="62"/>
        <v>1533</v>
      </c>
      <c r="B1710" s="20" t="s">
        <v>1657</v>
      </c>
      <c r="C1710" s="162">
        <v>1982</v>
      </c>
      <c r="D1710" s="234"/>
      <c r="E1710" s="234" t="s">
        <v>3450</v>
      </c>
      <c r="F1710" s="10">
        <v>2</v>
      </c>
      <c r="G1710" s="234">
        <v>264.8</v>
      </c>
      <c r="H1710" s="10">
        <v>12</v>
      </c>
      <c r="I1710" s="273">
        <f>SUMIF('2020'!B:B,B1710,'2020'!C:C)+SUMIF('2021'!B:B,B1710,'2021'!C:C)+SUMIF('2022'!B:B,B1710,'2022'!C:C)</f>
        <v>237716.99</v>
      </c>
      <c r="J1710" s="59">
        <v>44925</v>
      </c>
      <c r="K1710" s="273" t="s">
        <v>3118</v>
      </c>
    </row>
    <row r="1711" spans="1:11" x14ac:dyDescent="0.3">
      <c r="A1711" s="259">
        <f t="shared" si="62"/>
        <v>1534</v>
      </c>
      <c r="B1711" s="20" t="s">
        <v>1658</v>
      </c>
      <c r="C1711" s="162">
        <v>1990</v>
      </c>
      <c r="D1711" s="234"/>
      <c r="E1711" s="234" t="s">
        <v>3450</v>
      </c>
      <c r="F1711" s="10">
        <v>2</v>
      </c>
      <c r="G1711" s="234">
        <v>322.7</v>
      </c>
      <c r="H1711" s="10">
        <v>18</v>
      </c>
      <c r="I1711" s="273">
        <f>SUMIF('2020'!B:B,B1711,'2020'!C:C)+SUMIF('2021'!B:B,B1711,'2021'!C:C)+SUMIF('2022'!B:B,B1711,'2022'!C:C)</f>
        <v>171285.78</v>
      </c>
      <c r="J1711" s="59">
        <v>44925</v>
      </c>
      <c r="K1711" s="273" t="s">
        <v>3118</v>
      </c>
    </row>
    <row r="1712" spans="1:11" x14ac:dyDescent="0.3">
      <c r="A1712" s="259">
        <f t="shared" si="62"/>
        <v>1535</v>
      </c>
      <c r="B1712" s="20" t="s">
        <v>1659</v>
      </c>
      <c r="C1712" s="162">
        <v>1987</v>
      </c>
      <c r="D1712" s="234"/>
      <c r="E1712" s="273" t="s">
        <v>3450</v>
      </c>
      <c r="F1712" s="10">
        <v>2</v>
      </c>
      <c r="G1712" s="234">
        <v>360</v>
      </c>
      <c r="H1712" s="10">
        <v>22</v>
      </c>
      <c r="I1712" s="273">
        <f>SUMIF('2020'!B:B,B1712,'2020'!C:C)+SUMIF('2021'!B:B,B1712,'2021'!C:C)+SUMIF('2022'!B:B,B1712,'2022'!C:C)</f>
        <v>89594.89</v>
      </c>
      <c r="J1712" s="59">
        <v>44925</v>
      </c>
      <c r="K1712" s="273" t="s">
        <v>3118</v>
      </c>
    </row>
    <row r="1713" spans="1:13" x14ac:dyDescent="0.3">
      <c r="A1713" s="259">
        <f t="shared" si="62"/>
        <v>1536</v>
      </c>
      <c r="B1713" s="20" t="s">
        <v>1660</v>
      </c>
      <c r="C1713" s="162">
        <v>1975</v>
      </c>
      <c r="D1713" s="234"/>
      <c r="E1713" s="273" t="s">
        <v>3119</v>
      </c>
      <c r="F1713" s="10">
        <v>2</v>
      </c>
      <c r="G1713" s="234">
        <v>487.1</v>
      </c>
      <c r="H1713" s="10">
        <v>24</v>
      </c>
      <c r="I1713" s="273">
        <f>SUMIF('2020'!B:B,B1713,'2020'!C:C)+SUMIF('2021'!B:B,B1713,'2021'!C:C)+SUMIF('2022'!B:B,B1713,'2022'!C:C)</f>
        <v>899960.42</v>
      </c>
      <c r="J1713" s="59">
        <v>44925</v>
      </c>
      <c r="K1713" s="273" t="s">
        <v>3118</v>
      </c>
    </row>
    <row r="1714" spans="1:13" x14ac:dyDescent="0.3">
      <c r="A1714" s="259">
        <f t="shared" si="62"/>
        <v>1537</v>
      </c>
      <c r="B1714" s="20" t="s">
        <v>1661</v>
      </c>
      <c r="C1714" s="162">
        <v>1976</v>
      </c>
      <c r="D1714" s="234"/>
      <c r="E1714" s="234" t="s">
        <v>3123</v>
      </c>
      <c r="F1714" s="10">
        <v>2</v>
      </c>
      <c r="G1714" s="234">
        <v>579.79999999999995</v>
      </c>
      <c r="H1714" s="10">
        <v>15</v>
      </c>
      <c r="I1714" s="273">
        <f>SUMIF('2020'!B:B,B1714,'2020'!C:C)+SUMIF('2021'!B:B,B1714,'2021'!C:C)+SUMIF('2022'!B:B,B1714,'2022'!C:C)</f>
        <v>150205.01999999999</v>
      </c>
      <c r="J1714" s="59">
        <v>44925</v>
      </c>
      <c r="K1714" s="273" t="s">
        <v>3118</v>
      </c>
    </row>
    <row r="1715" spans="1:13" x14ac:dyDescent="0.3">
      <c r="A1715" s="259">
        <f t="shared" si="62"/>
        <v>1538</v>
      </c>
      <c r="B1715" s="20" t="s">
        <v>1662</v>
      </c>
      <c r="C1715" s="162">
        <v>1977</v>
      </c>
      <c r="D1715" s="234"/>
      <c r="E1715" s="234" t="s">
        <v>3123</v>
      </c>
      <c r="F1715" s="10">
        <v>2</v>
      </c>
      <c r="G1715" s="234">
        <v>585.9</v>
      </c>
      <c r="H1715" s="10">
        <v>26</v>
      </c>
      <c r="I1715" s="273">
        <f>SUMIF('2020'!B:B,B1715,'2020'!C:C)+SUMIF('2021'!B:B,B1715,'2021'!C:C)+SUMIF('2022'!B:B,B1715,'2022'!C:C)</f>
        <v>151821.91</v>
      </c>
      <c r="J1715" s="59">
        <v>44925</v>
      </c>
      <c r="K1715" s="273" t="s">
        <v>3118</v>
      </c>
    </row>
    <row r="1716" spans="1:13" x14ac:dyDescent="0.3">
      <c r="A1716" s="259">
        <f t="shared" si="62"/>
        <v>1539</v>
      </c>
      <c r="B1716" s="20" t="s">
        <v>1663</v>
      </c>
      <c r="C1716" s="162">
        <v>1974</v>
      </c>
      <c r="D1716" s="234"/>
      <c r="E1716" s="273" t="s">
        <v>3119</v>
      </c>
      <c r="F1716" s="10">
        <v>2</v>
      </c>
      <c r="G1716" s="234">
        <v>540.20000000000005</v>
      </c>
      <c r="H1716" s="10">
        <v>22</v>
      </c>
      <c r="I1716" s="273">
        <f>SUMIF('2020'!B:B,B1716,'2020'!C:C)+SUMIF('2021'!B:B,B1716,'2021'!C:C)+SUMIF('2022'!B:B,B1716,'2022'!C:C)</f>
        <v>1641689.29</v>
      </c>
      <c r="J1716" s="59">
        <v>44925</v>
      </c>
      <c r="K1716" s="273" t="s">
        <v>3118</v>
      </c>
    </row>
    <row r="1717" spans="1:13" x14ac:dyDescent="0.3">
      <c r="A1717" s="259">
        <f t="shared" si="62"/>
        <v>1540</v>
      </c>
      <c r="B1717" s="20" t="s">
        <v>1664</v>
      </c>
      <c r="C1717" s="162">
        <v>1974</v>
      </c>
      <c r="D1717" s="234"/>
      <c r="E1717" s="234" t="s">
        <v>3119</v>
      </c>
      <c r="F1717" s="10">
        <v>2</v>
      </c>
      <c r="G1717" s="234">
        <v>541.29999999999995</v>
      </c>
      <c r="H1717" s="10">
        <v>16</v>
      </c>
      <c r="I1717" s="273">
        <f>SUMIF('2020'!B:B,B1717,'2020'!C:C)+SUMIF('2021'!B:B,B1717,'2021'!C:C)+SUMIF('2022'!B:B,B1717,'2022'!C:C)</f>
        <v>200914.69</v>
      </c>
      <c r="J1717" s="59">
        <v>44925</v>
      </c>
      <c r="K1717" s="273" t="s">
        <v>3118</v>
      </c>
    </row>
    <row r="1718" spans="1:13" x14ac:dyDescent="0.3">
      <c r="A1718" s="250"/>
      <c r="B1718" s="20" t="s">
        <v>208</v>
      </c>
      <c r="C1718" s="273" t="s">
        <v>3558</v>
      </c>
      <c r="D1718" s="273" t="s">
        <v>3558</v>
      </c>
      <c r="E1718" s="273" t="s">
        <v>3558</v>
      </c>
      <c r="F1718" s="273" t="s">
        <v>3558</v>
      </c>
      <c r="G1718" s="273">
        <f>SUM(G1708:G1717)</f>
        <v>4527.0000000000009</v>
      </c>
      <c r="H1718" s="10">
        <f>SUM(H1708:H1717)</f>
        <v>197</v>
      </c>
      <c r="I1718" s="273">
        <f>SUM(I1708:I1717)</f>
        <v>4969087.2</v>
      </c>
      <c r="J1718" s="273" t="s">
        <v>3558</v>
      </c>
      <c r="K1718" s="273" t="s">
        <v>3558</v>
      </c>
    </row>
    <row r="1719" spans="1:13" s="43" customFormat="1" x14ac:dyDescent="0.3">
      <c r="A1719" s="291" t="s">
        <v>1665</v>
      </c>
      <c r="B1719" s="291"/>
      <c r="C1719" s="251" t="s">
        <v>3558</v>
      </c>
      <c r="D1719" s="251" t="s">
        <v>3558</v>
      </c>
      <c r="E1719" s="251" t="s">
        <v>3558</v>
      </c>
      <c r="F1719" s="251" t="s">
        <v>3558</v>
      </c>
      <c r="G1719" s="251">
        <f>G1718+G1706+G1697+G1659+G1645</f>
        <v>198558.2</v>
      </c>
      <c r="H1719" s="132">
        <f>H1718+H1706+H1697+H1659+H1645</f>
        <v>8453</v>
      </c>
      <c r="I1719" s="251">
        <f>I1718+I1706+I1697+I1659+I1645</f>
        <v>804492396.69999969</v>
      </c>
      <c r="J1719" s="251" t="s">
        <v>3558</v>
      </c>
      <c r="K1719" s="251" t="s">
        <v>3558</v>
      </c>
      <c r="L1719" s="196">
        <f>I1719-'2020'!C379-'2021'!C1372-'2022'!C442</f>
        <v>0</v>
      </c>
      <c r="M1719" s="198"/>
    </row>
    <row r="1720" spans="1:13" s="43" customFormat="1" x14ac:dyDescent="0.3">
      <c r="A1720" s="292" t="s">
        <v>1666</v>
      </c>
      <c r="B1720" s="292"/>
      <c r="C1720" s="292"/>
      <c r="D1720" s="292"/>
      <c r="E1720" s="292"/>
      <c r="F1720" s="292"/>
      <c r="G1720" s="292"/>
      <c r="H1720" s="292"/>
      <c r="I1720" s="292"/>
      <c r="J1720" s="292"/>
      <c r="K1720" s="292"/>
      <c r="L1720" s="198"/>
      <c r="M1720" s="198"/>
    </row>
    <row r="1721" spans="1:13" x14ac:dyDescent="0.3">
      <c r="A1721" s="291" t="s">
        <v>1667</v>
      </c>
      <c r="B1721" s="291"/>
      <c r="C1721" s="273"/>
      <c r="D1721" s="234"/>
      <c r="E1721" s="251"/>
      <c r="F1721" s="251"/>
      <c r="G1721" s="251"/>
      <c r="H1721" s="132"/>
      <c r="I1721" s="251"/>
      <c r="J1721" s="251"/>
      <c r="K1721" s="251"/>
    </row>
    <row r="1722" spans="1:13" x14ac:dyDescent="0.3">
      <c r="A1722" s="259">
        <f>A1717+1</f>
        <v>1541</v>
      </c>
      <c r="B1722" s="20" t="s">
        <v>1668</v>
      </c>
      <c r="C1722" s="162">
        <v>1972</v>
      </c>
      <c r="D1722" s="234"/>
      <c r="E1722" s="200" t="s">
        <v>3121</v>
      </c>
      <c r="F1722" s="200">
        <v>5</v>
      </c>
      <c r="G1722" s="200">
        <v>4407</v>
      </c>
      <c r="H1722" s="201">
        <v>221</v>
      </c>
      <c r="I1722" s="273">
        <f>SUMIF('2020'!B:B,B1722,'2020'!C:C)+SUMIF('2021'!B:B,B1722,'2021'!C:C)+SUMIF('2022'!B:B,B1722,'2022'!C:C)</f>
        <v>410535.02</v>
      </c>
      <c r="J1722" s="59">
        <v>44925</v>
      </c>
      <c r="K1722" s="273" t="s">
        <v>3118</v>
      </c>
    </row>
    <row r="1723" spans="1:13" x14ac:dyDescent="0.3">
      <c r="A1723" s="259">
        <f t="shared" ref="A1723:A1754" si="63">A1722+1</f>
        <v>1542</v>
      </c>
      <c r="B1723" s="20" t="s">
        <v>1669</v>
      </c>
      <c r="C1723" s="162">
        <v>1975</v>
      </c>
      <c r="D1723" s="234"/>
      <c r="E1723" s="200" t="s">
        <v>3121</v>
      </c>
      <c r="F1723" s="31">
        <v>5</v>
      </c>
      <c r="G1723" s="31">
        <v>4314.7</v>
      </c>
      <c r="H1723" s="173">
        <v>232</v>
      </c>
      <c r="I1723" s="273">
        <f>SUMIF('2020'!B:B,B1723,'2020'!C:C)+SUMIF('2021'!B:B,B1723,'2021'!C:C)+SUMIF('2022'!B:B,B1723,'2022'!C:C)</f>
        <v>130000</v>
      </c>
      <c r="J1723" s="59">
        <v>44925</v>
      </c>
      <c r="K1723" s="273" t="s">
        <v>3118</v>
      </c>
    </row>
    <row r="1724" spans="1:13" x14ac:dyDescent="0.3">
      <c r="A1724" s="259">
        <f t="shared" si="63"/>
        <v>1543</v>
      </c>
      <c r="B1724" s="20" t="s">
        <v>1670</v>
      </c>
      <c r="C1724" s="162">
        <v>1976</v>
      </c>
      <c r="D1724" s="234"/>
      <c r="E1724" s="31" t="s">
        <v>3123</v>
      </c>
      <c r="F1724" s="31">
        <v>5</v>
      </c>
      <c r="G1724" s="31">
        <v>3414.6</v>
      </c>
      <c r="H1724" s="173">
        <v>163</v>
      </c>
      <c r="I1724" s="273">
        <f>SUMIF('2020'!B:B,B1724,'2020'!C:C)+SUMIF('2021'!B:B,B1724,'2021'!C:C)+SUMIF('2022'!B:B,B1724,'2022'!C:C)</f>
        <v>369839.51</v>
      </c>
      <c r="J1724" s="59">
        <v>44925</v>
      </c>
      <c r="K1724" s="273" t="s">
        <v>3118</v>
      </c>
    </row>
    <row r="1725" spans="1:13" x14ac:dyDescent="0.3">
      <c r="A1725" s="259">
        <f t="shared" si="63"/>
        <v>1544</v>
      </c>
      <c r="B1725" s="20" t="s">
        <v>1671</v>
      </c>
      <c r="C1725" s="162">
        <v>1956</v>
      </c>
      <c r="D1725" s="234"/>
      <c r="E1725" s="31" t="s">
        <v>3123</v>
      </c>
      <c r="F1725" s="31">
        <v>2</v>
      </c>
      <c r="G1725" s="31">
        <v>725.1</v>
      </c>
      <c r="H1725" s="173">
        <v>40</v>
      </c>
      <c r="I1725" s="273">
        <f>SUMIF('2020'!B:B,B1725,'2020'!C:C)+SUMIF('2021'!B:B,B1725,'2021'!C:C)+SUMIF('2022'!B:B,B1725,'2022'!C:C)</f>
        <v>631939.43000000005</v>
      </c>
      <c r="J1725" s="59">
        <v>44925</v>
      </c>
      <c r="K1725" s="273" t="s">
        <v>3118</v>
      </c>
    </row>
    <row r="1726" spans="1:13" x14ac:dyDescent="0.3">
      <c r="A1726" s="259">
        <f t="shared" si="63"/>
        <v>1545</v>
      </c>
      <c r="B1726" s="20" t="s">
        <v>1672</v>
      </c>
      <c r="C1726" s="162">
        <v>1955</v>
      </c>
      <c r="D1726" s="234"/>
      <c r="E1726" s="31" t="s">
        <v>3123</v>
      </c>
      <c r="F1726" s="31">
        <v>2</v>
      </c>
      <c r="G1726" s="31">
        <v>641.1</v>
      </c>
      <c r="H1726" s="173">
        <v>26</v>
      </c>
      <c r="I1726" s="273">
        <f>SUMIF('2020'!B:B,B1726,'2020'!C:C)+SUMIF('2021'!B:B,B1726,'2021'!C:C)+SUMIF('2022'!B:B,B1726,'2022'!C:C)</f>
        <v>1375917.6</v>
      </c>
      <c r="J1726" s="59">
        <v>44925</v>
      </c>
      <c r="K1726" s="273" t="s">
        <v>3118</v>
      </c>
    </row>
    <row r="1727" spans="1:13" x14ac:dyDescent="0.3">
      <c r="A1727" s="259">
        <f t="shared" si="63"/>
        <v>1546</v>
      </c>
      <c r="B1727" s="20" t="s">
        <v>1673</v>
      </c>
      <c r="C1727" s="162">
        <v>1955</v>
      </c>
      <c r="D1727" s="234"/>
      <c r="E1727" s="31" t="s">
        <v>3123</v>
      </c>
      <c r="F1727" s="31">
        <v>2</v>
      </c>
      <c r="G1727" s="31">
        <v>638.4</v>
      </c>
      <c r="H1727" s="173">
        <v>40</v>
      </c>
      <c r="I1727" s="273">
        <f>SUMIF('2020'!B:B,B1727,'2020'!C:C)+SUMIF('2021'!B:B,B1727,'2021'!C:C)+SUMIF('2022'!B:B,B1727,'2022'!C:C)</f>
        <v>1072072.8</v>
      </c>
      <c r="J1727" s="59">
        <v>44925</v>
      </c>
      <c r="K1727" s="273" t="s">
        <v>3118</v>
      </c>
    </row>
    <row r="1728" spans="1:13" x14ac:dyDescent="0.3">
      <c r="A1728" s="259">
        <f t="shared" si="63"/>
        <v>1547</v>
      </c>
      <c r="B1728" s="20" t="s">
        <v>1674</v>
      </c>
      <c r="C1728" s="162">
        <v>1956</v>
      </c>
      <c r="D1728" s="234"/>
      <c r="E1728" s="200" t="s">
        <v>3123</v>
      </c>
      <c r="F1728" s="200">
        <v>2</v>
      </c>
      <c r="G1728" s="200">
        <v>781.9</v>
      </c>
      <c r="H1728" s="201">
        <v>32</v>
      </c>
      <c r="I1728" s="273">
        <f>SUMIF('2020'!B:B,B1728,'2020'!C:C)+SUMIF('2021'!B:B,B1728,'2021'!C:C)+SUMIF('2022'!B:B,B1728,'2022'!C:C)</f>
        <v>1845948.4000000001</v>
      </c>
      <c r="J1728" s="59">
        <v>44925</v>
      </c>
      <c r="K1728" s="273" t="s">
        <v>3118</v>
      </c>
    </row>
    <row r="1729" spans="1:11" x14ac:dyDescent="0.3">
      <c r="A1729" s="259">
        <f t="shared" si="63"/>
        <v>1548</v>
      </c>
      <c r="B1729" s="20" t="s">
        <v>1675</v>
      </c>
      <c r="C1729" s="162">
        <v>1960</v>
      </c>
      <c r="D1729" s="234"/>
      <c r="E1729" s="200" t="s">
        <v>3123</v>
      </c>
      <c r="F1729" s="200">
        <v>3</v>
      </c>
      <c r="G1729" s="200">
        <v>1523.3</v>
      </c>
      <c r="H1729" s="201">
        <v>68</v>
      </c>
      <c r="I1729" s="273">
        <f>SUMIF('2020'!B:B,B1729,'2020'!C:C)+SUMIF('2021'!B:B,B1729,'2021'!C:C)+SUMIF('2022'!B:B,B1729,'2022'!C:C)</f>
        <v>7813753.2000000002</v>
      </c>
      <c r="J1729" s="59">
        <v>44925</v>
      </c>
      <c r="K1729" s="273" t="s">
        <v>3118</v>
      </c>
    </row>
    <row r="1730" spans="1:11" x14ac:dyDescent="0.3">
      <c r="A1730" s="259">
        <f t="shared" si="63"/>
        <v>1549</v>
      </c>
      <c r="B1730" s="20" t="s">
        <v>1677</v>
      </c>
      <c r="C1730" s="162">
        <v>1959</v>
      </c>
      <c r="D1730" s="234"/>
      <c r="E1730" s="200" t="s">
        <v>3123</v>
      </c>
      <c r="F1730" s="200">
        <v>3</v>
      </c>
      <c r="G1730" s="200">
        <v>1609.6</v>
      </c>
      <c r="H1730" s="201">
        <v>65</v>
      </c>
      <c r="I1730" s="273">
        <f>SUMIF('2020'!B:B,B1730,'2020'!C:C)+SUMIF('2021'!B:B,B1730,'2021'!C:C)+SUMIF('2022'!B:B,B1730,'2022'!C:C)</f>
        <v>313276.81999999995</v>
      </c>
      <c r="J1730" s="59">
        <v>44925</v>
      </c>
      <c r="K1730" s="273" t="s">
        <v>3118</v>
      </c>
    </row>
    <row r="1731" spans="1:11" x14ac:dyDescent="0.3">
      <c r="A1731" s="259">
        <f t="shared" si="63"/>
        <v>1550</v>
      </c>
      <c r="B1731" s="20" t="s">
        <v>1678</v>
      </c>
      <c r="C1731" s="162">
        <v>1957</v>
      </c>
      <c r="D1731" s="234"/>
      <c r="E1731" s="31" t="s">
        <v>3123</v>
      </c>
      <c r="F1731" s="28">
        <v>3</v>
      </c>
      <c r="G1731" s="46">
        <v>905.56</v>
      </c>
      <c r="H1731" s="229">
        <v>46</v>
      </c>
      <c r="I1731" s="273">
        <f>SUMIF('2020'!B:B,B1731,'2020'!C:C)+SUMIF('2021'!B:B,B1731,'2021'!C:C)+SUMIF('2022'!B:B,B1731,'2022'!C:C)</f>
        <v>835472.64</v>
      </c>
      <c r="J1731" s="59">
        <v>44925</v>
      </c>
      <c r="K1731" s="273" t="s">
        <v>3118</v>
      </c>
    </row>
    <row r="1732" spans="1:11" x14ac:dyDescent="0.3">
      <c r="A1732" s="259">
        <f t="shared" si="63"/>
        <v>1551</v>
      </c>
      <c r="B1732" s="20" t="s">
        <v>1679</v>
      </c>
      <c r="C1732" s="162">
        <v>1958</v>
      </c>
      <c r="D1732" s="234"/>
      <c r="E1732" s="31" t="s">
        <v>3123</v>
      </c>
      <c r="F1732" s="28">
        <v>2</v>
      </c>
      <c r="G1732" s="46">
        <v>627.33000000000004</v>
      </c>
      <c r="H1732" s="229">
        <v>20</v>
      </c>
      <c r="I1732" s="273">
        <f>SUMIF('2020'!B:B,B1732,'2020'!C:C)+SUMIF('2021'!B:B,B1732,'2021'!C:C)+SUMIF('2022'!B:B,B1732,'2022'!C:C)</f>
        <v>117612.79</v>
      </c>
      <c r="J1732" s="59">
        <v>44925</v>
      </c>
      <c r="K1732" s="273" t="s">
        <v>3118</v>
      </c>
    </row>
    <row r="1733" spans="1:11" x14ac:dyDescent="0.3">
      <c r="A1733" s="259">
        <f t="shared" si="63"/>
        <v>1552</v>
      </c>
      <c r="B1733" s="20" t="s">
        <v>1680</v>
      </c>
      <c r="C1733" s="162">
        <v>1968</v>
      </c>
      <c r="D1733" s="234"/>
      <c r="E1733" s="200" t="s">
        <v>3121</v>
      </c>
      <c r="F1733" s="200">
        <v>5</v>
      </c>
      <c r="G1733" s="200">
        <v>3200.9</v>
      </c>
      <c r="H1733" s="201">
        <v>127</v>
      </c>
      <c r="I1733" s="273">
        <f>SUMIF('2020'!B:B,B1733,'2020'!C:C)+SUMIF('2021'!B:B,B1733,'2021'!C:C)+SUMIF('2022'!B:B,B1733,'2022'!C:C)</f>
        <v>161967.85</v>
      </c>
      <c r="J1733" s="59">
        <v>44925</v>
      </c>
      <c r="K1733" s="273" t="s">
        <v>3118</v>
      </c>
    </row>
    <row r="1734" spans="1:11" x14ac:dyDescent="0.3">
      <c r="A1734" s="259">
        <f t="shared" si="63"/>
        <v>1553</v>
      </c>
      <c r="B1734" s="20" t="s">
        <v>1681</v>
      </c>
      <c r="C1734" s="162">
        <v>1957</v>
      </c>
      <c r="D1734" s="234"/>
      <c r="E1734" s="200" t="s">
        <v>3123</v>
      </c>
      <c r="F1734" s="200">
        <v>2</v>
      </c>
      <c r="G1734" s="200">
        <v>680.4</v>
      </c>
      <c r="H1734" s="201">
        <v>26</v>
      </c>
      <c r="I1734" s="273">
        <f>SUMIF('2020'!B:B,B1734,'2020'!C:C)+SUMIF('2021'!B:B,B1734,'2021'!C:C)+SUMIF('2022'!B:B,B1734,'2022'!C:C)</f>
        <v>105659.06</v>
      </c>
      <c r="J1734" s="59">
        <v>44925</v>
      </c>
      <c r="K1734" s="273" t="s">
        <v>3118</v>
      </c>
    </row>
    <row r="1735" spans="1:11" x14ac:dyDescent="0.3">
      <c r="A1735" s="259">
        <f t="shared" si="63"/>
        <v>1554</v>
      </c>
      <c r="B1735" s="20" t="s">
        <v>1682</v>
      </c>
      <c r="C1735" s="162">
        <v>1951</v>
      </c>
      <c r="D1735" s="234"/>
      <c r="E1735" s="200" t="s">
        <v>3123</v>
      </c>
      <c r="F1735" s="200">
        <v>2</v>
      </c>
      <c r="G1735" s="200">
        <v>714.2</v>
      </c>
      <c r="H1735" s="201">
        <v>39</v>
      </c>
      <c r="I1735" s="273">
        <f>SUMIF('2020'!B:B,B1735,'2020'!C:C)+SUMIF('2021'!B:B,B1735,'2021'!C:C)+SUMIF('2022'!B:B,B1735,'2022'!C:C)</f>
        <v>555408.35</v>
      </c>
      <c r="J1735" s="59">
        <v>44925</v>
      </c>
      <c r="K1735" s="273" t="s">
        <v>3118</v>
      </c>
    </row>
    <row r="1736" spans="1:11" x14ac:dyDescent="0.3">
      <c r="A1736" s="259">
        <f t="shared" si="63"/>
        <v>1555</v>
      </c>
      <c r="B1736" s="20" t="s">
        <v>1683</v>
      </c>
      <c r="C1736" s="162">
        <v>1951</v>
      </c>
      <c r="D1736" s="234"/>
      <c r="E1736" s="200" t="s">
        <v>3123</v>
      </c>
      <c r="F1736" s="28">
        <v>2</v>
      </c>
      <c r="G1736" s="46">
        <v>438.01</v>
      </c>
      <c r="H1736" s="229">
        <v>15</v>
      </c>
      <c r="I1736" s="273">
        <f>SUMIF('2020'!B:B,B1736,'2020'!C:C)+SUMIF('2021'!B:B,B1736,'2021'!C:C)+SUMIF('2022'!B:B,B1736,'2022'!C:C)</f>
        <v>88314.83</v>
      </c>
      <c r="J1736" s="59">
        <v>44925</v>
      </c>
      <c r="K1736" s="273" t="s">
        <v>3118</v>
      </c>
    </row>
    <row r="1737" spans="1:11" x14ac:dyDescent="0.3">
      <c r="A1737" s="259">
        <f t="shared" si="63"/>
        <v>1556</v>
      </c>
      <c r="B1737" s="20" t="s">
        <v>1684</v>
      </c>
      <c r="C1737" s="162">
        <v>1950</v>
      </c>
      <c r="D1737" s="234"/>
      <c r="E1737" s="31" t="s">
        <v>3123</v>
      </c>
      <c r="F1737" s="31">
        <v>3</v>
      </c>
      <c r="G1737" s="31">
        <v>884.6</v>
      </c>
      <c r="H1737" s="173">
        <v>32</v>
      </c>
      <c r="I1737" s="273">
        <f>SUMIF('2020'!B:B,B1737,'2020'!C:C)+SUMIF('2021'!B:B,B1737,'2021'!C:C)+SUMIF('2022'!B:B,B1737,'2022'!C:C)</f>
        <v>589659.22</v>
      </c>
      <c r="J1737" s="59">
        <v>44925</v>
      </c>
      <c r="K1737" s="273" t="s">
        <v>3118</v>
      </c>
    </row>
    <row r="1738" spans="1:11" x14ac:dyDescent="0.3">
      <c r="A1738" s="259">
        <f t="shared" si="63"/>
        <v>1557</v>
      </c>
      <c r="B1738" s="20" t="s">
        <v>1685</v>
      </c>
      <c r="C1738" s="162">
        <v>1952</v>
      </c>
      <c r="D1738" s="234"/>
      <c r="E1738" s="200" t="s">
        <v>3451</v>
      </c>
      <c r="F1738" s="200">
        <v>2</v>
      </c>
      <c r="G1738" s="200">
        <v>715</v>
      </c>
      <c r="H1738" s="201">
        <v>25</v>
      </c>
      <c r="I1738" s="273">
        <f>SUMIF('2020'!B:B,B1738,'2020'!C:C)+SUMIF('2021'!B:B,B1738,'2021'!C:C)+SUMIF('2022'!B:B,B1738,'2022'!C:C)</f>
        <v>592164</v>
      </c>
      <c r="J1738" s="59">
        <v>44925</v>
      </c>
      <c r="K1738" s="273" t="s">
        <v>3118</v>
      </c>
    </row>
    <row r="1739" spans="1:11" x14ac:dyDescent="0.3">
      <c r="A1739" s="259">
        <f t="shared" si="63"/>
        <v>1558</v>
      </c>
      <c r="B1739" s="20" t="s">
        <v>1686</v>
      </c>
      <c r="C1739" s="162">
        <v>1951</v>
      </c>
      <c r="D1739" s="234"/>
      <c r="E1739" s="31" t="s">
        <v>3123</v>
      </c>
      <c r="F1739" s="31">
        <v>2</v>
      </c>
      <c r="G1739" s="31">
        <v>628.29999999999995</v>
      </c>
      <c r="H1739" s="173">
        <v>26</v>
      </c>
      <c r="I1739" s="273">
        <f>SUMIF('2020'!B:B,B1739,'2020'!C:C)+SUMIF('2021'!B:B,B1739,'2021'!C:C)+SUMIF('2022'!B:B,B1739,'2022'!C:C)</f>
        <v>621628.80000000005</v>
      </c>
      <c r="J1739" s="59">
        <v>44925</v>
      </c>
      <c r="K1739" s="273" t="s">
        <v>3118</v>
      </c>
    </row>
    <row r="1740" spans="1:11" x14ac:dyDescent="0.3">
      <c r="A1740" s="259">
        <f t="shared" si="63"/>
        <v>1559</v>
      </c>
      <c r="B1740" s="20" t="s">
        <v>1687</v>
      </c>
      <c r="C1740" s="162">
        <v>1950</v>
      </c>
      <c r="D1740" s="234"/>
      <c r="E1740" s="31" t="s">
        <v>3121</v>
      </c>
      <c r="F1740" s="31">
        <v>2</v>
      </c>
      <c r="G1740" s="31">
        <v>610</v>
      </c>
      <c r="H1740" s="173">
        <v>35</v>
      </c>
      <c r="I1740" s="273">
        <f>SUMIF('2020'!B:B,B1740,'2020'!C:C)+SUMIF('2021'!B:B,B1740,'2021'!C:C)+SUMIF('2022'!B:B,B1740,'2022'!C:C)</f>
        <v>627748.80000000005</v>
      </c>
      <c r="J1740" s="59">
        <v>44925</v>
      </c>
      <c r="K1740" s="273" t="s">
        <v>3118</v>
      </c>
    </row>
    <row r="1741" spans="1:11" x14ac:dyDescent="0.3">
      <c r="A1741" s="259">
        <f t="shared" si="63"/>
        <v>1560</v>
      </c>
      <c r="B1741" s="20" t="s">
        <v>1688</v>
      </c>
      <c r="C1741" s="162">
        <v>1956</v>
      </c>
      <c r="D1741" s="234"/>
      <c r="E1741" s="31" t="s">
        <v>3123</v>
      </c>
      <c r="F1741" s="31">
        <v>3</v>
      </c>
      <c r="G1741" s="31">
        <v>1054.5999999999999</v>
      </c>
      <c r="H1741" s="173">
        <v>47</v>
      </c>
      <c r="I1741" s="273">
        <f>SUMIF('2020'!B:B,B1741,'2020'!C:C)+SUMIF('2021'!B:B,B1741,'2021'!C:C)+SUMIF('2022'!B:B,B1741,'2022'!C:C)</f>
        <v>684561.6</v>
      </c>
      <c r="J1741" s="59">
        <v>44925</v>
      </c>
      <c r="K1741" s="273" t="s">
        <v>3118</v>
      </c>
    </row>
    <row r="1742" spans="1:11" x14ac:dyDescent="0.3">
      <c r="A1742" s="259">
        <f t="shared" si="63"/>
        <v>1561</v>
      </c>
      <c r="B1742" s="20" t="s">
        <v>1689</v>
      </c>
      <c r="C1742" s="162">
        <v>1951</v>
      </c>
      <c r="D1742" s="234"/>
      <c r="E1742" s="31" t="s">
        <v>3121</v>
      </c>
      <c r="F1742" s="31">
        <v>2</v>
      </c>
      <c r="G1742" s="31">
        <v>600.6</v>
      </c>
      <c r="H1742" s="173">
        <v>28</v>
      </c>
      <c r="I1742" s="273">
        <f>SUMIF('2020'!B:B,B1742,'2020'!C:C)+SUMIF('2021'!B:B,B1742,'2021'!C:C)+SUMIF('2022'!B:B,B1742,'2022'!C:C)</f>
        <v>634210.80000000005</v>
      </c>
      <c r="J1742" s="59">
        <v>44925</v>
      </c>
      <c r="K1742" s="273" t="s">
        <v>3118</v>
      </c>
    </row>
    <row r="1743" spans="1:11" x14ac:dyDescent="0.3">
      <c r="A1743" s="259">
        <f t="shared" si="63"/>
        <v>1562</v>
      </c>
      <c r="B1743" s="20" t="s">
        <v>1690</v>
      </c>
      <c r="C1743" s="162">
        <v>1950</v>
      </c>
      <c r="D1743" s="234"/>
      <c r="E1743" s="31" t="s">
        <v>3121</v>
      </c>
      <c r="F1743" s="31">
        <v>2</v>
      </c>
      <c r="G1743" s="31">
        <v>618.6</v>
      </c>
      <c r="H1743" s="173">
        <v>36</v>
      </c>
      <c r="I1743" s="273">
        <f>SUMIF('2020'!B:B,B1743,'2020'!C:C)+SUMIF('2021'!B:B,B1743,'2021'!C:C)+SUMIF('2022'!B:B,B1743,'2022'!C:C)</f>
        <v>634210.80000000005</v>
      </c>
      <c r="J1743" s="59">
        <v>44925</v>
      </c>
      <c r="K1743" s="273" t="s">
        <v>3118</v>
      </c>
    </row>
    <row r="1744" spans="1:11" x14ac:dyDescent="0.3">
      <c r="A1744" s="259">
        <f t="shared" si="63"/>
        <v>1563</v>
      </c>
      <c r="B1744" s="20" t="s">
        <v>1691</v>
      </c>
      <c r="C1744" s="162">
        <v>1957</v>
      </c>
      <c r="D1744" s="234"/>
      <c r="E1744" s="31" t="s">
        <v>3123</v>
      </c>
      <c r="F1744" s="31">
        <v>2</v>
      </c>
      <c r="G1744" s="31">
        <v>846.9</v>
      </c>
      <c r="H1744" s="173">
        <v>41</v>
      </c>
      <c r="I1744" s="273">
        <f>SUMIF('2020'!B:B,B1744,'2020'!C:C)+SUMIF('2021'!B:B,B1744,'2021'!C:C)+SUMIF('2022'!B:B,B1744,'2022'!C:C)</f>
        <v>4601672.3999999994</v>
      </c>
      <c r="J1744" s="59">
        <v>44925</v>
      </c>
      <c r="K1744" s="273" t="s">
        <v>3118</v>
      </c>
    </row>
    <row r="1745" spans="1:11" x14ac:dyDescent="0.3">
      <c r="A1745" s="259">
        <f t="shared" si="63"/>
        <v>1564</v>
      </c>
      <c r="B1745" s="20" t="s">
        <v>1692</v>
      </c>
      <c r="C1745" s="162">
        <v>1950</v>
      </c>
      <c r="D1745" s="234"/>
      <c r="E1745" s="31" t="s">
        <v>3452</v>
      </c>
      <c r="F1745" s="31">
        <v>2</v>
      </c>
      <c r="G1745" s="31">
        <v>721.2</v>
      </c>
      <c r="H1745" s="173">
        <v>32</v>
      </c>
      <c r="I1745" s="273">
        <f>SUMIF('2020'!B:B,B1745,'2020'!C:C)+SUMIF('2021'!B:B,B1745,'2021'!C:C)+SUMIF('2022'!B:B,B1745,'2022'!C:C)</f>
        <v>614258.4</v>
      </c>
      <c r="J1745" s="59">
        <v>44925</v>
      </c>
      <c r="K1745" s="273" t="s">
        <v>3118</v>
      </c>
    </row>
    <row r="1746" spans="1:11" x14ac:dyDescent="0.3">
      <c r="A1746" s="259">
        <f t="shared" si="63"/>
        <v>1565</v>
      </c>
      <c r="B1746" s="20" t="s">
        <v>1693</v>
      </c>
      <c r="C1746" s="162">
        <v>1948</v>
      </c>
      <c r="D1746" s="234"/>
      <c r="E1746" s="31" t="s">
        <v>3452</v>
      </c>
      <c r="F1746" s="31">
        <v>2</v>
      </c>
      <c r="G1746" s="31">
        <v>707.1</v>
      </c>
      <c r="H1746" s="173">
        <v>24</v>
      </c>
      <c r="I1746" s="273">
        <f>SUMIF('2020'!B:B,B1746,'2020'!C:C)+SUMIF('2021'!B:B,B1746,'2021'!C:C)+SUMIF('2022'!B:B,B1746,'2022'!C:C)</f>
        <v>6088468.6800000006</v>
      </c>
      <c r="J1746" s="59">
        <v>44925</v>
      </c>
      <c r="K1746" s="273" t="s">
        <v>3118</v>
      </c>
    </row>
    <row r="1747" spans="1:11" x14ac:dyDescent="0.3">
      <c r="A1747" s="259">
        <f t="shared" si="63"/>
        <v>1566</v>
      </c>
      <c r="B1747" s="20" t="s">
        <v>1694</v>
      </c>
      <c r="C1747" s="162">
        <v>1968</v>
      </c>
      <c r="D1747" s="234"/>
      <c r="E1747" s="200" t="s">
        <v>3123</v>
      </c>
      <c r="F1747" s="200">
        <v>5</v>
      </c>
      <c r="G1747" s="200">
        <v>4548.6000000000004</v>
      </c>
      <c r="H1747" s="201">
        <v>211</v>
      </c>
      <c r="I1747" s="273">
        <f>SUMIF('2020'!B:B,B1747,'2020'!C:C)+SUMIF('2021'!B:B,B1747,'2021'!C:C)+SUMIF('2022'!B:B,B1747,'2022'!C:C)</f>
        <v>254940.62</v>
      </c>
      <c r="J1747" s="59">
        <v>44925</v>
      </c>
      <c r="K1747" s="273" t="s">
        <v>3118</v>
      </c>
    </row>
    <row r="1748" spans="1:11" x14ac:dyDescent="0.3">
      <c r="A1748" s="259">
        <f t="shared" si="63"/>
        <v>1567</v>
      </c>
      <c r="B1748" s="20" t="s">
        <v>1695</v>
      </c>
      <c r="C1748" s="162">
        <v>1948</v>
      </c>
      <c r="D1748" s="234"/>
      <c r="E1748" s="31" t="s">
        <v>3452</v>
      </c>
      <c r="F1748" s="31">
        <v>2</v>
      </c>
      <c r="G1748" s="31">
        <v>703.5</v>
      </c>
      <c r="H1748" s="173">
        <v>29</v>
      </c>
      <c r="I1748" s="273">
        <f>SUMIF('2020'!B:B,B1748,'2020'!C:C)+SUMIF('2021'!B:B,B1748,'2021'!C:C)+SUMIF('2022'!B:B,B1748,'2022'!C:C)</f>
        <v>344971.66</v>
      </c>
      <c r="J1748" s="59">
        <v>44925</v>
      </c>
      <c r="K1748" s="273" t="s">
        <v>3118</v>
      </c>
    </row>
    <row r="1749" spans="1:11" x14ac:dyDescent="0.3">
      <c r="A1749" s="259">
        <f t="shared" si="63"/>
        <v>1568</v>
      </c>
      <c r="B1749" s="20" t="s">
        <v>1696</v>
      </c>
      <c r="C1749" s="162">
        <v>1948</v>
      </c>
      <c r="D1749" s="234"/>
      <c r="E1749" s="31" t="s">
        <v>3452</v>
      </c>
      <c r="F1749" s="31">
        <v>2</v>
      </c>
      <c r="G1749" s="31">
        <v>720.9</v>
      </c>
      <c r="H1749" s="173">
        <v>30</v>
      </c>
      <c r="I1749" s="273">
        <f>SUMIF('2020'!B:B,B1749,'2020'!C:C)+SUMIF('2021'!B:B,B1749,'2021'!C:C)+SUMIF('2022'!B:B,B1749,'2022'!C:C)</f>
        <v>393267</v>
      </c>
      <c r="J1749" s="59">
        <v>44925</v>
      </c>
      <c r="K1749" s="273" t="s">
        <v>3118</v>
      </c>
    </row>
    <row r="1750" spans="1:11" x14ac:dyDescent="0.3">
      <c r="A1750" s="259">
        <f t="shared" si="63"/>
        <v>1569</v>
      </c>
      <c r="B1750" s="20" t="s">
        <v>1697</v>
      </c>
      <c r="C1750" s="162">
        <v>1951</v>
      </c>
      <c r="D1750" s="234"/>
      <c r="E1750" s="200" t="s">
        <v>3123</v>
      </c>
      <c r="F1750" s="200">
        <v>2</v>
      </c>
      <c r="G1750" s="200">
        <v>705.4</v>
      </c>
      <c r="H1750" s="201">
        <v>36</v>
      </c>
      <c r="I1750" s="273">
        <f>SUMIF('2020'!B:B,B1750,'2020'!C:C)+SUMIF('2021'!B:B,B1750,'2021'!C:C)+SUMIF('2022'!B:B,B1750,'2022'!C:C)</f>
        <v>926395.2</v>
      </c>
      <c r="J1750" s="59">
        <v>44925</v>
      </c>
      <c r="K1750" s="273" t="s">
        <v>3118</v>
      </c>
    </row>
    <row r="1751" spans="1:11" x14ac:dyDescent="0.3">
      <c r="A1751" s="259">
        <f t="shared" si="63"/>
        <v>1570</v>
      </c>
      <c r="B1751" s="20" t="s">
        <v>1698</v>
      </c>
      <c r="C1751" s="162">
        <v>1951</v>
      </c>
      <c r="D1751" s="234"/>
      <c r="E1751" s="273" t="s">
        <v>3123</v>
      </c>
      <c r="F1751" s="50">
        <v>2</v>
      </c>
      <c r="G1751" s="273">
        <v>704.9</v>
      </c>
      <c r="H1751" s="10">
        <v>37</v>
      </c>
      <c r="I1751" s="273">
        <f>SUMIF('2020'!B:B,B1751,'2020'!C:C)+SUMIF('2021'!B:B,B1751,'2021'!C:C)+SUMIF('2022'!B:B,B1751,'2022'!C:C)</f>
        <v>5462727.5999999996</v>
      </c>
      <c r="J1751" s="59">
        <v>44925</v>
      </c>
      <c r="K1751" s="273" t="s">
        <v>3118</v>
      </c>
    </row>
    <row r="1752" spans="1:11" x14ac:dyDescent="0.3">
      <c r="A1752" s="259">
        <f t="shared" si="63"/>
        <v>1571</v>
      </c>
      <c r="B1752" s="20" t="s">
        <v>1699</v>
      </c>
      <c r="C1752" s="162">
        <v>1954</v>
      </c>
      <c r="D1752" s="234"/>
      <c r="E1752" s="31" t="s">
        <v>3123</v>
      </c>
      <c r="F1752" s="31">
        <v>2</v>
      </c>
      <c r="G1752" s="31">
        <v>744.8</v>
      </c>
      <c r="H1752" s="173">
        <v>46</v>
      </c>
      <c r="I1752" s="273">
        <f>SUMIF('2020'!B:B,B1752,'2020'!C:C)+SUMIF('2021'!B:B,B1752,'2021'!C:C)+SUMIF('2022'!B:B,B1752,'2022'!C:C)</f>
        <v>127129.38</v>
      </c>
      <c r="J1752" s="59">
        <v>44925</v>
      </c>
      <c r="K1752" s="273" t="s">
        <v>3118</v>
      </c>
    </row>
    <row r="1753" spans="1:11" x14ac:dyDescent="0.3">
      <c r="A1753" s="259">
        <f t="shared" si="63"/>
        <v>1572</v>
      </c>
      <c r="B1753" s="20" t="s">
        <v>1700</v>
      </c>
      <c r="C1753" s="162">
        <v>1955</v>
      </c>
      <c r="D1753" s="234"/>
      <c r="E1753" s="200" t="s">
        <v>3123</v>
      </c>
      <c r="F1753" s="200">
        <v>2</v>
      </c>
      <c r="G1753" s="200">
        <v>1062.9000000000001</v>
      </c>
      <c r="H1753" s="201">
        <v>52</v>
      </c>
      <c r="I1753" s="273">
        <f>SUMIF('2020'!B:B,B1753,'2020'!C:C)+SUMIF('2021'!B:B,B1753,'2021'!C:C)+SUMIF('2022'!B:B,B1753,'2022'!C:C)</f>
        <v>917001.6</v>
      </c>
      <c r="J1753" s="59">
        <v>44925</v>
      </c>
      <c r="K1753" s="273" t="s">
        <v>3118</v>
      </c>
    </row>
    <row r="1754" spans="1:11" x14ac:dyDescent="0.3">
      <c r="A1754" s="259">
        <f t="shared" si="63"/>
        <v>1573</v>
      </c>
      <c r="B1754" s="20" t="s">
        <v>1701</v>
      </c>
      <c r="C1754" s="162">
        <v>1955</v>
      </c>
      <c r="D1754" s="234"/>
      <c r="E1754" s="31" t="s">
        <v>3123</v>
      </c>
      <c r="F1754" s="31">
        <v>2</v>
      </c>
      <c r="G1754" s="31">
        <v>1079.7</v>
      </c>
      <c r="H1754" s="173">
        <v>40</v>
      </c>
      <c r="I1754" s="273">
        <f>SUMIF('2020'!B:B,B1754,'2020'!C:C)+SUMIF('2021'!B:B,B1754,'2021'!C:C)+SUMIF('2022'!B:B,B1754,'2022'!C:C)</f>
        <v>114952.76</v>
      </c>
      <c r="J1754" s="59">
        <v>44925</v>
      </c>
      <c r="K1754" s="273" t="s">
        <v>3118</v>
      </c>
    </row>
    <row r="1755" spans="1:11" x14ac:dyDescent="0.3">
      <c r="A1755" s="259">
        <f t="shared" ref="A1755:A1786" si="64">A1754+1</f>
        <v>1574</v>
      </c>
      <c r="B1755" s="20" t="s">
        <v>1702</v>
      </c>
      <c r="C1755" s="162">
        <v>1973</v>
      </c>
      <c r="D1755" s="234"/>
      <c r="E1755" s="200" t="s">
        <v>3123</v>
      </c>
      <c r="F1755" s="200">
        <v>5</v>
      </c>
      <c r="G1755" s="200">
        <v>3368.6</v>
      </c>
      <c r="H1755" s="201">
        <v>169</v>
      </c>
      <c r="I1755" s="273">
        <f>SUMIF('2020'!B:B,B1755,'2020'!C:C)+SUMIF('2021'!B:B,B1755,'2021'!C:C)+SUMIF('2022'!B:B,B1755,'2022'!C:C)</f>
        <v>1243346.8999999999</v>
      </c>
      <c r="J1755" s="59">
        <v>44925</v>
      </c>
      <c r="K1755" s="273" t="s">
        <v>3118</v>
      </c>
    </row>
    <row r="1756" spans="1:11" x14ac:dyDescent="0.3">
      <c r="A1756" s="259">
        <f t="shared" si="64"/>
        <v>1575</v>
      </c>
      <c r="B1756" s="20" t="s">
        <v>1703</v>
      </c>
      <c r="C1756" s="162">
        <v>1954</v>
      </c>
      <c r="D1756" s="234"/>
      <c r="E1756" s="200" t="s">
        <v>3123</v>
      </c>
      <c r="F1756" s="200">
        <v>2</v>
      </c>
      <c r="G1756" s="200">
        <v>641.4</v>
      </c>
      <c r="H1756" s="201">
        <v>29</v>
      </c>
      <c r="I1756" s="273">
        <f>SUMIF('2020'!B:B,B1756,'2020'!C:C)+SUMIF('2021'!B:B,B1756,'2021'!C:C)+SUMIF('2022'!B:B,B1756,'2022'!C:C)</f>
        <v>2574566.3999999999</v>
      </c>
      <c r="J1756" s="59">
        <v>44925</v>
      </c>
      <c r="K1756" s="273" t="s">
        <v>3118</v>
      </c>
    </row>
    <row r="1757" spans="1:11" x14ac:dyDescent="0.3">
      <c r="A1757" s="259">
        <f t="shared" si="64"/>
        <v>1576</v>
      </c>
      <c r="B1757" s="20" t="s">
        <v>1704</v>
      </c>
      <c r="C1757" s="162">
        <v>1954</v>
      </c>
      <c r="D1757" s="234"/>
      <c r="E1757" s="200" t="s">
        <v>3123</v>
      </c>
      <c r="F1757" s="200">
        <v>2</v>
      </c>
      <c r="G1757" s="200">
        <v>692.8</v>
      </c>
      <c r="H1757" s="201">
        <v>32</v>
      </c>
      <c r="I1757" s="273">
        <f>SUMIF('2020'!B:B,B1757,'2020'!C:C)+SUMIF('2021'!B:B,B1757,'2021'!C:C)+SUMIF('2022'!B:B,B1757,'2022'!C:C)</f>
        <v>111484.14</v>
      </c>
      <c r="J1757" s="59">
        <v>44925</v>
      </c>
      <c r="K1757" s="273" t="s">
        <v>3118</v>
      </c>
    </row>
    <row r="1758" spans="1:11" x14ac:dyDescent="0.3">
      <c r="A1758" s="259">
        <f t="shared" si="64"/>
        <v>1577</v>
      </c>
      <c r="B1758" s="20" t="s">
        <v>1705</v>
      </c>
      <c r="C1758" s="162">
        <v>1954</v>
      </c>
      <c r="D1758" s="234"/>
      <c r="E1758" s="200" t="s">
        <v>3123</v>
      </c>
      <c r="F1758" s="200">
        <v>2</v>
      </c>
      <c r="G1758" s="200">
        <v>576.79999999999995</v>
      </c>
      <c r="H1758" s="201">
        <v>37</v>
      </c>
      <c r="I1758" s="273">
        <f>SUMIF('2020'!B:B,B1758,'2020'!C:C)+SUMIF('2021'!B:B,B1758,'2021'!C:C)+SUMIF('2022'!B:B,B1758,'2022'!C:C)</f>
        <v>2318676.2000000002</v>
      </c>
      <c r="J1758" s="59">
        <v>44925</v>
      </c>
      <c r="K1758" s="273" t="s">
        <v>3118</v>
      </c>
    </row>
    <row r="1759" spans="1:11" x14ac:dyDescent="0.3">
      <c r="A1759" s="259">
        <f t="shared" si="64"/>
        <v>1578</v>
      </c>
      <c r="B1759" s="20" t="s">
        <v>1706</v>
      </c>
      <c r="C1759" s="162">
        <v>1955</v>
      </c>
      <c r="D1759" s="234"/>
      <c r="E1759" s="200" t="s">
        <v>3123</v>
      </c>
      <c r="F1759" s="200">
        <v>2</v>
      </c>
      <c r="G1759" s="200">
        <v>819.2</v>
      </c>
      <c r="H1759" s="201">
        <v>38</v>
      </c>
      <c r="I1759" s="273">
        <f>SUMIF('2020'!B:B,B1759,'2020'!C:C)+SUMIF('2021'!B:B,B1759,'2021'!C:C)+SUMIF('2022'!B:B,B1759,'2022'!C:C)</f>
        <v>111484.14</v>
      </c>
      <c r="J1759" s="59">
        <v>44925</v>
      </c>
      <c r="K1759" s="273" t="s">
        <v>3118</v>
      </c>
    </row>
    <row r="1760" spans="1:11" x14ac:dyDescent="0.3">
      <c r="A1760" s="259">
        <f t="shared" si="64"/>
        <v>1579</v>
      </c>
      <c r="B1760" s="20" t="s">
        <v>1707</v>
      </c>
      <c r="C1760" s="162">
        <v>1954</v>
      </c>
      <c r="D1760" s="234"/>
      <c r="E1760" s="200" t="s">
        <v>3123</v>
      </c>
      <c r="F1760" s="200">
        <v>2</v>
      </c>
      <c r="G1760" s="200">
        <v>640.79999999999995</v>
      </c>
      <c r="H1760" s="201">
        <v>36</v>
      </c>
      <c r="I1760" s="273">
        <f>SUMIF('2020'!B:B,B1760,'2020'!C:C)+SUMIF('2021'!B:B,B1760,'2021'!C:C)+SUMIF('2022'!B:B,B1760,'2022'!C:C)</f>
        <v>2422004.4</v>
      </c>
      <c r="J1760" s="59">
        <v>44925</v>
      </c>
      <c r="K1760" s="273" t="s">
        <v>3118</v>
      </c>
    </row>
    <row r="1761" spans="1:11" x14ac:dyDescent="0.3">
      <c r="A1761" s="259">
        <f t="shared" si="64"/>
        <v>1580</v>
      </c>
      <c r="B1761" s="20" t="s">
        <v>1708</v>
      </c>
      <c r="C1761" s="162">
        <v>1955</v>
      </c>
      <c r="D1761" s="234"/>
      <c r="E1761" s="31" t="s">
        <v>3123</v>
      </c>
      <c r="F1761" s="31">
        <v>2</v>
      </c>
      <c r="G1761" s="31">
        <v>643.6</v>
      </c>
      <c r="H1761" s="173">
        <v>34</v>
      </c>
      <c r="I1761" s="273">
        <f>SUMIF('2020'!B:B,B1761,'2020'!C:C)+SUMIF('2021'!B:B,B1761,'2021'!C:C)+SUMIF('2022'!B:B,B1761,'2022'!C:C)</f>
        <v>114752.35</v>
      </c>
      <c r="J1761" s="59">
        <v>44925</v>
      </c>
      <c r="K1761" s="273" t="s">
        <v>3118</v>
      </c>
    </row>
    <row r="1762" spans="1:11" x14ac:dyDescent="0.3">
      <c r="A1762" s="259">
        <f t="shared" si="64"/>
        <v>1581</v>
      </c>
      <c r="B1762" s="20" t="s">
        <v>1709</v>
      </c>
      <c r="C1762" s="162">
        <v>1954</v>
      </c>
      <c r="D1762" s="234"/>
      <c r="E1762" s="200" t="s">
        <v>3123</v>
      </c>
      <c r="F1762" s="200">
        <v>2</v>
      </c>
      <c r="G1762" s="200">
        <v>1096.9000000000001</v>
      </c>
      <c r="H1762" s="201">
        <v>29</v>
      </c>
      <c r="I1762" s="273">
        <f>SUMIF('2020'!B:B,B1762,'2020'!C:C)+SUMIF('2021'!B:B,B1762,'2021'!C:C)+SUMIF('2022'!B:B,B1762,'2022'!C:C)</f>
        <v>1738904.4</v>
      </c>
      <c r="J1762" s="59">
        <v>44925</v>
      </c>
      <c r="K1762" s="273" t="s">
        <v>3118</v>
      </c>
    </row>
    <row r="1763" spans="1:11" x14ac:dyDescent="0.3">
      <c r="A1763" s="259">
        <f t="shared" si="64"/>
        <v>1582</v>
      </c>
      <c r="B1763" s="20" t="s">
        <v>1710</v>
      </c>
      <c r="C1763" s="162">
        <v>1953</v>
      </c>
      <c r="D1763" s="234"/>
      <c r="E1763" s="31" t="s">
        <v>3121</v>
      </c>
      <c r="F1763" s="31">
        <v>2</v>
      </c>
      <c r="G1763" s="31">
        <v>437.7</v>
      </c>
      <c r="H1763" s="173">
        <v>20</v>
      </c>
      <c r="I1763" s="273">
        <f>SUMIF('2020'!B:B,B1763,'2020'!C:C)+SUMIF('2021'!B:B,B1763,'2021'!C:C)+SUMIF('2022'!B:B,B1763,'2022'!C:C)</f>
        <v>102307.15</v>
      </c>
      <c r="J1763" s="59">
        <v>44925</v>
      </c>
      <c r="K1763" s="273" t="s">
        <v>3118</v>
      </c>
    </row>
    <row r="1764" spans="1:11" x14ac:dyDescent="0.3">
      <c r="A1764" s="259">
        <f t="shared" si="64"/>
        <v>1583</v>
      </c>
      <c r="B1764" s="20" t="s">
        <v>1711</v>
      </c>
      <c r="C1764" s="162">
        <v>1953</v>
      </c>
      <c r="D1764" s="234"/>
      <c r="E1764" s="200" t="s">
        <v>3123</v>
      </c>
      <c r="F1764" s="200">
        <v>2</v>
      </c>
      <c r="G1764" s="200">
        <v>748.5</v>
      </c>
      <c r="H1764" s="201">
        <v>35</v>
      </c>
      <c r="I1764" s="273">
        <f>SUMIF('2020'!B:B,B1764,'2020'!C:C)+SUMIF('2021'!B:B,B1764,'2021'!C:C)+SUMIF('2022'!B:B,B1764,'2022'!C:C)</f>
        <v>2481303.2000000002</v>
      </c>
      <c r="J1764" s="59">
        <v>44925</v>
      </c>
      <c r="K1764" s="273" t="s">
        <v>3118</v>
      </c>
    </row>
    <row r="1765" spans="1:11" x14ac:dyDescent="0.3">
      <c r="A1765" s="259">
        <f t="shared" si="64"/>
        <v>1584</v>
      </c>
      <c r="B1765" s="20" t="s">
        <v>1712</v>
      </c>
      <c r="C1765" s="162">
        <v>1966</v>
      </c>
      <c r="D1765" s="234"/>
      <c r="E1765" s="200" t="s">
        <v>3123</v>
      </c>
      <c r="F1765" s="200">
        <v>5</v>
      </c>
      <c r="G1765" s="200">
        <v>2439.9</v>
      </c>
      <c r="H1765" s="201">
        <v>114</v>
      </c>
      <c r="I1765" s="273">
        <f>SUMIF('2020'!B:B,B1765,'2020'!C:C)+SUMIF('2021'!B:B,B1765,'2021'!C:C)+SUMIF('2022'!B:B,B1765,'2022'!C:C)</f>
        <v>1314062.3999999999</v>
      </c>
      <c r="J1765" s="59">
        <v>44925</v>
      </c>
      <c r="K1765" s="273" t="s">
        <v>3118</v>
      </c>
    </row>
    <row r="1766" spans="1:11" x14ac:dyDescent="0.3">
      <c r="A1766" s="259">
        <f t="shared" si="64"/>
        <v>1585</v>
      </c>
      <c r="B1766" s="20" t="s">
        <v>1713</v>
      </c>
      <c r="C1766" s="162">
        <v>1953</v>
      </c>
      <c r="D1766" s="234"/>
      <c r="E1766" s="31" t="s">
        <v>3123</v>
      </c>
      <c r="F1766" s="31">
        <v>2</v>
      </c>
      <c r="G1766" s="31">
        <v>646.5</v>
      </c>
      <c r="H1766" s="173">
        <v>25</v>
      </c>
      <c r="I1766" s="273">
        <f>SUMIF('2020'!B:B,B1766,'2020'!C:C)+SUMIF('2021'!B:B,B1766,'2021'!C:C)+SUMIF('2022'!B:B,B1766,'2022'!C:C)</f>
        <v>253979.09999999998</v>
      </c>
      <c r="J1766" s="59">
        <v>44925</v>
      </c>
      <c r="K1766" s="273" t="s">
        <v>3118</v>
      </c>
    </row>
    <row r="1767" spans="1:11" x14ac:dyDescent="0.3">
      <c r="A1767" s="259">
        <f t="shared" si="64"/>
        <v>1586</v>
      </c>
      <c r="B1767" s="20" t="s">
        <v>1714</v>
      </c>
      <c r="C1767" s="162">
        <v>1951</v>
      </c>
      <c r="D1767" s="234"/>
      <c r="E1767" s="200" t="s">
        <v>3452</v>
      </c>
      <c r="F1767" s="200">
        <v>2</v>
      </c>
      <c r="G1767" s="200">
        <v>418.2</v>
      </c>
      <c r="H1767" s="201">
        <v>19</v>
      </c>
      <c r="I1767" s="273">
        <f>SUMIF('2020'!B:B,B1767,'2020'!C:C)+SUMIF('2021'!B:B,B1767,'2021'!C:C)+SUMIF('2022'!B:B,B1767,'2022'!C:C)</f>
        <v>92858.23</v>
      </c>
      <c r="J1767" s="59">
        <v>44925</v>
      </c>
      <c r="K1767" s="273" t="s">
        <v>3118</v>
      </c>
    </row>
    <row r="1768" spans="1:11" x14ac:dyDescent="0.3">
      <c r="A1768" s="259">
        <f t="shared" si="64"/>
        <v>1587</v>
      </c>
      <c r="B1768" s="20" t="s">
        <v>1715</v>
      </c>
      <c r="C1768" s="162">
        <v>1954</v>
      </c>
      <c r="D1768" s="234"/>
      <c r="E1768" s="31" t="s">
        <v>3123</v>
      </c>
      <c r="F1768" s="31">
        <v>2</v>
      </c>
      <c r="G1768" s="31">
        <v>416.4</v>
      </c>
      <c r="H1768" s="173">
        <v>19</v>
      </c>
      <c r="I1768" s="273">
        <f>SUMIF('2020'!B:B,B1768,'2020'!C:C)+SUMIF('2021'!B:B,B1768,'2021'!C:C)+SUMIF('2022'!B:B,B1768,'2022'!C:C)</f>
        <v>4182817.2</v>
      </c>
      <c r="J1768" s="59">
        <v>44925</v>
      </c>
      <c r="K1768" s="273" t="s">
        <v>3118</v>
      </c>
    </row>
    <row r="1769" spans="1:11" x14ac:dyDescent="0.3">
      <c r="A1769" s="259">
        <f t="shared" si="64"/>
        <v>1588</v>
      </c>
      <c r="B1769" s="20" t="s">
        <v>1716</v>
      </c>
      <c r="C1769" s="162">
        <v>1953</v>
      </c>
      <c r="D1769" s="234"/>
      <c r="E1769" s="31" t="s">
        <v>3121</v>
      </c>
      <c r="F1769" s="31">
        <v>2</v>
      </c>
      <c r="G1769" s="31">
        <v>429.7</v>
      </c>
      <c r="H1769" s="173">
        <v>20</v>
      </c>
      <c r="I1769" s="273">
        <f>SUMIF('2020'!B:B,B1769,'2020'!C:C)+SUMIF('2021'!B:B,B1769,'2021'!C:C)+SUMIF('2022'!B:B,B1769,'2022'!C:C)</f>
        <v>101220.65</v>
      </c>
      <c r="J1769" s="59">
        <v>44925</v>
      </c>
      <c r="K1769" s="273" t="s">
        <v>3118</v>
      </c>
    </row>
    <row r="1770" spans="1:11" x14ac:dyDescent="0.3">
      <c r="A1770" s="259">
        <f t="shared" si="64"/>
        <v>1589</v>
      </c>
      <c r="B1770" s="20" t="s">
        <v>1717</v>
      </c>
      <c r="C1770" s="162">
        <v>1953</v>
      </c>
      <c r="D1770" s="234"/>
      <c r="E1770" s="200" t="s">
        <v>3123</v>
      </c>
      <c r="F1770" s="200">
        <v>2</v>
      </c>
      <c r="G1770" s="200">
        <v>640.79999999999995</v>
      </c>
      <c r="H1770" s="201">
        <v>26</v>
      </c>
      <c r="I1770" s="273">
        <f>SUMIF('2020'!B:B,B1770,'2020'!C:C)+SUMIF('2021'!B:B,B1770,'2021'!C:C)+SUMIF('2022'!B:B,B1770,'2022'!C:C)</f>
        <v>560883.85</v>
      </c>
      <c r="J1770" s="59">
        <v>44925</v>
      </c>
      <c r="K1770" s="273" t="s">
        <v>3118</v>
      </c>
    </row>
    <row r="1771" spans="1:11" x14ac:dyDescent="0.3">
      <c r="A1771" s="259">
        <f t="shared" si="64"/>
        <v>1590</v>
      </c>
      <c r="B1771" s="20" t="s">
        <v>1718</v>
      </c>
      <c r="C1771" s="162">
        <v>1953</v>
      </c>
      <c r="D1771" s="234"/>
      <c r="E1771" s="31" t="s">
        <v>3121</v>
      </c>
      <c r="F1771" s="50">
        <v>2</v>
      </c>
      <c r="G1771" s="31">
        <v>437.7</v>
      </c>
      <c r="H1771" s="10">
        <v>29</v>
      </c>
      <c r="I1771" s="273">
        <f>SUMIF('2020'!B:B,B1771,'2020'!C:C)+SUMIF('2021'!B:B,B1771,'2021'!C:C)+SUMIF('2022'!B:B,B1771,'2022'!C:C)</f>
        <v>87524.74</v>
      </c>
      <c r="J1771" s="59">
        <v>44925</v>
      </c>
      <c r="K1771" s="273" t="s">
        <v>3118</v>
      </c>
    </row>
    <row r="1772" spans="1:11" x14ac:dyDescent="0.3">
      <c r="A1772" s="259">
        <f t="shared" si="64"/>
        <v>1591</v>
      </c>
      <c r="B1772" s="20" t="s">
        <v>1719</v>
      </c>
      <c r="C1772" s="162">
        <v>1954</v>
      </c>
      <c r="D1772" s="234"/>
      <c r="E1772" s="200" t="s">
        <v>3123</v>
      </c>
      <c r="F1772" s="200">
        <v>2</v>
      </c>
      <c r="G1772" s="200">
        <v>646.79999999999995</v>
      </c>
      <c r="H1772" s="201">
        <v>23</v>
      </c>
      <c r="I1772" s="273">
        <f>SUMIF('2020'!B:B,B1772,'2020'!C:C)+SUMIF('2021'!B:B,B1772,'2021'!C:C)+SUMIF('2022'!B:B,B1772,'2022'!C:C)</f>
        <v>2033766</v>
      </c>
      <c r="J1772" s="59">
        <v>44925</v>
      </c>
      <c r="K1772" s="273" t="s">
        <v>3118</v>
      </c>
    </row>
    <row r="1773" spans="1:11" x14ac:dyDescent="0.3">
      <c r="A1773" s="259">
        <f t="shared" si="64"/>
        <v>1592</v>
      </c>
      <c r="B1773" s="20" t="s">
        <v>1720</v>
      </c>
      <c r="C1773" s="162">
        <v>1984</v>
      </c>
      <c r="D1773" s="234"/>
      <c r="E1773" s="31" t="s">
        <v>3123</v>
      </c>
      <c r="F1773" s="31">
        <v>2</v>
      </c>
      <c r="G1773" s="31">
        <v>3575.5</v>
      </c>
      <c r="H1773" s="173">
        <v>271</v>
      </c>
      <c r="I1773" s="273">
        <f>SUMIF('2020'!B:B,B1773,'2020'!C:C)+SUMIF('2021'!B:B,B1773,'2021'!C:C)+SUMIF('2022'!B:B,B1773,'2022'!C:C)</f>
        <v>1054749.31</v>
      </c>
      <c r="J1773" s="59">
        <v>44925</v>
      </c>
      <c r="K1773" s="273" t="s">
        <v>3118</v>
      </c>
    </row>
    <row r="1774" spans="1:11" x14ac:dyDescent="0.3">
      <c r="A1774" s="259">
        <f t="shared" si="64"/>
        <v>1593</v>
      </c>
      <c r="B1774" s="20" t="s">
        <v>1721</v>
      </c>
      <c r="C1774" s="162">
        <v>1970</v>
      </c>
      <c r="D1774" s="234"/>
      <c r="E1774" s="200" t="s">
        <v>3123</v>
      </c>
      <c r="F1774" s="200">
        <v>5</v>
      </c>
      <c r="G1774" s="200">
        <v>4982.1000000000004</v>
      </c>
      <c r="H1774" s="201">
        <v>158</v>
      </c>
      <c r="I1774" s="273">
        <f>SUMIF('2020'!B:B,B1774,'2020'!C:C)+SUMIF('2021'!B:B,B1774,'2021'!C:C)+SUMIF('2022'!B:B,B1774,'2022'!C:C)</f>
        <v>535959.86</v>
      </c>
      <c r="J1774" s="59">
        <v>44925</v>
      </c>
      <c r="K1774" s="273" t="s">
        <v>3118</v>
      </c>
    </row>
    <row r="1775" spans="1:11" x14ac:dyDescent="0.3">
      <c r="A1775" s="259">
        <f t="shared" si="64"/>
        <v>1594</v>
      </c>
      <c r="B1775" s="20" t="s">
        <v>1722</v>
      </c>
      <c r="C1775" s="162">
        <v>1961</v>
      </c>
      <c r="D1775" s="234"/>
      <c r="E1775" s="200" t="s">
        <v>3123</v>
      </c>
      <c r="F1775" s="50">
        <v>4</v>
      </c>
      <c r="G1775" s="31">
        <v>2018.2</v>
      </c>
      <c r="H1775" s="10">
        <v>94</v>
      </c>
      <c r="I1775" s="273">
        <f>SUMIF('2020'!B:B,B1775,'2020'!C:C)+SUMIF('2021'!B:B,B1775,'2021'!C:C)+SUMIF('2022'!B:B,B1775,'2022'!C:C)</f>
        <v>133678.32999999999</v>
      </c>
      <c r="J1775" s="59">
        <v>44925</v>
      </c>
      <c r="K1775" s="273" t="s">
        <v>3118</v>
      </c>
    </row>
    <row r="1776" spans="1:11" x14ac:dyDescent="0.3">
      <c r="A1776" s="259">
        <f t="shared" si="64"/>
        <v>1595</v>
      </c>
      <c r="B1776" s="20" t="s">
        <v>1723</v>
      </c>
      <c r="C1776" s="162">
        <v>1967</v>
      </c>
      <c r="D1776" s="234"/>
      <c r="E1776" s="200" t="s">
        <v>3123</v>
      </c>
      <c r="F1776" s="50">
        <v>5</v>
      </c>
      <c r="G1776" s="200">
        <v>3506</v>
      </c>
      <c r="H1776" s="10">
        <v>167</v>
      </c>
      <c r="I1776" s="273">
        <f>SUMIF('2020'!B:B,B1776,'2020'!C:C)+SUMIF('2021'!B:B,B1776,'2021'!C:C)+SUMIF('2022'!B:B,B1776,'2022'!C:C)</f>
        <v>208593.94</v>
      </c>
      <c r="J1776" s="59">
        <v>44925</v>
      </c>
      <c r="K1776" s="273" t="s">
        <v>3118</v>
      </c>
    </row>
    <row r="1777" spans="1:13" x14ac:dyDescent="0.3">
      <c r="A1777" s="259">
        <f t="shared" si="64"/>
        <v>1596</v>
      </c>
      <c r="B1777" s="20" t="s">
        <v>1724</v>
      </c>
      <c r="C1777" s="162">
        <v>1971</v>
      </c>
      <c r="D1777" s="234"/>
      <c r="E1777" s="200" t="s">
        <v>3123</v>
      </c>
      <c r="F1777" s="50">
        <v>5</v>
      </c>
      <c r="G1777" s="200">
        <v>3313.1</v>
      </c>
      <c r="H1777" s="201">
        <v>170</v>
      </c>
      <c r="I1777" s="273">
        <f>SUMIF('2020'!B:B,B1777,'2020'!C:C)+SUMIF('2021'!B:B,B1777,'2021'!C:C)+SUMIF('2022'!B:B,B1777,'2022'!C:C)</f>
        <v>203307.02</v>
      </c>
      <c r="J1777" s="59">
        <v>44925</v>
      </c>
      <c r="K1777" s="273" t="s">
        <v>3118</v>
      </c>
    </row>
    <row r="1778" spans="1:13" x14ac:dyDescent="0.3">
      <c r="A1778" s="259">
        <f t="shared" si="64"/>
        <v>1597</v>
      </c>
      <c r="B1778" s="20" t="s">
        <v>3564</v>
      </c>
      <c r="C1778" s="162"/>
      <c r="D1778" s="234"/>
      <c r="E1778" s="200"/>
      <c r="F1778" s="50"/>
      <c r="G1778" s="200"/>
      <c r="H1778" s="201"/>
      <c r="I1778" s="273">
        <f>SUMIF('2020'!B:B,B1778,'2020'!C:C)+SUMIF('2021'!B:B,B1778,'2021'!C:C)+SUMIF('2022'!B:B,B1778,'2022'!C:C)</f>
        <v>733563.3</v>
      </c>
      <c r="J1778" s="59">
        <v>44925</v>
      </c>
      <c r="K1778" s="273" t="s">
        <v>3118</v>
      </c>
    </row>
    <row r="1779" spans="1:13" x14ac:dyDescent="0.3">
      <c r="A1779" s="259">
        <f t="shared" si="64"/>
        <v>1598</v>
      </c>
      <c r="B1779" s="20" t="s">
        <v>1725</v>
      </c>
      <c r="C1779" s="162">
        <v>1971</v>
      </c>
      <c r="D1779" s="234"/>
      <c r="E1779" s="200" t="s">
        <v>3123</v>
      </c>
      <c r="F1779" s="200">
        <v>5</v>
      </c>
      <c r="G1779" s="200">
        <v>3814.4</v>
      </c>
      <c r="H1779" s="201">
        <v>189</v>
      </c>
      <c r="I1779" s="273">
        <f>SUMIF('2020'!B:B,B1779,'2020'!C:C)+SUMIF('2021'!B:B,B1779,'2021'!C:C)+SUMIF('2022'!B:B,B1779,'2022'!C:C)</f>
        <v>230128.54</v>
      </c>
      <c r="J1779" s="59">
        <v>44925</v>
      </c>
      <c r="K1779" s="273" t="s">
        <v>3118</v>
      </c>
    </row>
    <row r="1780" spans="1:13" x14ac:dyDescent="0.3">
      <c r="A1780" s="259">
        <f t="shared" si="64"/>
        <v>1599</v>
      </c>
      <c r="B1780" s="20" t="s">
        <v>1726</v>
      </c>
      <c r="C1780" s="162">
        <v>1971</v>
      </c>
      <c r="D1780" s="234"/>
      <c r="E1780" s="200" t="s">
        <v>3123</v>
      </c>
      <c r="F1780" s="200">
        <v>5</v>
      </c>
      <c r="G1780" s="200">
        <v>3127.8</v>
      </c>
      <c r="H1780" s="201">
        <v>158</v>
      </c>
      <c r="I1780" s="273">
        <f>SUMIF('2020'!B:B,B1780,'2020'!C:C)+SUMIF('2021'!B:B,B1780,'2021'!C:C)+SUMIF('2022'!B:B,B1780,'2022'!C:C)</f>
        <v>209174.23</v>
      </c>
      <c r="J1780" s="59">
        <v>44925</v>
      </c>
      <c r="K1780" s="273" t="s">
        <v>3118</v>
      </c>
    </row>
    <row r="1781" spans="1:13" x14ac:dyDescent="0.3">
      <c r="A1781" s="259">
        <f t="shared" si="64"/>
        <v>1600</v>
      </c>
      <c r="B1781" s="20" t="s">
        <v>1727</v>
      </c>
      <c r="C1781" s="162">
        <v>1972</v>
      </c>
      <c r="D1781" s="234"/>
      <c r="E1781" s="200" t="s">
        <v>3123</v>
      </c>
      <c r="F1781" s="200">
        <v>5</v>
      </c>
      <c r="G1781" s="200">
        <v>2345.6999999999998</v>
      </c>
      <c r="H1781" s="201">
        <v>104</v>
      </c>
      <c r="I1781" s="273">
        <f>SUMIF('2020'!B:B,B1781,'2020'!C:C)+SUMIF('2021'!B:B,B1781,'2021'!C:C)+SUMIF('2022'!B:B,B1781,'2022'!C:C)</f>
        <v>212881.51</v>
      </c>
      <c r="J1781" s="59">
        <v>44925</v>
      </c>
      <c r="K1781" s="273" t="s">
        <v>3118</v>
      </c>
    </row>
    <row r="1782" spans="1:13" x14ac:dyDescent="0.3">
      <c r="A1782" s="259">
        <f t="shared" si="64"/>
        <v>1601</v>
      </c>
      <c r="B1782" s="20" t="s">
        <v>1728</v>
      </c>
      <c r="C1782" s="162">
        <v>1975</v>
      </c>
      <c r="D1782" s="234"/>
      <c r="E1782" s="200" t="s">
        <v>3123</v>
      </c>
      <c r="F1782" s="200">
        <v>5</v>
      </c>
      <c r="G1782" s="200">
        <v>2135.1</v>
      </c>
      <c r="H1782" s="201">
        <v>102</v>
      </c>
      <c r="I1782" s="273">
        <f>SUMIF('2020'!B:B,B1782,'2020'!C:C)+SUMIF('2021'!B:B,B1782,'2021'!C:C)+SUMIF('2022'!B:B,B1782,'2022'!C:C)</f>
        <v>778560.46</v>
      </c>
      <c r="J1782" s="59">
        <v>44925</v>
      </c>
      <c r="K1782" s="273" t="s">
        <v>3118</v>
      </c>
    </row>
    <row r="1783" spans="1:13" x14ac:dyDescent="0.3">
      <c r="A1783" s="259">
        <f t="shared" si="64"/>
        <v>1602</v>
      </c>
      <c r="B1783" s="20" t="s">
        <v>1729</v>
      </c>
      <c r="C1783" s="162">
        <v>1975</v>
      </c>
      <c r="D1783" s="234"/>
      <c r="E1783" s="200" t="s">
        <v>3123</v>
      </c>
      <c r="F1783" s="200">
        <v>5</v>
      </c>
      <c r="G1783" s="200">
        <v>2242.5</v>
      </c>
      <c r="H1783" s="201">
        <v>104</v>
      </c>
      <c r="I1783" s="273">
        <f>SUMIF('2020'!B:B,B1783,'2020'!C:C)+SUMIF('2021'!B:B,B1783,'2021'!C:C)+SUMIF('2022'!B:B,B1783,'2022'!C:C)</f>
        <v>352754.26</v>
      </c>
      <c r="J1783" s="59">
        <v>44925</v>
      </c>
      <c r="K1783" s="273" t="s">
        <v>3118</v>
      </c>
    </row>
    <row r="1784" spans="1:13" x14ac:dyDescent="0.3">
      <c r="A1784" s="259">
        <f t="shared" si="64"/>
        <v>1603</v>
      </c>
      <c r="B1784" s="20" t="s">
        <v>3562</v>
      </c>
      <c r="C1784" s="162"/>
      <c r="D1784" s="234"/>
      <c r="E1784" s="200"/>
      <c r="F1784" s="200"/>
      <c r="G1784" s="200"/>
      <c r="H1784" s="201"/>
      <c r="I1784" s="273">
        <f>SUMIF('2020'!B:B,B1784,'2020'!C:C)+SUMIF('2021'!B:B,B1784,'2021'!C:C)+SUMIF('2022'!B:B,B1784,'2022'!C:C)</f>
        <v>1217079.3500000001</v>
      </c>
      <c r="J1784" s="59">
        <v>44925</v>
      </c>
      <c r="K1784" s="273" t="s">
        <v>3118</v>
      </c>
    </row>
    <row r="1785" spans="1:13" x14ac:dyDescent="0.3">
      <c r="A1785" s="259">
        <f t="shared" si="64"/>
        <v>1604</v>
      </c>
      <c r="B1785" s="20" t="s">
        <v>1730</v>
      </c>
      <c r="C1785" s="162">
        <v>1978</v>
      </c>
      <c r="D1785" s="234"/>
      <c r="E1785" s="200" t="s">
        <v>3123</v>
      </c>
      <c r="F1785" s="200">
        <v>2</v>
      </c>
      <c r="G1785" s="200">
        <v>347.5</v>
      </c>
      <c r="H1785" s="201">
        <v>16</v>
      </c>
      <c r="I1785" s="273">
        <f>SUMIF('2020'!B:B,B1785,'2020'!C:C)+SUMIF('2021'!B:B,B1785,'2021'!C:C)+SUMIF('2022'!B:B,B1785,'2022'!C:C)</f>
        <v>88030.16</v>
      </c>
      <c r="J1785" s="59">
        <v>44925</v>
      </c>
      <c r="K1785" s="273" t="s">
        <v>3118</v>
      </c>
    </row>
    <row r="1786" spans="1:13" x14ac:dyDescent="0.3">
      <c r="A1786" s="259">
        <f t="shared" si="64"/>
        <v>1605</v>
      </c>
      <c r="B1786" s="20" t="s">
        <v>1731</v>
      </c>
      <c r="C1786" s="162">
        <v>1979</v>
      </c>
      <c r="D1786" s="234"/>
      <c r="E1786" s="200" t="s">
        <v>3121</v>
      </c>
      <c r="F1786" s="200">
        <v>5</v>
      </c>
      <c r="G1786" s="200">
        <v>3811.2</v>
      </c>
      <c r="H1786" s="201">
        <v>188</v>
      </c>
      <c r="I1786" s="273">
        <f>SUMIF('2020'!B:B,B1786,'2020'!C:C)+SUMIF('2021'!B:B,B1786,'2021'!C:C)+SUMIF('2022'!B:B,B1786,'2022'!C:C)</f>
        <v>358248.78</v>
      </c>
      <c r="J1786" s="59">
        <v>44925</v>
      </c>
      <c r="K1786" s="273" t="s">
        <v>3118</v>
      </c>
    </row>
    <row r="1787" spans="1:13" x14ac:dyDescent="0.3">
      <c r="A1787" s="259">
        <f t="shared" ref="A1787:A1818" si="65">A1786+1</f>
        <v>1606</v>
      </c>
      <c r="B1787" s="20" t="s">
        <v>1732</v>
      </c>
      <c r="C1787" s="162">
        <v>1971</v>
      </c>
      <c r="D1787" s="234"/>
      <c r="E1787" s="31" t="s">
        <v>3127</v>
      </c>
      <c r="F1787" s="31">
        <v>5</v>
      </c>
      <c r="G1787" s="31">
        <v>4348.8</v>
      </c>
      <c r="H1787" s="173">
        <v>288</v>
      </c>
      <c r="I1787" s="273">
        <f>SUMIF('2020'!B:B,B1787,'2020'!C:C)+SUMIF('2021'!B:B,B1787,'2021'!C:C)+SUMIF('2022'!B:B,B1787,'2022'!C:C)</f>
        <v>261291.41</v>
      </c>
      <c r="J1787" s="59">
        <v>44925</v>
      </c>
      <c r="K1787" s="273" t="s">
        <v>3118</v>
      </c>
    </row>
    <row r="1788" spans="1:13" x14ac:dyDescent="0.3">
      <c r="A1788" s="259">
        <f t="shared" si="65"/>
        <v>1607</v>
      </c>
      <c r="B1788" s="20" t="s">
        <v>1733</v>
      </c>
      <c r="C1788" s="162">
        <v>1975</v>
      </c>
      <c r="D1788" s="234"/>
      <c r="E1788" s="31" t="s">
        <v>3123</v>
      </c>
      <c r="F1788" s="31">
        <v>5</v>
      </c>
      <c r="G1788" s="31">
        <v>2123.6</v>
      </c>
      <c r="H1788" s="173">
        <v>97</v>
      </c>
      <c r="I1788" s="273">
        <f>SUMIF('2020'!B:B,B1788,'2020'!C:C)+SUMIF('2021'!B:B,B1788,'2021'!C:C)+SUMIF('2022'!B:B,B1788,'2022'!C:C)</f>
        <v>163096.16</v>
      </c>
      <c r="J1788" s="59">
        <v>44925</v>
      </c>
      <c r="K1788" s="273" t="s">
        <v>3118</v>
      </c>
    </row>
    <row r="1789" spans="1:13" x14ac:dyDescent="0.3">
      <c r="A1789" s="259">
        <f t="shared" si="65"/>
        <v>1608</v>
      </c>
      <c r="B1789" s="20" t="s">
        <v>1734</v>
      </c>
      <c r="C1789" s="162">
        <v>1977</v>
      </c>
      <c r="D1789" s="234"/>
      <c r="E1789" s="31" t="s">
        <v>3127</v>
      </c>
      <c r="F1789" s="31">
        <v>5</v>
      </c>
      <c r="G1789" s="31">
        <v>4141.1000000000004</v>
      </c>
      <c r="H1789" s="173">
        <v>185</v>
      </c>
      <c r="I1789" s="273">
        <f>SUMIF('2020'!B:B,B1789,'2020'!C:C)+SUMIF('2021'!B:B,B1789,'2021'!C:C)+SUMIF('2022'!B:B,B1789,'2022'!C:C)</f>
        <v>39478430</v>
      </c>
      <c r="J1789" s="59">
        <v>44925</v>
      </c>
      <c r="K1789" s="273" t="s">
        <v>3118</v>
      </c>
    </row>
    <row r="1790" spans="1:13" x14ac:dyDescent="0.3">
      <c r="A1790" s="259">
        <f t="shared" si="65"/>
        <v>1609</v>
      </c>
      <c r="B1790" s="20" t="s">
        <v>3578</v>
      </c>
      <c r="C1790" s="162">
        <v>1975</v>
      </c>
      <c r="D1790" s="234"/>
      <c r="E1790" s="31" t="s">
        <v>3123</v>
      </c>
      <c r="F1790" s="31">
        <v>9</v>
      </c>
      <c r="G1790" s="31">
        <v>3549.5</v>
      </c>
      <c r="H1790" s="173">
        <v>142</v>
      </c>
      <c r="I1790" s="273">
        <f>SUMIF('2020'!B:B,B1790,'2020'!C:C)+SUMIF('2021'!B:B,B1790,'2021'!C:C)+SUMIF('2022'!B:B,B1790,'2022'!C:C)</f>
        <v>1080380.52</v>
      </c>
      <c r="J1790" s="59">
        <v>44925</v>
      </c>
      <c r="K1790" s="273" t="s">
        <v>3118</v>
      </c>
      <c r="L1790" s="199"/>
      <c r="M1790" s="271" t="s">
        <v>3577</v>
      </c>
    </row>
    <row r="1791" spans="1:13" x14ac:dyDescent="0.3">
      <c r="A1791" s="259">
        <f t="shared" si="65"/>
        <v>1610</v>
      </c>
      <c r="B1791" s="20" t="s">
        <v>1735</v>
      </c>
      <c r="C1791" s="162">
        <v>1933</v>
      </c>
      <c r="D1791" s="234"/>
      <c r="E1791" s="31" t="s">
        <v>3452</v>
      </c>
      <c r="F1791" s="31">
        <v>4</v>
      </c>
      <c r="G1791" s="31">
        <v>3070.9</v>
      </c>
      <c r="H1791" s="173">
        <v>159</v>
      </c>
      <c r="I1791" s="273">
        <f>SUMIF('2020'!B:B,B1791,'2020'!C:C)+SUMIF('2021'!B:B,B1791,'2021'!C:C)+SUMIF('2022'!B:B,B1791,'2022'!C:C)</f>
        <v>965379.23</v>
      </c>
      <c r="J1791" s="59">
        <v>44925</v>
      </c>
      <c r="K1791" s="273" t="s">
        <v>3118</v>
      </c>
    </row>
    <row r="1792" spans="1:13" x14ac:dyDescent="0.3">
      <c r="A1792" s="259">
        <f t="shared" si="65"/>
        <v>1611</v>
      </c>
      <c r="B1792" s="20" t="s">
        <v>1736</v>
      </c>
      <c r="C1792" s="162">
        <v>1933</v>
      </c>
      <c r="D1792" s="234"/>
      <c r="E1792" s="31" t="s">
        <v>3452</v>
      </c>
      <c r="F1792" s="31">
        <v>4</v>
      </c>
      <c r="G1792" s="31">
        <v>3678.1</v>
      </c>
      <c r="H1792" s="173">
        <v>126</v>
      </c>
      <c r="I1792" s="273">
        <f>SUMIF('2020'!B:B,B1792,'2020'!C:C)+SUMIF('2021'!B:B,B1792,'2021'!C:C)+SUMIF('2022'!B:B,B1792,'2022'!C:C)</f>
        <v>979720.05</v>
      </c>
      <c r="J1792" s="59">
        <v>44925</v>
      </c>
      <c r="K1792" s="273" t="s">
        <v>3118</v>
      </c>
    </row>
    <row r="1793" spans="1:11" x14ac:dyDescent="0.3">
      <c r="A1793" s="259">
        <f t="shared" si="65"/>
        <v>1612</v>
      </c>
      <c r="B1793" s="20" t="s">
        <v>1737</v>
      </c>
      <c r="C1793" s="162">
        <v>1951</v>
      </c>
      <c r="D1793" s="234"/>
      <c r="E1793" s="31" t="s">
        <v>3452</v>
      </c>
      <c r="F1793" s="31">
        <v>2</v>
      </c>
      <c r="G1793" s="31">
        <v>726.8</v>
      </c>
      <c r="H1793" s="173">
        <v>35</v>
      </c>
      <c r="I1793" s="273">
        <f>SUMIF('2020'!B:B,B1793,'2020'!C:C)+SUMIF('2021'!B:B,B1793,'2021'!C:C)+SUMIF('2022'!B:B,B1793,'2022'!C:C)</f>
        <v>7818750.7199999997</v>
      </c>
      <c r="J1793" s="59">
        <v>44925</v>
      </c>
      <c r="K1793" s="273" t="s">
        <v>3118</v>
      </c>
    </row>
    <row r="1794" spans="1:11" x14ac:dyDescent="0.3">
      <c r="A1794" s="259">
        <f t="shared" si="65"/>
        <v>1613</v>
      </c>
      <c r="B1794" s="20" t="s">
        <v>1738</v>
      </c>
      <c r="C1794" s="162">
        <v>1968</v>
      </c>
      <c r="D1794" s="234"/>
      <c r="E1794" s="31" t="s">
        <v>3123</v>
      </c>
      <c r="F1794" s="31">
        <v>5</v>
      </c>
      <c r="G1794" s="31">
        <v>3865.5</v>
      </c>
      <c r="H1794" s="173">
        <v>175</v>
      </c>
      <c r="I1794" s="273">
        <f>SUMIF('2020'!B:B,B1794,'2020'!C:C)+SUMIF('2021'!B:B,B1794,'2021'!C:C)+SUMIF('2022'!B:B,B1794,'2022'!C:C)</f>
        <v>343629</v>
      </c>
      <c r="J1794" s="59">
        <v>44925</v>
      </c>
      <c r="K1794" s="273" t="s">
        <v>3118</v>
      </c>
    </row>
    <row r="1795" spans="1:11" x14ac:dyDescent="0.3">
      <c r="A1795" s="259">
        <f t="shared" si="65"/>
        <v>1614</v>
      </c>
      <c r="B1795" s="20" t="s">
        <v>1739</v>
      </c>
      <c r="C1795" s="162">
        <v>1958</v>
      </c>
      <c r="D1795" s="234"/>
      <c r="E1795" s="31" t="s">
        <v>3452</v>
      </c>
      <c r="F1795" s="31">
        <v>2</v>
      </c>
      <c r="G1795" s="31">
        <v>419.4</v>
      </c>
      <c r="H1795" s="173">
        <v>17</v>
      </c>
      <c r="I1795" s="273">
        <f>SUMIF('2020'!B:B,B1795,'2020'!C:C)+SUMIF('2021'!B:B,B1795,'2021'!C:C)+SUMIF('2022'!B:B,B1795,'2022'!C:C)</f>
        <v>4990926</v>
      </c>
      <c r="J1795" s="59">
        <v>44925</v>
      </c>
      <c r="K1795" s="273" t="s">
        <v>3118</v>
      </c>
    </row>
    <row r="1796" spans="1:11" x14ac:dyDescent="0.3">
      <c r="A1796" s="259">
        <f t="shared" si="65"/>
        <v>1615</v>
      </c>
      <c r="B1796" s="20" t="s">
        <v>1740</v>
      </c>
      <c r="C1796" s="162">
        <v>1950</v>
      </c>
      <c r="D1796" s="234"/>
      <c r="E1796" s="31" t="s">
        <v>3452</v>
      </c>
      <c r="F1796" s="31">
        <v>2</v>
      </c>
      <c r="G1796" s="31">
        <v>626.6</v>
      </c>
      <c r="H1796" s="173">
        <v>37</v>
      </c>
      <c r="I1796" s="273">
        <f>SUMIF('2020'!B:B,B1796,'2020'!C:C)+SUMIF('2021'!B:B,B1796,'2021'!C:C)+SUMIF('2022'!B:B,B1796,'2022'!C:C)</f>
        <v>6831226.8000000007</v>
      </c>
      <c r="J1796" s="59">
        <v>44925</v>
      </c>
      <c r="K1796" s="273" t="s">
        <v>3118</v>
      </c>
    </row>
    <row r="1797" spans="1:11" x14ac:dyDescent="0.3">
      <c r="A1797" s="259">
        <f t="shared" si="65"/>
        <v>1616</v>
      </c>
      <c r="B1797" s="20" t="s">
        <v>1741</v>
      </c>
      <c r="C1797" s="162">
        <v>1950</v>
      </c>
      <c r="D1797" s="234"/>
      <c r="E1797" s="31" t="s">
        <v>3452</v>
      </c>
      <c r="F1797" s="31">
        <v>2</v>
      </c>
      <c r="G1797" s="31">
        <v>701.4</v>
      </c>
      <c r="H1797" s="173">
        <v>37</v>
      </c>
      <c r="I1797" s="273">
        <f>SUMIF('2020'!B:B,B1797,'2020'!C:C)+SUMIF('2021'!B:B,B1797,'2021'!C:C)+SUMIF('2022'!B:B,B1797,'2022'!C:C)</f>
        <v>122288.59</v>
      </c>
      <c r="J1797" s="59">
        <v>44925</v>
      </c>
      <c r="K1797" s="273" t="s">
        <v>3118</v>
      </c>
    </row>
    <row r="1798" spans="1:11" x14ac:dyDescent="0.3">
      <c r="A1798" s="259">
        <f t="shared" si="65"/>
        <v>1617</v>
      </c>
      <c r="B1798" s="20" t="s">
        <v>1742</v>
      </c>
      <c r="C1798" s="162">
        <v>1948</v>
      </c>
      <c r="D1798" s="234"/>
      <c r="E1798" s="31" t="s">
        <v>3452</v>
      </c>
      <c r="F1798" s="31">
        <v>2</v>
      </c>
      <c r="G1798" s="31">
        <v>1232.5999999999999</v>
      </c>
      <c r="H1798" s="173">
        <v>19</v>
      </c>
      <c r="I1798" s="273">
        <f>SUMIF('2020'!B:B,B1798,'2020'!C:C)+SUMIF('2021'!B:B,B1798,'2021'!C:C)+SUMIF('2022'!B:B,B1798,'2022'!C:C)</f>
        <v>6206066.4000000004</v>
      </c>
      <c r="J1798" s="59">
        <v>44925</v>
      </c>
      <c r="K1798" s="273" t="s">
        <v>3118</v>
      </c>
    </row>
    <row r="1799" spans="1:11" x14ac:dyDescent="0.3">
      <c r="A1799" s="259">
        <f t="shared" si="65"/>
        <v>1618</v>
      </c>
      <c r="B1799" s="20" t="s">
        <v>1743</v>
      </c>
      <c r="C1799" s="162">
        <v>1961</v>
      </c>
      <c r="D1799" s="234"/>
      <c r="E1799" s="31" t="s">
        <v>3123</v>
      </c>
      <c r="F1799" s="31">
        <v>2</v>
      </c>
      <c r="G1799" s="31">
        <v>375.4</v>
      </c>
      <c r="H1799" s="173">
        <v>24</v>
      </c>
      <c r="I1799" s="273">
        <f>SUMIF('2020'!B:B,B1799,'2020'!C:C)+SUMIF('2021'!B:B,B1799,'2021'!C:C)+SUMIF('2022'!B:B,B1799,'2022'!C:C)</f>
        <v>3984573.5999999996</v>
      </c>
      <c r="J1799" s="59">
        <v>44925</v>
      </c>
      <c r="K1799" s="273" t="s">
        <v>3118</v>
      </c>
    </row>
    <row r="1800" spans="1:11" x14ac:dyDescent="0.3">
      <c r="A1800" s="259">
        <f t="shared" si="65"/>
        <v>1619</v>
      </c>
      <c r="B1800" s="20" t="s">
        <v>1744</v>
      </c>
      <c r="C1800" s="162">
        <v>1948</v>
      </c>
      <c r="D1800" s="234"/>
      <c r="E1800" s="31" t="s">
        <v>3452</v>
      </c>
      <c r="F1800" s="31">
        <v>2</v>
      </c>
      <c r="G1800" s="31">
        <v>710.5</v>
      </c>
      <c r="H1800" s="173">
        <v>19</v>
      </c>
      <c r="I1800" s="273">
        <f>SUMIF('2020'!B:B,B1800,'2020'!C:C)+SUMIF('2021'!B:B,B1800,'2021'!C:C)+SUMIF('2022'!B:B,B1800,'2022'!C:C)</f>
        <v>9788097</v>
      </c>
      <c r="J1800" s="59">
        <v>44925</v>
      </c>
      <c r="K1800" s="273" t="s">
        <v>3118</v>
      </c>
    </row>
    <row r="1801" spans="1:11" x14ac:dyDescent="0.3">
      <c r="A1801" s="259">
        <f t="shared" si="65"/>
        <v>1620</v>
      </c>
      <c r="B1801" s="20" t="s">
        <v>1745</v>
      </c>
      <c r="C1801" s="162">
        <v>1933</v>
      </c>
      <c r="D1801" s="234"/>
      <c r="E1801" s="31" t="s">
        <v>3452</v>
      </c>
      <c r="F1801" s="31">
        <v>4</v>
      </c>
      <c r="G1801" s="31">
        <v>3340.6</v>
      </c>
      <c r="H1801" s="173">
        <v>138</v>
      </c>
      <c r="I1801" s="273">
        <f>SUMIF('2020'!B:B,B1801,'2020'!C:C)+SUMIF('2021'!B:B,B1801,'2021'!C:C)+SUMIF('2022'!B:B,B1801,'2022'!C:C)</f>
        <v>12391585.199999999</v>
      </c>
      <c r="J1801" s="59">
        <v>44925</v>
      </c>
      <c r="K1801" s="273" t="s">
        <v>3118</v>
      </c>
    </row>
    <row r="1802" spans="1:11" x14ac:dyDescent="0.3">
      <c r="A1802" s="259">
        <f t="shared" si="65"/>
        <v>1621</v>
      </c>
      <c r="B1802" s="20" t="s">
        <v>1746</v>
      </c>
      <c r="C1802" s="162">
        <v>1961</v>
      </c>
      <c r="D1802" s="234"/>
      <c r="E1802" s="31" t="s">
        <v>3123</v>
      </c>
      <c r="F1802" s="31">
        <v>4</v>
      </c>
      <c r="G1802" s="31">
        <v>2021.9</v>
      </c>
      <c r="H1802" s="173">
        <v>138</v>
      </c>
      <c r="I1802" s="273">
        <f>SUMIF('2020'!B:B,B1802,'2020'!C:C)+SUMIF('2021'!B:B,B1802,'2021'!C:C)+SUMIF('2022'!B:B,B1802,'2022'!C:C)</f>
        <v>138644.35999999999</v>
      </c>
      <c r="J1802" s="59">
        <v>44925</v>
      </c>
      <c r="K1802" s="273" t="s">
        <v>3118</v>
      </c>
    </row>
    <row r="1803" spans="1:11" x14ac:dyDescent="0.3">
      <c r="A1803" s="259">
        <f t="shared" si="65"/>
        <v>1622</v>
      </c>
      <c r="B1803" s="20" t="s">
        <v>1747</v>
      </c>
      <c r="C1803" s="162">
        <v>1933</v>
      </c>
      <c r="D1803" s="234"/>
      <c r="E1803" s="31" t="s">
        <v>3452</v>
      </c>
      <c r="F1803" s="31">
        <v>4</v>
      </c>
      <c r="G1803" s="31">
        <v>3085.1</v>
      </c>
      <c r="H1803" s="173">
        <v>154</v>
      </c>
      <c r="I1803" s="273">
        <f>SUMIF('2020'!B:B,B1803,'2020'!C:C)+SUMIF('2021'!B:B,B1803,'2021'!C:C)+SUMIF('2022'!B:B,B1803,'2022'!C:C)</f>
        <v>8592901.7400000002</v>
      </c>
      <c r="J1803" s="59">
        <v>44925</v>
      </c>
      <c r="K1803" s="273" t="s">
        <v>3118</v>
      </c>
    </row>
    <row r="1804" spans="1:11" x14ac:dyDescent="0.3">
      <c r="A1804" s="259">
        <f t="shared" si="65"/>
        <v>1623</v>
      </c>
      <c r="B1804" s="20" t="s">
        <v>1748</v>
      </c>
      <c r="C1804" s="162">
        <v>1933</v>
      </c>
      <c r="D1804" s="234"/>
      <c r="E1804" s="31" t="s">
        <v>3452</v>
      </c>
      <c r="F1804" s="31">
        <v>4</v>
      </c>
      <c r="G1804" s="31">
        <v>3706.2</v>
      </c>
      <c r="H1804" s="173">
        <v>168</v>
      </c>
      <c r="I1804" s="273">
        <f>SUMIF('2020'!B:B,B1804,'2020'!C:C)+SUMIF('2021'!B:B,B1804,'2021'!C:C)+SUMIF('2022'!B:B,B1804,'2022'!C:C)</f>
        <v>433874.95</v>
      </c>
      <c r="J1804" s="59">
        <v>44925</v>
      </c>
      <c r="K1804" s="273" t="s">
        <v>3118</v>
      </c>
    </row>
    <row r="1805" spans="1:11" x14ac:dyDescent="0.3">
      <c r="A1805" s="259">
        <f t="shared" si="65"/>
        <v>1624</v>
      </c>
      <c r="B1805" s="20" t="s">
        <v>1749</v>
      </c>
      <c r="C1805" s="162">
        <v>1933</v>
      </c>
      <c r="D1805" s="234"/>
      <c r="E1805" s="31" t="s">
        <v>3452</v>
      </c>
      <c r="F1805" s="31">
        <v>4</v>
      </c>
      <c r="G1805" s="31">
        <v>4126.8999999999996</v>
      </c>
      <c r="H1805" s="173">
        <v>147</v>
      </c>
      <c r="I1805" s="273">
        <f>SUMIF('2020'!B:B,B1805,'2020'!C:C)+SUMIF('2021'!B:B,B1805,'2021'!C:C)+SUMIF('2022'!B:B,B1805,'2022'!C:C)</f>
        <v>4561311.76</v>
      </c>
      <c r="J1805" s="59">
        <v>44925</v>
      </c>
      <c r="K1805" s="273" t="s">
        <v>3118</v>
      </c>
    </row>
    <row r="1806" spans="1:11" x14ac:dyDescent="0.3">
      <c r="A1806" s="259">
        <f t="shared" si="65"/>
        <v>1625</v>
      </c>
      <c r="B1806" s="20" t="s">
        <v>1750</v>
      </c>
      <c r="C1806" s="162">
        <v>1959</v>
      </c>
      <c r="D1806" s="234"/>
      <c r="E1806" s="200" t="s">
        <v>3123</v>
      </c>
      <c r="F1806" s="200">
        <v>4</v>
      </c>
      <c r="G1806" s="200">
        <v>1856.7</v>
      </c>
      <c r="H1806" s="201">
        <v>86</v>
      </c>
      <c r="I1806" s="273">
        <f>SUMIF('2020'!B:B,B1806,'2020'!C:C)+SUMIF('2021'!B:B,B1806,'2021'!C:C)+SUMIF('2022'!B:B,B1806,'2022'!C:C)</f>
        <v>1018736.4</v>
      </c>
      <c r="J1806" s="59">
        <v>44925</v>
      </c>
      <c r="K1806" s="273" t="s">
        <v>3118</v>
      </c>
    </row>
    <row r="1807" spans="1:11" x14ac:dyDescent="0.3">
      <c r="A1807" s="259">
        <f t="shared" si="65"/>
        <v>1626</v>
      </c>
      <c r="B1807" s="20" t="s">
        <v>1751</v>
      </c>
      <c r="C1807" s="162">
        <v>1664</v>
      </c>
      <c r="D1807" s="234"/>
      <c r="E1807" s="200" t="s">
        <v>3123</v>
      </c>
      <c r="F1807" s="200">
        <v>4</v>
      </c>
      <c r="G1807" s="200">
        <v>2573.8000000000002</v>
      </c>
      <c r="H1807" s="201">
        <v>115</v>
      </c>
      <c r="I1807" s="273">
        <f>SUMIF('2020'!B:B,B1807,'2020'!C:C)+SUMIF('2021'!B:B,B1807,'2021'!C:C)+SUMIF('2022'!B:B,B1807,'2022'!C:C)</f>
        <v>1286544</v>
      </c>
      <c r="J1807" s="59">
        <v>44925</v>
      </c>
      <c r="K1807" s="273" t="s">
        <v>3118</v>
      </c>
    </row>
    <row r="1808" spans="1:11" x14ac:dyDescent="0.3">
      <c r="A1808" s="259">
        <f t="shared" si="65"/>
        <v>1627</v>
      </c>
      <c r="B1808" s="20" t="s">
        <v>1752</v>
      </c>
      <c r="C1808" s="162">
        <v>1664</v>
      </c>
      <c r="D1808" s="234"/>
      <c r="E1808" s="200" t="s">
        <v>3123</v>
      </c>
      <c r="F1808" s="200">
        <v>3</v>
      </c>
      <c r="G1808" s="200">
        <v>1641.5</v>
      </c>
      <c r="H1808" s="201">
        <v>79</v>
      </c>
      <c r="I1808" s="273">
        <f>SUMIF('2020'!B:B,B1808,'2020'!C:C)+SUMIF('2021'!B:B,B1808,'2021'!C:C)+SUMIF('2022'!B:B,B1808,'2022'!C:C)</f>
        <v>309513.94</v>
      </c>
      <c r="J1808" s="59">
        <v>44925</v>
      </c>
      <c r="K1808" s="273" t="s">
        <v>3118</v>
      </c>
    </row>
    <row r="1809" spans="1:11" x14ac:dyDescent="0.3">
      <c r="A1809" s="259">
        <f t="shared" si="65"/>
        <v>1628</v>
      </c>
      <c r="B1809" s="20" t="s">
        <v>1753</v>
      </c>
      <c r="C1809" s="162">
        <v>1960</v>
      </c>
      <c r="D1809" s="234"/>
      <c r="E1809" s="31" t="s">
        <v>3123</v>
      </c>
      <c r="F1809" s="31">
        <v>3</v>
      </c>
      <c r="G1809" s="31">
        <v>1494.9</v>
      </c>
      <c r="H1809" s="173">
        <v>51</v>
      </c>
      <c r="I1809" s="273">
        <f>SUMIF('2020'!B:B,B1809,'2020'!C:C)+SUMIF('2021'!B:B,B1809,'2021'!C:C)+SUMIF('2022'!B:B,B1809,'2022'!C:C)</f>
        <v>273829.2</v>
      </c>
      <c r="J1809" s="59">
        <v>44925</v>
      </c>
      <c r="K1809" s="273" t="s">
        <v>3118</v>
      </c>
    </row>
    <row r="1810" spans="1:11" x14ac:dyDescent="0.3">
      <c r="A1810" s="259">
        <f t="shared" si="65"/>
        <v>1629</v>
      </c>
      <c r="B1810" s="20" t="s">
        <v>1754</v>
      </c>
      <c r="C1810" s="162">
        <v>1957</v>
      </c>
      <c r="D1810" s="234"/>
      <c r="E1810" s="31" t="s">
        <v>3123</v>
      </c>
      <c r="F1810" s="31">
        <v>3</v>
      </c>
      <c r="G1810" s="31">
        <v>1203.2</v>
      </c>
      <c r="H1810" s="173">
        <v>40</v>
      </c>
      <c r="I1810" s="273">
        <f>SUMIF('2020'!B:B,B1810,'2020'!C:C)+SUMIF('2021'!B:B,B1810,'2021'!C:C)+SUMIF('2022'!B:B,B1810,'2022'!C:C)</f>
        <v>2516713.2000000002</v>
      </c>
      <c r="J1810" s="59">
        <v>44925</v>
      </c>
      <c r="K1810" s="273" t="s">
        <v>3118</v>
      </c>
    </row>
    <row r="1811" spans="1:11" x14ac:dyDescent="0.3">
      <c r="A1811" s="259">
        <f t="shared" si="65"/>
        <v>1630</v>
      </c>
      <c r="B1811" s="20" t="s">
        <v>1755</v>
      </c>
      <c r="C1811" s="162">
        <v>1977</v>
      </c>
      <c r="D1811" s="234"/>
      <c r="E1811" s="200" t="s">
        <v>3121</v>
      </c>
      <c r="F1811" s="200">
        <v>5</v>
      </c>
      <c r="G1811" s="200">
        <v>4569.5</v>
      </c>
      <c r="H1811" s="201">
        <v>205</v>
      </c>
      <c r="I1811" s="273">
        <f>SUMIF('2020'!B:B,B1811,'2020'!C:C)+SUMIF('2021'!B:B,B1811,'2021'!C:C)+SUMIF('2022'!B:B,B1811,'2022'!C:C)</f>
        <v>443881.3</v>
      </c>
      <c r="J1811" s="59">
        <v>44925</v>
      </c>
      <c r="K1811" s="273" t="s">
        <v>3118</v>
      </c>
    </row>
    <row r="1812" spans="1:11" x14ac:dyDescent="0.3">
      <c r="A1812" s="259">
        <f t="shared" si="65"/>
        <v>1631</v>
      </c>
      <c r="B1812" s="20" t="s">
        <v>1756</v>
      </c>
      <c r="C1812" s="162">
        <v>1951</v>
      </c>
      <c r="D1812" s="234"/>
      <c r="E1812" s="31" t="s">
        <v>3121</v>
      </c>
      <c r="F1812" s="31">
        <v>2</v>
      </c>
      <c r="G1812" s="31">
        <v>417.1</v>
      </c>
      <c r="H1812" s="173">
        <v>20</v>
      </c>
      <c r="I1812" s="273">
        <f>SUMIF('2020'!B:B,B1812,'2020'!C:C)+SUMIF('2021'!B:B,B1812,'2021'!C:C)+SUMIF('2022'!B:B,B1812,'2022'!C:C)</f>
        <v>347280.66</v>
      </c>
      <c r="J1812" s="59">
        <v>44925</v>
      </c>
      <c r="K1812" s="273" t="s">
        <v>3118</v>
      </c>
    </row>
    <row r="1813" spans="1:11" x14ac:dyDescent="0.3">
      <c r="A1813" s="259">
        <f t="shared" si="65"/>
        <v>1632</v>
      </c>
      <c r="B1813" s="20" t="s">
        <v>1757</v>
      </c>
      <c r="C1813" s="162">
        <v>1962</v>
      </c>
      <c r="D1813" s="234"/>
      <c r="E1813" s="200" t="s">
        <v>3123</v>
      </c>
      <c r="F1813" s="200">
        <v>3</v>
      </c>
      <c r="G1813" s="200">
        <v>958.6</v>
      </c>
      <c r="H1813" s="201">
        <v>49</v>
      </c>
      <c r="I1813" s="273">
        <f>SUMIF('2020'!B:B,B1813,'2020'!C:C)+SUMIF('2021'!B:B,B1813,'2021'!C:C)+SUMIF('2022'!B:B,B1813,'2022'!C:C)</f>
        <v>1077688.1000000001</v>
      </c>
      <c r="J1813" s="59">
        <v>44925</v>
      </c>
      <c r="K1813" s="273" t="s">
        <v>3118</v>
      </c>
    </row>
    <row r="1814" spans="1:11" x14ac:dyDescent="0.3">
      <c r="A1814" s="259">
        <f t="shared" si="65"/>
        <v>1633</v>
      </c>
      <c r="B1814" s="20" t="s">
        <v>1758</v>
      </c>
      <c r="C1814" s="162">
        <v>1951</v>
      </c>
      <c r="D1814" s="234"/>
      <c r="E1814" s="31" t="s">
        <v>3121</v>
      </c>
      <c r="F1814" s="31">
        <v>2</v>
      </c>
      <c r="G1814" s="31">
        <v>476.9</v>
      </c>
      <c r="H1814" s="173">
        <v>16</v>
      </c>
      <c r="I1814" s="273">
        <f>SUMIF('2020'!B:B,B1814,'2020'!C:C)+SUMIF('2021'!B:B,B1814,'2021'!C:C)+SUMIF('2022'!B:B,B1814,'2022'!C:C)</f>
        <v>975413.98</v>
      </c>
      <c r="J1814" s="59">
        <v>44925</v>
      </c>
      <c r="K1814" s="273" t="s">
        <v>3118</v>
      </c>
    </row>
    <row r="1815" spans="1:11" x14ac:dyDescent="0.3">
      <c r="A1815" s="259">
        <f t="shared" si="65"/>
        <v>1634</v>
      </c>
      <c r="B1815" s="20" t="s">
        <v>1759</v>
      </c>
      <c r="C1815" s="162">
        <v>1961</v>
      </c>
      <c r="D1815" s="234"/>
      <c r="E1815" s="200" t="s">
        <v>3123</v>
      </c>
      <c r="F1815" s="200">
        <v>4</v>
      </c>
      <c r="G1815" s="200">
        <v>2011.1</v>
      </c>
      <c r="H1815" s="201">
        <v>92</v>
      </c>
      <c r="I1815" s="273">
        <f>SUMIF('2020'!B:B,B1815,'2020'!C:C)+SUMIF('2021'!B:B,B1815,'2021'!C:C)+SUMIF('2022'!B:B,B1815,'2022'!C:C)</f>
        <v>1849022.62</v>
      </c>
      <c r="J1815" s="59">
        <v>44925</v>
      </c>
      <c r="K1815" s="273" t="s">
        <v>3118</v>
      </c>
    </row>
    <row r="1816" spans="1:11" x14ac:dyDescent="0.3">
      <c r="A1816" s="259">
        <f t="shared" si="65"/>
        <v>1635</v>
      </c>
      <c r="B1816" s="20" t="s">
        <v>1760</v>
      </c>
      <c r="C1816" s="162">
        <v>1963</v>
      </c>
      <c r="D1816" s="234"/>
      <c r="E1816" s="31" t="s">
        <v>3123</v>
      </c>
      <c r="F1816" s="31">
        <v>4</v>
      </c>
      <c r="G1816" s="31">
        <v>2021.8</v>
      </c>
      <c r="H1816" s="173">
        <v>84</v>
      </c>
      <c r="I1816" s="273">
        <f>SUMIF('2020'!B:B,B1816,'2020'!C:C)+SUMIF('2021'!B:B,B1816,'2021'!C:C)+SUMIF('2022'!B:B,B1816,'2022'!C:C)</f>
        <v>125141.99</v>
      </c>
      <c r="J1816" s="59">
        <v>44925</v>
      </c>
      <c r="K1816" s="273" t="s">
        <v>3118</v>
      </c>
    </row>
    <row r="1817" spans="1:11" x14ac:dyDescent="0.3">
      <c r="A1817" s="259">
        <f t="shared" si="65"/>
        <v>1636</v>
      </c>
      <c r="B1817" s="20" t="s">
        <v>1761</v>
      </c>
      <c r="C1817" s="162">
        <v>1952</v>
      </c>
      <c r="D1817" s="234"/>
      <c r="E1817" s="31" t="s">
        <v>3121</v>
      </c>
      <c r="F1817" s="31">
        <v>2</v>
      </c>
      <c r="G1817" s="31">
        <v>424.4</v>
      </c>
      <c r="H1817" s="173">
        <v>24</v>
      </c>
      <c r="I1817" s="273">
        <f>SUMIF('2020'!B:B,B1817,'2020'!C:C)+SUMIF('2021'!B:B,B1817,'2021'!C:C)+SUMIF('2022'!B:B,B1817,'2022'!C:C)</f>
        <v>108597.11</v>
      </c>
      <c r="J1817" s="59">
        <v>44925</v>
      </c>
      <c r="K1817" s="273" t="s">
        <v>3118</v>
      </c>
    </row>
    <row r="1818" spans="1:11" x14ac:dyDescent="0.3">
      <c r="A1818" s="259">
        <f t="shared" si="65"/>
        <v>1637</v>
      </c>
      <c r="B1818" s="20" t="s">
        <v>1762</v>
      </c>
      <c r="C1818" s="162">
        <v>1962</v>
      </c>
      <c r="D1818" s="234"/>
      <c r="E1818" s="31" t="s">
        <v>3123</v>
      </c>
      <c r="F1818" s="31">
        <v>4</v>
      </c>
      <c r="G1818" s="31">
        <v>2017.4</v>
      </c>
      <c r="H1818" s="173">
        <v>70</v>
      </c>
      <c r="I1818" s="273">
        <f>SUMIF('2020'!B:B,B1818,'2020'!C:C)+SUMIF('2021'!B:B,B1818,'2021'!C:C)+SUMIF('2022'!B:B,B1818,'2022'!C:C)</f>
        <v>1194132</v>
      </c>
      <c r="J1818" s="59">
        <v>44925</v>
      </c>
      <c r="K1818" s="273" t="s">
        <v>3118</v>
      </c>
    </row>
    <row r="1819" spans="1:11" x14ac:dyDescent="0.3">
      <c r="A1819" s="259">
        <f t="shared" ref="A1819:A1831" si="66">A1818+1</f>
        <v>1638</v>
      </c>
      <c r="B1819" s="20" t="s">
        <v>1763</v>
      </c>
      <c r="C1819" s="162">
        <v>1952</v>
      </c>
      <c r="D1819" s="234"/>
      <c r="E1819" s="31" t="s">
        <v>3453</v>
      </c>
      <c r="F1819" s="31">
        <v>2</v>
      </c>
      <c r="G1819" s="31">
        <v>452</v>
      </c>
      <c r="H1819" s="173">
        <v>21</v>
      </c>
      <c r="I1819" s="273">
        <f>SUMIF('2020'!B:B,B1819,'2020'!C:C)+SUMIF('2021'!B:B,B1819,'2021'!C:C)+SUMIF('2022'!B:B,B1819,'2022'!C:C)</f>
        <v>2855400.58</v>
      </c>
      <c r="J1819" s="59">
        <v>44925</v>
      </c>
      <c r="K1819" s="273" t="s">
        <v>3118</v>
      </c>
    </row>
    <row r="1820" spans="1:11" x14ac:dyDescent="0.3">
      <c r="A1820" s="259">
        <f t="shared" si="66"/>
        <v>1639</v>
      </c>
      <c r="B1820" s="20" t="s">
        <v>1764</v>
      </c>
      <c r="C1820" s="162">
        <v>1970</v>
      </c>
      <c r="D1820" s="234"/>
      <c r="E1820" s="31" t="s">
        <v>3127</v>
      </c>
      <c r="F1820" s="31">
        <v>5</v>
      </c>
      <c r="G1820" s="31">
        <v>4404</v>
      </c>
      <c r="H1820" s="173">
        <v>195</v>
      </c>
      <c r="I1820" s="273">
        <f>SUMIF('2020'!B:B,B1820,'2020'!C:C)+SUMIF('2021'!B:B,B1820,'2021'!C:C)+SUMIF('2022'!B:B,B1820,'2022'!C:C)</f>
        <v>264321.73</v>
      </c>
      <c r="J1820" s="59">
        <v>44925</v>
      </c>
      <c r="K1820" s="273" t="s">
        <v>3118</v>
      </c>
    </row>
    <row r="1821" spans="1:11" x14ac:dyDescent="0.3">
      <c r="A1821" s="259">
        <f t="shared" si="66"/>
        <v>1640</v>
      </c>
      <c r="B1821" s="20" t="s">
        <v>1765</v>
      </c>
      <c r="C1821" s="162">
        <v>1955</v>
      </c>
      <c r="D1821" s="234"/>
      <c r="E1821" s="200" t="s">
        <v>3123</v>
      </c>
      <c r="F1821" s="200">
        <v>2</v>
      </c>
      <c r="G1821" s="200">
        <v>1082.4000000000001</v>
      </c>
      <c r="H1821" s="201">
        <v>51</v>
      </c>
      <c r="I1821" s="273">
        <f>SUMIF('2020'!B:B,B1821,'2020'!C:C)+SUMIF('2021'!B:B,B1821,'2021'!C:C)+SUMIF('2022'!B:B,B1821,'2022'!C:C)</f>
        <v>5710975.9199999999</v>
      </c>
      <c r="J1821" s="59">
        <v>44925</v>
      </c>
      <c r="K1821" s="273" t="s">
        <v>3118</v>
      </c>
    </row>
    <row r="1822" spans="1:11" x14ac:dyDescent="0.3">
      <c r="A1822" s="259">
        <f t="shared" si="66"/>
        <v>1641</v>
      </c>
      <c r="B1822" s="20" t="s">
        <v>1766</v>
      </c>
      <c r="C1822" s="162">
        <v>1956</v>
      </c>
      <c r="D1822" s="234"/>
      <c r="E1822" s="200" t="s">
        <v>3123</v>
      </c>
      <c r="F1822" s="200">
        <v>2</v>
      </c>
      <c r="G1822" s="230">
        <v>1054</v>
      </c>
      <c r="H1822" s="201">
        <v>51</v>
      </c>
      <c r="I1822" s="273">
        <f>SUMIF('2020'!B:B,B1822,'2020'!C:C)+SUMIF('2021'!B:B,B1822,'2021'!C:C)+SUMIF('2022'!B:B,B1822,'2022'!C:C)</f>
        <v>597983.76</v>
      </c>
      <c r="J1822" s="59">
        <v>44925</v>
      </c>
      <c r="K1822" s="273" t="s">
        <v>3118</v>
      </c>
    </row>
    <row r="1823" spans="1:11" x14ac:dyDescent="0.3">
      <c r="A1823" s="259">
        <f t="shared" si="66"/>
        <v>1642</v>
      </c>
      <c r="B1823" s="20" t="s">
        <v>1767</v>
      </c>
      <c r="C1823" s="162">
        <v>1956</v>
      </c>
      <c r="D1823" s="234"/>
      <c r="E1823" s="200" t="s">
        <v>3123</v>
      </c>
      <c r="F1823" s="200">
        <v>2</v>
      </c>
      <c r="G1823" s="200">
        <v>1812.5</v>
      </c>
      <c r="H1823" s="201">
        <v>62</v>
      </c>
      <c r="I1823" s="273">
        <f>SUMIF('2020'!B:B,B1823,'2020'!C:C)+SUMIF('2021'!B:B,B1823,'2021'!C:C)+SUMIF('2022'!B:B,B1823,'2022'!C:C)</f>
        <v>592468.07999999996</v>
      </c>
      <c r="J1823" s="59">
        <v>44925</v>
      </c>
      <c r="K1823" s="273" t="s">
        <v>3118</v>
      </c>
    </row>
    <row r="1824" spans="1:11" x14ac:dyDescent="0.3">
      <c r="A1824" s="259">
        <f t="shared" si="66"/>
        <v>1643</v>
      </c>
      <c r="B1824" s="20" t="s">
        <v>1768</v>
      </c>
      <c r="C1824" s="162">
        <v>1951</v>
      </c>
      <c r="D1824" s="234"/>
      <c r="E1824" s="31" t="s">
        <v>3123</v>
      </c>
      <c r="F1824" s="31">
        <v>2</v>
      </c>
      <c r="G1824" s="31">
        <v>779.1</v>
      </c>
      <c r="H1824" s="173">
        <v>41</v>
      </c>
      <c r="I1824" s="273">
        <f>SUMIF('2020'!B:B,B1824,'2020'!C:C)+SUMIF('2021'!B:B,B1824,'2021'!C:C)+SUMIF('2022'!B:B,B1824,'2022'!C:C)</f>
        <v>302961.67</v>
      </c>
      <c r="J1824" s="59">
        <v>44925</v>
      </c>
      <c r="K1824" s="273" t="s">
        <v>3118</v>
      </c>
    </row>
    <row r="1825" spans="1:12" x14ac:dyDescent="0.3">
      <c r="A1825" s="259">
        <f t="shared" si="66"/>
        <v>1644</v>
      </c>
      <c r="B1825" s="20" t="s">
        <v>1769</v>
      </c>
      <c r="C1825" s="162">
        <v>1965</v>
      </c>
      <c r="D1825" s="234"/>
      <c r="E1825" s="200" t="s">
        <v>3123</v>
      </c>
      <c r="F1825" s="200">
        <v>4</v>
      </c>
      <c r="G1825" s="200">
        <v>1995.5</v>
      </c>
      <c r="H1825" s="201">
        <v>52</v>
      </c>
      <c r="I1825" s="273">
        <f>SUMIF('2020'!B:B,B1825,'2020'!C:C)+SUMIF('2021'!B:B,B1825,'2021'!C:C)+SUMIF('2022'!B:B,B1825,'2022'!C:C)</f>
        <v>1124023</v>
      </c>
      <c r="J1825" s="59">
        <v>44925</v>
      </c>
      <c r="K1825" s="273" t="s">
        <v>3118</v>
      </c>
    </row>
    <row r="1826" spans="1:12" x14ac:dyDescent="0.3">
      <c r="A1826" s="259">
        <f t="shared" si="66"/>
        <v>1645</v>
      </c>
      <c r="B1826" s="20" t="s">
        <v>1770</v>
      </c>
      <c r="C1826" s="162">
        <v>1952</v>
      </c>
      <c r="D1826" s="234"/>
      <c r="E1826" s="200" t="s">
        <v>3123</v>
      </c>
      <c r="F1826" s="200">
        <v>2</v>
      </c>
      <c r="G1826" s="200">
        <v>633.29999999999995</v>
      </c>
      <c r="H1826" s="201">
        <v>33</v>
      </c>
      <c r="I1826" s="273">
        <f>SUMIF('2020'!B:B,B1826,'2020'!C:C)+SUMIF('2021'!B:B,B1826,'2021'!C:C)+SUMIF('2022'!B:B,B1826,'2022'!C:C)</f>
        <v>650130</v>
      </c>
      <c r="J1826" s="59">
        <v>44925</v>
      </c>
      <c r="K1826" s="273" t="s">
        <v>3118</v>
      </c>
    </row>
    <row r="1827" spans="1:12" x14ac:dyDescent="0.3">
      <c r="A1827" s="259">
        <f t="shared" si="66"/>
        <v>1646</v>
      </c>
      <c r="B1827" s="20" t="s">
        <v>1771</v>
      </c>
      <c r="C1827" s="162">
        <v>1965</v>
      </c>
      <c r="D1827" s="234"/>
      <c r="E1827" s="200" t="s">
        <v>3123</v>
      </c>
      <c r="F1827" s="200">
        <v>3</v>
      </c>
      <c r="G1827" s="200">
        <v>1049.5</v>
      </c>
      <c r="H1827" s="201">
        <v>47</v>
      </c>
      <c r="I1827" s="273">
        <f>SUMIF('2020'!B:B,B1827,'2020'!C:C)+SUMIF('2021'!B:B,B1827,'2021'!C:C)+SUMIF('2022'!B:B,B1827,'2022'!C:C)</f>
        <v>649195.81999999995</v>
      </c>
      <c r="J1827" s="59">
        <v>44925</v>
      </c>
      <c r="K1827" s="273" t="s">
        <v>3118</v>
      </c>
    </row>
    <row r="1828" spans="1:12" x14ac:dyDescent="0.3">
      <c r="A1828" s="259">
        <f t="shared" si="66"/>
        <v>1647</v>
      </c>
      <c r="B1828" s="20" t="s">
        <v>1772</v>
      </c>
      <c r="C1828" s="162">
        <v>1951</v>
      </c>
      <c r="D1828" s="234"/>
      <c r="E1828" s="31" t="s">
        <v>3121</v>
      </c>
      <c r="F1828" s="31">
        <v>2</v>
      </c>
      <c r="G1828" s="31">
        <v>421</v>
      </c>
      <c r="H1828" s="173">
        <v>18</v>
      </c>
      <c r="I1828" s="273">
        <f>SUMIF('2020'!B:B,B1828,'2020'!C:C)+SUMIF('2021'!B:B,B1828,'2021'!C:C)+SUMIF('2022'!B:B,B1828,'2022'!C:C)</f>
        <v>3494227.7800000003</v>
      </c>
      <c r="J1828" s="59">
        <v>44925</v>
      </c>
      <c r="K1828" s="273" t="s">
        <v>3118</v>
      </c>
    </row>
    <row r="1829" spans="1:12" x14ac:dyDescent="0.3">
      <c r="A1829" s="259">
        <f t="shared" si="66"/>
        <v>1648</v>
      </c>
      <c r="B1829" s="20" t="s">
        <v>1773</v>
      </c>
      <c r="C1829" s="162">
        <v>1975</v>
      </c>
      <c r="D1829" s="234"/>
      <c r="E1829" s="31" t="s">
        <v>3123</v>
      </c>
      <c r="F1829" s="31">
        <v>5</v>
      </c>
      <c r="G1829" s="31">
        <v>3032.2</v>
      </c>
      <c r="H1829" s="173">
        <v>117</v>
      </c>
      <c r="I1829" s="273">
        <f>SUMIF('2020'!B:B,B1829,'2020'!C:C)+SUMIF('2021'!B:B,B1829,'2021'!C:C)+SUMIF('2022'!B:B,B1829,'2022'!C:C)</f>
        <v>328697.53000000003</v>
      </c>
      <c r="J1829" s="59">
        <v>44925</v>
      </c>
      <c r="K1829" s="273" t="s">
        <v>3118</v>
      </c>
    </row>
    <row r="1830" spans="1:12" x14ac:dyDescent="0.3">
      <c r="A1830" s="259">
        <f t="shared" si="66"/>
        <v>1649</v>
      </c>
      <c r="B1830" s="20" t="s">
        <v>1774</v>
      </c>
      <c r="C1830" s="162">
        <v>1974</v>
      </c>
      <c r="D1830" s="234"/>
      <c r="E1830" s="31" t="s">
        <v>3121</v>
      </c>
      <c r="F1830" s="31">
        <v>5</v>
      </c>
      <c r="G1830" s="31">
        <v>4352</v>
      </c>
      <c r="H1830" s="173">
        <v>252</v>
      </c>
      <c r="I1830" s="273">
        <f>SUMIF('2020'!B:B,B1830,'2020'!C:C)+SUMIF('2021'!B:B,B1830,'2021'!C:C)+SUMIF('2022'!B:B,B1830,'2022'!C:C)</f>
        <v>957016.03</v>
      </c>
      <c r="J1830" s="59">
        <v>44925</v>
      </c>
      <c r="K1830" s="273" t="s">
        <v>3118</v>
      </c>
    </row>
    <row r="1831" spans="1:12" x14ac:dyDescent="0.3">
      <c r="A1831" s="259">
        <f t="shared" si="66"/>
        <v>1650</v>
      </c>
      <c r="B1831" s="20" t="s">
        <v>1775</v>
      </c>
      <c r="C1831" s="162">
        <v>1975</v>
      </c>
      <c r="D1831" s="234"/>
      <c r="E1831" s="31" t="s">
        <v>3121</v>
      </c>
      <c r="F1831" s="31">
        <v>5</v>
      </c>
      <c r="G1831" s="31">
        <v>2702.7</v>
      </c>
      <c r="H1831" s="173">
        <v>172</v>
      </c>
      <c r="I1831" s="273">
        <f>SUMIF('2020'!B:B,B1831,'2020'!C:C)+SUMIF('2021'!B:B,B1831,'2021'!C:C)+SUMIF('2022'!B:B,B1831,'2022'!C:C)</f>
        <v>1025857.14</v>
      </c>
      <c r="J1831" s="59">
        <v>44925</v>
      </c>
      <c r="K1831" s="273" t="s">
        <v>3118</v>
      </c>
    </row>
    <row r="1832" spans="1:12" x14ac:dyDescent="0.3">
      <c r="A1832" s="259"/>
      <c r="B1832" s="20" t="s">
        <v>208</v>
      </c>
      <c r="C1832" s="273" t="s">
        <v>3558</v>
      </c>
      <c r="D1832" s="273" t="s">
        <v>3558</v>
      </c>
      <c r="E1832" s="273" t="s">
        <v>3558</v>
      </c>
      <c r="F1832" s="273" t="s">
        <v>3558</v>
      </c>
      <c r="G1832" s="273">
        <f>SUM(G1722:G1831)</f>
        <v>184529.10000000003</v>
      </c>
      <c r="H1832" s="10">
        <f>SUM(H1722:H1831)</f>
        <v>8570</v>
      </c>
      <c r="I1832" s="273">
        <f>SUM(I1722:I1831)</f>
        <v>207432265.14999992</v>
      </c>
      <c r="J1832" s="273" t="s">
        <v>3558</v>
      </c>
      <c r="K1832" s="273" t="s">
        <v>3558</v>
      </c>
      <c r="L1832" s="197" t="e">
        <f>#REF!-'2020'!C419-'2021'!C1388-'2022'!C509</f>
        <v>#REF!</v>
      </c>
    </row>
    <row r="1833" spans="1:12" x14ac:dyDescent="0.3">
      <c r="A1833" s="291" t="s">
        <v>1776</v>
      </c>
      <c r="B1833" s="291"/>
      <c r="C1833" s="273"/>
      <c r="D1833" s="234"/>
      <c r="E1833" s="251"/>
      <c r="F1833" s="251"/>
      <c r="G1833" s="251"/>
      <c r="H1833" s="132"/>
      <c r="I1833" s="251"/>
      <c r="J1833" s="251"/>
      <c r="K1833" s="251"/>
    </row>
    <row r="1834" spans="1:12" x14ac:dyDescent="0.3">
      <c r="A1834" s="259">
        <f>A1831+1</f>
        <v>1651</v>
      </c>
      <c r="B1834" s="20" t="s">
        <v>1777</v>
      </c>
      <c r="C1834" s="162">
        <v>1988</v>
      </c>
      <c r="D1834" s="234"/>
      <c r="E1834" s="31" t="s">
        <v>3119</v>
      </c>
      <c r="F1834" s="273">
        <v>5</v>
      </c>
      <c r="G1834" s="273">
        <v>8064.36</v>
      </c>
      <c r="H1834" s="10">
        <v>259</v>
      </c>
      <c r="I1834" s="273">
        <f>SUMIF('2020'!B:B,B1834,'2020'!C:C)+SUMIF('2021'!B:B,B1834,'2021'!C:C)+SUMIF('2022'!B:B,B1834,'2022'!C:C)</f>
        <v>106431</v>
      </c>
      <c r="J1834" s="59">
        <v>44925</v>
      </c>
      <c r="K1834" s="273" t="s">
        <v>3118</v>
      </c>
    </row>
    <row r="1835" spans="1:12" x14ac:dyDescent="0.3">
      <c r="A1835" s="259">
        <f>A1834+1</f>
        <v>1652</v>
      </c>
      <c r="B1835" s="20" t="s">
        <v>1778</v>
      </c>
      <c r="C1835" s="162">
        <v>1949</v>
      </c>
      <c r="D1835" s="234"/>
      <c r="E1835" s="31" t="s">
        <v>3121</v>
      </c>
      <c r="F1835" s="273">
        <v>2</v>
      </c>
      <c r="G1835" s="273">
        <v>473</v>
      </c>
      <c r="H1835" s="10">
        <v>13</v>
      </c>
      <c r="I1835" s="273">
        <f>SUMIF('2020'!B:B,B1835,'2020'!C:C)+SUMIF('2021'!B:B,B1835,'2021'!C:C)+SUMIF('2022'!B:B,B1835,'2022'!C:C)</f>
        <v>130000</v>
      </c>
      <c r="J1835" s="59">
        <v>44925</v>
      </c>
      <c r="K1835" s="273" t="s">
        <v>3118</v>
      </c>
    </row>
    <row r="1836" spans="1:12" x14ac:dyDescent="0.3">
      <c r="A1836" s="259">
        <f>A1835+1</f>
        <v>1653</v>
      </c>
      <c r="B1836" s="20" t="s">
        <v>1779</v>
      </c>
      <c r="C1836" s="162">
        <v>1949</v>
      </c>
      <c r="D1836" s="234"/>
      <c r="E1836" s="31" t="s">
        <v>3121</v>
      </c>
      <c r="F1836" s="273">
        <v>2</v>
      </c>
      <c r="G1836" s="273">
        <v>487.8</v>
      </c>
      <c r="H1836" s="10">
        <v>17</v>
      </c>
      <c r="I1836" s="273">
        <f>SUMIF('2020'!B:B,B1836,'2020'!C:C)+SUMIF('2021'!B:B,B1836,'2021'!C:C)+SUMIF('2022'!B:B,B1836,'2022'!C:C)</f>
        <v>130000</v>
      </c>
      <c r="J1836" s="59">
        <v>44925</v>
      </c>
      <c r="K1836" s="273" t="s">
        <v>3118</v>
      </c>
    </row>
    <row r="1837" spans="1:12" x14ac:dyDescent="0.3">
      <c r="A1837" s="259">
        <f>A1836+1</f>
        <v>1654</v>
      </c>
      <c r="B1837" s="20" t="s">
        <v>1780</v>
      </c>
      <c r="C1837" s="162">
        <v>1951</v>
      </c>
      <c r="D1837" s="234"/>
      <c r="E1837" s="31" t="s">
        <v>3121</v>
      </c>
      <c r="F1837" s="273">
        <v>2</v>
      </c>
      <c r="G1837" s="273">
        <v>492.5</v>
      </c>
      <c r="H1837" s="10">
        <v>19</v>
      </c>
      <c r="I1837" s="273">
        <f>SUMIF('2020'!B:B,B1837,'2020'!C:C)+SUMIF('2021'!B:B,B1837,'2021'!C:C)+SUMIF('2022'!B:B,B1837,'2022'!C:C)</f>
        <v>130000</v>
      </c>
      <c r="J1837" s="59">
        <v>44925</v>
      </c>
      <c r="K1837" s="273" t="s">
        <v>3118</v>
      </c>
    </row>
    <row r="1838" spans="1:12" x14ac:dyDescent="0.3">
      <c r="A1838" s="259">
        <f>A1837+1</f>
        <v>1655</v>
      </c>
      <c r="B1838" s="20" t="s">
        <v>1781</v>
      </c>
      <c r="C1838" s="162">
        <v>1968</v>
      </c>
      <c r="D1838" s="234"/>
      <c r="E1838" s="31" t="s">
        <v>3123</v>
      </c>
      <c r="F1838" s="273">
        <v>5</v>
      </c>
      <c r="G1838" s="273">
        <v>3820</v>
      </c>
      <c r="H1838" s="10">
        <v>136</v>
      </c>
      <c r="I1838" s="273">
        <f>SUMIF('2020'!B:B,B1838,'2020'!C:C)+SUMIF('2021'!B:B,B1838,'2021'!C:C)+SUMIF('2022'!B:B,B1838,'2022'!C:C)</f>
        <v>130000</v>
      </c>
      <c r="J1838" s="59">
        <v>44925</v>
      </c>
      <c r="K1838" s="273" t="s">
        <v>3118</v>
      </c>
    </row>
    <row r="1839" spans="1:12" x14ac:dyDescent="0.3">
      <c r="A1839" s="259"/>
      <c r="B1839" s="20" t="s">
        <v>208</v>
      </c>
      <c r="C1839" s="273" t="s">
        <v>3558</v>
      </c>
      <c r="D1839" s="273" t="s">
        <v>3558</v>
      </c>
      <c r="E1839" s="273" t="s">
        <v>3558</v>
      </c>
      <c r="F1839" s="273" t="s">
        <v>3558</v>
      </c>
      <c r="G1839" s="273">
        <f>SUM(G1834:G1838)</f>
        <v>13337.66</v>
      </c>
      <c r="H1839" s="10">
        <f>SUM(H1834:H1838)</f>
        <v>444</v>
      </c>
      <c r="I1839" s="273">
        <f>SUM(I1834:I1838)</f>
        <v>626431</v>
      </c>
      <c r="J1839" s="273" t="s">
        <v>3558</v>
      </c>
      <c r="K1839" s="273" t="s">
        <v>3558</v>
      </c>
      <c r="L1839" s="197" t="e">
        <f>#REF!-'2021'!C1394-'2022'!C512</f>
        <v>#REF!</v>
      </c>
    </row>
    <row r="1840" spans="1:12" x14ac:dyDescent="0.3">
      <c r="A1840" s="291" t="s">
        <v>1782</v>
      </c>
      <c r="B1840" s="291"/>
      <c r="C1840" s="273"/>
      <c r="D1840" s="234"/>
      <c r="E1840" s="251"/>
      <c r="F1840" s="251"/>
      <c r="G1840" s="251"/>
      <c r="H1840" s="132"/>
      <c r="I1840" s="251"/>
      <c r="J1840" s="251"/>
      <c r="K1840" s="251"/>
    </row>
    <row r="1841" spans="1:11" x14ac:dyDescent="0.3">
      <c r="A1841" s="259">
        <f>A1838+1</f>
        <v>1656</v>
      </c>
      <c r="B1841" s="20" t="s">
        <v>1783</v>
      </c>
      <c r="C1841" s="162">
        <v>1964</v>
      </c>
      <c r="D1841" s="234"/>
      <c r="E1841" s="31" t="s">
        <v>3035</v>
      </c>
      <c r="F1841" s="31">
        <v>2</v>
      </c>
      <c r="G1841" s="31">
        <v>650.79999999999995</v>
      </c>
      <c r="H1841" s="173">
        <v>45</v>
      </c>
      <c r="I1841" s="273">
        <f>SUMIF('2020'!B:B,B1841,'2020'!C:C)+SUMIF('2021'!B:B,B1841,'2021'!C:C)+SUMIF('2022'!B:B,B1841,'2022'!C:C)</f>
        <v>98290.54</v>
      </c>
      <c r="J1841" s="59">
        <v>44925</v>
      </c>
      <c r="K1841" s="273" t="s">
        <v>3118</v>
      </c>
    </row>
    <row r="1842" spans="1:11" x14ac:dyDescent="0.3">
      <c r="A1842" s="259">
        <f t="shared" ref="A1842:A1883" si="67">A1841+1</f>
        <v>1657</v>
      </c>
      <c r="B1842" s="20" t="s">
        <v>1784</v>
      </c>
      <c r="C1842" s="162">
        <v>1968</v>
      </c>
      <c r="D1842" s="234"/>
      <c r="E1842" s="31" t="s">
        <v>3035</v>
      </c>
      <c r="F1842" s="31">
        <v>2</v>
      </c>
      <c r="G1842" s="31">
        <v>548.70000000000005</v>
      </c>
      <c r="H1842" s="173">
        <v>27</v>
      </c>
      <c r="I1842" s="273">
        <f>SUMIF('2020'!B:B,B1842,'2020'!C:C)+SUMIF('2021'!B:B,B1842,'2021'!C:C)+SUMIF('2022'!B:B,B1842,'2022'!C:C)</f>
        <v>91245.01</v>
      </c>
      <c r="J1842" s="59">
        <v>44925</v>
      </c>
      <c r="K1842" s="273" t="s">
        <v>3118</v>
      </c>
    </row>
    <row r="1843" spans="1:11" x14ac:dyDescent="0.3">
      <c r="A1843" s="259">
        <f t="shared" si="67"/>
        <v>1658</v>
      </c>
      <c r="B1843" s="20" t="s">
        <v>1785</v>
      </c>
      <c r="C1843" s="162">
        <v>1968</v>
      </c>
      <c r="D1843" s="234"/>
      <c r="E1843" s="31" t="s">
        <v>3035</v>
      </c>
      <c r="F1843" s="31">
        <v>2</v>
      </c>
      <c r="G1843" s="31">
        <v>556.5</v>
      </c>
      <c r="H1843" s="173">
        <v>29</v>
      </c>
      <c r="I1843" s="273">
        <f>SUMIF('2020'!B:B,B1843,'2020'!C:C)+SUMIF('2021'!B:B,B1843,'2021'!C:C)+SUMIF('2022'!B:B,B1843,'2022'!C:C)</f>
        <v>89993.94</v>
      </c>
      <c r="J1843" s="59">
        <v>44925</v>
      </c>
      <c r="K1843" s="273" t="s">
        <v>3118</v>
      </c>
    </row>
    <row r="1844" spans="1:11" x14ac:dyDescent="0.3">
      <c r="A1844" s="259">
        <f t="shared" si="67"/>
        <v>1659</v>
      </c>
      <c r="B1844" s="20" t="s">
        <v>1786</v>
      </c>
      <c r="C1844" s="162">
        <v>1964</v>
      </c>
      <c r="D1844" s="234"/>
      <c r="E1844" s="31" t="s">
        <v>3035</v>
      </c>
      <c r="F1844" s="31">
        <v>2</v>
      </c>
      <c r="G1844" s="31">
        <v>696.2</v>
      </c>
      <c r="H1844" s="173">
        <v>30</v>
      </c>
      <c r="I1844" s="273">
        <f>SUMIF('2020'!B:B,B1844,'2020'!C:C)+SUMIF('2021'!B:B,B1844,'2021'!C:C)+SUMIF('2022'!B:B,B1844,'2022'!C:C)</f>
        <v>96907.78</v>
      </c>
      <c r="J1844" s="59">
        <v>44925</v>
      </c>
      <c r="K1844" s="273" t="s">
        <v>3118</v>
      </c>
    </row>
    <row r="1845" spans="1:11" x14ac:dyDescent="0.3">
      <c r="A1845" s="259">
        <f t="shared" si="67"/>
        <v>1660</v>
      </c>
      <c r="B1845" s="20" t="s">
        <v>1787</v>
      </c>
      <c r="C1845" s="162">
        <v>1964</v>
      </c>
      <c r="D1845" s="234"/>
      <c r="E1845" s="31" t="s">
        <v>3035</v>
      </c>
      <c r="F1845" s="31">
        <v>2</v>
      </c>
      <c r="G1845" s="31">
        <v>552.6</v>
      </c>
      <c r="H1845" s="173">
        <v>41</v>
      </c>
      <c r="I1845" s="273">
        <f>SUMIF('2020'!B:B,B1845,'2020'!C:C)+SUMIF('2021'!B:B,B1845,'2021'!C:C)+SUMIF('2022'!B:B,B1845,'2022'!C:C)</f>
        <v>91244.83</v>
      </c>
      <c r="J1845" s="59">
        <v>44925</v>
      </c>
      <c r="K1845" s="273" t="s">
        <v>3118</v>
      </c>
    </row>
    <row r="1846" spans="1:11" x14ac:dyDescent="0.3">
      <c r="A1846" s="259">
        <f t="shared" si="67"/>
        <v>1661</v>
      </c>
      <c r="B1846" s="20" t="s">
        <v>1788</v>
      </c>
      <c r="C1846" s="162">
        <v>1953</v>
      </c>
      <c r="D1846" s="234"/>
      <c r="E1846" s="31" t="s">
        <v>3121</v>
      </c>
      <c r="F1846" s="31">
        <v>2</v>
      </c>
      <c r="G1846" s="31">
        <v>1149.2</v>
      </c>
      <c r="H1846" s="173">
        <v>32</v>
      </c>
      <c r="I1846" s="273">
        <f>SUMIF('2020'!B:B,B1846,'2020'!C:C)+SUMIF('2021'!B:B,B1846,'2021'!C:C)+SUMIF('2022'!B:B,B1846,'2022'!C:C)</f>
        <v>121499.53</v>
      </c>
      <c r="J1846" s="59">
        <v>44925</v>
      </c>
      <c r="K1846" s="273" t="s">
        <v>3118</v>
      </c>
    </row>
    <row r="1847" spans="1:11" x14ac:dyDescent="0.3">
      <c r="A1847" s="259">
        <f t="shared" si="67"/>
        <v>1662</v>
      </c>
      <c r="B1847" s="20" t="s">
        <v>1789</v>
      </c>
      <c r="C1847" s="162">
        <v>1948</v>
      </c>
      <c r="D1847" s="234"/>
      <c r="E1847" s="31" t="s">
        <v>3121</v>
      </c>
      <c r="F1847" s="31">
        <v>2</v>
      </c>
      <c r="G1847" s="31">
        <v>622.79999999999995</v>
      </c>
      <c r="H1847" s="173">
        <v>33</v>
      </c>
      <c r="I1847" s="273">
        <f>SUMIF('2020'!B:B,B1847,'2020'!C:C)+SUMIF('2021'!B:B,B1847,'2021'!C:C)+SUMIF('2022'!B:B,B1847,'2022'!C:C)</f>
        <v>220203.52000000002</v>
      </c>
      <c r="J1847" s="59">
        <v>44925</v>
      </c>
      <c r="K1847" s="273" t="s">
        <v>3118</v>
      </c>
    </row>
    <row r="1848" spans="1:11" x14ac:dyDescent="0.3">
      <c r="A1848" s="259">
        <f t="shared" si="67"/>
        <v>1663</v>
      </c>
      <c r="B1848" s="20" t="s">
        <v>1790</v>
      </c>
      <c r="C1848" s="162">
        <v>1949</v>
      </c>
      <c r="D1848" s="234"/>
      <c r="E1848" s="31" t="s">
        <v>3121</v>
      </c>
      <c r="F1848" s="31">
        <v>2</v>
      </c>
      <c r="G1848" s="31">
        <v>656.2</v>
      </c>
      <c r="H1848" s="173">
        <v>22</v>
      </c>
      <c r="I1848" s="273">
        <f>SUMIF('2020'!B:B,B1848,'2020'!C:C)+SUMIF('2021'!B:B,B1848,'2021'!C:C)+SUMIF('2022'!B:B,B1848,'2022'!C:C)</f>
        <v>103337.93</v>
      </c>
      <c r="J1848" s="59">
        <v>44925</v>
      </c>
      <c r="K1848" s="273" t="s">
        <v>3118</v>
      </c>
    </row>
    <row r="1849" spans="1:11" x14ac:dyDescent="0.3">
      <c r="A1849" s="259">
        <f t="shared" si="67"/>
        <v>1664</v>
      </c>
      <c r="B1849" s="20" t="s">
        <v>1791</v>
      </c>
      <c r="C1849" s="162">
        <v>1952</v>
      </c>
      <c r="D1849" s="234"/>
      <c r="E1849" s="31" t="s">
        <v>3121</v>
      </c>
      <c r="F1849" s="31">
        <v>2</v>
      </c>
      <c r="G1849" s="31">
        <v>1180.9000000000001</v>
      </c>
      <c r="H1849" s="173">
        <v>45</v>
      </c>
      <c r="I1849" s="273">
        <f>SUMIF('2020'!B:B,B1849,'2020'!C:C)+SUMIF('2021'!B:B,B1849,'2021'!C:C)+SUMIF('2022'!B:B,B1849,'2022'!C:C)</f>
        <v>9923669.6999999993</v>
      </c>
      <c r="J1849" s="59">
        <v>44925</v>
      </c>
      <c r="K1849" s="273" t="s">
        <v>3118</v>
      </c>
    </row>
    <row r="1850" spans="1:11" x14ac:dyDescent="0.3">
      <c r="A1850" s="259">
        <f t="shared" si="67"/>
        <v>1665</v>
      </c>
      <c r="B1850" s="20" t="s">
        <v>1792</v>
      </c>
      <c r="C1850" s="162">
        <v>1953</v>
      </c>
      <c r="D1850" s="234"/>
      <c r="E1850" s="31" t="s">
        <v>3121</v>
      </c>
      <c r="F1850" s="31">
        <v>2</v>
      </c>
      <c r="G1850" s="31">
        <v>780.7</v>
      </c>
      <c r="H1850" s="173">
        <v>30</v>
      </c>
      <c r="I1850" s="273">
        <f>SUMIF('2020'!B:B,B1850,'2020'!C:C)+SUMIF('2021'!B:B,B1850,'2021'!C:C)+SUMIF('2022'!B:B,B1850,'2022'!C:C)</f>
        <v>9081971.5700000003</v>
      </c>
      <c r="J1850" s="59">
        <v>44925</v>
      </c>
      <c r="K1850" s="273" t="s">
        <v>3118</v>
      </c>
    </row>
    <row r="1851" spans="1:11" x14ac:dyDescent="0.3">
      <c r="A1851" s="259">
        <f t="shared" si="67"/>
        <v>1666</v>
      </c>
      <c r="B1851" s="20" t="s">
        <v>1793</v>
      </c>
      <c r="C1851" s="162">
        <v>1951</v>
      </c>
      <c r="D1851" s="234"/>
      <c r="E1851" s="31" t="s">
        <v>3121</v>
      </c>
      <c r="F1851" s="31">
        <v>2</v>
      </c>
      <c r="G1851" s="31">
        <v>820.6</v>
      </c>
      <c r="H1851" s="173">
        <v>55</v>
      </c>
      <c r="I1851" s="273">
        <f>SUMIF('2020'!B:B,B1851,'2020'!C:C)+SUMIF('2021'!B:B,B1851,'2021'!C:C)+SUMIF('2022'!B:B,B1851,'2022'!C:C)</f>
        <v>122756.17</v>
      </c>
      <c r="J1851" s="59">
        <v>44925</v>
      </c>
      <c r="K1851" s="273" t="s">
        <v>3118</v>
      </c>
    </row>
    <row r="1852" spans="1:11" x14ac:dyDescent="0.3">
      <c r="A1852" s="259">
        <f t="shared" si="67"/>
        <v>1667</v>
      </c>
      <c r="B1852" s="20" t="s">
        <v>1794</v>
      </c>
      <c r="C1852" s="162">
        <v>1951</v>
      </c>
      <c r="D1852" s="234"/>
      <c r="E1852" s="31" t="s">
        <v>3121</v>
      </c>
      <c r="F1852" s="31">
        <v>2</v>
      </c>
      <c r="G1852" s="31">
        <v>797.1</v>
      </c>
      <c r="H1852" s="173">
        <v>32</v>
      </c>
      <c r="I1852" s="273">
        <f>SUMIF('2020'!B:B,B1852,'2020'!C:C)+SUMIF('2021'!B:B,B1852,'2021'!C:C)+SUMIF('2022'!B:B,B1852,'2022'!C:C)</f>
        <v>8997876.8600000013</v>
      </c>
      <c r="J1852" s="59">
        <v>44925</v>
      </c>
      <c r="K1852" s="273" t="s">
        <v>3118</v>
      </c>
    </row>
    <row r="1853" spans="1:11" x14ac:dyDescent="0.3">
      <c r="A1853" s="259">
        <f t="shared" si="67"/>
        <v>1668</v>
      </c>
      <c r="B1853" s="20" t="s">
        <v>1795</v>
      </c>
      <c r="C1853" s="162">
        <v>1951</v>
      </c>
      <c r="D1853" s="234"/>
      <c r="E1853" s="31" t="s">
        <v>3121</v>
      </c>
      <c r="F1853" s="31">
        <v>2</v>
      </c>
      <c r="G1853" s="31">
        <v>814.2</v>
      </c>
      <c r="H1853" s="173">
        <v>30</v>
      </c>
      <c r="I1853" s="273">
        <f>SUMIF('2020'!B:B,B1853,'2020'!C:C)+SUMIF('2021'!B:B,B1853,'2021'!C:C)+SUMIF('2022'!B:B,B1853,'2022'!C:C)</f>
        <v>122948.7</v>
      </c>
      <c r="J1853" s="59">
        <v>44925</v>
      </c>
      <c r="K1853" s="273" t="s">
        <v>3118</v>
      </c>
    </row>
    <row r="1854" spans="1:11" x14ac:dyDescent="0.3">
      <c r="A1854" s="259">
        <f t="shared" si="67"/>
        <v>1669</v>
      </c>
      <c r="B1854" s="20" t="s">
        <v>1796</v>
      </c>
      <c r="C1854" s="162">
        <v>1950</v>
      </c>
      <c r="D1854" s="234"/>
      <c r="E1854" s="31" t="s">
        <v>3121</v>
      </c>
      <c r="F1854" s="31">
        <v>2</v>
      </c>
      <c r="G1854" s="31">
        <v>782.7</v>
      </c>
      <c r="H1854" s="173">
        <v>23</v>
      </c>
      <c r="I1854" s="273">
        <f>SUMIF('2020'!B:B,B1854,'2020'!C:C)+SUMIF('2021'!B:B,B1854,'2021'!C:C)+SUMIF('2022'!B:B,B1854,'2022'!C:C)</f>
        <v>14296905.199999999</v>
      </c>
      <c r="J1854" s="59">
        <v>44925</v>
      </c>
      <c r="K1854" s="273" t="s">
        <v>3118</v>
      </c>
    </row>
    <row r="1855" spans="1:11" x14ac:dyDescent="0.3">
      <c r="A1855" s="259">
        <f t="shared" si="67"/>
        <v>1670</v>
      </c>
      <c r="B1855" s="20" t="s">
        <v>1797</v>
      </c>
      <c r="C1855" s="162">
        <v>1951</v>
      </c>
      <c r="D1855" s="234"/>
      <c r="E1855" s="31" t="s">
        <v>3121</v>
      </c>
      <c r="F1855" s="31">
        <v>2</v>
      </c>
      <c r="G1855" s="31">
        <v>779.8</v>
      </c>
      <c r="H1855" s="173">
        <v>33</v>
      </c>
      <c r="I1855" s="273">
        <f>SUMIF('2020'!B:B,B1855,'2020'!C:C)+SUMIF('2021'!B:B,B1855,'2021'!C:C)+SUMIF('2022'!B:B,B1855,'2022'!C:C)</f>
        <v>5596452.4199999999</v>
      </c>
      <c r="J1855" s="59">
        <v>44925</v>
      </c>
      <c r="K1855" s="273" t="s">
        <v>3118</v>
      </c>
    </row>
    <row r="1856" spans="1:11" x14ac:dyDescent="0.3">
      <c r="A1856" s="259">
        <f t="shared" si="67"/>
        <v>1671</v>
      </c>
      <c r="B1856" s="20" t="s">
        <v>1798</v>
      </c>
      <c r="C1856" s="162">
        <v>1981</v>
      </c>
      <c r="D1856" s="234"/>
      <c r="E1856" s="31" t="s">
        <v>3123</v>
      </c>
      <c r="F1856" s="31">
        <v>2</v>
      </c>
      <c r="G1856" s="31">
        <v>767.6</v>
      </c>
      <c r="H1856" s="173">
        <v>34</v>
      </c>
      <c r="I1856" s="273">
        <f>SUMIF('2020'!B:B,B1856,'2020'!C:C)+SUMIF('2021'!B:B,B1856,'2021'!C:C)+SUMIF('2022'!B:B,B1856,'2022'!C:C)</f>
        <v>560289.14</v>
      </c>
      <c r="J1856" s="59">
        <v>44925</v>
      </c>
      <c r="K1856" s="273" t="s">
        <v>3118</v>
      </c>
    </row>
    <row r="1857" spans="1:11" x14ac:dyDescent="0.3">
      <c r="A1857" s="259">
        <f t="shared" si="67"/>
        <v>1672</v>
      </c>
      <c r="B1857" s="20" t="s">
        <v>1799</v>
      </c>
      <c r="C1857" s="162">
        <v>1952</v>
      </c>
      <c r="D1857" s="234"/>
      <c r="E1857" s="31" t="s">
        <v>3121</v>
      </c>
      <c r="F1857" s="31">
        <v>2</v>
      </c>
      <c r="G1857" s="31">
        <v>784.5</v>
      </c>
      <c r="H1857" s="173">
        <v>32</v>
      </c>
      <c r="I1857" s="273">
        <f>SUMIF('2020'!B:B,B1857,'2020'!C:C)+SUMIF('2021'!B:B,B1857,'2021'!C:C)+SUMIF('2022'!B:B,B1857,'2022'!C:C)</f>
        <v>9269417.1799999997</v>
      </c>
      <c r="J1857" s="59">
        <v>44925</v>
      </c>
      <c r="K1857" s="273" t="s">
        <v>3118</v>
      </c>
    </row>
    <row r="1858" spans="1:11" x14ac:dyDescent="0.3">
      <c r="A1858" s="259">
        <f t="shared" si="67"/>
        <v>1673</v>
      </c>
      <c r="B1858" s="20" t="s">
        <v>1800</v>
      </c>
      <c r="C1858" s="162">
        <v>1954</v>
      </c>
      <c r="D1858" s="234"/>
      <c r="E1858" s="31" t="s">
        <v>3121</v>
      </c>
      <c r="F1858" s="31">
        <v>2</v>
      </c>
      <c r="G1858" s="31">
        <v>800.8</v>
      </c>
      <c r="H1858" s="173">
        <v>31</v>
      </c>
      <c r="I1858" s="273">
        <f>SUMIF('2020'!B:B,B1858,'2020'!C:C)+SUMIF('2021'!B:B,B1858,'2021'!C:C)+SUMIF('2022'!B:B,B1858,'2022'!C:C)</f>
        <v>3015627.4299999997</v>
      </c>
      <c r="J1858" s="59">
        <v>44925</v>
      </c>
      <c r="K1858" s="273" t="s">
        <v>3118</v>
      </c>
    </row>
    <row r="1859" spans="1:11" x14ac:dyDescent="0.3">
      <c r="A1859" s="259">
        <f t="shared" si="67"/>
        <v>1674</v>
      </c>
      <c r="B1859" s="20" t="s">
        <v>1801</v>
      </c>
      <c r="C1859" s="162">
        <v>1954</v>
      </c>
      <c r="D1859" s="234"/>
      <c r="E1859" s="31" t="s">
        <v>3121</v>
      </c>
      <c r="F1859" s="31">
        <v>2</v>
      </c>
      <c r="G1859" s="31">
        <v>821.1</v>
      </c>
      <c r="H1859" s="173">
        <v>27</v>
      </c>
      <c r="I1859" s="273">
        <f>SUMIF('2020'!B:B,B1859,'2020'!C:C)+SUMIF('2021'!B:B,B1859,'2021'!C:C)+SUMIF('2022'!B:B,B1859,'2022'!C:C)</f>
        <v>9466235.3000000007</v>
      </c>
      <c r="J1859" s="59">
        <v>44925</v>
      </c>
      <c r="K1859" s="273" t="s">
        <v>3118</v>
      </c>
    </row>
    <row r="1860" spans="1:11" x14ac:dyDescent="0.3">
      <c r="A1860" s="259">
        <f t="shared" si="67"/>
        <v>1675</v>
      </c>
      <c r="B1860" s="20" t="s">
        <v>1802</v>
      </c>
      <c r="C1860" s="162">
        <v>1972</v>
      </c>
      <c r="D1860" s="234"/>
      <c r="E1860" s="31" t="s">
        <v>3119</v>
      </c>
      <c r="F1860" s="31">
        <v>5</v>
      </c>
      <c r="G1860" s="31">
        <v>4523.6000000000004</v>
      </c>
      <c r="H1860" s="173">
        <v>211</v>
      </c>
      <c r="I1860" s="273">
        <f>SUMIF('2020'!B:B,B1860,'2020'!C:C)+SUMIF('2021'!B:B,B1860,'2021'!C:C)+SUMIF('2022'!B:B,B1860,'2022'!C:C)</f>
        <v>249664.43</v>
      </c>
      <c r="J1860" s="59">
        <v>44925</v>
      </c>
      <c r="K1860" s="273" t="s">
        <v>3118</v>
      </c>
    </row>
    <row r="1861" spans="1:11" x14ac:dyDescent="0.3">
      <c r="A1861" s="259">
        <f t="shared" si="67"/>
        <v>1676</v>
      </c>
      <c r="B1861" s="20" t="s">
        <v>1803</v>
      </c>
      <c r="C1861" s="162">
        <v>1953</v>
      </c>
      <c r="D1861" s="234"/>
      <c r="E1861" s="31" t="s">
        <v>3121</v>
      </c>
      <c r="F1861" s="31">
        <v>2</v>
      </c>
      <c r="G1861" s="31">
        <v>771.5</v>
      </c>
      <c r="H1861" s="173">
        <v>21</v>
      </c>
      <c r="I1861" s="273">
        <f>SUMIF('2020'!B:B,B1861,'2020'!C:C)+SUMIF('2021'!B:B,B1861,'2021'!C:C)+SUMIF('2022'!B:B,B1861,'2022'!C:C)</f>
        <v>128724.65</v>
      </c>
      <c r="J1861" s="59">
        <v>44925</v>
      </c>
      <c r="K1861" s="273" t="s">
        <v>3118</v>
      </c>
    </row>
    <row r="1862" spans="1:11" x14ac:dyDescent="0.3">
      <c r="A1862" s="259">
        <f t="shared" si="67"/>
        <v>1677</v>
      </c>
      <c r="B1862" s="20" t="s">
        <v>1804</v>
      </c>
      <c r="C1862" s="162">
        <v>1976</v>
      </c>
      <c r="D1862" s="234"/>
      <c r="E1862" s="31" t="s">
        <v>3119</v>
      </c>
      <c r="F1862" s="31">
        <v>5</v>
      </c>
      <c r="G1862" s="31">
        <v>3065.8</v>
      </c>
      <c r="H1862" s="173">
        <v>130</v>
      </c>
      <c r="I1862" s="273">
        <f>SUMIF('2020'!B:B,B1862,'2020'!C:C)+SUMIF('2021'!B:B,B1862,'2021'!C:C)+SUMIF('2022'!B:B,B1862,'2022'!C:C)</f>
        <v>16690.75</v>
      </c>
      <c r="J1862" s="59">
        <v>44925</v>
      </c>
      <c r="K1862" s="273" t="s">
        <v>3118</v>
      </c>
    </row>
    <row r="1863" spans="1:11" x14ac:dyDescent="0.3">
      <c r="A1863" s="259">
        <f t="shared" si="67"/>
        <v>1678</v>
      </c>
      <c r="B1863" s="20" t="s">
        <v>1805</v>
      </c>
      <c r="C1863" s="162">
        <v>1955</v>
      </c>
      <c r="D1863" s="234"/>
      <c r="E1863" s="31" t="s">
        <v>3121</v>
      </c>
      <c r="F1863" s="31">
        <v>2</v>
      </c>
      <c r="G1863" s="31">
        <v>842.2</v>
      </c>
      <c r="H1863" s="173">
        <v>38</v>
      </c>
      <c r="I1863" s="273">
        <f>SUMIF('2020'!B:B,B1863,'2020'!C:C)+SUMIF('2021'!B:B,B1863,'2021'!C:C)+SUMIF('2022'!B:B,B1863,'2022'!C:C)</f>
        <v>1374565.04</v>
      </c>
      <c r="J1863" s="59">
        <v>44925</v>
      </c>
      <c r="K1863" s="273" t="s">
        <v>3118</v>
      </c>
    </row>
    <row r="1864" spans="1:11" x14ac:dyDescent="0.3">
      <c r="A1864" s="259">
        <f t="shared" si="67"/>
        <v>1679</v>
      </c>
      <c r="B1864" s="20" t="s">
        <v>1806</v>
      </c>
      <c r="C1864" s="162">
        <v>1970</v>
      </c>
      <c r="D1864" s="234"/>
      <c r="E1864" s="31" t="s">
        <v>3119</v>
      </c>
      <c r="F1864" s="31">
        <v>5</v>
      </c>
      <c r="G1864" s="31">
        <v>2781.9</v>
      </c>
      <c r="H1864" s="173">
        <v>106</v>
      </c>
      <c r="I1864" s="273">
        <f>SUMIF('2020'!B:B,B1864,'2020'!C:C)+SUMIF('2021'!B:B,B1864,'2021'!C:C)+SUMIF('2022'!B:B,B1864,'2022'!C:C)</f>
        <v>173390.64</v>
      </c>
      <c r="J1864" s="59">
        <v>44925</v>
      </c>
      <c r="K1864" s="273" t="s">
        <v>3118</v>
      </c>
    </row>
    <row r="1865" spans="1:11" x14ac:dyDescent="0.3">
      <c r="A1865" s="259">
        <f t="shared" si="67"/>
        <v>1680</v>
      </c>
      <c r="B1865" s="20" t="s">
        <v>1807</v>
      </c>
      <c r="C1865" s="162">
        <v>1966</v>
      </c>
      <c r="D1865" s="234"/>
      <c r="E1865" s="31" t="s">
        <v>3035</v>
      </c>
      <c r="F1865" s="31">
        <v>4</v>
      </c>
      <c r="G1865" s="31">
        <v>1281.9000000000001</v>
      </c>
      <c r="H1865" s="173">
        <v>38</v>
      </c>
      <c r="I1865" s="273">
        <f>SUMIF('2020'!B:B,B1865,'2020'!C:C)+SUMIF('2021'!B:B,B1865,'2021'!C:C)+SUMIF('2022'!B:B,B1865,'2022'!C:C)</f>
        <v>111428.46</v>
      </c>
      <c r="J1865" s="59">
        <v>44925</v>
      </c>
      <c r="K1865" s="273" t="s">
        <v>3118</v>
      </c>
    </row>
    <row r="1866" spans="1:11" x14ac:dyDescent="0.3">
      <c r="A1866" s="259">
        <f t="shared" si="67"/>
        <v>1681</v>
      </c>
      <c r="B1866" s="20" t="s">
        <v>1808</v>
      </c>
      <c r="C1866" s="162">
        <v>1973</v>
      </c>
      <c r="D1866" s="234"/>
      <c r="E1866" s="31" t="s">
        <v>3119</v>
      </c>
      <c r="F1866" s="31">
        <v>5</v>
      </c>
      <c r="G1866" s="31">
        <v>5843</v>
      </c>
      <c r="H1866" s="173">
        <v>229</v>
      </c>
      <c r="I1866" s="273">
        <f>SUMIF('2020'!B:B,B1866,'2020'!C:C)+SUMIF('2021'!B:B,B1866,'2021'!C:C)+SUMIF('2022'!B:B,B1866,'2022'!C:C)</f>
        <v>24753.61</v>
      </c>
      <c r="J1866" s="59">
        <v>44925</v>
      </c>
      <c r="K1866" s="273" t="s">
        <v>3118</v>
      </c>
    </row>
    <row r="1867" spans="1:11" x14ac:dyDescent="0.3">
      <c r="A1867" s="259">
        <f t="shared" si="67"/>
        <v>1682</v>
      </c>
      <c r="B1867" s="20" t="s">
        <v>1809</v>
      </c>
      <c r="C1867" s="162">
        <v>1973</v>
      </c>
      <c r="D1867" s="234"/>
      <c r="E1867" s="31" t="s">
        <v>3035</v>
      </c>
      <c r="F1867" s="31">
        <v>5</v>
      </c>
      <c r="G1867" s="31">
        <v>3157.1</v>
      </c>
      <c r="H1867" s="173">
        <v>129</v>
      </c>
      <c r="I1867" s="273">
        <f>SUMIF('2020'!B:B,B1867,'2020'!C:C)+SUMIF('2021'!B:B,B1867,'2021'!C:C)+SUMIF('2022'!B:B,B1867,'2022'!C:C)</f>
        <v>1310949.82</v>
      </c>
      <c r="J1867" s="59">
        <v>44925</v>
      </c>
      <c r="K1867" s="273" t="s">
        <v>3118</v>
      </c>
    </row>
    <row r="1868" spans="1:11" x14ac:dyDescent="0.3">
      <c r="A1868" s="259">
        <f t="shared" si="67"/>
        <v>1683</v>
      </c>
      <c r="B1868" s="20" t="s">
        <v>1810</v>
      </c>
      <c r="C1868" s="162">
        <v>1980</v>
      </c>
      <c r="D1868" s="234"/>
      <c r="E1868" s="31" t="s">
        <v>3119</v>
      </c>
      <c r="F1868" s="31">
        <v>5</v>
      </c>
      <c r="G1868" s="31">
        <v>3117.7</v>
      </c>
      <c r="H1868" s="173">
        <v>123</v>
      </c>
      <c r="I1868" s="273">
        <f>SUMIF('2020'!B:B,B1868,'2020'!C:C)+SUMIF('2021'!B:B,B1868,'2021'!C:C)+SUMIF('2022'!B:B,B1868,'2022'!C:C)</f>
        <v>16446.46</v>
      </c>
      <c r="J1868" s="59">
        <v>44925</v>
      </c>
      <c r="K1868" s="273" t="s">
        <v>3118</v>
      </c>
    </row>
    <row r="1869" spans="1:11" x14ac:dyDescent="0.3">
      <c r="A1869" s="259">
        <f t="shared" si="67"/>
        <v>1684</v>
      </c>
      <c r="B1869" s="20" t="s">
        <v>1811</v>
      </c>
      <c r="C1869" s="162">
        <v>1968</v>
      </c>
      <c r="D1869" s="234"/>
      <c r="E1869" s="231" t="s">
        <v>3119</v>
      </c>
      <c r="F1869" s="231">
        <v>5</v>
      </c>
      <c r="G1869" s="231">
        <v>3632.1</v>
      </c>
      <c r="H1869" s="232">
        <v>143</v>
      </c>
      <c r="I1869" s="273">
        <f>SUMIF('2020'!B:B,B1869,'2020'!C:C)+SUMIF('2021'!B:B,B1869,'2021'!C:C)+SUMIF('2022'!B:B,B1869,'2022'!C:C)</f>
        <v>191604.82</v>
      </c>
      <c r="J1869" s="59">
        <v>44925</v>
      </c>
      <c r="K1869" s="273" t="s">
        <v>3118</v>
      </c>
    </row>
    <row r="1870" spans="1:11" x14ac:dyDescent="0.3">
      <c r="A1870" s="259">
        <f t="shared" si="67"/>
        <v>1685</v>
      </c>
      <c r="B1870" s="20" t="s">
        <v>1812</v>
      </c>
      <c r="C1870" s="162">
        <v>1970</v>
      </c>
      <c r="D1870" s="234"/>
      <c r="E1870" s="231" t="s">
        <v>3120</v>
      </c>
      <c r="F1870" s="231">
        <v>2</v>
      </c>
      <c r="G1870" s="231">
        <v>687.5</v>
      </c>
      <c r="H1870" s="232">
        <v>40</v>
      </c>
      <c r="I1870" s="273">
        <f>SUMIF('2020'!B:B,B1870,'2020'!C:C)+SUMIF('2021'!B:B,B1870,'2021'!C:C)+SUMIF('2022'!B:B,B1870,'2022'!C:C)</f>
        <v>104941.02</v>
      </c>
      <c r="J1870" s="59">
        <v>44925</v>
      </c>
      <c r="K1870" s="273" t="s">
        <v>3118</v>
      </c>
    </row>
    <row r="1871" spans="1:11" x14ac:dyDescent="0.3">
      <c r="A1871" s="259">
        <f t="shared" si="67"/>
        <v>1686</v>
      </c>
      <c r="B1871" s="20" t="s">
        <v>1813</v>
      </c>
      <c r="C1871" s="162">
        <v>1951</v>
      </c>
      <c r="D1871" s="234"/>
      <c r="E1871" s="231" t="s">
        <v>3121</v>
      </c>
      <c r="F1871" s="231">
        <v>2</v>
      </c>
      <c r="G1871" s="231">
        <v>794.8</v>
      </c>
      <c r="H1871" s="232">
        <v>27</v>
      </c>
      <c r="I1871" s="273">
        <f>SUMIF('2020'!B:B,B1871,'2020'!C:C)+SUMIF('2021'!B:B,B1871,'2021'!C:C)+SUMIF('2022'!B:B,B1871,'2022'!C:C)</f>
        <v>171522</v>
      </c>
      <c r="J1871" s="59">
        <v>44925</v>
      </c>
      <c r="K1871" s="273" t="s">
        <v>3118</v>
      </c>
    </row>
    <row r="1872" spans="1:11" x14ac:dyDescent="0.3">
      <c r="A1872" s="259">
        <f t="shared" si="67"/>
        <v>1687</v>
      </c>
      <c r="B1872" s="20" t="s">
        <v>1814</v>
      </c>
      <c r="C1872" s="162">
        <v>1950</v>
      </c>
      <c r="D1872" s="234"/>
      <c r="E1872" s="231" t="s">
        <v>3121</v>
      </c>
      <c r="F1872" s="231">
        <v>2</v>
      </c>
      <c r="G1872" s="231">
        <v>791.2</v>
      </c>
      <c r="H1872" s="232">
        <v>26</v>
      </c>
      <c r="I1872" s="273">
        <f>SUMIF('2020'!B:B,B1872,'2020'!C:C)+SUMIF('2021'!B:B,B1872,'2021'!C:C)+SUMIF('2022'!B:B,B1872,'2022'!C:C)</f>
        <v>94924.81</v>
      </c>
      <c r="J1872" s="59">
        <v>44925</v>
      </c>
      <c r="K1872" s="273" t="s">
        <v>3118</v>
      </c>
    </row>
    <row r="1873" spans="1:12" x14ac:dyDescent="0.3">
      <c r="A1873" s="259">
        <f t="shared" si="67"/>
        <v>1688</v>
      </c>
      <c r="B1873" s="20" t="s">
        <v>1815</v>
      </c>
      <c r="C1873" s="162">
        <v>1964</v>
      </c>
      <c r="D1873" s="234"/>
      <c r="E1873" s="231" t="s">
        <v>3120</v>
      </c>
      <c r="F1873" s="231">
        <v>2</v>
      </c>
      <c r="G1873" s="231">
        <v>503.7</v>
      </c>
      <c r="H1873" s="232">
        <v>16</v>
      </c>
      <c r="I1873" s="273">
        <f>SUMIF('2020'!B:B,B1873,'2020'!C:C)+SUMIF('2021'!B:B,B1873,'2021'!C:C)+SUMIF('2022'!B:B,B1873,'2022'!C:C)</f>
        <v>1475141</v>
      </c>
      <c r="J1873" s="59">
        <v>44925</v>
      </c>
      <c r="K1873" s="273" t="s">
        <v>3118</v>
      </c>
    </row>
    <row r="1874" spans="1:12" x14ac:dyDescent="0.3">
      <c r="A1874" s="259">
        <f t="shared" si="67"/>
        <v>1689</v>
      </c>
      <c r="B1874" s="20" t="s">
        <v>1816</v>
      </c>
      <c r="C1874" s="162">
        <v>1955</v>
      </c>
      <c r="D1874" s="234"/>
      <c r="E1874" s="231" t="s">
        <v>3121</v>
      </c>
      <c r="F1874" s="231">
        <v>2</v>
      </c>
      <c r="G1874" s="231">
        <v>771.5</v>
      </c>
      <c r="H1874" s="232">
        <v>33</v>
      </c>
      <c r="I1874" s="273">
        <f>SUMIF('2020'!B:B,B1874,'2020'!C:C)+SUMIF('2021'!B:B,B1874,'2021'!C:C)+SUMIF('2022'!B:B,B1874,'2022'!C:C)</f>
        <v>1173827</v>
      </c>
      <c r="J1874" s="59">
        <v>44925</v>
      </c>
      <c r="K1874" s="273" t="s">
        <v>3118</v>
      </c>
    </row>
    <row r="1875" spans="1:12" x14ac:dyDescent="0.3">
      <c r="A1875" s="259">
        <f t="shared" si="67"/>
        <v>1690</v>
      </c>
      <c r="B1875" s="20" t="s">
        <v>1817</v>
      </c>
      <c r="C1875" s="162">
        <v>1962</v>
      </c>
      <c r="D1875" s="234"/>
      <c r="E1875" s="231" t="s">
        <v>3035</v>
      </c>
      <c r="F1875" s="231">
        <v>3</v>
      </c>
      <c r="G1875" s="231">
        <v>556.29999999999995</v>
      </c>
      <c r="H1875" s="232">
        <v>20</v>
      </c>
      <c r="I1875" s="273">
        <f>SUMIF('2020'!B:B,B1875,'2020'!C:C)+SUMIF('2021'!B:B,B1875,'2021'!C:C)+SUMIF('2022'!B:B,B1875,'2022'!C:C)</f>
        <v>94010.559999999998</v>
      </c>
      <c r="J1875" s="59">
        <v>44925</v>
      </c>
      <c r="K1875" s="273" t="s">
        <v>3118</v>
      </c>
    </row>
    <row r="1876" spans="1:12" x14ac:dyDescent="0.3">
      <c r="A1876" s="259">
        <f t="shared" si="67"/>
        <v>1691</v>
      </c>
      <c r="B1876" s="20" t="s">
        <v>1818</v>
      </c>
      <c r="C1876" s="162">
        <v>1960</v>
      </c>
      <c r="D1876" s="234"/>
      <c r="E1876" s="231" t="s">
        <v>3035</v>
      </c>
      <c r="F1876" s="231">
        <v>2</v>
      </c>
      <c r="G1876" s="231">
        <v>666.2</v>
      </c>
      <c r="H1876" s="232">
        <v>34</v>
      </c>
      <c r="I1876" s="273">
        <f>SUMIF('2020'!B:B,B1876,'2020'!C:C)+SUMIF('2021'!B:B,B1876,'2021'!C:C)+SUMIF('2022'!B:B,B1876,'2022'!C:C)</f>
        <v>103097.3</v>
      </c>
      <c r="J1876" s="59">
        <v>44925</v>
      </c>
      <c r="K1876" s="273" t="s">
        <v>3118</v>
      </c>
    </row>
    <row r="1877" spans="1:12" x14ac:dyDescent="0.3">
      <c r="A1877" s="259">
        <f t="shared" si="67"/>
        <v>1692</v>
      </c>
      <c r="B1877" s="20" t="s">
        <v>1819</v>
      </c>
      <c r="C1877" s="162">
        <v>1965</v>
      </c>
      <c r="D1877" s="234"/>
      <c r="E1877" s="31" t="s">
        <v>3035</v>
      </c>
      <c r="F1877" s="31">
        <v>4</v>
      </c>
      <c r="G1877" s="31">
        <v>2005.4</v>
      </c>
      <c r="H1877" s="173">
        <v>83</v>
      </c>
      <c r="I1877" s="273">
        <f>SUMIF('2020'!B:B,B1877,'2020'!C:C)+SUMIF('2021'!B:B,B1877,'2021'!C:C)+SUMIF('2022'!B:B,B1877,'2022'!C:C)</f>
        <v>127587.1</v>
      </c>
      <c r="J1877" s="59">
        <v>44925</v>
      </c>
      <c r="K1877" s="273" t="s">
        <v>3118</v>
      </c>
    </row>
    <row r="1878" spans="1:12" x14ac:dyDescent="0.3">
      <c r="A1878" s="259">
        <f t="shared" si="67"/>
        <v>1693</v>
      </c>
      <c r="B1878" s="20" t="s">
        <v>1820</v>
      </c>
      <c r="C1878" s="162">
        <v>1960</v>
      </c>
      <c r="D1878" s="234"/>
      <c r="E1878" s="231" t="s">
        <v>3121</v>
      </c>
      <c r="F1878" s="231">
        <v>2</v>
      </c>
      <c r="G1878" s="231">
        <v>617.29999999999995</v>
      </c>
      <c r="H1878" s="232">
        <v>28</v>
      </c>
      <c r="I1878" s="273">
        <f>SUMIF('2020'!B:B,B1878,'2020'!C:C)+SUMIF('2021'!B:B,B1878,'2021'!C:C)+SUMIF('2022'!B:B,B1878,'2022'!C:C)</f>
        <v>503214.01</v>
      </c>
      <c r="J1878" s="59">
        <v>44925</v>
      </c>
      <c r="K1878" s="273" t="s">
        <v>3118</v>
      </c>
    </row>
    <row r="1879" spans="1:12" x14ac:dyDescent="0.3">
      <c r="A1879" s="259">
        <f t="shared" si="67"/>
        <v>1694</v>
      </c>
      <c r="B1879" s="20" t="s">
        <v>1821</v>
      </c>
      <c r="C1879" s="162">
        <v>1963</v>
      </c>
      <c r="D1879" s="234"/>
      <c r="E1879" s="231" t="s">
        <v>3035</v>
      </c>
      <c r="F1879" s="31">
        <v>4</v>
      </c>
      <c r="G1879" s="231">
        <v>2021.8</v>
      </c>
      <c r="H1879" s="232">
        <v>79</v>
      </c>
      <c r="I1879" s="273">
        <f>SUMIF('2020'!B:B,B1879,'2020'!C:C)+SUMIF('2021'!B:B,B1879,'2021'!C:C)+SUMIF('2022'!B:B,B1879,'2022'!C:C)</f>
        <v>136199.23000000001</v>
      </c>
      <c r="J1879" s="59">
        <v>44925</v>
      </c>
      <c r="K1879" s="273" t="s">
        <v>3118</v>
      </c>
    </row>
    <row r="1880" spans="1:12" x14ac:dyDescent="0.3">
      <c r="A1880" s="259">
        <f t="shared" si="67"/>
        <v>1695</v>
      </c>
      <c r="B1880" s="20" t="s">
        <v>1822</v>
      </c>
      <c r="C1880" s="162">
        <v>1959</v>
      </c>
      <c r="D1880" s="234"/>
      <c r="E1880" s="231" t="s">
        <v>3121</v>
      </c>
      <c r="F1880" s="231">
        <v>2</v>
      </c>
      <c r="G1880" s="231">
        <v>691.1</v>
      </c>
      <c r="H1880" s="232">
        <v>28</v>
      </c>
      <c r="I1880" s="273">
        <f>SUMIF('2020'!B:B,B1880,'2020'!C:C)+SUMIF('2021'!B:B,B1880,'2021'!C:C)+SUMIF('2022'!B:B,B1880,'2022'!C:C)</f>
        <v>646662.42999999993</v>
      </c>
      <c r="J1880" s="59">
        <v>44925</v>
      </c>
      <c r="K1880" s="273" t="s">
        <v>3118</v>
      </c>
    </row>
    <row r="1881" spans="1:12" x14ac:dyDescent="0.3">
      <c r="A1881" s="259">
        <f t="shared" si="67"/>
        <v>1696</v>
      </c>
      <c r="B1881" s="20" t="s">
        <v>1823</v>
      </c>
      <c r="C1881" s="162">
        <v>1969</v>
      </c>
      <c r="D1881" s="234"/>
      <c r="E1881" s="31" t="s">
        <v>3035</v>
      </c>
      <c r="F1881" s="231">
        <v>2</v>
      </c>
      <c r="G1881" s="31">
        <v>941.8</v>
      </c>
      <c r="H1881" s="173">
        <v>38</v>
      </c>
      <c r="I1881" s="273">
        <f>SUMIF('2020'!B:B,B1881,'2020'!C:C)+SUMIF('2021'!B:B,B1881,'2021'!C:C)+SUMIF('2022'!B:B,B1881,'2022'!C:C)</f>
        <v>127431.91</v>
      </c>
      <c r="J1881" s="59">
        <v>44925</v>
      </c>
      <c r="K1881" s="273" t="s">
        <v>3118</v>
      </c>
    </row>
    <row r="1882" spans="1:12" x14ac:dyDescent="0.3">
      <c r="A1882" s="259">
        <f t="shared" si="67"/>
        <v>1697</v>
      </c>
      <c r="B1882" s="20" t="s">
        <v>1824</v>
      </c>
      <c r="C1882" s="162">
        <v>1987</v>
      </c>
      <c r="D1882" s="234"/>
      <c r="E1882" s="31" t="s">
        <v>3035</v>
      </c>
      <c r="F1882" s="231">
        <v>2</v>
      </c>
      <c r="G1882" s="231">
        <v>746.7</v>
      </c>
      <c r="H1882" s="232">
        <v>32</v>
      </c>
      <c r="I1882" s="273">
        <f>SUMIF('2020'!B:B,B1882,'2020'!C:C)+SUMIF('2021'!B:B,B1882,'2021'!C:C)+SUMIF('2022'!B:B,B1882,'2022'!C:C)</f>
        <v>11392623</v>
      </c>
      <c r="J1882" s="59">
        <v>44925</v>
      </c>
      <c r="K1882" s="273" t="s">
        <v>3118</v>
      </c>
    </row>
    <row r="1883" spans="1:12" x14ac:dyDescent="0.3">
      <c r="A1883" s="259">
        <f t="shared" si="67"/>
        <v>1698</v>
      </c>
      <c r="B1883" s="20" t="s">
        <v>1825</v>
      </c>
      <c r="C1883" s="162">
        <v>1984</v>
      </c>
      <c r="D1883" s="234"/>
      <c r="E1883" s="31" t="s">
        <v>3035</v>
      </c>
      <c r="F1883" s="31">
        <v>3</v>
      </c>
      <c r="G1883" s="231">
        <v>1318</v>
      </c>
      <c r="H1883" s="232">
        <v>63</v>
      </c>
      <c r="I1883" s="273">
        <f>SUMIF('2020'!B:B,B1883,'2020'!C:C)+SUMIF('2021'!B:B,B1883,'2021'!C:C)+SUMIF('2022'!B:B,B1883,'2022'!C:C)</f>
        <v>16293042</v>
      </c>
      <c r="J1883" s="59">
        <v>44925</v>
      </c>
      <c r="K1883" s="273" t="s">
        <v>3118</v>
      </c>
    </row>
    <row r="1884" spans="1:12" x14ac:dyDescent="0.3">
      <c r="A1884" s="259"/>
      <c r="B1884" s="20" t="s">
        <v>208</v>
      </c>
      <c r="C1884" s="273" t="s">
        <v>3558</v>
      </c>
      <c r="D1884" s="273" t="s">
        <v>3558</v>
      </c>
      <c r="E1884" s="273" t="s">
        <v>3558</v>
      </c>
      <c r="F1884" s="273" t="s">
        <v>3558</v>
      </c>
      <c r="G1884" s="273">
        <f>SUM(G1841:G1883)</f>
        <v>56693.1</v>
      </c>
      <c r="H1884" s="10">
        <f>SUM(H1841:H1883)</f>
        <v>2346</v>
      </c>
      <c r="I1884" s="273">
        <f>SUM(I1841:I1883)</f>
        <v>107409314.8</v>
      </c>
      <c r="J1884" s="273" t="s">
        <v>3558</v>
      </c>
      <c r="K1884" s="273" t="s">
        <v>3558</v>
      </c>
      <c r="L1884" s="197">
        <f>I1884-'2020'!C426-'2021'!C1412-'2022'!C550</f>
        <v>0</v>
      </c>
    </row>
    <row r="1885" spans="1:12" x14ac:dyDescent="0.3">
      <c r="A1885" s="291" t="s">
        <v>1826</v>
      </c>
      <c r="B1885" s="291"/>
      <c r="C1885" s="256"/>
      <c r="D1885" s="273"/>
      <c r="E1885" s="273"/>
      <c r="F1885" s="273"/>
      <c r="G1885" s="273"/>
      <c r="H1885" s="10"/>
      <c r="I1885" s="273"/>
      <c r="J1885" s="273"/>
      <c r="K1885" s="273"/>
    </row>
    <row r="1886" spans="1:12" x14ac:dyDescent="0.3">
      <c r="A1886" s="259">
        <f>A1883+1</f>
        <v>1699</v>
      </c>
      <c r="B1886" s="20" t="s">
        <v>1827</v>
      </c>
      <c r="C1886" s="5">
        <v>1958</v>
      </c>
      <c r="D1886" s="234"/>
      <c r="E1886" s="56" t="s">
        <v>3123</v>
      </c>
      <c r="F1886" s="50">
        <v>2</v>
      </c>
      <c r="G1886" s="273">
        <v>832</v>
      </c>
      <c r="H1886" s="10"/>
      <c r="I1886" s="273">
        <f>SUMIF('2020'!B:B,B1886,'2020'!C:C)+SUMIF('2021'!B:B,B1886,'2021'!C:C)+SUMIF('2022'!B:B,B1886,'2022'!C:C)</f>
        <v>393267</v>
      </c>
      <c r="J1886" s="59">
        <v>44925</v>
      </c>
      <c r="K1886" s="273" t="s">
        <v>3118</v>
      </c>
    </row>
    <row r="1887" spans="1:12" x14ac:dyDescent="0.3">
      <c r="A1887" s="259">
        <f>A1886+1</f>
        <v>1700</v>
      </c>
      <c r="B1887" s="20" t="s">
        <v>1828</v>
      </c>
      <c r="C1887" s="5">
        <v>1948</v>
      </c>
      <c r="D1887" s="234"/>
      <c r="E1887" s="56" t="s">
        <v>3123</v>
      </c>
      <c r="F1887" s="50">
        <v>2</v>
      </c>
      <c r="G1887" s="273">
        <v>1147</v>
      </c>
      <c r="H1887" s="10">
        <v>46</v>
      </c>
      <c r="I1887" s="273">
        <f>SUMIF('2020'!B:B,B1887,'2020'!C:C)+SUMIF('2021'!B:B,B1887,'2021'!C:C)+SUMIF('2022'!B:B,B1887,'2022'!C:C)</f>
        <v>130000</v>
      </c>
      <c r="J1887" s="59">
        <v>44925</v>
      </c>
      <c r="K1887" s="273" t="s">
        <v>3118</v>
      </c>
    </row>
    <row r="1888" spans="1:12" x14ac:dyDescent="0.3">
      <c r="A1888" s="259">
        <f>A1887+1</f>
        <v>1701</v>
      </c>
      <c r="B1888" s="124" t="s">
        <v>3547</v>
      </c>
      <c r="C1888" s="5">
        <v>1981</v>
      </c>
      <c r="D1888" s="234"/>
      <c r="E1888" s="56" t="s">
        <v>3123</v>
      </c>
      <c r="F1888" s="50">
        <v>5</v>
      </c>
      <c r="G1888" s="273">
        <v>4921.3900000000003</v>
      </c>
      <c r="H1888" s="10">
        <v>234</v>
      </c>
      <c r="I1888" s="273">
        <f>SUMIF('2020'!B:B,B1888,'2020'!C:C)+SUMIF('2021'!B:B,B1888,'2021'!C:C)+SUMIF('2022'!B:B,B1888,'2022'!C:C)</f>
        <v>2824308.9</v>
      </c>
      <c r="J1888" s="59">
        <v>44925</v>
      </c>
      <c r="K1888" s="273" t="s">
        <v>3118</v>
      </c>
    </row>
    <row r="1889" spans="1:12" x14ac:dyDescent="0.3">
      <c r="A1889" s="259">
        <f>A1888+1</f>
        <v>1702</v>
      </c>
      <c r="B1889" s="124" t="s">
        <v>3548</v>
      </c>
      <c r="C1889" s="5">
        <v>1957</v>
      </c>
      <c r="D1889" s="234"/>
      <c r="E1889" s="56" t="s">
        <v>3123</v>
      </c>
      <c r="F1889" s="50">
        <v>2</v>
      </c>
      <c r="G1889" s="273">
        <v>1557.14</v>
      </c>
      <c r="H1889" s="10">
        <v>18</v>
      </c>
      <c r="I1889" s="273">
        <f>SUMIF('2020'!B:B,B1889,'2020'!C:C)+SUMIF('2021'!B:B,B1889,'2021'!C:C)+SUMIF('2022'!B:B,B1889,'2022'!C:C)</f>
        <v>810707.2</v>
      </c>
      <c r="J1889" s="59">
        <v>44925</v>
      </c>
      <c r="K1889" s="273" t="s">
        <v>3118</v>
      </c>
    </row>
    <row r="1890" spans="1:12" x14ac:dyDescent="0.3">
      <c r="A1890" s="259"/>
      <c r="B1890" s="20" t="s">
        <v>208</v>
      </c>
      <c r="C1890" s="273" t="s">
        <v>3558</v>
      </c>
      <c r="D1890" s="273" t="s">
        <v>3558</v>
      </c>
      <c r="E1890" s="273" t="s">
        <v>3558</v>
      </c>
      <c r="F1890" s="273" t="s">
        <v>3558</v>
      </c>
      <c r="G1890" s="10">
        <f>SUM(G1886:G1889)</f>
        <v>8457.5300000000007</v>
      </c>
      <c r="H1890" s="10">
        <f>SUM(H1886:H1889)</f>
        <v>298</v>
      </c>
      <c r="I1890" s="273">
        <f>SUM(I1886:I1889)</f>
        <v>4158283.0999999996</v>
      </c>
      <c r="J1890" s="273" t="s">
        <v>3558</v>
      </c>
      <c r="K1890" s="273" t="s">
        <v>3558</v>
      </c>
      <c r="L1890" s="197" t="e">
        <f>#REF!-'2020'!C430-'2021'!C1416</f>
        <v>#REF!</v>
      </c>
    </row>
    <row r="1891" spans="1:12" x14ac:dyDescent="0.3">
      <c r="A1891" s="291" t="s">
        <v>1829</v>
      </c>
      <c r="B1891" s="291"/>
      <c r="C1891" s="273"/>
      <c r="D1891" s="234"/>
      <c r="E1891" s="251"/>
      <c r="F1891" s="251"/>
      <c r="G1891" s="251"/>
      <c r="H1891" s="132"/>
      <c r="I1891" s="251"/>
      <c r="J1891" s="251"/>
      <c r="K1891" s="251"/>
    </row>
    <row r="1892" spans="1:12" x14ac:dyDescent="0.3">
      <c r="A1892" s="259">
        <f>A1889+1</f>
        <v>1703</v>
      </c>
      <c r="B1892" s="20" t="s">
        <v>1830</v>
      </c>
      <c r="C1892" s="162">
        <v>1960</v>
      </c>
      <c r="D1892" s="234"/>
      <c r="E1892" s="273" t="s">
        <v>3586</v>
      </c>
      <c r="F1892" s="50">
        <v>4</v>
      </c>
      <c r="G1892" s="273">
        <v>2026.35</v>
      </c>
      <c r="H1892" s="10">
        <v>84</v>
      </c>
      <c r="I1892" s="273">
        <f>SUMIF('2020'!B:B,B1892,'2020'!C:C)+SUMIF('2021'!B:B,B1892,'2021'!C:C)+SUMIF('2022'!B:B,B1892,'2022'!C:C)</f>
        <v>23268306.080000002</v>
      </c>
      <c r="J1892" s="59">
        <v>44925</v>
      </c>
      <c r="K1892" s="273" t="s">
        <v>3118</v>
      </c>
    </row>
    <row r="1893" spans="1:12" x14ac:dyDescent="0.3">
      <c r="A1893" s="259">
        <f>A1892+1</f>
        <v>1704</v>
      </c>
      <c r="B1893" s="20" t="s">
        <v>1831</v>
      </c>
      <c r="C1893" s="162">
        <v>1987</v>
      </c>
      <c r="D1893" s="234"/>
      <c r="E1893" s="273" t="s">
        <v>3123</v>
      </c>
      <c r="F1893" s="50">
        <v>5</v>
      </c>
      <c r="G1893" s="273">
        <v>6365.97</v>
      </c>
      <c r="H1893" s="10">
        <v>305</v>
      </c>
      <c r="I1893" s="273">
        <f>SUMIF('2020'!B:B,B1893,'2020'!C:C)+SUMIF('2021'!B:B,B1893,'2021'!C:C)+SUMIF('2022'!B:B,B1893,'2022'!C:C)</f>
        <v>13063831.879999999</v>
      </c>
      <c r="J1893" s="59">
        <v>44925</v>
      </c>
      <c r="K1893" s="273" t="s">
        <v>3118</v>
      </c>
    </row>
    <row r="1894" spans="1:12" x14ac:dyDescent="0.3">
      <c r="A1894" s="259"/>
      <c r="B1894" s="20" t="s">
        <v>208</v>
      </c>
      <c r="C1894" s="273" t="s">
        <v>3558</v>
      </c>
      <c r="D1894" s="273" t="s">
        <v>3558</v>
      </c>
      <c r="E1894" s="273" t="s">
        <v>3558</v>
      </c>
      <c r="F1894" s="273" t="s">
        <v>3558</v>
      </c>
      <c r="G1894" s="273">
        <f>SUM(G1892:G1893)</f>
        <v>8392.32</v>
      </c>
      <c r="H1894" s="10">
        <f>SUM(H1892:H1893)</f>
        <v>389</v>
      </c>
      <c r="I1894" s="273">
        <f>SUM(I1892:I1893)</f>
        <v>36332137.960000001</v>
      </c>
      <c r="J1894" s="273" t="s">
        <v>3558</v>
      </c>
      <c r="K1894" s="273" t="s">
        <v>3558</v>
      </c>
      <c r="L1894" s="197" t="e">
        <f>#REF!-'2020'!C434-'2022'!C554</f>
        <v>#REF!</v>
      </c>
    </row>
    <row r="1895" spans="1:12" x14ac:dyDescent="0.3">
      <c r="A1895" s="291" t="s">
        <v>1832</v>
      </c>
      <c r="B1895" s="291"/>
      <c r="C1895" s="273"/>
      <c r="D1895" s="234"/>
      <c r="E1895" s="251"/>
      <c r="F1895" s="251"/>
      <c r="G1895" s="251"/>
      <c r="H1895" s="132"/>
      <c r="I1895" s="251"/>
      <c r="J1895" s="251"/>
      <c r="K1895" s="251"/>
    </row>
    <row r="1896" spans="1:12" x14ac:dyDescent="0.3">
      <c r="A1896" s="259">
        <f>A1893+1</f>
        <v>1705</v>
      </c>
      <c r="B1896" s="20" t="s">
        <v>1833</v>
      </c>
      <c r="C1896" s="162">
        <v>1977</v>
      </c>
      <c r="D1896" s="234"/>
      <c r="E1896" s="273"/>
      <c r="F1896" s="50">
        <v>5</v>
      </c>
      <c r="G1896" s="273">
        <v>3295.5</v>
      </c>
      <c r="H1896" s="10">
        <v>180</v>
      </c>
      <c r="I1896" s="273">
        <f>SUMIF('2020'!B:B,B1896,'2020'!C:C)+SUMIF('2021'!B:B,B1896,'2021'!C:C)+SUMIF('2022'!B:B,B1896,'2022'!C:C)</f>
        <v>359021.71</v>
      </c>
      <c r="J1896" s="59">
        <v>44925</v>
      </c>
      <c r="K1896" s="273" t="s">
        <v>3118</v>
      </c>
    </row>
    <row r="1897" spans="1:12" x14ac:dyDescent="0.3">
      <c r="A1897" s="259">
        <f>A1896+1</f>
        <v>1706</v>
      </c>
      <c r="B1897" s="20" t="s">
        <v>1834</v>
      </c>
      <c r="C1897" s="162">
        <v>1977</v>
      </c>
      <c r="D1897" s="234"/>
      <c r="E1897" s="273"/>
      <c r="F1897" s="50">
        <v>5</v>
      </c>
      <c r="G1897" s="273">
        <v>3317.1</v>
      </c>
      <c r="H1897" s="10">
        <v>192</v>
      </c>
      <c r="I1897" s="273">
        <f>SUMIF('2020'!B:B,B1897,'2020'!C:C)+SUMIF('2021'!B:B,B1897,'2021'!C:C)+SUMIF('2022'!B:B,B1897,'2022'!C:C)</f>
        <v>360910.52</v>
      </c>
      <c r="J1897" s="59">
        <v>44925</v>
      </c>
      <c r="K1897" s="273" t="s">
        <v>3118</v>
      </c>
    </row>
    <row r="1898" spans="1:12" x14ac:dyDescent="0.3">
      <c r="A1898" s="259"/>
      <c r="B1898" s="20" t="s">
        <v>208</v>
      </c>
      <c r="C1898" s="273" t="s">
        <v>3558</v>
      </c>
      <c r="D1898" s="273" t="s">
        <v>3558</v>
      </c>
      <c r="E1898" s="273" t="s">
        <v>3558</v>
      </c>
      <c r="F1898" s="273" t="s">
        <v>3558</v>
      </c>
      <c r="G1898" s="273">
        <f>SUM(G1896:G1897)</f>
        <v>6612.6</v>
      </c>
      <c r="H1898" s="10">
        <f>SUM(H1896:H1897)</f>
        <v>372</v>
      </c>
      <c r="I1898" s="273">
        <f>SUM(I1896:I1897)</f>
        <v>719932.23</v>
      </c>
      <c r="J1898" s="273" t="s">
        <v>3558</v>
      </c>
      <c r="K1898" s="273" t="s">
        <v>3558</v>
      </c>
      <c r="L1898" s="197" t="e">
        <f>#REF!-'2022'!C558</f>
        <v>#REF!</v>
      </c>
    </row>
    <row r="1899" spans="1:12" x14ac:dyDescent="0.3">
      <c r="A1899" s="291" t="s">
        <v>1835</v>
      </c>
      <c r="B1899" s="291"/>
      <c r="C1899" s="273"/>
      <c r="D1899" s="234"/>
      <c r="E1899" s="251"/>
      <c r="F1899" s="251"/>
      <c r="G1899" s="251"/>
      <c r="H1899" s="132"/>
      <c r="I1899" s="251"/>
      <c r="J1899" s="251"/>
      <c r="K1899" s="251"/>
    </row>
    <row r="1900" spans="1:12" x14ac:dyDescent="0.3">
      <c r="A1900" s="259">
        <f>A1897+1</f>
        <v>1707</v>
      </c>
      <c r="B1900" s="20" t="s">
        <v>1836</v>
      </c>
      <c r="C1900" s="162">
        <v>1968</v>
      </c>
      <c r="D1900" s="234"/>
      <c r="E1900" s="273" t="s">
        <v>3123</v>
      </c>
      <c r="F1900" s="50">
        <v>2</v>
      </c>
      <c r="G1900" s="273">
        <v>531.4</v>
      </c>
      <c r="H1900" s="10">
        <v>33</v>
      </c>
      <c r="I1900" s="273">
        <f>SUMIF('2020'!B:B,B1900,'2020'!C:C)+SUMIF('2021'!B:B,B1900,'2021'!C:C)+SUMIF('2022'!B:B,B1900,'2022'!C:C)</f>
        <v>7337794.4000000004</v>
      </c>
      <c r="J1900" s="59">
        <v>44925</v>
      </c>
      <c r="K1900" s="273" t="s">
        <v>3118</v>
      </c>
    </row>
    <row r="1901" spans="1:12" x14ac:dyDescent="0.3">
      <c r="A1901" s="259">
        <f>A1900+1</f>
        <v>1708</v>
      </c>
      <c r="B1901" s="20" t="s">
        <v>1838</v>
      </c>
      <c r="C1901" s="162">
        <v>1971</v>
      </c>
      <c r="D1901" s="234"/>
      <c r="E1901" s="273" t="s">
        <v>3123</v>
      </c>
      <c r="F1901" s="50">
        <v>2</v>
      </c>
      <c r="G1901" s="273">
        <v>531.1</v>
      </c>
      <c r="H1901" s="10">
        <v>31</v>
      </c>
      <c r="I1901" s="273">
        <f>SUMIF('2020'!B:B,B1901,'2020'!C:C)+SUMIF('2021'!B:B,B1901,'2021'!C:C)+SUMIF('2022'!B:B,B1901,'2022'!C:C)</f>
        <v>7337794.4000000004</v>
      </c>
      <c r="J1901" s="59">
        <v>44925</v>
      </c>
      <c r="K1901" s="273" t="s">
        <v>3118</v>
      </c>
    </row>
    <row r="1902" spans="1:12" x14ac:dyDescent="0.3">
      <c r="A1902" s="259">
        <f>A1901+1</f>
        <v>1709</v>
      </c>
      <c r="B1902" s="20" t="s">
        <v>1839</v>
      </c>
      <c r="C1902" s="162">
        <v>1968</v>
      </c>
      <c r="D1902" s="234"/>
      <c r="E1902" s="273" t="s">
        <v>3123</v>
      </c>
      <c r="F1902" s="50">
        <v>2</v>
      </c>
      <c r="G1902" s="273">
        <v>525.4</v>
      </c>
      <c r="H1902" s="10">
        <v>39</v>
      </c>
      <c r="I1902" s="273">
        <f>SUMIF('2020'!B:B,B1902,'2020'!C:C)+SUMIF('2021'!B:B,B1902,'2021'!C:C)+SUMIF('2022'!B:B,B1902,'2022'!C:C)</f>
        <v>7337794.4000000004</v>
      </c>
      <c r="J1902" s="59">
        <v>44925</v>
      </c>
      <c r="K1902" s="273" t="s">
        <v>3118</v>
      </c>
    </row>
    <row r="1903" spans="1:12" x14ac:dyDescent="0.3">
      <c r="A1903" s="259">
        <f>A1902+1</f>
        <v>1710</v>
      </c>
      <c r="B1903" s="20" t="s">
        <v>1840</v>
      </c>
      <c r="C1903" s="162">
        <v>1976</v>
      </c>
      <c r="D1903" s="234"/>
      <c r="E1903" s="273" t="s">
        <v>3123</v>
      </c>
      <c r="F1903" s="50">
        <v>4</v>
      </c>
      <c r="G1903" s="273">
        <v>3606.9</v>
      </c>
      <c r="H1903" s="10">
        <v>136</v>
      </c>
      <c r="I1903" s="273">
        <f>SUMIF('2020'!B:B,B1903,'2020'!C:C)+SUMIF('2021'!B:B,B1903,'2021'!C:C)+SUMIF('2022'!B:B,B1903,'2022'!C:C)</f>
        <v>7506526.2799999993</v>
      </c>
      <c r="J1903" s="59">
        <v>44925</v>
      </c>
      <c r="K1903" s="273" t="s">
        <v>3118</v>
      </c>
    </row>
    <row r="1904" spans="1:12" x14ac:dyDescent="0.3">
      <c r="A1904" s="259">
        <f>A1903+1</f>
        <v>1711</v>
      </c>
      <c r="B1904" s="20" t="s">
        <v>1841</v>
      </c>
      <c r="C1904" s="162">
        <v>1976</v>
      </c>
      <c r="D1904" s="234"/>
      <c r="E1904" s="273" t="s">
        <v>3123</v>
      </c>
      <c r="F1904" s="50">
        <v>4</v>
      </c>
      <c r="G1904" s="273">
        <v>3463.8</v>
      </c>
      <c r="H1904" s="10">
        <v>172</v>
      </c>
      <c r="I1904" s="273">
        <f>SUMIF('2020'!B:B,B1904,'2020'!C:C)+SUMIF('2021'!B:B,B1904,'2021'!C:C)+SUMIF('2022'!B:B,B1904,'2022'!C:C)</f>
        <v>6685671.29</v>
      </c>
      <c r="J1904" s="59">
        <v>44925</v>
      </c>
      <c r="K1904" s="273" t="s">
        <v>3118</v>
      </c>
    </row>
    <row r="1905" spans="1:12" x14ac:dyDescent="0.3">
      <c r="A1905" s="259"/>
      <c r="B1905" s="20" t="s">
        <v>208</v>
      </c>
      <c r="C1905" s="273" t="s">
        <v>3558</v>
      </c>
      <c r="D1905" s="273" t="s">
        <v>3558</v>
      </c>
      <c r="E1905" s="273" t="s">
        <v>3558</v>
      </c>
      <c r="F1905" s="273" t="s">
        <v>3558</v>
      </c>
      <c r="G1905" s="273">
        <f>SUM(G1900:G1904)</f>
        <v>8658.6</v>
      </c>
      <c r="H1905" s="10">
        <f>SUM(H1900:H1904)</f>
        <v>411</v>
      </c>
      <c r="I1905" s="273">
        <f>SUM(I1900:I1904)</f>
        <v>36205580.770000003</v>
      </c>
      <c r="J1905" s="273" t="s">
        <v>3558</v>
      </c>
      <c r="K1905" s="273" t="s">
        <v>3558</v>
      </c>
      <c r="L1905" s="197">
        <f>I1905-'2020'!C441-'2021'!C1421-'2022'!C563</f>
        <v>3.6088749766349792E-9</v>
      </c>
    </row>
    <row r="1906" spans="1:12" x14ac:dyDescent="0.3">
      <c r="A1906" s="291" t="s">
        <v>1842</v>
      </c>
      <c r="B1906" s="291"/>
      <c r="C1906" s="273"/>
      <c r="D1906" s="234"/>
      <c r="E1906" s="251"/>
      <c r="F1906" s="251"/>
      <c r="G1906" s="251"/>
      <c r="H1906" s="132"/>
      <c r="I1906" s="251"/>
      <c r="J1906" s="251"/>
      <c r="K1906" s="251"/>
    </row>
    <row r="1907" spans="1:12" x14ac:dyDescent="0.3">
      <c r="A1907" s="259">
        <f>A1904+1</f>
        <v>1712</v>
      </c>
      <c r="B1907" s="20" t="s">
        <v>1843</v>
      </c>
      <c r="C1907" s="162">
        <v>1950</v>
      </c>
      <c r="D1907" s="234"/>
      <c r="E1907" s="273" t="s">
        <v>3121</v>
      </c>
      <c r="F1907" s="50">
        <v>2</v>
      </c>
      <c r="G1907" s="273">
        <v>683.5</v>
      </c>
      <c r="H1907" s="10">
        <v>34</v>
      </c>
      <c r="I1907" s="273">
        <f>SUMIF('2020'!B:B,B1907,'2020'!C:C)+SUMIF('2021'!B:B,B1907,'2021'!C:C)+SUMIF('2022'!B:B,B1907,'2022'!C:C)</f>
        <v>130000</v>
      </c>
      <c r="J1907" s="59">
        <v>44925</v>
      </c>
      <c r="K1907" s="273" t="s">
        <v>3118</v>
      </c>
    </row>
    <row r="1908" spans="1:12" x14ac:dyDescent="0.3">
      <c r="A1908" s="259">
        <f t="shared" ref="A1908:A1916" si="68">A1907+1</f>
        <v>1713</v>
      </c>
      <c r="B1908" s="20" t="s">
        <v>1844</v>
      </c>
      <c r="C1908" s="162">
        <v>1950</v>
      </c>
      <c r="D1908" s="234"/>
      <c r="E1908" s="273" t="s">
        <v>3121</v>
      </c>
      <c r="F1908" s="50">
        <v>2</v>
      </c>
      <c r="G1908" s="273">
        <v>695.3</v>
      </c>
      <c r="H1908" s="10">
        <v>38</v>
      </c>
      <c r="I1908" s="273">
        <f>SUMIF('2020'!B:B,B1908,'2020'!C:C)+SUMIF('2021'!B:B,B1908,'2021'!C:C)+SUMIF('2022'!B:B,B1908,'2022'!C:C)</f>
        <v>280506.64</v>
      </c>
      <c r="J1908" s="59">
        <v>44925</v>
      </c>
      <c r="K1908" s="273" t="s">
        <v>3118</v>
      </c>
    </row>
    <row r="1909" spans="1:12" x14ac:dyDescent="0.3">
      <c r="A1909" s="259">
        <f t="shared" si="68"/>
        <v>1714</v>
      </c>
      <c r="B1909" s="20" t="s">
        <v>1845</v>
      </c>
      <c r="C1909" s="162">
        <v>1950</v>
      </c>
      <c r="D1909" s="234"/>
      <c r="E1909" s="273" t="s">
        <v>3121</v>
      </c>
      <c r="F1909" s="50">
        <v>2</v>
      </c>
      <c r="G1909" s="273">
        <v>703.9</v>
      </c>
      <c r="H1909" s="10">
        <v>36</v>
      </c>
      <c r="I1909" s="273">
        <f>SUMIF('2020'!B:B,B1909,'2020'!C:C)+SUMIF('2021'!B:B,B1909,'2021'!C:C)+SUMIF('2022'!B:B,B1909,'2022'!C:C)</f>
        <v>130000</v>
      </c>
      <c r="J1909" s="59">
        <v>44925</v>
      </c>
      <c r="K1909" s="273" t="s">
        <v>3118</v>
      </c>
    </row>
    <row r="1910" spans="1:12" x14ac:dyDescent="0.3">
      <c r="A1910" s="259">
        <f t="shared" si="68"/>
        <v>1715</v>
      </c>
      <c r="B1910" s="20" t="s">
        <v>1846</v>
      </c>
      <c r="C1910" s="162">
        <v>1989</v>
      </c>
      <c r="D1910" s="234"/>
      <c r="E1910" s="273" t="s">
        <v>3119</v>
      </c>
      <c r="F1910" s="50">
        <v>5</v>
      </c>
      <c r="G1910" s="273">
        <v>6297.9</v>
      </c>
      <c r="H1910" s="10">
        <v>271</v>
      </c>
      <c r="I1910" s="273">
        <f>SUMIF('2020'!B:B,B1910,'2020'!C:C)+SUMIF('2021'!B:B,B1910,'2021'!C:C)+SUMIF('2022'!B:B,B1910,'2022'!C:C)</f>
        <v>130000</v>
      </c>
      <c r="J1910" s="59">
        <v>44925</v>
      </c>
      <c r="K1910" s="273" t="s">
        <v>3118</v>
      </c>
    </row>
    <row r="1911" spans="1:12" x14ac:dyDescent="0.3">
      <c r="A1911" s="259">
        <f t="shared" si="68"/>
        <v>1716</v>
      </c>
      <c r="B1911" s="20" t="s">
        <v>1847</v>
      </c>
      <c r="C1911" s="162">
        <v>1988</v>
      </c>
      <c r="D1911" s="234"/>
      <c r="E1911" s="273" t="s">
        <v>3119</v>
      </c>
      <c r="F1911" s="50">
        <v>5</v>
      </c>
      <c r="G1911" s="273">
        <v>7299.8</v>
      </c>
      <c r="H1911" s="10">
        <v>342</v>
      </c>
      <c r="I1911" s="273">
        <f>SUMIF('2020'!B:B,B1911,'2020'!C:C)+SUMIF('2021'!B:B,B1911,'2021'!C:C)+SUMIF('2022'!B:B,B1911,'2022'!C:C)</f>
        <v>130000</v>
      </c>
      <c r="J1911" s="59">
        <v>44925</v>
      </c>
      <c r="K1911" s="273" t="s">
        <v>3118</v>
      </c>
    </row>
    <row r="1912" spans="1:12" x14ac:dyDescent="0.3">
      <c r="A1912" s="259">
        <f t="shared" si="68"/>
        <v>1717</v>
      </c>
      <c r="B1912" s="20" t="s">
        <v>1848</v>
      </c>
      <c r="C1912" s="162">
        <v>1988</v>
      </c>
      <c r="D1912" s="234"/>
      <c r="E1912" s="273" t="s">
        <v>3123</v>
      </c>
      <c r="F1912" s="50">
        <v>2</v>
      </c>
      <c r="G1912" s="273">
        <v>996.3</v>
      </c>
      <c r="H1912" s="10">
        <v>47</v>
      </c>
      <c r="I1912" s="273">
        <f>SUMIF('2020'!B:B,B1912,'2020'!C:C)+SUMIF('2021'!B:B,B1912,'2021'!C:C)+SUMIF('2022'!B:B,B1912,'2022'!C:C)</f>
        <v>130000</v>
      </c>
      <c r="J1912" s="59">
        <v>44925</v>
      </c>
      <c r="K1912" s="273" t="s">
        <v>3118</v>
      </c>
    </row>
    <row r="1913" spans="1:12" x14ac:dyDescent="0.3">
      <c r="A1913" s="259">
        <f t="shared" si="68"/>
        <v>1718</v>
      </c>
      <c r="B1913" s="20" t="s">
        <v>1849</v>
      </c>
      <c r="C1913" s="162">
        <v>1950</v>
      </c>
      <c r="D1913" s="234"/>
      <c r="E1913" s="273" t="s">
        <v>3437</v>
      </c>
      <c r="F1913" s="50">
        <v>2</v>
      </c>
      <c r="G1913" s="273">
        <v>637.4</v>
      </c>
      <c r="H1913" s="10">
        <v>34</v>
      </c>
      <c r="I1913" s="273">
        <f>SUMIF('2020'!B:B,B1913,'2020'!C:C)+SUMIF('2021'!B:B,B1913,'2021'!C:C)+SUMIF('2022'!B:B,B1913,'2022'!C:C)</f>
        <v>130000</v>
      </c>
      <c r="J1913" s="59">
        <v>44925</v>
      </c>
      <c r="K1913" s="273" t="s">
        <v>3118</v>
      </c>
    </row>
    <row r="1914" spans="1:12" x14ac:dyDescent="0.3">
      <c r="A1914" s="259">
        <f t="shared" si="68"/>
        <v>1719</v>
      </c>
      <c r="B1914" s="20" t="s">
        <v>1850</v>
      </c>
      <c r="C1914" s="162">
        <v>1950</v>
      </c>
      <c r="D1914" s="234"/>
      <c r="E1914" s="273" t="s">
        <v>3437</v>
      </c>
      <c r="F1914" s="50">
        <v>2</v>
      </c>
      <c r="G1914" s="273">
        <v>529.29999999999995</v>
      </c>
      <c r="H1914" s="10">
        <v>40</v>
      </c>
      <c r="I1914" s="273">
        <f>SUMIF('2020'!B:B,B1914,'2020'!C:C)+SUMIF('2021'!B:B,B1914,'2021'!C:C)+SUMIF('2022'!B:B,B1914,'2022'!C:C)</f>
        <v>130000</v>
      </c>
      <c r="J1914" s="59">
        <v>44925</v>
      </c>
      <c r="K1914" s="273" t="s">
        <v>3118</v>
      </c>
    </row>
    <row r="1915" spans="1:12" x14ac:dyDescent="0.3">
      <c r="A1915" s="259">
        <f t="shared" si="68"/>
        <v>1720</v>
      </c>
      <c r="B1915" s="20" t="s">
        <v>1851</v>
      </c>
      <c r="C1915" s="162">
        <v>1978</v>
      </c>
      <c r="D1915" s="234"/>
      <c r="E1915" s="273" t="s">
        <v>3123</v>
      </c>
      <c r="F1915" s="50">
        <v>2</v>
      </c>
      <c r="G1915" s="273">
        <v>827</v>
      </c>
      <c r="H1915" s="10">
        <v>45</v>
      </c>
      <c r="I1915" s="273">
        <f>SUMIF('2020'!B:B,B1915,'2020'!C:C)+SUMIF('2021'!B:B,B1915,'2021'!C:C)+SUMIF('2022'!B:B,B1915,'2022'!C:C)</f>
        <v>130000</v>
      </c>
      <c r="J1915" s="59">
        <v>44925</v>
      </c>
      <c r="K1915" s="273" t="s">
        <v>3118</v>
      </c>
    </row>
    <row r="1916" spans="1:12" x14ac:dyDescent="0.3">
      <c r="A1916" s="259">
        <f t="shared" si="68"/>
        <v>1721</v>
      </c>
      <c r="B1916" s="20" t="s">
        <v>1852</v>
      </c>
      <c r="C1916" s="162">
        <v>1950</v>
      </c>
      <c r="D1916" s="234"/>
      <c r="E1916" s="273" t="s">
        <v>3437</v>
      </c>
      <c r="F1916" s="50">
        <v>2</v>
      </c>
      <c r="G1916" s="273">
        <v>654.4</v>
      </c>
      <c r="H1916" s="10">
        <v>34</v>
      </c>
      <c r="I1916" s="273">
        <f>SUMIF('2020'!B:B,B1916,'2020'!C:C)+SUMIF('2021'!B:B,B1916,'2021'!C:C)+SUMIF('2022'!B:B,B1916,'2022'!C:C)</f>
        <v>130000</v>
      </c>
      <c r="J1916" s="59">
        <v>44925</v>
      </c>
      <c r="K1916" s="273" t="s">
        <v>3118</v>
      </c>
    </row>
    <row r="1917" spans="1:12" x14ac:dyDescent="0.3">
      <c r="A1917" s="259"/>
      <c r="B1917" s="20" t="s">
        <v>208</v>
      </c>
      <c r="C1917" s="273" t="s">
        <v>3558</v>
      </c>
      <c r="D1917" s="273" t="s">
        <v>3558</v>
      </c>
      <c r="E1917" s="273" t="s">
        <v>3558</v>
      </c>
      <c r="F1917" s="273" t="s">
        <v>3558</v>
      </c>
      <c r="G1917" s="273">
        <f>SUM(G1907:G1916)</f>
        <v>19324.8</v>
      </c>
      <c r="H1917" s="10">
        <f>SUM(H1907:H1916)</f>
        <v>921</v>
      </c>
      <c r="I1917" s="273">
        <f>SUM(I1907:I1916)</f>
        <v>1450506.6400000001</v>
      </c>
      <c r="J1917" s="273" t="s">
        <v>3558</v>
      </c>
      <c r="K1917" s="273" t="s">
        <v>3558</v>
      </c>
      <c r="L1917" s="197" t="e">
        <f>#REF!-'2020'!C444-'2021'!C1433</f>
        <v>#REF!</v>
      </c>
    </row>
    <row r="1918" spans="1:12" x14ac:dyDescent="0.3">
      <c r="A1918" s="291" t="s">
        <v>1853</v>
      </c>
      <c r="B1918" s="291"/>
      <c r="C1918" s="273"/>
      <c r="D1918" s="234"/>
      <c r="E1918" s="251"/>
      <c r="F1918" s="251"/>
      <c r="G1918" s="251"/>
      <c r="H1918" s="132"/>
      <c r="I1918" s="251"/>
      <c r="J1918" s="251"/>
      <c r="K1918" s="251"/>
    </row>
    <row r="1919" spans="1:12" x14ac:dyDescent="0.3">
      <c r="A1919" s="259">
        <f>A1916+1</f>
        <v>1722</v>
      </c>
      <c r="B1919" s="20" t="s">
        <v>1854</v>
      </c>
      <c r="C1919" s="162">
        <v>1973</v>
      </c>
      <c r="D1919" s="234"/>
      <c r="E1919" s="273" t="s">
        <v>3123</v>
      </c>
      <c r="F1919" s="50">
        <v>2</v>
      </c>
      <c r="G1919" s="273">
        <v>569.33000000000004</v>
      </c>
      <c r="H1919" s="10">
        <v>24</v>
      </c>
      <c r="I1919" s="273">
        <f>SUMIF('2020'!B:B,B1919,'2020'!C:C)+SUMIF('2021'!B:B,B1919,'2021'!C:C)+SUMIF('2022'!B:B,B1919,'2022'!C:C)</f>
        <v>4061299.8</v>
      </c>
      <c r="J1919" s="59">
        <v>44925</v>
      </c>
      <c r="K1919" s="273" t="s">
        <v>3118</v>
      </c>
    </row>
    <row r="1920" spans="1:12" x14ac:dyDescent="0.3">
      <c r="A1920" s="259">
        <f>A1919+1</f>
        <v>1723</v>
      </c>
      <c r="B1920" s="20" t="s">
        <v>1856</v>
      </c>
      <c r="C1920" s="162">
        <v>1973</v>
      </c>
      <c r="D1920" s="234"/>
      <c r="E1920" s="273" t="s">
        <v>3123</v>
      </c>
      <c r="F1920" s="50">
        <v>2</v>
      </c>
      <c r="G1920" s="273">
        <v>504.5</v>
      </c>
      <c r="H1920" s="10">
        <v>29</v>
      </c>
      <c r="I1920" s="273">
        <f>SUMIF('2020'!B:B,B1920,'2020'!C:C)+SUMIF('2021'!B:B,B1920,'2021'!C:C)+SUMIF('2022'!B:B,B1920,'2022'!C:C)</f>
        <v>936109.2</v>
      </c>
      <c r="J1920" s="59">
        <v>44925</v>
      </c>
      <c r="K1920" s="273" t="s">
        <v>3118</v>
      </c>
    </row>
    <row r="1921" spans="1:12" x14ac:dyDescent="0.3">
      <c r="A1921" s="259">
        <f>A1920+1</f>
        <v>1724</v>
      </c>
      <c r="B1921" s="20" t="s">
        <v>1857</v>
      </c>
      <c r="C1921" s="162">
        <v>1959</v>
      </c>
      <c r="D1921" s="234"/>
      <c r="E1921" s="273" t="s">
        <v>3437</v>
      </c>
      <c r="F1921" s="50">
        <v>2</v>
      </c>
      <c r="G1921" s="273">
        <v>226.4</v>
      </c>
      <c r="H1921" s="10">
        <v>4</v>
      </c>
      <c r="I1921" s="273">
        <f>SUMIF('2020'!B:B,B1921,'2020'!C:C)+SUMIF('2021'!B:B,B1921,'2021'!C:C)+SUMIF('2022'!B:B,B1921,'2022'!C:C)</f>
        <v>546302.80000000005</v>
      </c>
      <c r="J1921" s="59">
        <v>44925</v>
      </c>
      <c r="K1921" s="273" t="s">
        <v>3118</v>
      </c>
    </row>
    <row r="1922" spans="1:12" x14ac:dyDescent="0.3">
      <c r="A1922" s="259">
        <f>A1921+1</f>
        <v>1725</v>
      </c>
      <c r="B1922" s="20" t="s">
        <v>1858</v>
      </c>
      <c r="C1922" s="162">
        <v>1970</v>
      </c>
      <c r="D1922" s="234"/>
      <c r="E1922" s="273" t="s">
        <v>3123</v>
      </c>
      <c r="F1922" s="50">
        <v>2</v>
      </c>
      <c r="G1922" s="273">
        <v>563.1</v>
      </c>
      <c r="H1922" s="10">
        <v>25</v>
      </c>
      <c r="I1922" s="273">
        <f>SUMIF('2020'!B:B,B1922,'2020'!C:C)+SUMIF('2021'!B:B,B1922,'2021'!C:C)+SUMIF('2022'!B:B,B1922,'2022'!C:C)</f>
        <v>3926704.88</v>
      </c>
      <c r="J1922" s="59">
        <v>44925</v>
      </c>
      <c r="K1922" s="273" t="s">
        <v>3118</v>
      </c>
    </row>
    <row r="1923" spans="1:12" x14ac:dyDescent="0.3">
      <c r="A1923" s="259">
        <f t="shared" ref="A1923:A1925" si="69">A1922+1</f>
        <v>1726</v>
      </c>
      <c r="B1923" s="20" t="s">
        <v>3592</v>
      </c>
      <c r="C1923" s="162"/>
      <c r="D1923" s="234"/>
      <c r="E1923" s="273"/>
      <c r="F1923" s="50"/>
      <c r="G1923" s="273"/>
      <c r="H1923" s="10"/>
      <c r="I1923" s="273">
        <f>SUMIF('2020'!B:B,B1923,'2020'!C:C)+SUMIF('2021'!B:B,B1923,'2021'!C:C)+SUMIF('2022'!B:B,B1923,'2022'!C:C)</f>
        <v>149563.87</v>
      </c>
      <c r="J1923" s="59">
        <v>44925</v>
      </c>
      <c r="K1923" s="273" t="s">
        <v>3118</v>
      </c>
    </row>
    <row r="1924" spans="1:12" x14ac:dyDescent="0.3">
      <c r="A1924" s="259">
        <f t="shared" si="69"/>
        <v>1727</v>
      </c>
      <c r="B1924" s="20" t="s">
        <v>1859</v>
      </c>
      <c r="C1924" s="162">
        <v>1961</v>
      </c>
      <c r="D1924" s="234"/>
      <c r="E1924" s="273" t="s">
        <v>3123</v>
      </c>
      <c r="F1924" s="50">
        <v>2</v>
      </c>
      <c r="G1924" s="273">
        <v>507.4</v>
      </c>
      <c r="H1924" s="10">
        <v>24</v>
      </c>
      <c r="I1924" s="273">
        <f>SUMIF('2020'!B:B,B1924,'2020'!C:C)+SUMIF('2021'!B:B,B1924,'2021'!C:C)+SUMIF('2022'!B:B,B1924,'2022'!C:C)</f>
        <v>834637.6</v>
      </c>
      <c r="J1924" s="59">
        <v>44925</v>
      </c>
      <c r="K1924" s="273" t="s">
        <v>3118</v>
      </c>
    </row>
    <row r="1925" spans="1:12" x14ac:dyDescent="0.3">
      <c r="A1925" s="259">
        <f t="shared" si="69"/>
        <v>1728</v>
      </c>
      <c r="B1925" s="20" t="s">
        <v>1860</v>
      </c>
      <c r="C1925" s="162">
        <v>1964</v>
      </c>
      <c r="D1925" s="234"/>
      <c r="E1925" s="273" t="s">
        <v>3123</v>
      </c>
      <c r="F1925" s="50">
        <v>2</v>
      </c>
      <c r="G1925" s="273">
        <v>1026</v>
      </c>
      <c r="H1925" s="10">
        <v>28</v>
      </c>
      <c r="I1925" s="273">
        <f>SUMIF('2020'!B:B,B1925,'2020'!C:C)+SUMIF('2021'!B:B,B1925,'2021'!C:C)+SUMIF('2022'!B:B,B1925,'2022'!C:C)</f>
        <v>130000</v>
      </c>
      <c r="J1925" s="59">
        <v>44925</v>
      </c>
      <c r="K1925" s="273" t="s">
        <v>3118</v>
      </c>
    </row>
    <row r="1926" spans="1:12" x14ac:dyDescent="0.3">
      <c r="A1926" s="259"/>
      <c r="B1926" s="20" t="s">
        <v>208</v>
      </c>
      <c r="C1926" s="273" t="s">
        <v>3558</v>
      </c>
      <c r="D1926" s="273" t="s">
        <v>3558</v>
      </c>
      <c r="E1926" s="273" t="s">
        <v>3558</v>
      </c>
      <c r="F1926" s="273" t="s">
        <v>3558</v>
      </c>
      <c r="G1926" s="273">
        <f>SUM(G1919:G1925)</f>
        <v>3396.73</v>
      </c>
      <c r="H1926" s="10">
        <f>SUM(H1919:H1925)</f>
        <v>134</v>
      </c>
      <c r="I1926" s="273">
        <f>SUM(I1919:I1925)</f>
        <v>10584618.149999999</v>
      </c>
      <c r="J1926" s="273" t="s">
        <v>3558</v>
      </c>
      <c r="K1926" s="273" t="s">
        <v>3558</v>
      </c>
      <c r="L1926" s="197" t="e">
        <f>#REF!-'2020'!C449-'2021'!C1438-'2022'!C568</f>
        <v>#REF!</v>
      </c>
    </row>
    <row r="1927" spans="1:12" x14ac:dyDescent="0.3">
      <c r="A1927" s="291" t="s">
        <v>1861</v>
      </c>
      <c r="B1927" s="291"/>
      <c r="C1927" s="273"/>
      <c r="D1927" s="234"/>
      <c r="E1927" s="251"/>
      <c r="F1927" s="251"/>
      <c r="G1927" s="251"/>
      <c r="H1927" s="132"/>
      <c r="I1927" s="251"/>
      <c r="J1927" s="251"/>
      <c r="K1927" s="251"/>
    </row>
    <row r="1928" spans="1:12" x14ac:dyDescent="0.3">
      <c r="A1928" s="259">
        <f>A1925+1</f>
        <v>1729</v>
      </c>
      <c r="B1928" s="20" t="s">
        <v>1862</v>
      </c>
      <c r="C1928" s="162">
        <v>1955</v>
      </c>
      <c r="D1928" s="234"/>
      <c r="E1928" s="58" t="s">
        <v>3123</v>
      </c>
      <c r="F1928" s="58">
        <v>2</v>
      </c>
      <c r="G1928" s="58">
        <v>910.2</v>
      </c>
      <c r="H1928" s="9">
        <v>33</v>
      </c>
      <c r="I1928" s="273">
        <f>SUMIF('2020'!B:B,B1928,'2020'!C:C)+SUMIF('2021'!B:B,B1928,'2021'!C:C)+SUMIF('2022'!B:B,B1928,'2022'!C:C)</f>
        <v>125809.15</v>
      </c>
      <c r="J1928" s="59">
        <v>44925</v>
      </c>
      <c r="K1928" s="273" t="s">
        <v>3118</v>
      </c>
    </row>
    <row r="1929" spans="1:12" x14ac:dyDescent="0.3">
      <c r="A1929" s="259">
        <f t="shared" ref="A1929:A1960" si="70">A1928+1</f>
        <v>1730</v>
      </c>
      <c r="B1929" s="20" t="s">
        <v>1863</v>
      </c>
      <c r="C1929" s="162">
        <v>1950</v>
      </c>
      <c r="D1929" s="234"/>
      <c r="E1929" s="58" t="s">
        <v>3120</v>
      </c>
      <c r="F1929" s="58">
        <v>2</v>
      </c>
      <c r="G1929" s="58">
        <v>425.08</v>
      </c>
      <c r="H1929" s="9">
        <v>22</v>
      </c>
      <c r="I1929" s="273">
        <f>SUMIF('2020'!B:B,B1929,'2020'!C:C)+SUMIF('2021'!B:B,B1929,'2021'!C:C)+SUMIF('2022'!B:B,B1929,'2022'!C:C)</f>
        <v>817487.2</v>
      </c>
      <c r="J1929" s="59">
        <v>44925</v>
      </c>
      <c r="K1929" s="273" t="s">
        <v>3118</v>
      </c>
    </row>
    <row r="1930" spans="1:12" x14ac:dyDescent="0.3">
      <c r="A1930" s="259">
        <f t="shared" si="70"/>
        <v>1731</v>
      </c>
      <c r="B1930" s="20" t="s">
        <v>1864</v>
      </c>
      <c r="C1930" s="162">
        <v>1962</v>
      </c>
      <c r="D1930" s="234"/>
      <c r="E1930" s="58" t="s">
        <v>3123</v>
      </c>
      <c r="F1930" s="58">
        <v>2</v>
      </c>
      <c r="G1930" s="58">
        <v>270.8</v>
      </c>
      <c r="H1930" s="9">
        <v>18</v>
      </c>
      <c r="I1930" s="273">
        <f>SUMIF('2020'!B:B,B1930,'2020'!C:C)+SUMIF('2021'!B:B,B1930,'2021'!C:C)+SUMIF('2022'!B:B,B1930,'2022'!C:C)</f>
        <v>88181.759999999995</v>
      </c>
      <c r="J1930" s="59">
        <v>44925</v>
      </c>
      <c r="K1930" s="273" t="s">
        <v>3118</v>
      </c>
    </row>
    <row r="1931" spans="1:12" x14ac:dyDescent="0.3">
      <c r="A1931" s="259">
        <f t="shared" si="70"/>
        <v>1732</v>
      </c>
      <c r="B1931" s="20" t="s">
        <v>1865</v>
      </c>
      <c r="C1931" s="162">
        <v>1960</v>
      </c>
      <c r="D1931" s="234"/>
      <c r="E1931" s="58" t="s">
        <v>3123</v>
      </c>
      <c r="F1931" s="259">
        <v>2</v>
      </c>
      <c r="G1931" s="58">
        <v>314.5</v>
      </c>
      <c r="H1931" s="9">
        <v>9</v>
      </c>
      <c r="I1931" s="273">
        <f>SUMIF('2020'!B:B,B1931,'2020'!C:C)+SUMIF('2021'!B:B,B1931,'2021'!C:C)+SUMIF('2022'!B:B,B1931,'2022'!C:C)</f>
        <v>367917.6</v>
      </c>
      <c r="J1931" s="59">
        <v>44925</v>
      </c>
      <c r="K1931" s="273" t="s">
        <v>3118</v>
      </c>
    </row>
    <row r="1932" spans="1:12" x14ac:dyDescent="0.3">
      <c r="A1932" s="259">
        <f t="shared" si="70"/>
        <v>1733</v>
      </c>
      <c r="B1932" s="20" t="s">
        <v>1866</v>
      </c>
      <c r="C1932" s="162">
        <v>1969</v>
      </c>
      <c r="D1932" s="234"/>
      <c r="E1932" s="58" t="s">
        <v>3454</v>
      </c>
      <c r="F1932" s="259">
        <v>5</v>
      </c>
      <c r="G1932" s="58">
        <v>1524.7</v>
      </c>
      <c r="H1932" s="9">
        <v>61</v>
      </c>
      <c r="I1932" s="273">
        <f>SUMIF('2020'!B:B,B1932,'2020'!C:C)+SUMIF('2021'!B:B,B1932,'2021'!C:C)+SUMIF('2022'!B:B,B1932,'2022'!C:C)</f>
        <v>143409.82999999999</v>
      </c>
      <c r="J1932" s="59">
        <v>44925</v>
      </c>
      <c r="K1932" s="273" t="s">
        <v>3118</v>
      </c>
    </row>
    <row r="1933" spans="1:12" x14ac:dyDescent="0.3">
      <c r="A1933" s="259">
        <f t="shared" si="70"/>
        <v>1734</v>
      </c>
      <c r="B1933" s="20" t="s">
        <v>1867</v>
      </c>
      <c r="C1933" s="162">
        <v>1965</v>
      </c>
      <c r="D1933" s="234"/>
      <c r="E1933" s="58" t="s">
        <v>3123</v>
      </c>
      <c r="F1933" s="259">
        <v>5</v>
      </c>
      <c r="G1933" s="58">
        <v>3486.6</v>
      </c>
      <c r="H1933" s="9">
        <v>114</v>
      </c>
      <c r="I1933" s="273">
        <f>SUMIF('2020'!B:B,B1933,'2020'!C:C)+SUMIF('2021'!B:B,B1933,'2021'!C:C)+SUMIF('2022'!B:B,B1933,'2022'!C:C)</f>
        <v>2431107.2400000002</v>
      </c>
      <c r="J1933" s="59">
        <v>44925</v>
      </c>
      <c r="K1933" s="273" t="s">
        <v>3118</v>
      </c>
    </row>
    <row r="1934" spans="1:12" x14ac:dyDescent="0.3">
      <c r="A1934" s="259">
        <f t="shared" si="70"/>
        <v>1735</v>
      </c>
      <c r="B1934" s="20" t="s">
        <v>1868</v>
      </c>
      <c r="C1934" s="162">
        <v>1967</v>
      </c>
      <c r="D1934" s="234"/>
      <c r="E1934" s="58" t="s">
        <v>3123</v>
      </c>
      <c r="F1934" s="259">
        <v>5</v>
      </c>
      <c r="G1934" s="58">
        <v>3544.6</v>
      </c>
      <c r="H1934" s="9">
        <v>140</v>
      </c>
      <c r="I1934" s="273">
        <f>SUMIF('2020'!B:B,B1934,'2020'!C:C)+SUMIF('2021'!B:B,B1934,'2021'!C:C)+SUMIF('2022'!B:B,B1934,'2022'!C:C)</f>
        <v>230816.24</v>
      </c>
      <c r="J1934" s="59">
        <v>44925</v>
      </c>
      <c r="K1934" s="273" t="s">
        <v>3118</v>
      </c>
    </row>
    <row r="1935" spans="1:12" x14ac:dyDescent="0.3">
      <c r="A1935" s="259">
        <f t="shared" si="70"/>
        <v>1736</v>
      </c>
      <c r="B1935" s="20" t="s">
        <v>1869</v>
      </c>
      <c r="C1935" s="162">
        <v>1968</v>
      </c>
      <c r="D1935" s="234"/>
      <c r="E1935" s="58" t="s">
        <v>3123</v>
      </c>
      <c r="F1935" s="259">
        <v>5</v>
      </c>
      <c r="G1935" s="58">
        <v>3556.68</v>
      </c>
      <c r="H1935" s="9">
        <v>173</v>
      </c>
      <c r="I1935" s="273">
        <f>SUMIF('2020'!B:B,B1935,'2020'!C:C)+SUMIF('2021'!B:B,B1935,'2021'!C:C)+SUMIF('2022'!B:B,B1935,'2022'!C:C)</f>
        <v>230590.58</v>
      </c>
      <c r="J1935" s="59">
        <v>44925</v>
      </c>
      <c r="K1935" s="273" t="s">
        <v>3118</v>
      </c>
    </row>
    <row r="1936" spans="1:12" x14ac:dyDescent="0.3">
      <c r="A1936" s="259">
        <f t="shared" si="70"/>
        <v>1737</v>
      </c>
      <c r="B1936" s="20" t="s">
        <v>1870</v>
      </c>
      <c r="C1936" s="162">
        <v>1967</v>
      </c>
      <c r="D1936" s="234"/>
      <c r="E1936" s="58" t="s">
        <v>3123</v>
      </c>
      <c r="F1936" s="259">
        <v>5</v>
      </c>
      <c r="G1936" s="58">
        <v>3606</v>
      </c>
      <c r="H1936" s="9">
        <v>141</v>
      </c>
      <c r="I1936" s="273">
        <f>SUMIF('2020'!B:B,B1936,'2020'!C:C)+SUMIF('2021'!B:B,B1936,'2021'!C:C)+SUMIF('2022'!B:B,B1936,'2022'!C:C)</f>
        <v>234706.24</v>
      </c>
      <c r="J1936" s="59">
        <v>44925</v>
      </c>
      <c r="K1936" s="273" t="s">
        <v>3118</v>
      </c>
    </row>
    <row r="1937" spans="1:11" x14ac:dyDescent="0.3">
      <c r="A1937" s="259">
        <f t="shared" si="70"/>
        <v>1738</v>
      </c>
      <c r="B1937" s="20" t="s">
        <v>1871</v>
      </c>
      <c r="C1937" s="162">
        <v>1966</v>
      </c>
      <c r="D1937" s="234"/>
      <c r="E1937" s="58" t="s">
        <v>3123</v>
      </c>
      <c r="F1937" s="259">
        <v>5</v>
      </c>
      <c r="G1937" s="58">
        <v>3744.84</v>
      </c>
      <c r="H1937" s="9">
        <v>129</v>
      </c>
      <c r="I1937" s="273">
        <f>SUMIF('2020'!B:B,B1937,'2020'!C:C)+SUMIF('2021'!B:B,B1937,'2021'!C:C)+SUMIF('2022'!B:B,B1937,'2022'!C:C)</f>
        <v>771239</v>
      </c>
      <c r="J1937" s="59">
        <v>44925</v>
      </c>
      <c r="K1937" s="273" t="s">
        <v>3118</v>
      </c>
    </row>
    <row r="1938" spans="1:11" x14ac:dyDescent="0.3">
      <c r="A1938" s="259">
        <f t="shared" si="70"/>
        <v>1739</v>
      </c>
      <c r="B1938" s="20" t="s">
        <v>1872</v>
      </c>
      <c r="C1938" s="162">
        <v>1959</v>
      </c>
      <c r="D1938" s="234"/>
      <c r="E1938" s="58" t="s">
        <v>3123</v>
      </c>
      <c r="F1938" s="259">
        <v>3</v>
      </c>
      <c r="G1938" s="58">
        <v>1960.26</v>
      </c>
      <c r="H1938" s="9">
        <v>80</v>
      </c>
      <c r="I1938" s="273">
        <f>SUMIF('2020'!B:B,B1938,'2020'!C:C)+SUMIF('2021'!B:B,B1938,'2021'!C:C)+SUMIF('2022'!B:B,B1938,'2022'!C:C)</f>
        <v>3793622.6</v>
      </c>
      <c r="J1938" s="59">
        <v>44925</v>
      </c>
      <c r="K1938" s="273" t="s">
        <v>3118</v>
      </c>
    </row>
    <row r="1939" spans="1:11" x14ac:dyDescent="0.3">
      <c r="A1939" s="259">
        <f t="shared" si="70"/>
        <v>1740</v>
      </c>
      <c r="B1939" s="20" t="s">
        <v>1873</v>
      </c>
      <c r="C1939" s="162">
        <v>1973</v>
      </c>
      <c r="D1939" s="234"/>
      <c r="E1939" s="58" t="s">
        <v>3123</v>
      </c>
      <c r="F1939" s="259">
        <v>5</v>
      </c>
      <c r="G1939" s="58">
        <v>4724.5600000000004</v>
      </c>
      <c r="H1939" s="9">
        <v>155</v>
      </c>
      <c r="I1939" s="273">
        <f>SUMIF('2020'!B:B,B1939,'2020'!C:C)+SUMIF('2021'!B:B,B1939,'2021'!C:C)+SUMIF('2022'!B:B,B1939,'2022'!C:C)</f>
        <v>771239</v>
      </c>
      <c r="J1939" s="59">
        <v>44925</v>
      </c>
      <c r="K1939" s="273" t="s">
        <v>3118</v>
      </c>
    </row>
    <row r="1940" spans="1:11" x14ac:dyDescent="0.3">
      <c r="A1940" s="259">
        <f t="shared" si="70"/>
        <v>1741</v>
      </c>
      <c r="B1940" s="20" t="s">
        <v>1874</v>
      </c>
      <c r="C1940" s="162">
        <v>1896</v>
      </c>
      <c r="D1940" s="234"/>
      <c r="E1940" s="58" t="s">
        <v>3123</v>
      </c>
      <c r="F1940" s="58">
        <v>3</v>
      </c>
      <c r="G1940" s="58">
        <v>330.17</v>
      </c>
      <c r="H1940" s="9">
        <v>18</v>
      </c>
      <c r="I1940" s="273">
        <f>SUMIF('2020'!B:B,B1940,'2020'!C:C)+SUMIF('2021'!B:B,B1940,'2021'!C:C)+SUMIF('2022'!B:B,B1940,'2022'!C:C)</f>
        <v>9162906.0199999996</v>
      </c>
      <c r="J1940" s="59">
        <v>44925</v>
      </c>
      <c r="K1940" s="273" t="s">
        <v>3118</v>
      </c>
    </row>
    <row r="1941" spans="1:11" x14ac:dyDescent="0.3">
      <c r="A1941" s="259">
        <f t="shared" si="70"/>
        <v>1742</v>
      </c>
      <c r="B1941" s="20" t="s">
        <v>1875</v>
      </c>
      <c r="C1941" s="162">
        <v>1983</v>
      </c>
      <c r="D1941" s="234"/>
      <c r="E1941" s="58" t="s">
        <v>3123</v>
      </c>
      <c r="F1941" s="58">
        <v>5</v>
      </c>
      <c r="G1941" s="58">
        <v>4808.8</v>
      </c>
      <c r="H1941" s="9">
        <v>152</v>
      </c>
      <c r="I1941" s="273">
        <f>SUMIF('2020'!B:B,B1941,'2020'!C:C)+SUMIF('2021'!B:B,B1941,'2021'!C:C)+SUMIF('2022'!B:B,B1941,'2022'!C:C)</f>
        <v>3067053.6</v>
      </c>
      <c r="J1941" s="59">
        <v>44925</v>
      </c>
      <c r="K1941" s="273" t="s">
        <v>3118</v>
      </c>
    </row>
    <row r="1942" spans="1:11" x14ac:dyDescent="0.3">
      <c r="A1942" s="259">
        <f t="shared" si="70"/>
        <v>1743</v>
      </c>
      <c r="B1942" s="20" t="s">
        <v>1876</v>
      </c>
      <c r="C1942" s="162">
        <v>1950</v>
      </c>
      <c r="D1942" s="234"/>
      <c r="E1942" s="58" t="s">
        <v>3123</v>
      </c>
      <c r="F1942" s="259">
        <v>2</v>
      </c>
      <c r="G1942" s="58">
        <v>759.5</v>
      </c>
      <c r="H1942" s="9">
        <v>14</v>
      </c>
      <c r="I1942" s="273">
        <f>SUMIF('2020'!B:B,B1942,'2020'!C:C)+SUMIF('2021'!B:B,B1942,'2021'!C:C)+SUMIF('2022'!B:B,B1942,'2022'!C:C)</f>
        <v>109554.01</v>
      </c>
      <c r="J1942" s="59">
        <v>44925</v>
      </c>
      <c r="K1942" s="273" t="s">
        <v>3118</v>
      </c>
    </row>
    <row r="1943" spans="1:11" x14ac:dyDescent="0.3">
      <c r="A1943" s="259">
        <f t="shared" si="70"/>
        <v>1744</v>
      </c>
      <c r="B1943" s="20" t="s">
        <v>1877</v>
      </c>
      <c r="C1943" s="162">
        <v>1950</v>
      </c>
      <c r="D1943" s="234"/>
      <c r="E1943" s="58" t="s">
        <v>3123</v>
      </c>
      <c r="F1943" s="259">
        <v>2</v>
      </c>
      <c r="G1943" s="58">
        <v>674.8</v>
      </c>
      <c r="H1943" s="9">
        <v>38</v>
      </c>
      <c r="I1943" s="273">
        <f>SUMIF('2020'!B:B,B1943,'2020'!C:C)+SUMIF('2021'!B:B,B1943,'2021'!C:C)+SUMIF('2022'!B:B,B1943,'2022'!C:C)</f>
        <v>447471.6</v>
      </c>
      <c r="J1943" s="59">
        <v>44925</v>
      </c>
      <c r="K1943" s="273" t="s">
        <v>3118</v>
      </c>
    </row>
    <row r="1944" spans="1:11" x14ac:dyDescent="0.3">
      <c r="A1944" s="259">
        <f t="shared" si="70"/>
        <v>1745</v>
      </c>
      <c r="B1944" s="20" t="s">
        <v>1878</v>
      </c>
      <c r="C1944" s="162">
        <v>1951</v>
      </c>
      <c r="D1944" s="234"/>
      <c r="E1944" s="58" t="s">
        <v>3123</v>
      </c>
      <c r="F1944" s="259">
        <v>2</v>
      </c>
      <c r="G1944" s="58">
        <v>666.28</v>
      </c>
      <c r="H1944" s="9">
        <v>27</v>
      </c>
      <c r="I1944" s="273">
        <f>SUMIF('2020'!B:B,B1944,'2020'!C:C)+SUMIF('2021'!B:B,B1944,'2021'!C:C)+SUMIF('2022'!B:B,B1944,'2022'!C:C)</f>
        <v>113432.12</v>
      </c>
      <c r="J1944" s="59">
        <v>44925</v>
      </c>
      <c r="K1944" s="273" t="s">
        <v>3118</v>
      </c>
    </row>
    <row r="1945" spans="1:11" x14ac:dyDescent="0.3">
      <c r="A1945" s="259">
        <f t="shared" si="70"/>
        <v>1746</v>
      </c>
      <c r="B1945" s="20" t="s">
        <v>1879</v>
      </c>
      <c r="C1945" s="162">
        <v>1960</v>
      </c>
      <c r="D1945" s="234"/>
      <c r="E1945" s="58" t="s">
        <v>3123</v>
      </c>
      <c r="F1945" s="259">
        <v>3</v>
      </c>
      <c r="G1945" s="58">
        <v>1544.8</v>
      </c>
      <c r="H1945" s="9">
        <v>69</v>
      </c>
      <c r="I1945" s="273">
        <f>SUMIF('2020'!B:B,B1945,'2020'!C:C)+SUMIF('2021'!B:B,B1945,'2021'!C:C)+SUMIF('2022'!B:B,B1945,'2022'!C:C)</f>
        <v>2573526.9</v>
      </c>
      <c r="J1945" s="59">
        <v>44925</v>
      </c>
      <c r="K1945" s="273" t="s">
        <v>3118</v>
      </c>
    </row>
    <row r="1946" spans="1:11" x14ac:dyDescent="0.3">
      <c r="A1946" s="259">
        <f t="shared" si="70"/>
        <v>1747</v>
      </c>
      <c r="B1946" s="20" t="s">
        <v>1880</v>
      </c>
      <c r="C1946" s="162">
        <v>1950</v>
      </c>
      <c r="D1946" s="234"/>
      <c r="E1946" s="58" t="s">
        <v>3455</v>
      </c>
      <c r="F1946" s="259">
        <v>2</v>
      </c>
      <c r="G1946" s="58">
        <v>764.41</v>
      </c>
      <c r="H1946" s="9">
        <v>52</v>
      </c>
      <c r="I1946" s="273">
        <f>SUMIF('2020'!B:B,B1946,'2020'!C:C)+SUMIF('2021'!B:B,B1946,'2021'!C:C)+SUMIF('2022'!B:B,B1946,'2022'!C:C)</f>
        <v>107628.67</v>
      </c>
      <c r="J1946" s="59">
        <v>44925</v>
      </c>
      <c r="K1946" s="273" t="s">
        <v>3118</v>
      </c>
    </row>
    <row r="1947" spans="1:11" x14ac:dyDescent="0.3">
      <c r="A1947" s="259">
        <f t="shared" si="70"/>
        <v>1748</v>
      </c>
      <c r="B1947" s="20" t="s">
        <v>1881</v>
      </c>
      <c r="C1947" s="162">
        <v>1950</v>
      </c>
      <c r="D1947" s="234"/>
      <c r="E1947" s="58" t="s">
        <v>3123</v>
      </c>
      <c r="F1947" s="259">
        <v>2</v>
      </c>
      <c r="G1947" s="58">
        <v>724.17</v>
      </c>
      <c r="H1947" s="9">
        <v>29</v>
      </c>
      <c r="I1947" s="273">
        <f>SUMIF('2020'!B:B,B1947,'2020'!C:C)+SUMIF('2021'!B:B,B1947,'2021'!C:C)+SUMIF('2022'!B:B,B1947,'2022'!C:C)</f>
        <v>106693.5</v>
      </c>
      <c r="J1947" s="59">
        <v>44925</v>
      </c>
      <c r="K1947" s="273" t="s">
        <v>3118</v>
      </c>
    </row>
    <row r="1948" spans="1:11" x14ac:dyDescent="0.3">
      <c r="A1948" s="259">
        <f t="shared" si="70"/>
        <v>1749</v>
      </c>
      <c r="B1948" s="20" t="s">
        <v>1882</v>
      </c>
      <c r="C1948" s="162">
        <v>1953</v>
      </c>
      <c r="D1948" s="234"/>
      <c r="E1948" s="58" t="s">
        <v>3123</v>
      </c>
      <c r="F1948" s="259">
        <v>2</v>
      </c>
      <c r="G1948" s="58">
        <v>549.65</v>
      </c>
      <c r="H1948" s="9">
        <v>23</v>
      </c>
      <c r="I1948" s="273">
        <f>SUMIF('2020'!B:B,B1948,'2020'!C:C)+SUMIF('2021'!B:B,B1948,'2021'!C:C)+SUMIF('2022'!B:B,B1948,'2022'!C:C)</f>
        <v>363907.2</v>
      </c>
      <c r="J1948" s="59">
        <v>44925</v>
      </c>
      <c r="K1948" s="273" t="s">
        <v>3118</v>
      </c>
    </row>
    <row r="1949" spans="1:11" x14ac:dyDescent="0.3">
      <c r="A1949" s="259">
        <f t="shared" si="70"/>
        <v>1750</v>
      </c>
      <c r="B1949" s="20" t="s">
        <v>1883</v>
      </c>
      <c r="C1949" s="162">
        <v>1951</v>
      </c>
      <c r="D1949" s="234"/>
      <c r="E1949" s="58" t="s">
        <v>3123</v>
      </c>
      <c r="F1949" s="259">
        <v>2</v>
      </c>
      <c r="G1949" s="58">
        <v>683.3</v>
      </c>
      <c r="H1949" s="9">
        <v>28</v>
      </c>
      <c r="I1949" s="273">
        <f>SUMIF('2020'!B:B,B1949,'2020'!C:C)+SUMIF('2021'!B:B,B1949,'2021'!C:C)+SUMIF('2022'!B:B,B1949,'2022'!C:C)</f>
        <v>109141.38</v>
      </c>
      <c r="J1949" s="59">
        <v>44925</v>
      </c>
      <c r="K1949" s="273" t="s">
        <v>3118</v>
      </c>
    </row>
    <row r="1950" spans="1:11" x14ac:dyDescent="0.3">
      <c r="A1950" s="259">
        <f t="shared" si="70"/>
        <v>1751</v>
      </c>
      <c r="B1950" s="20" t="s">
        <v>1884</v>
      </c>
      <c r="C1950" s="162">
        <v>1950</v>
      </c>
      <c r="D1950" s="234"/>
      <c r="E1950" s="58" t="s">
        <v>3455</v>
      </c>
      <c r="F1950" s="259">
        <v>2</v>
      </c>
      <c r="G1950" s="58">
        <v>695.76</v>
      </c>
      <c r="H1950" s="9">
        <v>45</v>
      </c>
      <c r="I1950" s="273">
        <f>SUMIF('2020'!B:B,B1950,'2020'!C:C)+SUMIF('2021'!B:B,B1950,'2021'!C:C)+SUMIF('2022'!B:B,B1950,'2022'!C:C)</f>
        <v>871710.84</v>
      </c>
      <c r="J1950" s="59">
        <v>44925</v>
      </c>
      <c r="K1950" s="273" t="s">
        <v>3118</v>
      </c>
    </row>
    <row r="1951" spans="1:11" x14ac:dyDescent="0.3">
      <c r="A1951" s="259">
        <f t="shared" si="70"/>
        <v>1752</v>
      </c>
      <c r="B1951" s="20" t="s">
        <v>1885</v>
      </c>
      <c r="C1951" s="162">
        <v>1952</v>
      </c>
      <c r="D1951" s="234"/>
      <c r="E1951" s="58" t="s">
        <v>3123</v>
      </c>
      <c r="F1951" s="259">
        <v>2</v>
      </c>
      <c r="G1951" s="58">
        <v>935.2</v>
      </c>
      <c r="H1951" s="9">
        <v>42</v>
      </c>
      <c r="I1951" s="273">
        <f>SUMIF('2020'!B:B,B1951,'2020'!C:C)+SUMIF('2021'!B:B,B1951,'2021'!C:C)+SUMIF('2022'!B:B,B1951,'2022'!C:C)</f>
        <v>106241.14</v>
      </c>
      <c r="J1951" s="59">
        <v>44925</v>
      </c>
      <c r="K1951" s="273" t="s">
        <v>3118</v>
      </c>
    </row>
    <row r="1952" spans="1:11" x14ac:dyDescent="0.3">
      <c r="A1952" s="259">
        <f t="shared" si="70"/>
        <v>1753</v>
      </c>
      <c r="B1952" s="20" t="s">
        <v>1886</v>
      </c>
      <c r="C1952" s="162">
        <v>1952</v>
      </c>
      <c r="D1952" s="234"/>
      <c r="E1952" s="58" t="s">
        <v>3123</v>
      </c>
      <c r="F1952" s="259">
        <v>2</v>
      </c>
      <c r="G1952" s="58">
        <v>906.9</v>
      </c>
      <c r="H1952" s="9">
        <v>44</v>
      </c>
      <c r="I1952" s="273">
        <f>SUMIF('2020'!B:B,B1952,'2020'!C:C)+SUMIF('2021'!B:B,B1952,'2021'!C:C)+SUMIF('2022'!B:B,B1952,'2022'!C:C)</f>
        <v>106738.72</v>
      </c>
      <c r="J1952" s="59">
        <v>44925</v>
      </c>
      <c r="K1952" s="273" t="s">
        <v>3118</v>
      </c>
    </row>
    <row r="1953" spans="1:11" x14ac:dyDescent="0.3">
      <c r="A1953" s="259">
        <f t="shared" si="70"/>
        <v>1754</v>
      </c>
      <c r="B1953" s="20" t="s">
        <v>1887</v>
      </c>
      <c r="C1953" s="162">
        <v>1952</v>
      </c>
      <c r="D1953" s="234"/>
      <c r="E1953" s="58" t="s">
        <v>3123</v>
      </c>
      <c r="F1953" s="259">
        <v>2</v>
      </c>
      <c r="G1953" s="58">
        <v>773</v>
      </c>
      <c r="H1953" s="9">
        <v>33</v>
      </c>
      <c r="I1953" s="273">
        <f>SUMIF('2020'!B:B,B1953,'2020'!C:C)+SUMIF('2021'!B:B,B1953,'2021'!C:C)+SUMIF('2022'!B:B,B1953,'2022'!C:C)</f>
        <v>103400.93</v>
      </c>
      <c r="J1953" s="59">
        <v>44925</v>
      </c>
      <c r="K1953" s="273" t="s">
        <v>3118</v>
      </c>
    </row>
    <row r="1954" spans="1:11" x14ac:dyDescent="0.3">
      <c r="A1954" s="259">
        <f t="shared" si="70"/>
        <v>1755</v>
      </c>
      <c r="B1954" s="20" t="s">
        <v>1888</v>
      </c>
      <c r="C1954" s="162">
        <v>1971</v>
      </c>
      <c r="D1954" s="234"/>
      <c r="E1954" s="58" t="s">
        <v>3123</v>
      </c>
      <c r="F1954" s="259">
        <v>5</v>
      </c>
      <c r="G1954" s="58">
        <v>1487.29</v>
      </c>
      <c r="H1954" s="9">
        <v>64</v>
      </c>
      <c r="I1954" s="273">
        <f>SUMIF('2020'!B:B,B1954,'2020'!C:C)+SUMIF('2021'!B:B,B1954,'2021'!C:C)+SUMIF('2022'!B:B,B1954,'2022'!C:C)</f>
        <v>418175.5</v>
      </c>
      <c r="J1954" s="59">
        <v>44925</v>
      </c>
      <c r="K1954" s="273" t="s">
        <v>3118</v>
      </c>
    </row>
    <row r="1955" spans="1:11" x14ac:dyDescent="0.3">
      <c r="A1955" s="259">
        <f t="shared" si="70"/>
        <v>1756</v>
      </c>
      <c r="B1955" s="20" t="s">
        <v>1889</v>
      </c>
      <c r="C1955" s="162">
        <v>1975</v>
      </c>
      <c r="D1955" s="234"/>
      <c r="E1955" s="58" t="s">
        <v>3123</v>
      </c>
      <c r="F1955" s="259">
        <v>5</v>
      </c>
      <c r="G1955" s="58">
        <v>7810.26</v>
      </c>
      <c r="H1955" s="9">
        <v>405</v>
      </c>
      <c r="I1955" s="273">
        <f>SUMIF('2020'!B:B,B1955,'2020'!C:C)+SUMIF('2021'!B:B,B1955,'2021'!C:C)+SUMIF('2022'!B:B,B1955,'2022'!C:C)</f>
        <v>643959.02</v>
      </c>
      <c r="J1955" s="59">
        <v>44925</v>
      </c>
      <c r="K1955" s="273" t="s">
        <v>3118</v>
      </c>
    </row>
    <row r="1956" spans="1:11" x14ac:dyDescent="0.3">
      <c r="A1956" s="259">
        <f t="shared" si="70"/>
        <v>1757</v>
      </c>
      <c r="B1956" s="20" t="s">
        <v>1890</v>
      </c>
      <c r="C1956" s="162">
        <v>1971</v>
      </c>
      <c r="D1956" s="234"/>
      <c r="E1956" s="58" t="s">
        <v>3123</v>
      </c>
      <c r="F1956" s="259">
        <v>5</v>
      </c>
      <c r="G1956" s="58">
        <v>4039.8</v>
      </c>
      <c r="H1956" s="9">
        <v>202</v>
      </c>
      <c r="I1956" s="273">
        <f>SUMIF('2020'!B:B,B1956,'2020'!C:C)+SUMIF('2021'!B:B,B1956,'2021'!C:C)+SUMIF('2022'!B:B,B1956,'2022'!C:C)</f>
        <v>253973.48</v>
      </c>
      <c r="J1956" s="59">
        <v>44925</v>
      </c>
      <c r="K1956" s="273" t="s">
        <v>3118</v>
      </c>
    </row>
    <row r="1957" spans="1:11" x14ac:dyDescent="0.3">
      <c r="A1957" s="259">
        <f t="shared" si="70"/>
        <v>1758</v>
      </c>
      <c r="B1957" s="20" t="s">
        <v>1891</v>
      </c>
      <c r="C1957" s="162">
        <v>1955</v>
      </c>
      <c r="D1957" s="234"/>
      <c r="E1957" s="58" t="s">
        <v>3123</v>
      </c>
      <c r="F1957" s="58">
        <v>2</v>
      </c>
      <c r="G1957" s="58">
        <v>581.52</v>
      </c>
      <c r="H1957" s="9">
        <v>29</v>
      </c>
      <c r="I1957" s="273">
        <f>SUMIF('2020'!B:B,B1957,'2020'!C:C)+SUMIF('2021'!B:B,B1957,'2021'!C:C)+SUMIF('2022'!B:B,B1957,'2022'!C:C)</f>
        <v>286354</v>
      </c>
      <c r="J1957" s="59">
        <v>44925</v>
      </c>
      <c r="K1957" s="273" t="s">
        <v>3118</v>
      </c>
    </row>
    <row r="1958" spans="1:11" x14ac:dyDescent="0.3">
      <c r="A1958" s="259">
        <f t="shared" si="70"/>
        <v>1759</v>
      </c>
      <c r="B1958" s="20" t="s">
        <v>1892</v>
      </c>
      <c r="C1958" s="162">
        <v>1974</v>
      </c>
      <c r="D1958" s="234"/>
      <c r="E1958" s="58" t="s">
        <v>3123</v>
      </c>
      <c r="F1958" s="58">
        <v>5</v>
      </c>
      <c r="G1958" s="58">
        <v>5937.1</v>
      </c>
      <c r="H1958" s="9">
        <v>278</v>
      </c>
      <c r="I1958" s="273">
        <f>SUMIF('2020'!B:B,B1958,'2020'!C:C)+SUMIF('2021'!B:B,B1958,'2021'!C:C)+SUMIF('2022'!B:B,B1958,'2022'!C:C)</f>
        <v>1283462.23</v>
      </c>
      <c r="J1958" s="59">
        <v>44925</v>
      </c>
      <c r="K1958" s="273" t="s">
        <v>3118</v>
      </c>
    </row>
    <row r="1959" spans="1:11" x14ac:dyDescent="0.3">
      <c r="A1959" s="259">
        <f t="shared" si="70"/>
        <v>1760</v>
      </c>
      <c r="B1959" s="20" t="s">
        <v>1893</v>
      </c>
      <c r="C1959" s="162">
        <v>1976</v>
      </c>
      <c r="D1959" s="234"/>
      <c r="E1959" s="58" t="s">
        <v>3123</v>
      </c>
      <c r="F1959" s="58">
        <v>5</v>
      </c>
      <c r="G1959" s="58">
        <v>5981.1</v>
      </c>
      <c r="H1959" s="9">
        <v>270</v>
      </c>
      <c r="I1959" s="273">
        <f>SUMIF('2020'!B:B,B1959,'2020'!C:C)+SUMIF('2021'!B:B,B1959,'2021'!C:C)+SUMIF('2022'!B:B,B1959,'2022'!C:C)</f>
        <v>571840.38</v>
      </c>
      <c r="J1959" s="59">
        <v>44925</v>
      </c>
      <c r="K1959" s="273" t="s">
        <v>3118</v>
      </c>
    </row>
    <row r="1960" spans="1:11" x14ac:dyDescent="0.3">
      <c r="A1960" s="259">
        <f t="shared" si="70"/>
        <v>1761</v>
      </c>
      <c r="B1960" s="20" t="s">
        <v>1894</v>
      </c>
      <c r="C1960" s="162">
        <v>1961</v>
      </c>
      <c r="D1960" s="234"/>
      <c r="E1960" s="58" t="s">
        <v>3123</v>
      </c>
      <c r="F1960" s="58">
        <v>2</v>
      </c>
      <c r="G1960" s="58">
        <v>364.03</v>
      </c>
      <c r="H1960" s="9">
        <v>19</v>
      </c>
      <c r="I1960" s="273">
        <f>SUMIF('2020'!B:B,B1960,'2020'!C:C)+SUMIF('2021'!B:B,B1960,'2021'!C:C)+SUMIF('2022'!B:B,B1960,'2022'!C:C)</f>
        <v>88586.02</v>
      </c>
      <c r="J1960" s="59">
        <v>44925</v>
      </c>
      <c r="K1960" s="273" t="s">
        <v>3118</v>
      </c>
    </row>
    <row r="1961" spans="1:11" x14ac:dyDescent="0.3">
      <c r="A1961" s="259">
        <f t="shared" ref="A1961:A1976" si="71">A1960+1</f>
        <v>1762</v>
      </c>
      <c r="B1961" s="20" t="s">
        <v>1895</v>
      </c>
      <c r="C1961" s="162">
        <v>1961</v>
      </c>
      <c r="D1961" s="234"/>
      <c r="E1961" s="58" t="s">
        <v>3123</v>
      </c>
      <c r="F1961" s="58">
        <v>2</v>
      </c>
      <c r="G1961" s="58">
        <v>333.94</v>
      </c>
      <c r="H1961" s="9">
        <v>13</v>
      </c>
      <c r="I1961" s="273">
        <f>SUMIF('2020'!B:B,B1961,'2020'!C:C)+SUMIF('2021'!B:B,B1961,'2021'!C:C)+SUMIF('2022'!B:B,B1961,'2022'!C:C)</f>
        <v>88484.89</v>
      </c>
      <c r="J1961" s="59">
        <v>44925</v>
      </c>
      <c r="K1961" s="273" t="s">
        <v>3118</v>
      </c>
    </row>
    <row r="1962" spans="1:11" x14ac:dyDescent="0.3">
      <c r="A1962" s="259">
        <f t="shared" si="71"/>
        <v>1763</v>
      </c>
      <c r="B1962" s="20" t="s">
        <v>1896</v>
      </c>
      <c r="C1962" s="162">
        <v>1951</v>
      </c>
      <c r="D1962" s="234"/>
      <c r="E1962" s="58" t="s">
        <v>3120</v>
      </c>
      <c r="F1962" s="58">
        <v>2</v>
      </c>
      <c r="G1962" s="58">
        <v>341.73</v>
      </c>
      <c r="H1962" s="9">
        <v>30</v>
      </c>
      <c r="I1962" s="273">
        <f>SUMIF('2020'!B:B,B1962,'2020'!C:C)+SUMIF('2021'!B:B,B1962,'2021'!C:C)+SUMIF('2022'!B:B,B1962,'2022'!C:C)</f>
        <v>98187.29</v>
      </c>
      <c r="J1962" s="59">
        <v>44925</v>
      </c>
      <c r="K1962" s="273" t="s">
        <v>3118</v>
      </c>
    </row>
    <row r="1963" spans="1:11" x14ac:dyDescent="0.3">
      <c r="A1963" s="259">
        <f t="shared" si="71"/>
        <v>1764</v>
      </c>
      <c r="B1963" s="20" t="s">
        <v>1897</v>
      </c>
      <c r="C1963" s="162">
        <v>1952</v>
      </c>
      <c r="D1963" s="234"/>
      <c r="E1963" s="58" t="s">
        <v>3120</v>
      </c>
      <c r="F1963" s="58">
        <v>2</v>
      </c>
      <c r="G1963" s="58">
        <v>352.3</v>
      </c>
      <c r="H1963" s="9">
        <v>25</v>
      </c>
      <c r="I1963" s="273">
        <f>SUMIF('2020'!B:B,B1963,'2020'!C:C)+SUMIF('2021'!B:B,B1963,'2021'!C:C)+SUMIF('2022'!B:B,B1963,'2022'!C:C)</f>
        <v>681808</v>
      </c>
      <c r="J1963" s="59">
        <v>44925</v>
      </c>
      <c r="K1963" s="273" t="s">
        <v>3118</v>
      </c>
    </row>
    <row r="1964" spans="1:11" x14ac:dyDescent="0.3">
      <c r="A1964" s="259">
        <f t="shared" si="71"/>
        <v>1765</v>
      </c>
      <c r="B1964" s="20" t="s">
        <v>1898</v>
      </c>
      <c r="C1964" s="162">
        <v>1959</v>
      </c>
      <c r="D1964" s="234"/>
      <c r="E1964" s="58" t="s">
        <v>3120</v>
      </c>
      <c r="F1964" s="58">
        <v>2</v>
      </c>
      <c r="G1964" s="58">
        <v>404.53</v>
      </c>
      <c r="H1964" s="9">
        <v>21</v>
      </c>
      <c r="I1964" s="273">
        <f>SUMIF('2020'!B:B,B1964,'2020'!C:C)+SUMIF('2021'!B:B,B1964,'2021'!C:C)+SUMIF('2022'!B:B,B1964,'2022'!C:C)</f>
        <v>236301.2</v>
      </c>
      <c r="J1964" s="59">
        <v>44925</v>
      </c>
      <c r="K1964" s="273" t="s">
        <v>3118</v>
      </c>
    </row>
    <row r="1965" spans="1:11" x14ac:dyDescent="0.3">
      <c r="A1965" s="259">
        <f t="shared" si="71"/>
        <v>1766</v>
      </c>
      <c r="B1965" s="20" t="s">
        <v>1899</v>
      </c>
      <c r="C1965" s="162">
        <v>1960</v>
      </c>
      <c r="D1965" s="234"/>
      <c r="E1965" s="58" t="s">
        <v>3120</v>
      </c>
      <c r="F1965" s="58">
        <v>2</v>
      </c>
      <c r="G1965" s="58">
        <v>349.63</v>
      </c>
      <c r="H1965" s="9">
        <v>18</v>
      </c>
      <c r="I1965" s="273">
        <f>SUMIF('2020'!B:B,B1965,'2020'!C:C)+SUMIF('2021'!B:B,B1965,'2021'!C:C)+SUMIF('2022'!B:B,B1965,'2022'!C:C)</f>
        <v>96620.75</v>
      </c>
      <c r="J1965" s="59">
        <v>44925</v>
      </c>
      <c r="K1965" s="273" t="s">
        <v>3118</v>
      </c>
    </row>
    <row r="1966" spans="1:11" x14ac:dyDescent="0.3">
      <c r="A1966" s="259">
        <f t="shared" si="71"/>
        <v>1767</v>
      </c>
      <c r="B1966" s="20" t="s">
        <v>1900</v>
      </c>
      <c r="C1966" s="162">
        <v>1960</v>
      </c>
      <c r="D1966" s="234"/>
      <c r="E1966" s="58" t="s">
        <v>3120</v>
      </c>
      <c r="F1966" s="58">
        <v>2</v>
      </c>
      <c r="G1966" s="58">
        <v>341.1</v>
      </c>
      <c r="H1966" s="9">
        <v>24</v>
      </c>
      <c r="I1966" s="273">
        <f>SUMIF('2020'!B:B,B1966,'2020'!C:C)+SUMIF('2021'!B:B,B1966,'2021'!C:C)+SUMIF('2022'!B:B,B1966,'2022'!C:C)</f>
        <v>346668.79999999999</v>
      </c>
      <c r="J1966" s="59">
        <v>44925</v>
      </c>
      <c r="K1966" s="273" t="s">
        <v>3118</v>
      </c>
    </row>
    <row r="1967" spans="1:11" x14ac:dyDescent="0.3">
      <c r="A1967" s="259">
        <f t="shared" si="71"/>
        <v>1768</v>
      </c>
      <c r="B1967" s="20" t="s">
        <v>1901</v>
      </c>
      <c r="C1967" s="162">
        <v>1955</v>
      </c>
      <c r="D1967" s="234"/>
      <c r="E1967" s="58" t="s">
        <v>3120</v>
      </c>
      <c r="F1967" s="58">
        <v>2</v>
      </c>
      <c r="G1967" s="58">
        <v>457.85</v>
      </c>
      <c r="H1967" s="9">
        <v>35</v>
      </c>
      <c r="I1967" s="273">
        <f>SUMIF('2020'!B:B,B1967,'2020'!C:C)+SUMIF('2021'!B:B,B1967,'2021'!C:C)+SUMIF('2022'!B:B,B1967,'2022'!C:C)</f>
        <v>1798063.2000000002</v>
      </c>
      <c r="J1967" s="59">
        <v>44925</v>
      </c>
      <c r="K1967" s="273" t="s">
        <v>3118</v>
      </c>
    </row>
    <row r="1968" spans="1:11" x14ac:dyDescent="0.3">
      <c r="A1968" s="259">
        <f t="shared" si="71"/>
        <v>1769</v>
      </c>
      <c r="B1968" s="20" t="s">
        <v>1902</v>
      </c>
      <c r="C1968" s="162">
        <v>1955</v>
      </c>
      <c r="D1968" s="234"/>
      <c r="E1968" s="58" t="s">
        <v>3123</v>
      </c>
      <c r="F1968" s="58">
        <v>2</v>
      </c>
      <c r="G1968" s="58">
        <v>802.98</v>
      </c>
      <c r="H1968" s="9">
        <v>39</v>
      </c>
      <c r="I1968" s="273">
        <f>SUMIF('2020'!B:B,B1968,'2020'!C:C)+SUMIF('2021'!B:B,B1968,'2021'!C:C)+SUMIF('2022'!B:B,B1968,'2022'!C:C)</f>
        <v>2444239.2000000002</v>
      </c>
      <c r="J1968" s="59">
        <v>44925</v>
      </c>
      <c r="K1968" s="273" t="s">
        <v>3118</v>
      </c>
    </row>
    <row r="1969" spans="1:13" x14ac:dyDescent="0.3">
      <c r="A1969" s="259">
        <f t="shared" si="71"/>
        <v>1770</v>
      </c>
      <c r="B1969" s="20" t="s">
        <v>1903</v>
      </c>
      <c r="C1969" s="162">
        <v>1960</v>
      </c>
      <c r="D1969" s="234"/>
      <c r="E1969" s="58" t="s">
        <v>3123</v>
      </c>
      <c r="F1969" s="58">
        <v>2</v>
      </c>
      <c r="G1969" s="58">
        <v>297.2</v>
      </c>
      <c r="H1969" s="9">
        <v>14</v>
      </c>
      <c r="I1969" s="273">
        <f>SUMIF('2020'!B:B,B1969,'2020'!C:C)+SUMIF('2021'!B:B,B1969,'2021'!C:C)+SUMIF('2022'!B:B,B1969,'2022'!C:C)</f>
        <v>639416.01</v>
      </c>
      <c r="J1969" s="59">
        <v>44925</v>
      </c>
      <c r="K1969" s="273" t="s">
        <v>3118</v>
      </c>
    </row>
    <row r="1970" spans="1:13" x14ac:dyDescent="0.3">
      <c r="A1970" s="259">
        <f t="shared" si="71"/>
        <v>1771</v>
      </c>
      <c r="B1970" s="20" t="s">
        <v>1904</v>
      </c>
      <c r="C1970" s="162">
        <v>1961</v>
      </c>
      <c r="D1970" s="234"/>
      <c r="E1970" s="58" t="s">
        <v>3123</v>
      </c>
      <c r="F1970" s="58">
        <v>2</v>
      </c>
      <c r="G1970" s="58">
        <v>465</v>
      </c>
      <c r="H1970" s="9">
        <v>26</v>
      </c>
      <c r="I1970" s="273">
        <f>SUMIF('2020'!B:B,B1970,'2020'!C:C)+SUMIF('2021'!B:B,B1970,'2021'!C:C)+SUMIF('2022'!B:B,B1970,'2022'!C:C)</f>
        <v>2771653.6</v>
      </c>
      <c r="J1970" s="59">
        <v>44925</v>
      </c>
      <c r="K1970" s="273" t="s">
        <v>3118</v>
      </c>
    </row>
    <row r="1971" spans="1:13" x14ac:dyDescent="0.3">
      <c r="A1971" s="259">
        <f t="shared" si="71"/>
        <v>1772</v>
      </c>
      <c r="B1971" s="20" t="s">
        <v>1905</v>
      </c>
      <c r="C1971" s="162">
        <v>1960</v>
      </c>
      <c r="D1971" s="234"/>
      <c r="E1971" s="58" t="s">
        <v>3123</v>
      </c>
      <c r="F1971" s="58">
        <v>2</v>
      </c>
      <c r="G1971" s="58">
        <v>465</v>
      </c>
      <c r="H1971" s="9">
        <v>20</v>
      </c>
      <c r="I1971" s="273">
        <f>SUMIF('2020'!B:B,B1971,'2020'!C:C)+SUMIF('2021'!B:B,B1971,'2021'!C:C)+SUMIF('2022'!B:B,B1971,'2022'!C:C)</f>
        <v>511012.8</v>
      </c>
      <c r="J1971" s="59">
        <v>44925</v>
      </c>
      <c r="K1971" s="273" t="s">
        <v>3118</v>
      </c>
    </row>
    <row r="1972" spans="1:13" x14ac:dyDescent="0.3">
      <c r="A1972" s="259">
        <f t="shared" si="71"/>
        <v>1773</v>
      </c>
      <c r="B1972" s="20" t="s">
        <v>1906</v>
      </c>
      <c r="C1972" s="162">
        <v>1959</v>
      </c>
      <c r="D1972" s="234"/>
      <c r="E1972" s="58" t="s">
        <v>3123</v>
      </c>
      <c r="F1972" s="58">
        <v>2</v>
      </c>
      <c r="G1972" s="58">
        <v>835.2</v>
      </c>
      <c r="H1972" s="9">
        <v>33</v>
      </c>
      <c r="I1972" s="273">
        <f>SUMIF('2020'!B:B,B1972,'2020'!C:C)+SUMIF('2021'!B:B,B1972,'2021'!C:C)+SUMIF('2022'!B:B,B1972,'2022'!C:C)</f>
        <v>108397.21</v>
      </c>
      <c r="J1972" s="59">
        <v>44925</v>
      </c>
      <c r="K1972" s="273" t="s">
        <v>3118</v>
      </c>
    </row>
    <row r="1973" spans="1:13" x14ac:dyDescent="0.3">
      <c r="A1973" s="259">
        <f t="shared" si="71"/>
        <v>1774</v>
      </c>
      <c r="B1973" s="20" t="s">
        <v>1907</v>
      </c>
      <c r="C1973" s="162">
        <v>1959</v>
      </c>
      <c r="D1973" s="234"/>
      <c r="E1973" s="58" t="s">
        <v>3123</v>
      </c>
      <c r="F1973" s="58">
        <v>2</v>
      </c>
      <c r="G1973" s="58">
        <v>370.6</v>
      </c>
      <c r="H1973" s="9">
        <v>29</v>
      </c>
      <c r="I1973" s="273">
        <f>SUMIF('2020'!B:B,B1973,'2020'!C:C)+SUMIF('2021'!B:B,B1973,'2021'!C:C)+SUMIF('2022'!B:B,B1973,'2022'!C:C)</f>
        <v>432868.84</v>
      </c>
      <c r="J1973" s="59">
        <v>44925</v>
      </c>
      <c r="K1973" s="273" t="s">
        <v>3118</v>
      </c>
    </row>
    <row r="1974" spans="1:13" x14ac:dyDescent="0.3">
      <c r="A1974" s="259">
        <f t="shared" si="71"/>
        <v>1775</v>
      </c>
      <c r="B1974" s="20" t="s">
        <v>1908</v>
      </c>
      <c r="C1974" s="162">
        <v>1963</v>
      </c>
      <c r="D1974" s="234"/>
      <c r="E1974" s="58" t="s">
        <v>3123</v>
      </c>
      <c r="F1974" s="58">
        <v>2</v>
      </c>
      <c r="G1974" s="58">
        <v>504.47</v>
      </c>
      <c r="H1974" s="9">
        <v>24</v>
      </c>
      <c r="I1974" s="273">
        <f>SUMIF('2020'!B:B,B1974,'2020'!C:C)+SUMIF('2021'!B:B,B1974,'2021'!C:C)+SUMIF('2022'!B:B,B1974,'2022'!C:C)</f>
        <v>515491.26</v>
      </c>
      <c r="J1974" s="59">
        <v>44925</v>
      </c>
      <c r="K1974" s="273" t="s">
        <v>3118</v>
      </c>
    </row>
    <row r="1975" spans="1:13" x14ac:dyDescent="0.3">
      <c r="A1975" s="259">
        <f t="shared" si="71"/>
        <v>1776</v>
      </c>
      <c r="B1975" s="20" t="s">
        <v>1909</v>
      </c>
      <c r="C1975" s="162">
        <v>1962</v>
      </c>
      <c r="D1975" s="234"/>
      <c r="E1975" s="58" t="s">
        <v>3123</v>
      </c>
      <c r="F1975" s="58">
        <v>2</v>
      </c>
      <c r="G1975" s="58">
        <v>530.04</v>
      </c>
      <c r="H1975" s="9">
        <v>17</v>
      </c>
      <c r="I1975" s="273">
        <f>SUMIF('2020'!B:B,B1975,'2020'!C:C)+SUMIF('2021'!B:B,B1975,'2021'!C:C)+SUMIF('2022'!B:B,B1975,'2022'!C:C)</f>
        <v>491548.8</v>
      </c>
      <c r="J1975" s="59">
        <v>44925</v>
      </c>
      <c r="K1975" s="273" t="s">
        <v>3118</v>
      </c>
    </row>
    <row r="1976" spans="1:13" x14ac:dyDescent="0.3">
      <c r="A1976" s="259">
        <f t="shared" si="71"/>
        <v>1777</v>
      </c>
      <c r="B1976" s="20" t="s">
        <v>1910</v>
      </c>
      <c r="C1976" s="162">
        <v>1963</v>
      </c>
      <c r="D1976" s="234"/>
      <c r="E1976" s="58" t="s">
        <v>3123</v>
      </c>
      <c r="F1976" s="58">
        <v>2</v>
      </c>
      <c r="G1976" s="58">
        <v>495.85</v>
      </c>
      <c r="H1976" s="9">
        <v>17</v>
      </c>
      <c r="I1976" s="273">
        <f>SUMIF('2020'!B:B,B1976,'2020'!C:C)+SUMIF('2021'!B:B,B1976,'2021'!C:C)+SUMIF('2022'!B:B,B1976,'2022'!C:C)</f>
        <v>440361.6</v>
      </c>
      <c r="J1976" s="59">
        <v>44925</v>
      </c>
      <c r="K1976" s="273" t="s">
        <v>3118</v>
      </c>
    </row>
    <row r="1977" spans="1:13" x14ac:dyDescent="0.3">
      <c r="A1977" s="259"/>
      <c r="B1977" s="20" t="s">
        <v>208</v>
      </c>
      <c r="C1977" s="273" t="s">
        <v>3558</v>
      </c>
      <c r="D1977" s="273" t="s">
        <v>3558</v>
      </c>
      <c r="E1977" s="273" t="s">
        <v>3558</v>
      </c>
      <c r="F1977" s="273" t="s">
        <v>3558</v>
      </c>
      <c r="G1977" s="273">
        <f>SUM(G1928:G1976)</f>
        <v>76434.080000000031</v>
      </c>
      <c r="H1977" s="10">
        <f>SUM(H1928:H1976)</f>
        <v>3341</v>
      </c>
      <c r="I1977" s="273">
        <f>SUM(I1928:I1976)</f>
        <v>42603007.150000006</v>
      </c>
      <c r="J1977" s="273" t="s">
        <v>3558</v>
      </c>
      <c r="K1977" s="273" t="s">
        <v>3558</v>
      </c>
      <c r="L1977" s="197"/>
    </row>
    <row r="1978" spans="1:13" s="43" customFormat="1" x14ac:dyDescent="0.3">
      <c r="A1978" s="291" t="s">
        <v>1911</v>
      </c>
      <c r="B1978" s="291"/>
      <c r="C1978" s="251" t="s">
        <v>3558</v>
      </c>
      <c r="D1978" s="251" t="s">
        <v>3558</v>
      </c>
      <c r="E1978" s="251" t="s">
        <v>3558</v>
      </c>
      <c r="F1978" s="251" t="s">
        <v>3558</v>
      </c>
      <c r="G1978" s="251">
        <f>G1977+G1926+G1917+G1905+G1898+G1894+G1890+G1884+G1839+G1832</f>
        <v>385836.52000000008</v>
      </c>
      <c r="H1978" s="132">
        <f>H1977+H1926+H1917+H1905+H1898+H1894+H1890+H1884+H1839+H1832</f>
        <v>17226</v>
      </c>
      <c r="I1978" s="251">
        <f>I1977+I1926+I1917+I1905+I1898+I1894+I1890+I1884+I1839+I1832</f>
        <v>447522076.94999993</v>
      </c>
      <c r="J1978" s="251" t="s">
        <v>3558</v>
      </c>
      <c r="K1978" s="251" t="s">
        <v>3558</v>
      </c>
      <c r="L1978" s="196">
        <f>I1978-'2020'!C470-'2021'!C1447-'2022'!C596</f>
        <v>-1.1920928955078125E-7</v>
      </c>
      <c r="M1978" s="198"/>
    </row>
    <row r="1979" spans="1:13" s="43" customFormat="1" x14ac:dyDescent="0.3">
      <c r="A1979" s="303" t="s">
        <v>1912</v>
      </c>
      <c r="B1979" s="303"/>
      <c r="C1979" s="303"/>
      <c r="D1979" s="303"/>
      <c r="E1979" s="303"/>
      <c r="F1979" s="303"/>
      <c r="G1979" s="303"/>
      <c r="H1979" s="303"/>
      <c r="I1979" s="303"/>
      <c r="J1979" s="303"/>
      <c r="K1979" s="303"/>
      <c r="L1979" s="198"/>
      <c r="M1979" s="198"/>
    </row>
    <row r="1980" spans="1:13" x14ac:dyDescent="0.3">
      <c r="A1980" s="249" t="s">
        <v>1913</v>
      </c>
      <c r="B1980" s="249"/>
      <c r="C1980" s="251"/>
      <c r="D1980" s="251"/>
      <c r="E1980" s="251"/>
      <c r="F1980" s="251"/>
      <c r="G1980" s="251"/>
      <c r="H1980" s="132"/>
      <c r="I1980" s="251"/>
      <c r="J1980" s="251"/>
      <c r="K1980" s="251"/>
    </row>
    <row r="1981" spans="1:13" x14ac:dyDescent="0.3">
      <c r="A1981" s="259">
        <f>A1976+1</f>
        <v>1778</v>
      </c>
      <c r="B1981" s="20" t="s">
        <v>1914</v>
      </c>
      <c r="C1981" s="162">
        <v>1950</v>
      </c>
      <c r="D1981" s="234"/>
      <c r="E1981" s="234" t="s">
        <v>3123</v>
      </c>
      <c r="F1981" s="10">
        <v>2</v>
      </c>
      <c r="G1981" s="234">
        <v>894.4</v>
      </c>
      <c r="H1981" s="10">
        <v>22</v>
      </c>
      <c r="I1981" s="273">
        <f>SUMIF('2020'!B:B,B1981,'2020'!C:C)+SUMIF('2021'!B:B,B1981,'2021'!C:C)+SUMIF('2022'!B:B,B1981,'2022'!C:C)</f>
        <v>130000</v>
      </c>
      <c r="J1981" s="59">
        <v>44925</v>
      </c>
      <c r="K1981" s="273" t="s">
        <v>3118</v>
      </c>
    </row>
    <row r="1982" spans="1:13" x14ac:dyDescent="0.3">
      <c r="A1982" s="250" t="s">
        <v>208</v>
      </c>
      <c r="B1982" s="250"/>
      <c r="C1982" s="273" t="s">
        <v>3558</v>
      </c>
      <c r="D1982" s="273" t="s">
        <v>3558</v>
      </c>
      <c r="E1982" s="273" t="s">
        <v>3558</v>
      </c>
      <c r="F1982" s="273" t="s">
        <v>3558</v>
      </c>
      <c r="G1982" s="273">
        <f>SUM(G1981)</f>
        <v>894.4</v>
      </c>
      <c r="H1982" s="10">
        <f>SUM(H1981)</f>
        <v>22</v>
      </c>
      <c r="I1982" s="273">
        <f>SUM(I1981)</f>
        <v>130000</v>
      </c>
      <c r="J1982" s="273" t="s">
        <v>3558</v>
      </c>
      <c r="K1982" s="273" t="s">
        <v>3558</v>
      </c>
      <c r="L1982" s="197">
        <f>I1982-'2022'!C600</f>
        <v>0</v>
      </c>
    </row>
    <row r="1983" spans="1:13" x14ac:dyDescent="0.3">
      <c r="A1983" s="249" t="s">
        <v>1915</v>
      </c>
      <c r="B1983" s="249"/>
      <c r="C1983" s="273"/>
      <c r="D1983" s="234"/>
      <c r="E1983" s="234"/>
      <c r="F1983" s="234"/>
      <c r="G1983" s="234"/>
      <c r="H1983" s="10"/>
      <c r="I1983" s="273"/>
      <c r="J1983" s="273"/>
      <c r="K1983" s="273"/>
    </row>
    <row r="1984" spans="1:13" x14ac:dyDescent="0.3">
      <c r="A1984" s="259">
        <f>A1981+1</f>
        <v>1779</v>
      </c>
      <c r="B1984" s="20" t="s">
        <v>1916</v>
      </c>
      <c r="C1984" s="162">
        <v>1976</v>
      </c>
      <c r="D1984" s="234"/>
      <c r="E1984" s="234" t="s">
        <v>3123</v>
      </c>
      <c r="F1984" s="10">
        <v>2</v>
      </c>
      <c r="G1984" s="234">
        <v>894.4</v>
      </c>
      <c r="H1984" s="10">
        <v>22</v>
      </c>
      <c r="I1984" s="273">
        <f>SUMIF('2020'!B:B,B1984,'2020'!C:C)+SUMIF('2021'!B:B,B1984,'2021'!C:C)+SUMIF('2022'!B:B,B1984,'2022'!C:C)</f>
        <v>180279.78</v>
      </c>
      <c r="J1984" s="59">
        <v>44925</v>
      </c>
      <c r="K1984" s="273" t="s">
        <v>3118</v>
      </c>
    </row>
    <row r="1985" spans="1:11" x14ac:dyDescent="0.3">
      <c r="A1985" s="259">
        <f t="shared" ref="A1985:A2016" si="72">A1984+1</f>
        <v>1780</v>
      </c>
      <c r="B1985" s="20" t="s">
        <v>1917</v>
      </c>
      <c r="C1985" s="162">
        <v>1927</v>
      </c>
      <c r="D1985" s="234"/>
      <c r="E1985" s="273"/>
      <c r="F1985" s="10"/>
      <c r="G1985" s="234"/>
      <c r="H1985" s="10"/>
      <c r="I1985" s="273">
        <f>SUMIF('2020'!B:B,B1985,'2020'!C:C)+SUMIF('2021'!B:B,B1985,'2021'!C:C)+SUMIF('2022'!B:B,B1985,'2022'!C:C)</f>
        <v>2088860.4</v>
      </c>
      <c r="J1985" s="59">
        <v>44925</v>
      </c>
      <c r="K1985" s="273" t="s">
        <v>3118</v>
      </c>
    </row>
    <row r="1986" spans="1:11" x14ac:dyDescent="0.3">
      <c r="A1986" s="259">
        <f t="shared" si="72"/>
        <v>1781</v>
      </c>
      <c r="B1986" s="20" t="s">
        <v>1918</v>
      </c>
      <c r="C1986" s="162">
        <v>1983</v>
      </c>
      <c r="D1986" s="234"/>
      <c r="E1986" s="234" t="s">
        <v>3121</v>
      </c>
      <c r="F1986" s="10">
        <v>2</v>
      </c>
      <c r="G1986" s="234">
        <v>644.1</v>
      </c>
      <c r="H1986" s="10">
        <v>18</v>
      </c>
      <c r="I1986" s="273">
        <f>SUMIF('2020'!B:B,B1986,'2020'!C:C)+SUMIF('2021'!B:B,B1986,'2021'!C:C)+SUMIF('2022'!B:B,B1986,'2022'!C:C)</f>
        <v>2130774</v>
      </c>
      <c r="J1986" s="59">
        <v>44925</v>
      </c>
      <c r="K1986" s="273" t="s">
        <v>3118</v>
      </c>
    </row>
    <row r="1987" spans="1:11" x14ac:dyDescent="0.3">
      <c r="A1987" s="259">
        <f t="shared" si="72"/>
        <v>1782</v>
      </c>
      <c r="B1987" s="20" t="s">
        <v>1919</v>
      </c>
      <c r="C1987" s="162">
        <v>1976</v>
      </c>
      <c r="D1987" s="234"/>
      <c r="E1987" s="234" t="s">
        <v>3121</v>
      </c>
      <c r="F1987" s="10">
        <v>2</v>
      </c>
      <c r="G1987" s="234">
        <v>615.6</v>
      </c>
      <c r="H1987" s="10">
        <v>16</v>
      </c>
      <c r="I1987" s="273">
        <f>SUMIF('2020'!B:B,B1987,'2020'!C:C)+SUMIF('2021'!B:B,B1987,'2021'!C:C)+SUMIF('2022'!B:B,B1987,'2022'!C:C)</f>
        <v>157829.07999999999</v>
      </c>
      <c r="J1987" s="59">
        <v>44925</v>
      </c>
      <c r="K1987" s="273" t="s">
        <v>3118</v>
      </c>
    </row>
    <row r="1988" spans="1:11" x14ac:dyDescent="0.3">
      <c r="A1988" s="259">
        <f t="shared" si="72"/>
        <v>1783</v>
      </c>
      <c r="B1988" s="20" t="s">
        <v>1920</v>
      </c>
      <c r="C1988" s="162">
        <v>1927</v>
      </c>
      <c r="D1988" s="234"/>
      <c r="E1988" s="234"/>
      <c r="F1988" s="10"/>
      <c r="G1988" s="234"/>
      <c r="H1988" s="10"/>
      <c r="I1988" s="273">
        <f>SUMIF('2020'!B:B,B1988,'2020'!C:C)+SUMIF('2021'!B:B,B1988,'2021'!C:C)+SUMIF('2022'!B:B,B1988,'2022'!C:C)</f>
        <v>2083266</v>
      </c>
      <c r="J1988" s="59">
        <v>44925</v>
      </c>
      <c r="K1988" s="273" t="s">
        <v>3118</v>
      </c>
    </row>
    <row r="1989" spans="1:11" x14ac:dyDescent="0.3">
      <c r="A1989" s="259">
        <f t="shared" si="72"/>
        <v>1784</v>
      </c>
      <c r="B1989" s="20" t="s">
        <v>1921</v>
      </c>
      <c r="C1989" s="162">
        <v>1982</v>
      </c>
      <c r="D1989" s="234"/>
      <c r="E1989" s="234" t="s">
        <v>3121</v>
      </c>
      <c r="F1989" s="10">
        <v>2</v>
      </c>
      <c r="G1989" s="234">
        <v>634.79999999999995</v>
      </c>
      <c r="H1989" s="10">
        <v>16</v>
      </c>
      <c r="I1989" s="273">
        <f>SUMIF('2020'!B:B,B1989,'2020'!C:C)+SUMIF('2021'!B:B,B1989,'2021'!C:C)+SUMIF('2022'!B:B,B1989,'2022'!C:C)</f>
        <v>164217.9</v>
      </c>
      <c r="J1989" s="59">
        <v>44925</v>
      </c>
      <c r="K1989" s="273" t="s">
        <v>3118</v>
      </c>
    </row>
    <row r="1990" spans="1:11" x14ac:dyDescent="0.3">
      <c r="A1990" s="259">
        <f t="shared" si="72"/>
        <v>1785</v>
      </c>
      <c r="B1990" s="20" t="s">
        <v>1922</v>
      </c>
      <c r="C1990" s="162">
        <v>1977</v>
      </c>
      <c r="D1990" s="234"/>
      <c r="E1990" s="234" t="s">
        <v>3121</v>
      </c>
      <c r="F1990" s="10">
        <v>2</v>
      </c>
      <c r="G1990" s="234">
        <v>613.1</v>
      </c>
      <c r="H1990" s="10">
        <v>17</v>
      </c>
      <c r="I1990" s="273">
        <f>SUMIF('2020'!B:B,B1990,'2020'!C:C)+SUMIF('2021'!B:B,B1990,'2021'!C:C)+SUMIF('2022'!B:B,B1990,'2022'!C:C)</f>
        <v>158608.21</v>
      </c>
      <c r="J1990" s="59">
        <v>44925</v>
      </c>
      <c r="K1990" s="273" t="s">
        <v>3118</v>
      </c>
    </row>
    <row r="1991" spans="1:11" x14ac:dyDescent="0.3">
      <c r="A1991" s="259">
        <f t="shared" si="72"/>
        <v>1786</v>
      </c>
      <c r="B1991" s="20" t="s">
        <v>1923</v>
      </c>
      <c r="C1991" s="162">
        <v>1927</v>
      </c>
      <c r="D1991" s="234"/>
      <c r="E1991" s="234"/>
      <c r="F1991" s="10"/>
      <c r="G1991" s="273"/>
      <c r="H1991" s="10"/>
      <c r="I1991" s="273">
        <f>SUMIF('2020'!B:B,B1991,'2020'!C:C)+SUMIF('2021'!B:B,B1991,'2021'!C:C)+SUMIF('2022'!B:B,B1991,'2022'!C:C)</f>
        <v>1858096.8</v>
      </c>
      <c r="J1991" s="59">
        <v>44925</v>
      </c>
      <c r="K1991" s="273" t="s">
        <v>3118</v>
      </c>
    </row>
    <row r="1992" spans="1:11" x14ac:dyDescent="0.3">
      <c r="A1992" s="259">
        <f t="shared" si="72"/>
        <v>1787</v>
      </c>
      <c r="B1992" s="20" t="s">
        <v>1924</v>
      </c>
      <c r="C1992" s="162">
        <v>1978</v>
      </c>
      <c r="D1992" s="234"/>
      <c r="E1992" s="234" t="s">
        <v>3121</v>
      </c>
      <c r="F1992" s="10">
        <v>2</v>
      </c>
      <c r="G1992" s="234">
        <v>609.79999999999995</v>
      </c>
      <c r="H1992" s="10">
        <v>18</v>
      </c>
      <c r="I1992" s="273">
        <f>SUMIF('2020'!B:B,B1992,'2020'!C:C)+SUMIF('2021'!B:B,B1992,'2021'!C:C)+SUMIF('2022'!B:B,B1992,'2022'!C:C)</f>
        <v>160088.54</v>
      </c>
      <c r="J1992" s="59">
        <v>44925</v>
      </c>
      <c r="K1992" s="273" t="s">
        <v>3118</v>
      </c>
    </row>
    <row r="1993" spans="1:11" x14ac:dyDescent="0.3">
      <c r="A1993" s="259">
        <f t="shared" si="72"/>
        <v>1788</v>
      </c>
      <c r="B1993" s="20" t="s">
        <v>1925</v>
      </c>
      <c r="C1993" s="162">
        <v>1980</v>
      </c>
      <c r="D1993" s="234"/>
      <c r="E1993" s="234" t="s">
        <v>3121</v>
      </c>
      <c r="F1993" s="10">
        <v>2</v>
      </c>
      <c r="G1993" s="234">
        <v>619.20000000000005</v>
      </c>
      <c r="H1993" s="10">
        <v>12</v>
      </c>
      <c r="I1993" s="273">
        <f>SUMIF('2020'!B:B,B1993,'2020'!C:C)+SUMIF('2021'!B:B,B1993,'2021'!C:C)+SUMIF('2022'!B:B,B1993,'2022'!C:C)</f>
        <v>158997.76000000001</v>
      </c>
      <c r="J1993" s="59">
        <v>44925</v>
      </c>
      <c r="K1993" s="273" t="s">
        <v>3118</v>
      </c>
    </row>
    <row r="1994" spans="1:11" x14ac:dyDescent="0.3">
      <c r="A1994" s="259">
        <f t="shared" si="72"/>
        <v>1789</v>
      </c>
      <c r="B1994" s="20" t="s">
        <v>1926</v>
      </c>
      <c r="C1994" s="162">
        <v>1967</v>
      </c>
      <c r="D1994" s="234"/>
      <c r="E1994" s="273" t="s">
        <v>3129</v>
      </c>
      <c r="F1994" s="10">
        <v>5</v>
      </c>
      <c r="G1994" s="234">
        <v>4757</v>
      </c>
      <c r="H1994" s="10">
        <v>140</v>
      </c>
      <c r="I1994" s="273">
        <f>SUMIF('2020'!B:B,B1994,'2020'!C:C)+SUMIF('2021'!B:B,B1994,'2021'!C:C)+SUMIF('2022'!B:B,B1994,'2022'!C:C)</f>
        <v>259698.79</v>
      </c>
      <c r="J1994" s="59">
        <v>44925</v>
      </c>
      <c r="K1994" s="273" t="s">
        <v>3118</v>
      </c>
    </row>
    <row r="1995" spans="1:11" x14ac:dyDescent="0.3">
      <c r="A1995" s="259">
        <f t="shared" si="72"/>
        <v>1790</v>
      </c>
      <c r="B1995" s="20" t="s">
        <v>1927</v>
      </c>
      <c r="C1995" s="162">
        <v>1971</v>
      </c>
      <c r="D1995" s="234"/>
      <c r="E1995" s="273" t="s">
        <v>3129</v>
      </c>
      <c r="F1995" s="10">
        <v>5</v>
      </c>
      <c r="G1995" s="234">
        <v>7935.7</v>
      </c>
      <c r="H1995" s="10">
        <v>266</v>
      </c>
      <c r="I1995" s="273">
        <f>SUMIF('2020'!B:B,B1995,'2020'!C:C)+SUMIF('2021'!B:B,B1995,'2021'!C:C)+SUMIF('2022'!B:B,B1995,'2022'!C:C)</f>
        <v>13455486.85</v>
      </c>
      <c r="J1995" s="59">
        <v>44925</v>
      </c>
      <c r="K1995" s="273" t="s">
        <v>3118</v>
      </c>
    </row>
    <row r="1996" spans="1:11" x14ac:dyDescent="0.3">
      <c r="A1996" s="259">
        <f t="shared" si="72"/>
        <v>1791</v>
      </c>
      <c r="B1996" s="20" t="s">
        <v>1928</v>
      </c>
      <c r="C1996" s="162">
        <v>1971</v>
      </c>
      <c r="D1996" s="234"/>
      <c r="E1996" s="273" t="s">
        <v>3123</v>
      </c>
      <c r="F1996" s="10">
        <v>5</v>
      </c>
      <c r="G1996" s="234">
        <v>5408.9</v>
      </c>
      <c r="H1996" s="10">
        <v>189</v>
      </c>
      <c r="I1996" s="273">
        <f>SUMIF('2020'!B:B,B1996,'2020'!C:C)+SUMIF('2021'!B:B,B1996,'2021'!C:C)+SUMIF('2022'!B:B,B1996,'2022'!C:C)</f>
        <v>2573588.2599999998</v>
      </c>
      <c r="J1996" s="59">
        <v>44925</v>
      </c>
      <c r="K1996" s="273" t="s">
        <v>3118</v>
      </c>
    </row>
    <row r="1997" spans="1:11" x14ac:dyDescent="0.3">
      <c r="A1997" s="259">
        <f t="shared" si="72"/>
        <v>1792</v>
      </c>
      <c r="B1997" s="20" t="s">
        <v>1930</v>
      </c>
      <c r="C1997" s="162">
        <v>1958</v>
      </c>
      <c r="D1997" s="234"/>
      <c r="E1997" s="273" t="s">
        <v>3123</v>
      </c>
      <c r="F1997" s="10">
        <v>2</v>
      </c>
      <c r="G1997" s="234">
        <v>1529.2</v>
      </c>
      <c r="H1997" s="10">
        <v>34</v>
      </c>
      <c r="I1997" s="273">
        <f>SUMIF('2020'!B:B,B1997,'2020'!C:C)+SUMIF('2021'!B:B,B1997,'2021'!C:C)+SUMIF('2022'!B:B,B1997,'2022'!C:C)</f>
        <v>197631.12</v>
      </c>
      <c r="J1997" s="59">
        <v>44925</v>
      </c>
      <c r="K1997" s="273" t="s">
        <v>3118</v>
      </c>
    </row>
    <row r="1998" spans="1:11" x14ac:dyDescent="0.3">
      <c r="A1998" s="259">
        <f t="shared" si="72"/>
        <v>1793</v>
      </c>
      <c r="B1998" s="20" t="s">
        <v>1931</v>
      </c>
      <c r="C1998" s="162">
        <v>1958</v>
      </c>
      <c r="D1998" s="234"/>
      <c r="E1998" s="273" t="s">
        <v>3123</v>
      </c>
      <c r="F1998" s="10">
        <v>3</v>
      </c>
      <c r="G1998" s="234">
        <v>1474.4</v>
      </c>
      <c r="H1998" s="10">
        <v>41</v>
      </c>
      <c r="I1998" s="273">
        <f>SUMIF('2020'!B:B,B1998,'2020'!C:C)+SUMIF('2021'!B:B,B1998,'2021'!C:C)+SUMIF('2022'!B:B,B1998,'2022'!C:C)</f>
        <v>5302280.1999999993</v>
      </c>
      <c r="J1998" s="59">
        <v>44925</v>
      </c>
      <c r="K1998" s="273" t="s">
        <v>3118</v>
      </c>
    </row>
    <row r="1999" spans="1:11" x14ac:dyDescent="0.3">
      <c r="A1999" s="259">
        <f t="shared" si="72"/>
        <v>1794</v>
      </c>
      <c r="B1999" s="20" t="s">
        <v>1932</v>
      </c>
      <c r="C1999" s="162">
        <v>1958</v>
      </c>
      <c r="D1999" s="234"/>
      <c r="E1999" s="273" t="s">
        <v>3123</v>
      </c>
      <c r="F1999" s="10">
        <v>2</v>
      </c>
      <c r="G1999" s="234">
        <v>1116.0999999999999</v>
      </c>
      <c r="H1999" s="10">
        <v>13</v>
      </c>
      <c r="I1999" s="273">
        <f>SUMIF('2020'!B:B,B1999,'2020'!C:C)+SUMIF('2021'!B:B,B1999,'2021'!C:C)+SUMIF('2022'!B:B,B1999,'2022'!C:C)</f>
        <v>114372.25</v>
      </c>
      <c r="J1999" s="59">
        <v>44925</v>
      </c>
      <c r="K1999" s="273" t="s">
        <v>3118</v>
      </c>
    </row>
    <row r="2000" spans="1:11" x14ac:dyDescent="0.3">
      <c r="A2000" s="259">
        <f t="shared" si="72"/>
        <v>1795</v>
      </c>
      <c r="B2000" s="20" t="s">
        <v>1933</v>
      </c>
      <c r="C2000" s="162">
        <v>1975</v>
      </c>
      <c r="D2000" s="234"/>
      <c r="E2000" s="273" t="s">
        <v>3123</v>
      </c>
      <c r="F2000" s="10">
        <v>5</v>
      </c>
      <c r="G2000" s="234">
        <v>9217.7999999999993</v>
      </c>
      <c r="H2000" s="10">
        <v>258</v>
      </c>
      <c r="I2000" s="273">
        <f>SUMIF('2020'!B:B,B2000,'2020'!C:C)+SUMIF('2021'!B:B,B2000,'2021'!C:C)+SUMIF('2022'!B:B,B2000,'2022'!C:C)</f>
        <v>563065.97</v>
      </c>
      <c r="J2000" s="59">
        <v>44925</v>
      </c>
      <c r="K2000" s="273" t="s">
        <v>3118</v>
      </c>
    </row>
    <row r="2001" spans="1:11" x14ac:dyDescent="0.3">
      <c r="A2001" s="259">
        <f t="shared" si="72"/>
        <v>1796</v>
      </c>
      <c r="B2001" s="20" t="s">
        <v>1934</v>
      </c>
      <c r="C2001" s="162">
        <v>1988</v>
      </c>
      <c r="D2001" s="234"/>
      <c r="E2001" s="273" t="s">
        <v>3123</v>
      </c>
      <c r="F2001" s="10">
        <v>5</v>
      </c>
      <c r="G2001" s="234">
        <v>5071</v>
      </c>
      <c r="H2001" s="10">
        <v>147</v>
      </c>
      <c r="I2001" s="273">
        <f>SUMIF('2020'!B:B,B2001,'2020'!C:C)+SUMIF('2021'!B:B,B2001,'2021'!C:C)+SUMIF('2022'!B:B,B2001,'2022'!C:C)</f>
        <v>380090.65</v>
      </c>
      <c r="J2001" s="59">
        <v>44925</v>
      </c>
      <c r="K2001" s="273" t="s">
        <v>3118</v>
      </c>
    </row>
    <row r="2002" spans="1:11" x14ac:dyDescent="0.3">
      <c r="A2002" s="259">
        <f t="shared" si="72"/>
        <v>1797</v>
      </c>
      <c r="B2002" s="20" t="s">
        <v>1935</v>
      </c>
      <c r="C2002" s="162">
        <v>1967</v>
      </c>
      <c r="D2002" s="234"/>
      <c r="E2002" s="273" t="s">
        <v>3129</v>
      </c>
      <c r="F2002" s="10">
        <v>5</v>
      </c>
      <c r="G2002" s="273">
        <v>7466.4</v>
      </c>
      <c r="H2002" s="10">
        <v>197</v>
      </c>
      <c r="I2002" s="273">
        <f>SUMIF('2020'!B:B,B2002,'2020'!C:C)+SUMIF('2021'!B:B,B2002,'2021'!C:C)+SUMIF('2022'!B:B,B2002,'2022'!C:C)</f>
        <v>2664496.7999999998</v>
      </c>
      <c r="J2002" s="59">
        <v>44925</v>
      </c>
      <c r="K2002" s="273" t="s">
        <v>3118</v>
      </c>
    </row>
    <row r="2003" spans="1:11" x14ac:dyDescent="0.3">
      <c r="A2003" s="259">
        <f t="shared" si="72"/>
        <v>1798</v>
      </c>
      <c r="B2003" s="20" t="s">
        <v>1936</v>
      </c>
      <c r="C2003" s="162">
        <v>1986</v>
      </c>
      <c r="D2003" s="234"/>
      <c r="E2003" s="273" t="s">
        <v>3129</v>
      </c>
      <c r="F2003" s="10">
        <v>5</v>
      </c>
      <c r="G2003" s="234">
        <v>7521.2</v>
      </c>
      <c r="H2003" s="10">
        <v>213</v>
      </c>
      <c r="I2003" s="273">
        <f>SUMIF('2020'!B:B,B2003,'2020'!C:C)+SUMIF('2021'!B:B,B2003,'2021'!C:C)+SUMIF('2022'!B:B,B2003,'2022'!C:C)</f>
        <v>1523573.22</v>
      </c>
      <c r="J2003" s="59">
        <v>44925</v>
      </c>
      <c r="K2003" s="273" t="s">
        <v>3118</v>
      </c>
    </row>
    <row r="2004" spans="1:11" x14ac:dyDescent="0.3">
      <c r="A2004" s="259">
        <f t="shared" si="72"/>
        <v>1799</v>
      </c>
      <c r="B2004" s="20" t="s">
        <v>1937</v>
      </c>
      <c r="C2004" s="162">
        <v>1971</v>
      </c>
      <c r="D2004" s="234"/>
      <c r="E2004" s="273" t="s">
        <v>3129</v>
      </c>
      <c r="F2004" s="10">
        <v>5</v>
      </c>
      <c r="G2004" s="234">
        <v>7435.7</v>
      </c>
      <c r="H2004" s="10">
        <v>234</v>
      </c>
      <c r="I2004" s="273">
        <f>SUMIF('2020'!B:B,B2004,'2020'!C:C)+SUMIF('2021'!B:B,B2004,'2021'!C:C)+SUMIF('2022'!B:B,B2004,'2022'!C:C)</f>
        <v>387388.9</v>
      </c>
      <c r="J2004" s="59">
        <v>44925</v>
      </c>
      <c r="K2004" s="273" t="s">
        <v>3118</v>
      </c>
    </row>
    <row r="2005" spans="1:11" x14ac:dyDescent="0.3">
      <c r="A2005" s="259">
        <f t="shared" si="72"/>
        <v>1800</v>
      </c>
      <c r="B2005" s="20" t="s">
        <v>1938</v>
      </c>
      <c r="C2005" s="162">
        <v>1988</v>
      </c>
      <c r="D2005" s="234"/>
      <c r="E2005" s="273" t="s">
        <v>3129</v>
      </c>
      <c r="F2005" s="10">
        <v>5</v>
      </c>
      <c r="G2005" s="234">
        <v>5076.7</v>
      </c>
      <c r="H2005" s="10">
        <v>143</v>
      </c>
      <c r="I2005" s="273">
        <f>SUMIF('2020'!B:B,B2005,'2020'!C:C)+SUMIF('2021'!B:B,B2005,'2021'!C:C)+SUMIF('2022'!B:B,B2005,'2022'!C:C)</f>
        <v>1211219.3799999999</v>
      </c>
      <c r="J2005" s="59">
        <v>44925</v>
      </c>
      <c r="K2005" s="273" t="s">
        <v>3118</v>
      </c>
    </row>
    <row r="2006" spans="1:11" x14ac:dyDescent="0.3">
      <c r="A2006" s="259">
        <f t="shared" si="72"/>
        <v>1801</v>
      </c>
      <c r="B2006" s="20" t="s">
        <v>1939</v>
      </c>
      <c r="C2006" s="162">
        <v>1978</v>
      </c>
      <c r="D2006" s="234"/>
      <c r="E2006" s="273" t="s">
        <v>3129</v>
      </c>
      <c r="F2006" s="10">
        <v>5</v>
      </c>
      <c r="G2006" s="234">
        <v>6303.8</v>
      </c>
      <c r="H2006" s="10">
        <v>188</v>
      </c>
      <c r="I2006" s="273">
        <f>SUMIF('2020'!B:B,B2006,'2020'!C:C)+SUMIF('2021'!B:B,B2006,'2021'!C:C)+SUMIF('2022'!B:B,B2006,'2022'!C:C)</f>
        <v>269972.62</v>
      </c>
      <c r="J2006" s="59">
        <v>44925</v>
      </c>
      <c r="K2006" s="273" t="s">
        <v>3118</v>
      </c>
    </row>
    <row r="2007" spans="1:11" x14ac:dyDescent="0.3">
      <c r="A2007" s="259">
        <f t="shared" si="72"/>
        <v>1802</v>
      </c>
      <c r="B2007" s="20" t="s">
        <v>1940</v>
      </c>
      <c r="C2007" s="162">
        <v>1956</v>
      </c>
      <c r="D2007" s="234"/>
      <c r="E2007" s="273" t="s">
        <v>3129</v>
      </c>
      <c r="F2007" s="10">
        <v>5</v>
      </c>
      <c r="G2007" s="234">
        <v>4755.3</v>
      </c>
      <c r="H2007" s="10">
        <v>146</v>
      </c>
      <c r="I2007" s="273">
        <f>SUMIF('2020'!B:B,B2007,'2020'!C:C)+SUMIF('2021'!B:B,B2007,'2021'!C:C)+SUMIF('2022'!B:B,B2007,'2022'!C:C)</f>
        <v>216197.68</v>
      </c>
      <c r="J2007" s="59">
        <v>44925</v>
      </c>
      <c r="K2007" s="273" t="s">
        <v>3118</v>
      </c>
    </row>
    <row r="2008" spans="1:11" x14ac:dyDescent="0.3">
      <c r="A2008" s="259">
        <f t="shared" si="72"/>
        <v>1803</v>
      </c>
      <c r="B2008" s="20" t="s">
        <v>1941</v>
      </c>
      <c r="C2008" s="162">
        <v>1986</v>
      </c>
      <c r="D2008" s="234"/>
      <c r="E2008" s="273" t="s">
        <v>3123</v>
      </c>
      <c r="F2008" s="10">
        <v>3</v>
      </c>
      <c r="G2008" s="234">
        <v>2424.6999999999998</v>
      </c>
      <c r="H2008" s="10">
        <v>75</v>
      </c>
      <c r="I2008" s="273">
        <f>SUMIF('2020'!B:B,B2008,'2020'!C:C)+SUMIF('2021'!B:B,B2008,'2021'!C:C)+SUMIF('2022'!B:B,B2008,'2022'!C:C)</f>
        <v>240034.44</v>
      </c>
      <c r="J2008" s="59">
        <v>44925</v>
      </c>
      <c r="K2008" s="273" t="s">
        <v>3118</v>
      </c>
    </row>
    <row r="2009" spans="1:11" x14ac:dyDescent="0.3">
      <c r="A2009" s="259">
        <f t="shared" si="72"/>
        <v>1804</v>
      </c>
      <c r="B2009" s="20" t="s">
        <v>1942</v>
      </c>
      <c r="C2009" s="162">
        <v>1980</v>
      </c>
      <c r="D2009" s="234"/>
      <c r="E2009" s="234"/>
      <c r="F2009" s="10"/>
      <c r="G2009" s="234"/>
      <c r="H2009" s="10"/>
      <c r="I2009" s="273">
        <f>SUMIF('2020'!B:B,B2009,'2020'!C:C)+SUMIF('2021'!B:B,B2009,'2021'!C:C)+SUMIF('2022'!B:B,B2009,'2022'!C:C)</f>
        <v>155605.99</v>
      </c>
      <c r="J2009" s="59">
        <v>44925</v>
      </c>
      <c r="K2009" s="273" t="s">
        <v>3118</v>
      </c>
    </row>
    <row r="2010" spans="1:11" x14ac:dyDescent="0.3">
      <c r="A2010" s="259">
        <f t="shared" si="72"/>
        <v>1805</v>
      </c>
      <c r="B2010" s="20" t="s">
        <v>1943</v>
      </c>
      <c r="C2010" s="162">
        <v>1969</v>
      </c>
      <c r="D2010" s="234"/>
      <c r="E2010" s="234" t="s">
        <v>3121</v>
      </c>
      <c r="F2010" s="10">
        <v>3</v>
      </c>
      <c r="G2010" s="234">
        <v>2209.4</v>
      </c>
      <c r="H2010" s="10">
        <v>46</v>
      </c>
      <c r="I2010" s="273">
        <f>SUMIF('2020'!B:B,B2010,'2020'!C:C)+SUMIF('2021'!B:B,B2010,'2021'!C:C)+SUMIF('2022'!B:B,B2010,'2022'!C:C)</f>
        <v>232178.5</v>
      </c>
      <c r="J2010" s="59">
        <v>44925</v>
      </c>
      <c r="K2010" s="273" t="s">
        <v>3118</v>
      </c>
    </row>
    <row r="2011" spans="1:11" x14ac:dyDescent="0.3">
      <c r="A2011" s="259">
        <f t="shared" si="72"/>
        <v>1806</v>
      </c>
      <c r="B2011" s="20" t="s">
        <v>1944</v>
      </c>
      <c r="C2011" s="162">
        <v>1964</v>
      </c>
      <c r="D2011" s="234"/>
      <c r="E2011" s="234" t="s">
        <v>3121</v>
      </c>
      <c r="F2011" s="10">
        <v>4</v>
      </c>
      <c r="G2011" s="234">
        <v>1732.2</v>
      </c>
      <c r="H2011" s="10">
        <v>62</v>
      </c>
      <c r="I2011" s="273">
        <f>SUMIF('2020'!B:B,B2011,'2020'!C:C)+SUMIF('2021'!B:B,B2011,'2021'!C:C)+SUMIF('2022'!B:B,B2011,'2022'!C:C)</f>
        <v>1834871.1199999999</v>
      </c>
      <c r="J2011" s="59">
        <v>44925</v>
      </c>
      <c r="K2011" s="273" t="s">
        <v>3118</v>
      </c>
    </row>
    <row r="2012" spans="1:11" x14ac:dyDescent="0.3">
      <c r="A2012" s="259">
        <f t="shared" si="72"/>
        <v>1807</v>
      </c>
      <c r="B2012" s="20" t="s">
        <v>1945</v>
      </c>
      <c r="C2012" s="162">
        <v>1957</v>
      </c>
      <c r="D2012" s="234"/>
      <c r="E2012" s="234" t="s">
        <v>3121</v>
      </c>
      <c r="F2012" s="10">
        <v>3</v>
      </c>
      <c r="G2012" s="273">
        <v>4199.1000000000004</v>
      </c>
      <c r="H2012" s="10">
        <v>70</v>
      </c>
      <c r="I2012" s="273">
        <f>SUMIF('2020'!B:B,B2012,'2020'!C:C)+SUMIF('2021'!B:B,B2012,'2021'!C:C)+SUMIF('2022'!B:B,B2012,'2022'!C:C)</f>
        <v>7375270.5700000003</v>
      </c>
      <c r="J2012" s="59">
        <v>44925</v>
      </c>
      <c r="K2012" s="273" t="s">
        <v>3118</v>
      </c>
    </row>
    <row r="2013" spans="1:11" x14ac:dyDescent="0.3">
      <c r="A2013" s="259">
        <f t="shared" si="72"/>
        <v>1808</v>
      </c>
      <c r="B2013" s="20" t="s">
        <v>1946</v>
      </c>
      <c r="C2013" s="162">
        <v>1960</v>
      </c>
      <c r="D2013" s="234"/>
      <c r="E2013" s="234" t="s">
        <v>3121</v>
      </c>
      <c r="F2013" s="10">
        <v>3</v>
      </c>
      <c r="G2013" s="273">
        <v>2882</v>
      </c>
      <c r="H2013" s="10">
        <v>43</v>
      </c>
      <c r="I2013" s="273">
        <f>SUMIF('2020'!B:B,B2013,'2020'!C:C)+SUMIF('2021'!B:B,B2013,'2021'!C:C)+SUMIF('2022'!B:B,B2013,'2022'!C:C)</f>
        <v>5450953.2000000002</v>
      </c>
      <c r="J2013" s="59">
        <v>44925</v>
      </c>
      <c r="K2013" s="273" t="s">
        <v>3118</v>
      </c>
    </row>
    <row r="2014" spans="1:11" x14ac:dyDescent="0.3">
      <c r="A2014" s="259">
        <f t="shared" si="72"/>
        <v>1809</v>
      </c>
      <c r="B2014" s="20" t="s">
        <v>1947</v>
      </c>
      <c r="C2014" s="162">
        <v>1954</v>
      </c>
      <c r="D2014" s="234"/>
      <c r="E2014" s="234" t="s">
        <v>3121</v>
      </c>
      <c r="F2014" s="10">
        <v>2</v>
      </c>
      <c r="G2014" s="234">
        <v>1760.8</v>
      </c>
      <c r="H2014" s="10">
        <v>30</v>
      </c>
      <c r="I2014" s="273">
        <f>SUMIF('2020'!B:B,B2014,'2020'!C:C)+SUMIF('2021'!B:B,B2014,'2021'!C:C)+SUMIF('2022'!B:B,B2014,'2022'!C:C)</f>
        <v>5932093.9000000004</v>
      </c>
      <c r="J2014" s="59">
        <v>44925</v>
      </c>
      <c r="K2014" s="273" t="s">
        <v>3118</v>
      </c>
    </row>
    <row r="2015" spans="1:11" x14ac:dyDescent="0.3">
      <c r="A2015" s="259">
        <f t="shared" si="72"/>
        <v>1810</v>
      </c>
      <c r="B2015" s="20" t="s">
        <v>1948</v>
      </c>
      <c r="C2015" s="162">
        <v>1957</v>
      </c>
      <c r="D2015" s="234"/>
      <c r="E2015" s="234" t="s">
        <v>3121</v>
      </c>
      <c r="F2015" s="10">
        <v>2</v>
      </c>
      <c r="G2015" s="234">
        <v>1749.7</v>
      </c>
      <c r="H2015" s="10">
        <v>27</v>
      </c>
      <c r="I2015" s="273">
        <f>SUMIF('2020'!B:B,B2015,'2020'!C:C)+SUMIF('2021'!B:B,B2015,'2021'!C:C)+SUMIF('2022'!B:B,B2015,'2022'!C:C)</f>
        <v>5702510.4000000004</v>
      </c>
      <c r="J2015" s="59">
        <v>44925</v>
      </c>
      <c r="K2015" s="273" t="s">
        <v>3118</v>
      </c>
    </row>
    <row r="2016" spans="1:11" x14ac:dyDescent="0.3">
      <c r="A2016" s="259">
        <f t="shared" si="72"/>
        <v>1811</v>
      </c>
      <c r="B2016" s="20" t="s">
        <v>1949</v>
      </c>
      <c r="C2016" s="162">
        <v>1960</v>
      </c>
      <c r="D2016" s="234"/>
      <c r="E2016" s="234" t="s">
        <v>3121</v>
      </c>
      <c r="F2016" s="10">
        <v>4</v>
      </c>
      <c r="G2016" s="273">
        <v>2876.3</v>
      </c>
      <c r="H2016" s="10">
        <v>78</v>
      </c>
      <c r="I2016" s="273">
        <f>SUMIF('2020'!B:B,B2016,'2020'!C:C)+SUMIF('2021'!B:B,B2016,'2021'!C:C)+SUMIF('2022'!B:B,B2016,'2022'!C:C)</f>
        <v>329421.70999999996</v>
      </c>
      <c r="J2016" s="59">
        <v>44925</v>
      </c>
      <c r="K2016" s="273" t="s">
        <v>3118</v>
      </c>
    </row>
    <row r="2017" spans="1:11" x14ac:dyDescent="0.3">
      <c r="A2017" s="259">
        <f t="shared" ref="A2017:A2048" si="73">A2016+1</f>
        <v>1812</v>
      </c>
      <c r="B2017" s="20" t="s">
        <v>1950</v>
      </c>
      <c r="C2017" s="162">
        <v>1976</v>
      </c>
      <c r="D2017" s="234"/>
      <c r="E2017" s="234" t="s">
        <v>3123</v>
      </c>
      <c r="F2017" s="10">
        <v>5</v>
      </c>
      <c r="G2017" s="234">
        <v>9253.7999999999993</v>
      </c>
      <c r="H2017" s="10">
        <v>260</v>
      </c>
      <c r="I2017" s="273">
        <f>SUMIF('2020'!B:B,B2017,'2020'!C:C)+SUMIF('2021'!B:B,B2017,'2021'!C:C)+SUMIF('2022'!B:B,B2017,'2022'!C:C)</f>
        <v>101322.67</v>
      </c>
      <c r="J2017" s="59">
        <v>44925</v>
      </c>
      <c r="K2017" s="273" t="s">
        <v>3118</v>
      </c>
    </row>
    <row r="2018" spans="1:11" x14ac:dyDescent="0.3">
      <c r="A2018" s="259">
        <f t="shared" si="73"/>
        <v>1813</v>
      </c>
      <c r="B2018" s="124" t="s">
        <v>3549</v>
      </c>
      <c r="C2018" s="162"/>
      <c r="D2018" s="234"/>
      <c r="E2018" s="234"/>
      <c r="F2018" s="10"/>
      <c r="G2018" s="234"/>
      <c r="H2018" s="10"/>
      <c r="I2018" s="273">
        <f>SUMIF('2020'!B:B,B2018,'2020'!C:C)+SUMIF('2021'!B:B,B2018,'2021'!C:C)+SUMIF('2022'!B:B,B2018,'2022'!C:C)</f>
        <v>42800492.100000001</v>
      </c>
      <c r="J2018" s="59">
        <v>44925</v>
      </c>
      <c r="K2018" s="273" t="s">
        <v>3118</v>
      </c>
    </row>
    <row r="2019" spans="1:11" x14ac:dyDescent="0.3">
      <c r="A2019" s="259">
        <f t="shared" si="73"/>
        <v>1814</v>
      </c>
      <c r="B2019" s="20" t="s">
        <v>1951</v>
      </c>
      <c r="C2019" s="162">
        <v>1952</v>
      </c>
      <c r="D2019" s="234"/>
      <c r="E2019" s="273" t="s">
        <v>3121</v>
      </c>
      <c r="F2019" s="10">
        <v>2</v>
      </c>
      <c r="G2019" s="273">
        <v>691.8</v>
      </c>
      <c r="H2019" s="10">
        <v>18</v>
      </c>
      <c r="I2019" s="273">
        <f>SUMIF('2020'!B:B,B2019,'2020'!C:C)+SUMIF('2021'!B:B,B2019,'2021'!C:C)+SUMIF('2022'!B:B,B2019,'2022'!C:C)</f>
        <v>182039</v>
      </c>
      <c r="J2019" s="59">
        <v>44925</v>
      </c>
      <c r="K2019" s="273" t="s">
        <v>3118</v>
      </c>
    </row>
    <row r="2020" spans="1:11" x14ac:dyDescent="0.3">
      <c r="A2020" s="259">
        <f t="shared" si="73"/>
        <v>1815</v>
      </c>
      <c r="B2020" s="20" t="s">
        <v>1952</v>
      </c>
      <c r="C2020" s="162">
        <v>1956</v>
      </c>
      <c r="D2020" s="234"/>
      <c r="E2020" s="273" t="s">
        <v>3121</v>
      </c>
      <c r="F2020" s="10">
        <v>2</v>
      </c>
      <c r="G2020" s="273">
        <v>677.9</v>
      </c>
      <c r="H2020" s="10">
        <v>15</v>
      </c>
      <c r="I2020" s="273">
        <f>SUMIF('2020'!B:B,B2020,'2020'!C:C)+SUMIF('2021'!B:B,B2020,'2021'!C:C)+SUMIF('2022'!B:B,B2020,'2022'!C:C)</f>
        <v>3033508.8000000003</v>
      </c>
      <c r="J2020" s="59">
        <v>44925</v>
      </c>
      <c r="K2020" s="273" t="s">
        <v>3118</v>
      </c>
    </row>
    <row r="2021" spans="1:11" x14ac:dyDescent="0.3">
      <c r="A2021" s="259">
        <f t="shared" si="73"/>
        <v>1816</v>
      </c>
      <c r="B2021" s="20" t="s">
        <v>1953</v>
      </c>
      <c r="C2021" s="162">
        <v>1968</v>
      </c>
      <c r="D2021" s="234"/>
      <c r="E2021" s="273" t="s">
        <v>3123</v>
      </c>
      <c r="F2021" s="10">
        <v>5</v>
      </c>
      <c r="G2021" s="273">
        <v>4629.7</v>
      </c>
      <c r="H2021" s="10">
        <v>136</v>
      </c>
      <c r="I2021" s="273">
        <f>SUMIF('2020'!B:B,B2021,'2020'!C:C)+SUMIF('2021'!B:B,B2021,'2021'!C:C)+SUMIF('2022'!B:B,B2021,'2022'!C:C)</f>
        <v>316088.08</v>
      </c>
      <c r="J2021" s="59">
        <v>44925</v>
      </c>
      <c r="K2021" s="273" t="s">
        <v>3118</v>
      </c>
    </row>
    <row r="2022" spans="1:11" x14ac:dyDescent="0.3">
      <c r="A2022" s="259">
        <f t="shared" si="73"/>
        <v>1817</v>
      </c>
      <c r="B2022" s="20" t="s">
        <v>1954</v>
      </c>
      <c r="C2022" s="162">
        <v>1956</v>
      </c>
      <c r="D2022" s="234"/>
      <c r="E2022" s="273" t="s">
        <v>3123</v>
      </c>
      <c r="F2022" s="10">
        <v>2</v>
      </c>
      <c r="G2022" s="234">
        <v>1308.8</v>
      </c>
      <c r="H2022" s="10">
        <v>23</v>
      </c>
      <c r="I2022" s="273">
        <f>SUMIF('2020'!B:B,B2022,'2020'!C:C)+SUMIF('2021'!B:B,B2022,'2021'!C:C)+SUMIF('2022'!B:B,B2022,'2022'!C:C)</f>
        <v>224644.34</v>
      </c>
      <c r="J2022" s="59">
        <v>44925</v>
      </c>
      <c r="K2022" s="273" t="s">
        <v>3118</v>
      </c>
    </row>
    <row r="2023" spans="1:11" x14ac:dyDescent="0.3">
      <c r="A2023" s="259">
        <f t="shared" si="73"/>
        <v>1818</v>
      </c>
      <c r="B2023" s="20" t="s">
        <v>1955</v>
      </c>
      <c r="C2023" s="162">
        <v>1981</v>
      </c>
      <c r="D2023" s="234"/>
      <c r="E2023" s="273" t="s">
        <v>3129</v>
      </c>
      <c r="F2023" s="10">
        <v>5</v>
      </c>
      <c r="G2023" s="234">
        <v>4869.8999999999996</v>
      </c>
      <c r="H2023" s="10">
        <v>217</v>
      </c>
      <c r="I2023" s="273">
        <f>SUMIF('2020'!B:B,B2023,'2020'!C:C)+SUMIF('2021'!B:B,B2023,'2021'!C:C)+SUMIF('2022'!B:B,B2023,'2022'!C:C)</f>
        <v>272126.63</v>
      </c>
      <c r="J2023" s="59">
        <v>44925</v>
      </c>
      <c r="K2023" s="273" t="s">
        <v>3118</v>
      </c>
    </row>
    <row r="2024" spans="1:11" x14ac:dyDescent="0.3">
      <c r="A2024" s="259">
        <f t="shared" si="73"/>
        <v>1819</v>
      </c>
      <c r="B2024" s="20" t="s">
        <v>1956</v>
      </c>
      <c r="C2024" s="162">
        <v>1987</v>
      </c>
      <c r="D2024" s="234"/>
      <c r="E2024" s="273" t="s">
        <v>3129</v>
      </c>
      <c r="F2024" s="10">
        <v>5</v>
      </c>
      <c r="G2024" s="234">
        <v>7432.9</v>
      </c>
      <c r="H2024" s="10">
        <v>215</v>
      </c>
      <c r="I2024" s="273">
        <f>SUMIF('2020'!B:B,B2024,'2020'!C:C)+SUMIF('2021'!B:B,B2024,'2021'!C:C)+SUMIF('2022'!B:B,B2024,'2022'!C:C)</f>
        <v>15189055.199999999</v>
      </c>
      <c r="J2024" s="59">
        <v>44925</v>
      </c>
      <c r="K2024" s="273" t="s">
        <v>3118</v>
      </c>
    </row>
    <row r="2025" spans="1:11" x14ac:dyDescent="0.3">
      <c r="A2025" s="259">
        <f t="shared" si="73"/>
        <v>1820</v>
      </c>
      <c r="B2025" s="20" t="s">
        <v>1957</v>
      </c>
      <c r="C2025" s="162">
        <v>1984</v>
      </c>
      <c r="D2025" s="234"/>
      <c r="E2025" s="273" t="s">
        <v>3129</v>
      </c>
      <c r="F2025" s="10">
        <v>5</v>
      </c>
      <c r="G2025" s="273">
        <v>5022.5</v>
      </c>
      <c r="H2025" s="10">
        <v>135</v>
      </c>
      <c r="I2025" s="273">
        <f>SUMIF('2020'!B:B,B2025,'2020'!C:C)+SUMIF('2021'!B:B,B2025,'2021'!C:C)+SUMIF('2022'!B:B,B2025,'2022'!C:C)</f>
        <v>279106.84000000003</v>
      </c>
      <c r="J2025" s="59">
        <v>44925</v>
      </c>
      <c r="K2025" s="273" t="s">
        <v>3118</v>
      </c>
    </row>
    <row r="2026" spans="1:11" x14ac:dyDescent="0.3">
      <c r="A2026" s="259">
        <f t="shared" si="73"/>
        <v>1821</v>
      </c>
      <c r="B2026" s="20" t="s">
        <v>1958</v>
      </c>
      <c r="C2026" s="162">
        <v>1969</v>
      </c>
      <c r="D2026" s="234"/>
      <c r="E2026" s="234" t="s">
        <v>3123</v>
      </c>
      <c r="F2026" s="10">
        <v>5</v>
      </c>
      <c r="G2026" s="234">
        <v>4248.8</v>
      </c>
      <c r="H2026" s="10">
        <v>168</v>
      </c>
      <c r="I2026" s="273">
        <f>SUMIF('2020'!B:B,B2026,'2020'!C:C)+SUMIF('2021'!B:B,B2026,'2021'!C:C)+SUMIF('2022'!B:B,B2026,'2022'!C:C)</f>
        <v>10711599.600000001</v>
      </c>
      <c r="J2026" s="59">
        <v>44925</v>
      </c>
      <c r="K2026" s="273" t="s">
        <v>3118</v>
      </c>
    </row>
    <row r="2027" spans="1:11" x14ac:dyDescent="0.3">
      <c r="A2027" s="259">
        <f t="shared" si="73"/>
        <v>1822</v>
      </c>
      <c r="B2027" s="124" t="s">
        <v>3550</v>
      </c>
      <c r="C2027" s="162"/>
      <c r="D2027" s="234"/>
      <c r="E2027" s="234"/>
      <c r="F2027" s="10"/>
      <c r="G2027" s="234"/>
      <c r="H2027" s="10"/>
      <c r="I2027" s="273">
        <f>SUMIF('2020'!B:B,B2027,'2020'!C:C)+SUMIF('2021'!B:B,B2027,'2021'!C:C)+SUMIF('2022'!B:B,B2027,'2022'!C:C)</f>
        <v>454313.54</v>
      </c>
      <c r="J2027" s="59">
        <v>44925</v>
      </c>
      <c r="K2027" s="273" t="s">
        <v>3118</v>
      </c>
    </row>
    <row r="2028" spans="1:11" x14ac:dyDescent="0.3">
      <c r="A2028" s="259">
        <f t="shared" si="73"/>
        <v>1823</v>
      </c>
      <c r="B2028" s="20" t="s">
        <v>1959</v>
      </c>
      <c r="C2028" s="162">
        <v>1917</v>
      </c>
      <c r="D2028" s="234"/>
      <c r="E2028" s="273" t="s">
        <v>3437</v>
      </c>
      <c r="F2028" s="10">
        <v>2</v>
      </c>
      <c r="G2028" s="234">
        <v>648.28</v>
      </c>
      <c r="H2028" s="10">
        <v>12</v>
      </c>
      <c r="I2028" s="273">
        <f>SUMIF('2020'!B:B,B2028,'2020'!C:C)+SUMIF('2021'!B:B,B2028,'2021'!C:C)+SUMIF('2022'!B:B,B2028,'2022'!C:C)</f>
        <v>100030.39</v>
      </c>
      <c r="J2028" s="59">
        <v>44925</v>
      </c>
      <c r="K2028" s="273" t="s">
        <v>3118</v>
      </c>
    </row>
    <row r="2029" spans="1:11" x14ac:dyDescent="0.3">
      <c r="A2029" s="259">
        <f t="shared" si="73"/>
        <v>1824</v>
      </c>
      <c r="B2029" s="20" t="s">
        <v>1960</v>
      </c>
      <c r="C2029" s="162">
        <v>1917</v>
      </c>
      <c r="D2029" s="234"/>
      <c r="E2029" s="273" t="s">
        <v>3437</v>
      </c>
      <c r="F2029" s="10">
        <v>2</v>
      </c>
      <c r="G2029" s="234">
        <v>423.4</v>
      </c>
      <c r="H2029" s="10">
        <v>4</v>
      </c>
      <c r="I2029" s="273">
        <f>SUMIF('2020'!B:B,B2029,'2020'!C:C)+SUMIF('2021'!B:B,B2029,'2021'!C:C)+SUMIF('2022'!B:B,B2029,'2022'!C:C)</f>
        <v>80302.39</v>
      </c>
      <c r="J2029" s="59">
        <v>44925</v>
      </c>
      <c r="K2029" s="273" t="s">
        <v>3118</v>
      </c>
    </row>
    <row r="2030" spans="1:11" x14ac:dyDescent="0.3">
      <c r="A2030" s="259">
        <f t="shared" si="73"/>
        <v>1825</v>
      </c>
      <c r="B2030" s="20" t="s">
        <v>1961</v>
      </c>
      <c r="C2030" s="162">
        <v>1975</v>
      </c>
      <c r="D2030" s="234"/>
      <c r="E2030" s="234" t="s">
        <v>3129</v>
      </c>
      <c r="F2030" s="10">
        <v>5</v>
      </c>
      <c r="G2030" s="234">
        <v>3527.3</v>
      </c>
      <c r="H2030" s="10">
        <v>98</v>
      </c>
      <c r="I2030" s="273">
        <f>SUMIF('2020'!B:B,B2030,'2020'!C:C)+SUMIF('2021'!B:B,B2030,'2021'!C:C)+SUMIF('2022'!B:B,B2030,'2022'!C:C)</f>
        <v>4330926</v>
      </c>
      <c r="J2030" s="59">
        <v>44925</v>
      </c>
      <c r="K2030" s="273" t="s">
        <v>3118</v>
      </c>
    </row>
    <row r="2031" spans="1:11" x14ac:dyDescent="0.3">
      <c r="A2031" s="259">
        <f t="shared" si="73"/>
        <v>1826</v>
      </c>
      <c r="B2031" s="20" t="s">
        <v>1962</v>
      </c>
      <c r="C2031" s="162">
        <v>1960</v>
      </c>
      <c r="D2031" s="234"/>
      <c r="E2031" s="273" t="s">
        <v>3123</v>
      </c>
      <c r="F2031" s="10">
        <v>4</v>
      </c>
      <c r="G2031" s="234">
        <v>2705.1</v>
      </c>
      <c r="H2031" s="10">
        <v>74</v>
      </c>
      <c r="I2031" s="273">
        <f>SUMIF('2020'!B:B,B2031,'2020'!C:C)+SUMIF('2021'!B:B,B2031,'2021'!C:C)+SUMIF('2022'!B:B,B2031,'2022'!C:C)</f>
        <v>6418350.9900000002</v>
      </c>
      <c r="J2031" s="59">
        <v>44925</v>
      </c>
      <c r="K2031" s="273" t="s">
        <v>3118</v>
      </c>
    </row>
    <row r="2032" spans="1:11" x14ac:dyDescent="0.3">
      <c r="A2032" s="259">
        <f t="shared" si="73"/>
        <v>1827</v>
      </c>
      <c r="B2032" s="20" t="s">
        <v>1963</v>
      </c>
      <c r="C2032" s="162">
        <v>1975</v>
      </c>
      <c r="D2032" s="234"/>
      <c r="E2032" s="234" t="s">
        <v>3123</v>
      </c>
      <c r="F2032" s="10">
        <v>5</v>
      </c>
      <c r="G2032" s="234">
        <v>4120.2</v>
      </c>
      <c r="H2032" s="10">
        <v>142</v>
      </c>
      <c r="I2032" s="273">
        <f>SUMIF('2020'!B:B,B2032,'2020'!C:C)+SUMIF('2021'!B:B,B2032,'2021'!C:C)+SUMIF('2022'!B:B,B2032,'2022'!C:C)</f>
        <v>315676.07</v>
      </c>
      <c r="J2032" s="59">
        <v>44925</v>
      </c>
      <c r="K2032" s="273" t="s">
        <v>3118</v>
      </c>
    </row>
    <row r="2033" spans="1:11" x14ac:dyDescent="0.3">
      <c r="A2033" s="259">
        <f t="shared" si="73"/>
        <v>1828</v>
      </c>
      <c r="B2033" s="20" t="s">
        <v>1964</v>
      </c>
      <c r="C2033" s="162">
        <v>1974</v>
      </c>
      <c r="D2033" s="234"/>
      <c r="E2033" s="273" t="s">
        <v>3437</v>
      </c>
      <c r="F2033" s="10">
        <v>2</v>
      </c>
      <c r="G2033" s="234">
        <v>332.6</v>
      </c>
      <c r="H2033" s="10">
        <v>9</v>
      </c>
      <c r="I2033" s="273">
        <f>SUMIF('2020'!B:B,B2033,'2020'!C:C)+SUMIF('2021'!B:B,B2033,'2021'!C:C)+SUMIF('2022'!B:B,B2033,'2022'!C:C)</f>
        <v>68786.75</v>
      </c>
      <c r="J2033" s="59">
        <v>44925</v>
      </c>
      <c r="K2033" s="273" t="s">
        <v>3118</v>
      </c>
    </row>
    <row r="2034" spans="1:11" x14ac:dyDescent="0.3">
      <c r="A2034" s="259">
        <f t="shared" si="73"/>
        <v>1829</v>
      </c>
      <c r="B2034" s="20" t="s">
        <v>1965</v>
      </c>
      <c r="C2034" s="162">
        <v>1981</v>
      </c>
      <c r="D2034" s="234"/>
      <c r="E2034" s="273" t="s">
        <v>3123</v>
      </c>
      <c r="F2034" s="10">
        <v>2</v>
      </c>
      <c r="G2034" s="234">
        <v>984.1</v>
      </c>
      <c r="H2034" s="10">
        <v>24</v>
      </c>
      <c r="I2034" s="273">
        <f>SUMIF('2020'!B:B,B2034,'2020'!C:C)+SUMIF('2021'!B:B,B2034,'2021'!C:C)+SUMIF('2022'!B:B,B2034,'2022'!C:C)</f>
        <v>378399.6</v>
      </c>
      <c r="J2034" s="59">
        <v>44925</v>
      </c>
      <c r="K2034" s="273" t="s">
        <v>3118</v>
      </c>
    </row>
    <row r="2035" spans="1:11" x14ac:dyDescent="0.3">
      <c r="A2035" s="259">
        <f t="shared" si="73"/>
        <v>1830</v>
      </c>
      <c r="B2035" s="20" t="s">
        <v>1966</v>
      </c>
      <c r="C2035" s="162">
        <v>1972</v>
      </c>
      <c r="D2035" s="234"/>
      <c r="E2035" s="273" t="s">
        <v>3123</v>
      </c>
      <c r="F2035" s="10">
        <v>2</v>
      </c>
      <c r="G2035" s="234">
        <v>1684.9</v>
      </c>
      <c r="H2035" s="10">
        <v>35</v>
      </c>
      <c r="I2035" s="273">
        <f>SUMIF('2020'!B:B,B2035,'2020'!C:C)+SUMIF('2021'!B:B,B2035,'2021'!C:C)+SUMIF('2022'!B:B,B2035,'2022'!C:C)</f>
        <v>115665.85</v>
      </c>
      <c r="J2035" s="59">
        <v>44925</v>
      </c>
      <c r="K2035" s="273" t="s">
        <v>3118</v>
      </c>
    </row>
    <row r="2036" spans="1:11" x14ac:dyDescent="0.3">
      <c r="A2036" s="259">
        <f t="shared" si="73"/>
        <v>1831</v>
      </c>
      <c r="B2036" s="20" t="s">
        <v>1967</v>
      </c>
      <c r="C2036" s="162">
        <v>1973</v>
      </c>
      <c r="D2036" s="234"/>
      <c r="E2036" s="273" t="s">
        <v>3123</v>
      </c>
      <c r="F2036" s="10">
        <v>2</v>
      </c>
      <c r="G2036" s="234">
        <v>1303.3</v>
      </c>
      <c r="H2036" s="10">
        <v>38</v>
      </c>
      <c r="I2036" s="273">
        <f>SUMIF('2020'!B:B,B2036,'2020'!C:C)+SUMIF('2021'!B:B,B2036,'2021'!C:C)+SUMIF('2022'!B:B,B2036,'2022'!C:C)</f>
        <v>117965.82</v>
      </c>
      <c r="J2036" s="59">
        <v>44925</v>
      </c>
      <c r="K2036" s="273" t="s">
        <v>3118</v>
      </c>
    </row>
    <row r="2037" spans="1:11" x14ac:dyDescent="0.3">
      <c r="A2037" s="259">
        <f t="shared" si="73"/>
        <v>1832</v>
      </c>
      <c r="B2037" s="20" t="s">
        <v>1968</v>
      </c>
      <c r="C2037" s="162">
        <v>1948</v>
      </c>
      <c r="D2037" s="234"/>
      <c r="E2037" s="273" t="s">
        <v>3121</v>
      </c>
      <c r="F2037" s="10">
        <v>2</v>
      </c>
      <c r="G2037" s="273">
        <v>853.1</v>
      </c>
      <c r="H2037" s="10">
        <v>29</v>
      </c>
      <c r="I2037" s="273">
        <f>SUMIF('2020'!B:B,B2037,'2020'!C:C)+SUMIF('2021'!B:B,B2037,'2021'!C:C)+SUMIF('2022'!B:B,B2037,'2022'!C:C)</f>
        <v>2497405.84</v>
      </c>
      <c r="J2037" s="59">
        <v>44925</v>
      </c>
      <c r="K2037" s="273" t="s">
        <v>3118</v>
      </c>
    </row>
    <row r="2038" spans="1:11" x14ac:dyDescent="0.3">
      <c r="A2038" s="259">
        <f t="shared" si="73"/>
        <v>1833</v>
      </c>
      <c r="B2038" s="20" t="s">
        <v>1969</v>
      </c>
      <c r="C2038" s="162">
        <v>1958</v>
      </c>
      <c r="D2038" s="234"/>
      <c r="E2038" s="273"/>
      <c r="F2038" s="10"/>
      <c r="G2038" s="273"/>
      <c r="H2038" s="10"/>
      <c r="I2038" s="273">
        <f>SUMIF('2020'!B:B,B2038,'2020'!C:C)+SUMIF('2021'!B:B,B2038,'2021'!C:C)+SUMIF('2022'!B:B,B2038,'2022'!C:C)</f>
        <v>130000</v>
      </c>
      <c r="J2038" s="59">
        <v>44925</v>
      </c>
      <c r="K2038" s="273" t="s">
        <v>3118</v>
      </c>
    </row>
    <row r="2039" spans="1:11" x14ac:dyDescent="0.3">
      <c r="A2039" s="259">
        <f t="shared" si="73"/>
        <v>1834</v>
      </c>
      <c r="B2039" s="20" t="s">
        <v>1970</v>
      </c>
      <c r="C2039" s="162">
        <v>1978</v>
      </c>
      <c r="D2039" s="234"/>
      <c r="E2039" s="273" t="s">
        <v>3437</v>
      </c>
      <c r="F2039" s="10">
        <v>2</v>
      </c>
      <c r="G2039" s="273">
        <v>435</v>
      </c>
      <c r="H2039" s="10">
        <v>16</v>
      </c>
      <c r="I2039" s="273">
        <f>SUMIF('2020'!B:B,B2039,'2020'!C:C)+SUMIF('2021'!B:B,B2039,'2021'!C:C)+SUMIF('2022'!B:B,B2039,'2022'!C:C)</f>
        <v>149364.20000000001</v>
      </c>
      <c r="J2039" s="59">
        <v>44925</v>
      </c>
      <c r="K2039" s="273" t="s">
        <v>3118</v>
      </c>
    </row>
    <row r="2040" spans="1:11" x14ac:dyDescent="0.3">
      <c r="A2040" s="259">
        <f t="shared" si="73"/>
        <v>1835</v>
      </c>
      <c r="B2040" s="20" t="s">
        <v>1971</v>
      </c>
      <c r="C2040" s="162">
        <v>1979</v>
      </c>
      <c r="D2040" s="234"/>
      <c r="E2040" s="273" t="s">
        <v>3437</v>
      </c>
      <c r="F2040" s="10">
        <v>2</v>
      </c>
      <c r="G2040" s="234">
        <v>588.6</v>
      </c>
      <c r="H2040" s="10">
        <v>22</v>
      </c>
      <c r="I2040" s="273">
        <f>SUMIF('2020'!B:B,B2040,'2020'!C:C)+SUMIF('2021'!B:B,B2040,'2021'!C:C)+SUMIF('2022'!B:B,B2040,'2022'!C:C)</f>
        <v>130000</v>
      </c>
      <c r="J2040" s="59">
        <v>44925</v>
      </c>
      <c r="K2040" s="273" t="s">
        <v>3118</v>
      </c>
    </row>
    <row r="2041" spans="1:11" x14ac:dyDescent="0.3">
      <c r="A2041" s="259">
        <f t="shared" si="73"/>
        <v>1836</v>
      </c>
      <c r="B2041" s="20" t="s">
        <v>1972</v>
      </c>
      <c r="C2041" s="162">
        <v>1969</v>
      </c>
      <c r="D2041" s="234"/>
      <c r="E2041" s="273" t="s">
        <v>3123</v>
      </c>
      <c r="F2041" s="10">
        <v>5</v>
      </c>
      <c r="G2041" s="234">
        <v>3454.1</v>
      </c>
      <c r="H2041" s="10">
        <v>69</v>
      </c>
      <c r="I2041" s="273">
        <f>SUMIF('2020'!B:B,B2041,'2020'!C:C)+SUMIF('2021'!B:B,B2041,'2021'!C:C)+SUMIF('2022'!B:B,B2041,'2022'!C:C)</f>
        <v>8560948.2800000012</v>
      </c>
      <c r="J2041" s="59">
        <v>44925</v>
      </c>
      <c r="K2041" s="273" t="s">
        <v>3118</v>
      </c>
    </row>
    <row r="2042" spans="1:11" x14ac:dyDescent="0.3">
      <c r="A2042" s="259">
        <f t="shared" si="73"/>
        <v>1837</v>
      </c>
      <c r="B2042" s="20" t="s">
        <v>1973</v>
      </c>
      <c r="C2042" s="162">
        <v>1969</v>
      </c>
      <c r="D2042" s="234"/>
      <c r="E2042" s="273" t="s">
        <v>3123</v>
      </c>
      <c r="F2042" s="10">
        <v>5</v>
      </c>
      <c r="G2042" s="234">
        <v>4666.8</v>
      </c>
      <c r="H2042" s="10">
        <v>144</v>
      </c>
      <c r="I2042" s="273">
        <f>SUMIF('2020'!B:B,B2042,'2020'!C:C)+SUMIF('2021'!B:B,B2042,'2021'!C:C)+SUMIF('2022'!B:B,B2042,'2022'!C:C)</f>
        <v>8535040.7599999998</v>
      </c>
      <c r="J2042" s="59">
        <v>44925</v>
      </c>
      <c r="K2042" s="273" t="s">
        <v>3118</v>
      </c>
    </row>
    <row r="2043" spans="1:11" x14ac:dyDescent="0.3">
      <c r="A2043" s="259">
        <f t="shared" si="73"/>
        <v>1838</v>
      </c>
      <c r="B2043" s="20" t="s">
        <v>1974</v>
      </c>
      <c r="C2043" s="162">
        <v>1970</v>
      </c>
      <c r="D2043" s="234"/>
      <c r="E2043" s="273" t="s">
        <v>3123</v>
      </c>
      <c r="F2043" s="10">
        <v>5</v>
      </c>
      <c r="G2043" s="234">
        <v>3458.1</v>
      </c>
      <c r="H2043" s="10">
        <v>96</v>
      </c>
      <c r="I2043" s="273">
        <f>SUMIF('2020'!B:B,B2043,'2020'!C:C)+SUMIF('2021'!B:B,B2043,'2021'!C:C)+SUMIF('2022'!B:B,B2043,'2022'!C:C)</f>
        <v>7307775.6799999997</v>
      </c>
      <c r="J2043" s="59">
        <v>44925</v>
      </c>
      <c r="K2043" s="273" t="s">
        <v>3118</v>
      </c>
    </row>
    <row r="2044" spans="1:11" x14ac:dyDescent="0.3">
      <c r="A2044" s="259">
        <f t="shared" si="73"/>
        <v>1839</v>
      </c>
      <c r="B2044" s="20" t="s">
        <v>1975</v>
      </c>
      <c r="C2044" s="162">
        <v>1951</v>
      </c>
      <c r="D2044" s="234"/>
      <c r="E2044" s="273" t="s">
        <v>3437</v>
      </c>
      <c r="F2044" s="10">
        <v>2</v>
      </c>
      <c r="G2044" s="234">
        <v>390.6</v>
      </c>
      <c r="H2044" s="10">
        <v>13</v>
      </c>
      <c r="I2044" s="273">
        <f>SUMIF('2020'!B:B,B2044,'2020'!C:C)+SUMIF('2021'!B:B,B2044,'2021'!C:C)+SUMIF('2022'!B:B,B2044,'2022'!C:C)</f>
        <v>157157.26</v>
      </c>
      <c r="J2044" s="59">
        <v>44925</v>
      </c>
      <c r="K2044" s="273" t="s">
        <v>3118</v>
      </c>
    </row>
    <row r="2045" spans="1:11" x14ac:dyDescent="0.3">
      <c r="A2045" s="259">
        <f t="shared" si="73"/>
        <v>1840</v>
      </c>
      <c r="B2045" s="20" t="s">
        <v>1976</v>
      </c>
      <c r="C2045" s="162">
        <v>1951</v>
      </c>
      <c r="D2045" s="234"/>
      <c r="E2045" s="273" t="s">
        <v>3437</v>
      </c>
      <c r="F2045" s="10">
        <v>2</v>
      </c>
      <c r="G2045" s="234">
        <v>514.20000000000005</v>
      </c>
      <c r="H2045" s="10">
        <v>13</v>
      </c>
      <c r="I2045" s="273">
        <f>SUMIF('2020'!B:B,B2045,'2020'!C:C)+SUMIF('2021'!B:B,B2045,'2021'!C:C)+SUMIF('2022'!B:B,B2045,'2022'!C:C)</f>
        <v>160222.38</v>
      </c>
      <c r="J2045" s="59">
        <v>44925</v>
      </c>
      <c r="K2045" s="273" t="s">
        <v>3118</v>
      </c>
    </row>
    <row r="2046" spans="1:11" x14ac:dyDescent="0.3">
      <c r="A2046" s="259">
        <f t="shared" si="73"/>
        <v>1841</v>
      </c>
      <c r="B2046" s="20" t="s">
        <v>1977</v>
      </c>
      <c r="C2046" s="162">
        <v>1959</v>
      </c>
      <c r="D2046" s="234"/>
      <c r="E2046" s="273" t="s">
        <v>3123</v>
      </c>
      <c r="F2046" s="10">
        <v>2</v>
      </c>
      <c r="G2046" s="234">
        <v>1048.5</v>
      </c>
      <c r="H2046" s="10">
        <v>28</v>
      </c>
      <c r="I2046" s="273">
        <f>SUMIF('2020'!B:B,B2046,'2020'!C:C)+SUMIF('2021'!B:B,B2046,'2021'!C:C)+SUMIF('2022'!B:B,B2046,'2022'!C:C)</f>
        <v>100963.06</v>
      </c>
      <c r="J2046" s="59">
        <v>44925</v>
      </c>
      <c r="K2046" s="273" t="s">
        <v>3118</v>
      </c>
    </row>
    <row r="2047" spans="1:11" x14ac:dyDescent="0.3">
      <c r="A2047" s="259">
        <f t="shared" si="73"/>
        <v>1842</v>
      </c>
      <c r="B2047" s="20" t="s">
        <v>1978</v>
      </c>
      <c r="C2047" s="162">
        <v>1978</v>
      </c>
      <c r="D2047" s="234"/>
      <c r="E2047" s="273" t="s">
        <v>3129</v>
      </c>
      <c r="F2047" s="10">
        <v>5</v>
      </c>
      <c r="G2047" s="273">
        <v>6292.7</v>
      </c>
      <c r="H2047" s="10">
        <v>191</v>
      </c>
      <c r="I2047" s="273">
        <f>SUMIF('2020'!B:B,B2047,'2020'!C:C)+SUMIF('2021'!B:B,B2047,'2021'!C:C)+SUMIF('2022'!B:B,B2047,'2022'!C:C)</f>
        <v>4478806.8000000007</v>
      </c>
      <c r="J2047" s="59">
        <v>44925</v>
      </c>
      <c r="K2047" s="273" t="s">
        <v>3118</v>
      </c>
    </row>
    <row r="2048" spans="1:11" x14ac:dyDescent="0.3">
      <c r="A2048" s="259">
        <f t="shared" si="73"/>
        <v>1843</v>
      </c>
      <c r="B2048" s="20" t="s">
        <v>1979</v>
      </c>
      <c r="C2048" s="162">
        <v>1978</v>
      </c>
      <c r="D2048" s="234"/>
      <c r="E2048" s="234" t="s">
        <v>3129</v>
      </c>
      <c r="F2048" s="10">
        <v>5</v>
      </c>
      <c r="G2048" s="273">
        <v>7480.4</v>
      </c>
      <c r="H2048" s="10">
        <v>195</v>
      </c>
      <c r="I2048" s="273">
        <f>SUMIF('2020'!B:B,B2048,'2020'!C:C)+SUMIF('2021'!B:B,B2048,'2021'!C:C)+SUMIF('2022'!B:B,B2048,'2022'!C:C)</f>
        <v>274786.93</v>
      </c>
      <c r="J2048" s="59">
        <v>44925</v>
      </c>
      <c r="K2048" s="273" t="s">
        <v>3118</v>
      </c>
    </row>
    <row r="2049" spans="1:11" x14ac:dyDescent="0.3">
      <c r="A2049" s="259">
        <f t="shared" ref="A2049:A2080" si="74">A2048+1</f>
        <v>1844</v>
      </c>
      <c r="B2049" s="20" t="s">
        <v>1980</v>
      </c>
      <c r="C2049" s="162">
        <v>1958</v>
      </c>
      <c r="D2049" s="234"/>
      <c r="E2049" s="273" t="s">
        <v>3123</v>
      </c>
      <c r="F2049" s="10">
        <v>2</v>
      </c>
      <c r="G2049" s="234">
        <v>752.8</v>
      </c>
      <c r="H2049" s="10">
        <v>22</v>
      </c>
      <c r="I2049" s="273">
        <f>SUMIF('2020'!B:B,B2049,'2020'!C:C)+SUMIF('2021'!B:B,B2049,'2021'!C:C)+SUMIF('2022'!B:B,B2049,'2022'!C:C)</f>
        <v>1014398.1000000001</v>
      </c>
      <c r="J2049" s="59">
        <v>44925</v>
      </c>
      <c r="K2049" s="273" t="s">
        <v>3118</v>
      </c>
    </row>
    <row r="2050" spans="1:11" x14ac:dyDescent="0.3">
      <c r="A2050" s="259">
        <f t="shared" si="74"/>
        <v>1845</v>
      </c>
      <c r="B2050" s="20" t="s">
        <v>1981</v>
      </c>
      <c r="C2050" s="162">
        <v>1917</v>
      </c>
      <c r="D2050" s="234"/>
      <c r="E2050" s="273" t="s">
        <v>3123</v>
      </c>
      <c r="F2050" s="10">
        <v>3</v>
      </c>
      <c r="G2050" s="234">
        <v>2597.1999999999998</v>
      </c>
      <c r="H2050" s="10">
        <v>42</v>
      </c>
      <c r="I2050" s="273">
        <f>SUMIF('2020'!B:B,B2050,'2020'!C:C)+SUMIF('2021'!B:B,B2050,'2021'!C:C)+SUMIF('2022'!B:B,B2050,'2022'!C:C)</f>
        <v>167808.08</v>
      </c>
      <c r="J2050" s="59">
        <v>44925</v>
      </c>
      <c r="K2050" s="273" t="s">
        <v>3118</v>
      </c>
    </row>
    <row r="2051" spans="1:11" x14ac:dyDescent="0.3">
      <c r="A2051" s="259">
        <f t="shared" si="74"/>
        <v>1846</v>
      </c>
      <c r="B2051" s="20" t="s">
        <v>1982</v>
      </c>
      <c r="C2051" s="162">
        <v>1950</v>
      </c>
      <c r="D2051" s="234"/>
      <c r="E2051" s="273" t="s">
        <v>3437</v>
      </c>
      <c r="F2051" s="10">
        <v>2</v>
      </c>
      <c r="G2051" s="234">
        <v>320.3</v>
      </c>
      <c r="H2051" s="10">
        <v>14</v>
      </c>
      <c r="I2051" s="273">
        <f>SUMIF('2020'!B:B,B2051,'2020'!C:C)+SUMIF('2021'!B:B,B2051,'2021'!C:C)+SUMIF('2022'!B:B,B2051,'2022'!C:C)</f>
        <v>70641.86</v>
      </c>
      <c r="J2051" s="59">
        <v>44925</v>
      </c>
      <c r="K2051" s="273" t="s">
        <v>3118</v>
      </c>
    </row>
    <row r="2052" spans="1:11" x14ac:dyDescent="0.3">
      <c r="A2052" s="259">
        <f t="shared" si="74"/>
        <v>1847</v>
      </c>
      <c r="B2052" s="20" t="s">
        <v>1983</v>
      </c>
      <c r="C2052" s="162">
        <v>1964</v>
      </c>
      <c r="D2052" s="234"/>
      <c r="E2052" s="273" t="s">
        <v>3123</v>
      </c>
      <c r="F2052" s="10">
        <v>5</v>
      </c>
      <c r="G2052" s="234">
        <v>2032.3</v>
      </c>
      <c r="H2052" s="10">
        <v>72</v>
      </c>
      <c r="I2052" s="273">
        <f>SUMIF('2020'!B:B,B2052,'2020'!C:C)+SUMIF('2021'!B:B,B2052,'2021'!C:C)+SUMIF('2022'!B:B,B2052,'2022'!C:C)</f>
        <v>7196176.79</v>
      </c>
      <c r="J2052" s="59">
        <v>44925</v>
      </c>
      <c r="K2052" s="273" t="s">
        <v>3118</v>
      </c>
    </row>
    <row r="2053" spans="1:11" x14ac:dyDescent="0.3">
      <c r="A2053" s="259">
        <f t="shared" si="74"/>
        <v>1848</v>
      </c>
      <c r="B2053" s="20" t="s">
        <v>1984</v>
      </c>
      <c r="C2053" s="162">
        <v>1964</v>
      </c>
      <c r="D2053" s="234"/>
      <c r="E2053" s="234" t="s">
        <v>3123</v>
      </c>
      <c r="F2053" s="10">
        <v>5</v>
      </c>
      <c r="G2053" s="234">
        <v>3402.5</v>
      </c>
      <c r="H2053" s="10">
        <v>96</v>
      </c>
      <c r="I2053" s="273">
        <f>SUMIF('2020'!B:B,B2053,'2020'!C:C)+SUMIF('2021'!B:B,B2053,'2021'!C:C)+SUMIF('2022'!B:B,B2053,'2022'!C:C)</f>
        <v>11786618.200000001</v>
      </c>
      <c r="J2053" s="59">
        <v>44925</v>
      </c>
      <c r="K2053" s="273" t="s">
        <v>3118</v>
      </c>
    </row>
    <row r="2054" spans="1:11" x14ac:dyDescent="0.3">
      <c r="A2054" s="259">
        <f t="shared" si="74"/>
        <v>1849</v>
      </c>
      <c r="B2054" s="20" t="s">
        <v>1985</v>
      </c>
      <c r="C2054" s="162">
        <v>1965</v>
      </c>
      <c r="D2054" s="234"/>
      <c r="E2054" s="273" t="s">
        <v>3123</v>
      </c>
      <c r="F2054" s="10">
        <v>5</v>
      </c>
      <c r="G2054" s="234">
        <v>2105.5</v>
      </c>
      <c r="H2054" s="10">
        <v>55</v>
      </c>
      <c r="I2054" s="273">
        <f>SUMIF('2020'!B:B,B2054,'2020'!C:C)+SUMIF('2021'!B:B,B2054,'2021'!C:C)+SUMIF('2022'!B:B,B2054,'2022'!C:C)</f>
        <v>7018747.5300000003</v>
      </c>
      <c r="J2054" s="59">
        <v>44925</v>
      </c>
      <c r="K2054" s="273" t="s">
        <v>3118</v>
      </c>
    </row>
    <row r="2055" spans="1:11" x14ac:dyDescent="0.3">
      <c r="A2055" s="259">
        <f t="shared" si="74"/>
        <v>1850</v>
      </c>
      <c r="B2055" s="20" t="s">
        <v>1986</v>
      </c>
      <c r="C2055" s="162">
        <v>1962</v>
      </c>
      <c r="D2055" s="234"/>
      <c r="E2055" s="273" t="s">
        <v>3123</v>
      </c>
      <c r="F2055" s="10">
        <v>4</v>
      </c>
      <c r="G2055" s="234">
        <v>2634.9</v>
      </c>
      <c r="H2055" s="10">
        <v>87</v>
      </c>
      <c r="I2055" s="273">
        <f>SUMIF('2020'!B:B,B2055,'2020'!C:C)+SUMIF('2021'!B:B,B2055,'2021'!C:C)+SUMIF('2022'!B:B,B2055,'2022'!C:C)</f>
        <v>7040534.3600000003</v>
      </c>
      <c r="J2055" s="59">
        <v>44925</v>
      </c>
      <c r="K2055" s="273" t="s">
        <v>3118</v>
      </c>
    </row>
    <row r="2056" spans="1:11" x14ac:dyDescent="0.3">
      <c r="A2056" s="259">
        <f t="shared" si="74"/>
        <v>1851</v>
      </c>
      <c r="B2056" s="20" t="s">
        <v>1987</v>
      </c>
      <c r="C2056" s="162">
        <v>1970</v>
      </c>
      <c r="D2056" s="234"/>
      <c r="E2056" s="273" t="s">
        <v>3123</v>
      </c>
      <c r="F2056" s="10">
        <v>5</v>
      </c>
      <c r="G2056" s="234">
        <v>7614.4</v>
      </c>
      <c r="H2056" s="10">
        <v>180</v>
      </c>
      <c r="I2056" s="273">
        <f>SUMIF('2020'!B:B,B2056,'2020'!C:C)+SUMIF('2021'!B:B,B2056,'2021'!C:C)+SUMIF('2022'!B:B,B2056,'2022'!C:C)</f>
        <v>15015388.379999999</v>
      </c>
      <c r="J2056" s="59">
        <v>44925</v>
      </c>
      <c r="K2056" s="273" t="s">
        <v>3118</v>
      </c>
    </row>
    <row r="2057" spans="1:11" x14ac:dyDescent="0.3">
      <c r="A2057" s="259">
        <f t="shared" si="74"/>
        <v>1852</v>
      </c>
      <c r="B2057" s="20" t="s">
        <v>1988</v>
      </c>
      <c r="C2057" s="162">
        <v>1972</v>
      </c>
      <c r="D2057" s="234"/>
      <c r="E2057" s="273" t="s">
        <v>3123</v>
      </c>
      <c r="F2057" s="10">
        <v>5</v>
      </c>
      <c r="G2057" s="273">
        <v>8111.5</v>
      </c>
      <c r="H2057" s="10">
        <v>257</v>
      </c>
      <c r="I2057" s="273">
        <f>SUMIF('2020'!B:B,B2057,'2020'!C:C)+SUMIF('2021'!B:B,B2057,'2021'!C:C)+SUMIF('2022'!B:B,B2057,'2022'!C:C)</f>
        <v>368970.76</v>
      </c>
      <c r="J2057" s="59">
        <v>44925</v>
      </c>
      <c r="K2057" s="273" t="s">
        <v>3118</v>
      </c>
    </row>
    <row r="2058" spans="1:11" x14ac:dyDescent="0.3">
      <c r="A2058" s="259">
        <f t="shared" si="74"/>
        <v>1853</v>
      </c>
      <c r="B2058" s="20" t="s">
        <v>1989</v>
      </c>
      <c r="C2058" s="162">
        <v>1973</v>
      </c>
      <c r="D2058" s="234"/>
      <c r="E2058" s="273" t="s">
        <v>3123</v>
      </c>
      <c r="F2058" s="10">
        <v>5</v>
      </c>
      <c r="G2058" s="234">
        <v>4493.3</v>
      </c>
      <c r="H2058" s="10">
        <v>133</v>
      </c>
      <c r="I2058" s="273">
        <f>SUMIF('2020'!B:B,B2058,'2020'!C:C)+SUMIF('2021'!B:B,B2058,'2021'!C:C)+SUMIF('2022'!B:B,B2058,'2022'!C:C)</f>
        <v>11989186.98</v>
      </c>
      <c r="J2058" s="59">
        <v>44925</v>
      </c>
      <c r="K2058" s="273" t="s">
        <v>3118</v>
      </c>
    </row>
    <row r="2059" spans="1:11" x14ac:dyDescent="0.3">
      <c r="A2059" s="259">
        <f t="shared" si="74"/>
        <v>1854</v>
      </c>
      <c r="B2059" s="20" t="s">
        <v>1990</v>
      </c>
      <c r="C2059" s="162">
        <v>1953</v>
      </c>
      <c r="D2059" s="234"/>
      <c r="E2059" s="273" t="s">
        <v>3121</v>
      </c>
      <c r="F2059" s="10">
        <v>2</v>
      </c>
      <c r="G2059" s="234">
        <v>756.8</v>
      </c>
      <c r="H2059" s="10">
        <v>15</v>
      </c>
      <c r="I2059" s="273">
        <f>SUMIF('2020'!B:B,B2059,'2020'!C:C)+SUMIF('2021'!B:B,B2059,'2021'!C:C)+SUMIF('2022'!B:B,B2059,'2022'!C:C)</f>
        <v>2812199.54</v>
      </c>
      <c r="J2059" s="59">
        <v>44925</v>
      </c>
      <c r="K2059" s="273" t="s">
        <v>3118</v>
      </c>
    </row>
    <row r="2060" spans="1:11" x14ac:dyDescent="0.3">
      <c r="A2060" s="259">
        <f t="shared" si="74"/>
        <v>1855</v>
      </c>
      <c r="B2060" s="20" t="s">
        <v>1991</v>
      </c>
      <c r="C2060" s="162">
        <v>1975</v>
      </c>
      <c r="D2060" s="234"/>
      <c r="E2060" s="273" t="s">
        <v>3123</v>
      </c>
      <c r="F2060" s="10">
        <v>5</v>
      </c>
      <c r="G2060" s="273">
        <v>6172.3</v>
      </c>
      <c r="H2060" s="10">
        <v>229</v>
      </c>
      <c r="I2060" s="273">
        <f>SUMIF('2020'!B:B,B2060,'2020'!C:C)+SUMIF('2021'!B:B,B2060,'2021'!C:C)+SUMIF('2022'!B:B,B2060,'2022'!C:C)</f>
        <v>286709.65999999997</v>
      </c>
      <c r="J2060" s="59">
        <v>44925</v>
      </c>
      <c r="K2060" s="273" t="s">
        <v>3118</v>
      </c>
    </row>
    <row r="2061" spans="1:11" x14ac:dyDescent="0.3">
      <c r="A2061" s="259">
        <f t="shared" si="74"/>
        <v>1856</v>
      </c>
      <c r="B2061" s="20" t="s">
        <v>1992</v>
      </c>
      <c r="C2061" s="162">
        <v>1977</v>
      </c>
      <c r="D2061" s="234"/>
      <c r="E2061" s="273" t="s">
        <v>3123</v>
      </c>
      <c r="F2061" s="10">
        <v>5</v>
      </c>
      <c r="G2061" s="234">
        <v>4485.7</v>
      </c>
      <c r="H2061" s="10">
        <v>165</v>
      </c>
      <c r="I2061" s="273">
        <f>SUMIF('2020'!B:B,B2061,'2020'!C:C)+SUMIF('2021'!B:B,B2061,'2021'!C:C)+SUMIF('2022'!B:B,B2061,'2022'!C:C)</f>
        <v>26342358.080000002</v>
      </c>
      <c r="J2061" s="59">
        <v>44925</v>
      </c>
      <c r="K2061" s="273" t="s">
        <v>3118</v>
      </c>
    </row>
    <row r="2062" spans="1:11" x14ac:dyDescent="0.3">
      <c r="A2062" s="259">
        <f t="shared" si="74"/>
        <v>1857</v>
      </c>
      <c r="B2062" s="20" t="s">
        <v>1993</v>
      </c>
      <c r="C2062" s="162">
        <v>1973</v>
      </c>
      <c r="D2062" s="234"/>
      <c r="E2062" s="273" t="s">
        <v>3123</v>
      </c>
      <c r="F2062" s="10">
        <v>5</v>
      </c>
      <c r="G2062" s="234">
        <v>3732.1</v>
      </c>
      <c r="H2062" s="10">
        <v>110</v>
      </c>
      <c r="I2062" s="273">
        <f>SUMIF('2020'!B:B,B2062,'2020'!C:C)+SUMIF('2021'!B:B,B2062,'2021'!C:C)+SUMIF('2022'!B:B,B2062,'2022'!C:C)</f>
        <v>196543.52</v>
      </c>
      <c r="J2062" s="59">
        <v>44925</v>
      </c>
      <c r="K2062" s="273" t="s">
        <v>3118</v>
      </c>
    </row>
    <row r="2063" spans="1:11" x14ac:dyDescent="0.3">
      <c r="A2063" s="259">
        <f t="shared" si="74"/>
        <v>1858</v>
      </c>
      <c r="B2063" s="20" t="s">
        <v>1994</v>
      </c>
      <c r="C2063" s="162">
        <v>1981</v>
      </c>
      <c r="D2063" s="234"/>
      <c r="E2063" s="273" t="s">
        <v>3123</v>
      </c>
      <c r="F2063" s="10">
        <v>5</v>
      </c>
      <c r="G2063" s="234">
        <v>6946.4</v>
      </c>
      <c r="H2063" s="10">
        <v>200</v>
      </c>
      <c r="I2063" s="273">
        <f>SUMIF('2020'!B:B,B2063,'2020'!C:C)+SUMIF('2021'!B:B,B2063,'2021'!C:C)+SUMIF('2022'!B:B,B2063,'2022'!C:C)</f>
        <v>337004.02</v>
      </c>
      <c r="J2063" s="59">
        <v>44925</v>
      </c>
      <c r="K2063" s="273" t="s">
        <v>3118</v>
      </c>
    </row>
    <row r="2064" spans="1:11" x14ac:dyDescent="0.3">
      <c r="A2064" s="259">
        <f t="shared" si="74"/>
        <v>1859</v>
      </c>
      <c r="B2064" s="20" t="s">
        <v>1995</v>
      </c>
      <c r="C2064" s="162">
        <v>1989</v>
      </c>
      <c r="D2064" s="234"/>
      <c r="E2064" s="234" t="s">
        <v>3123</v>
      </c>
      <c r="F2064" s="10">
        <v>5</v>
      </c>
      <c r="G2064" s="234">
        <v>2349.5</v>
      </c>
      <c r="H2064" s="10">
        <v>87</v>
      </c>
      <c r="I2064" s="273">
        <f>SUMIF('2020'!B:B,B2064,'2020'!C:C)+SUMIF('2021'!B:B,B2064,'2021'!C:C)+SUMIF('2022'!B:B,B2064,'2022'!C:C)</f>
        <v>268839.07</v>
      </c>
      <c r="J2064" s="59">
        <v>44925</v>
      </c>
      <c r="K2064" s="273" t="s">
        <v>3118</v>
      </c>
    </row>
    <row r="2065" spans="1:11" x14ac:dyDescent="0.3">
      <c r="A2065" s="259">
        <f t="shared" si="74"/>
        <v>1860</v>
      </c>
      <c r="B2065" s="20" t="s">
        <v>1996</v>
      </c>
      <c r="C2065" s="162">
        <v>1989</v>
      </c>
      <c r="D2065" s="234"/>
      <c r="E2065" s="234" t="s">
        <v>3123</v>
      </c>
      <c r="F2065" s="10">
        <v>5</v>
      </c>
      <c r="G2065" s="234">
        <v>2395.6999999999998</v>
      </c>
      <c r="H2065" s="10">
        <v>67</v>
      </c>
      <c r="I2065" s="273">
        <f>SUMIF('2020'!B:B,B2065,'2020'!C:C)+SUMIF('2021'!B:B,B2065,'2021'!C:C)+SUMIF('2022'!B:B,B2065,'2022'!C:C)</f>
        <v>269285.5</v>
      </c>
      <c r="J2065" s="59">
        <v>44925</v>
      </c>
      <c r="K2065" s="273" t="s">
        <v>3118</v>
      </c>
    </row>
    <row r="2066" spans="1:11" x14ac:dyDescent="0.3">
      <c r="A2066" s="259">
        <f t="shared" si="74"/>
        <v>1861</v>
      </c>
      <c r="B2066" s="20" t="s">
        <v>1997</v>
      </c>
      <c r="C2066" s="162">
        <v>1989</v>
      </c>
      <c r="D2066" s="234"/>
      <c r="E2066" s="234" t="s">
        <v>3123</v>
      </c>
      <c r="F2066" s="10">
        <v>5</v>
      </c>
      <c r="G2066" s="234">
        <v>2457.8000000000002</v>
      </c>
      <c r="H2066" s="10">
        <v>82</v>
      </c>
      <c r="I2066" s="273">
        <f>SUMIF('2020'!B:B,B2066,'2020'!C:C)+SUMIF('2021'!B:B,B2066,'2021'!C:C)+SUMIF('2022'!B:B,B2066,'2022'!C:C)</f>
        <v>268049.18</v>
      </c>
      <c r="J2066" s="59">
        <v>44925</v>
      </c>
      <c r="K2066" s="273" t="s">
        <v>3118</v>
      </c>
    </row>
    <row r="2067" spans="1:11" x14ac:dyDescent="0.3">
      <c r="A2067" s="259">
        <f t="shared" si="74"/>
        <v>1862</v>
      </c>
      <c r="B2067" s="20" t="s">
        <v>1998</v>
      </c>
      <c r="C2067" s="162">
        <v>1989</v>
      </c>
      <c r="D2067" s="234"/>
      <c r="E2067" s="234" t="s">
        <v>3123</v>
      </c>
      <c r="F2067" s="10">
        <v>5</v>
      </c>
      <c r="G2067" s="234">
        <v>2434.1</v>
      </c>
      <c r="H2067" s="10">
        <v>61</v>
      </c>
      <c r="I2067" s="273">
        <f>SUMIF('2020'!B:B,B2067,'2020'!C:C)+SUMIF('2021'!B:B,B2067,'2021'!C:C)+SUMIF('2022'!B:B,B2067,'2022'!C:C)</f>
        <v>270315.78000000003</v>
      </c>
      <c r="J2067" s="59">
        <v>44925</v>
      </c>
      <c r="K2067" s="273" t="s">
        <v>3118</v>
      </c>
    </row>
    <row r="2068" spans="1:11" x14ac:dyDescent="0.3">
      <c r="A2068" s="259">
        <f t="shared" si="74"/>
        <v>1863</v>
      </c>
      <c r="B2068" s="20" t="s">
        <v>1999</v>
      </c>
      <c r="C2068" s="162">
        <v>1989</v>
      </c>
      <c r="D2068" s="234"/>
      <c r="E2068" s="234" t="s">
        <v>3123</v>
      </c>
      <c r="F2068" s="10">
        <v>5</v>
      </c>
      <c r="G2068" s="234">
        <v>3033.2</v>
      </c>
      <c r="H2068" s="10">
        <v>73</v>
      </c>
      <c r="I2068" s="273">
        <f>SUMIF('2020'!B:B,B2068,'2020'!C:C)+SUMIF('2021'!B:B,B2068,'2021'!C:C)+SUMIF('2022'!B:B,B2068,'2022'!C:C)</f>
        <v>293805.84000000003</v>
      </c>
      <c r="J2068" s="59">
        <v>44925</v>
      </c>
      <c r="K2068" s="273" t="s">
        <v>3118</v>
      </c>
    </row>
    <row r="2069" spans="1:11" x14ac:dyDescent="0.3">
      <c r="A2069" s="259">
        <f t="shared" si="74"/>
        <v>1864</v>
      </c>
      <c r="B2069" s="20" t="s">
        <v>2000</v>
      </c>
      <c r="C2069" s="162">
        <v>1960</v>
      </c>
      <c r="D2069" s="234"/>
      <c r="E2069" s="273" t="s">
        <v>3437</v>
      </c>
      <c r="F2069" s="10">
        <v>2</v>
      </c>
      <c r="G2069" s="273">
        <v>944.9</v>
      </c>
      <c r="H2069" s="10">
        <v>42</v>
      </c>
      <c r="I2069" s="273">
        <f>SUMIF('2020'!B:B,B2069,'2020'!C:C)+SUMIF('2021'!B:B,B2069,'2021'!C:C)+SUMIF('2022'!B:B,B2069,'2022'!C:C)</f>
        <v>351340.08999999997</v>
      </c>
      <c r="J2069" s="59">
        <v>44925</v>
      </c>
      <c r="K2069" s="273" t="s">
        <v>3118</v>
      </c>
    </row>
    <row r="2070" spans="1:11" x14ac:dyDescent="0.3">
      <c r="A2070" s="259">
        <f t="shared" si="74"/>
        <v>1865</v>
      </c>
      <c r="B2070" s="20" t="s">
        <v>2001</v>
      </c>
      <c r="C2070" s="162">
        <v>1991</v>
      </c>
      <c r="D2070" s="234"/>
      <c r="E2070" s="234" t="s">
        <v>3129</v>
      </c>
      <c r="F2070" s="10">
        <v>5</v>
      </c>
      <c r="G2070" s="234">
        <v>4902.1000000000004</v>
      </c>
      <c r="H2070" s="10">
        <v>136</v>
      </c>
      <c r="I2070" s="273">
        <f>SUMIF('2020'!B:B,B2070,'2020'!C:C)+SUMIF('2021'!B:B,B2070,'2021'!C:C)+SUMIF('2022'!B:B,B2070,'2022'!C:C)</f>
        <v>394978.01</v>
      </c>
      <c r="J2070" s="59">
        <v>44925</v>
      </c>
      <c r="K2070" s="273" t="s">
        <v>3118</v>
      </c>
    </row>
    <row r="2071" spans="1:11" x14ac:dyDescent="0.3">
      <c r="A2071" s="259">
        <f t="shared" si="74"/>
        <v>1866</v>
      </c>
      <c r="B2071" s="20" t="s">
        <v>2002</v>
      </c>
      <c r="C2071" s="162">
        <v>1990</v>
      </c>
      <c r="D2071" s="234"/>
      <c r="E2071" s="234" t="s">
        <v>3129</v>
      </c>
      <c r="F2071" s="10">
        <v>5</v>
      </c>
      <c r="G2071" s="234">
        <v>5151.8</v>
      </c>
      <c r="H2071" s="10">
        <v>144</v>
      </c>
      <c r="I2071" s="273">
        <f>SUMIF('2020'!B:B,B2071,'2020'!C:C)+SUMIF('2021'!B:B,B2071,'2021'!C:C)+SUMIF('2022'!B:B,B2071,'2022'!C:C)</f>
        <v>1641962.44</v>
      </c>
      <c r="J2071" s="59">
        <v>44925</v>
      </c>
      <c r="K2071" s="273" t="s">
        <v>3118</v>
      </c>
    </row>
    <row r="2072" spans="1:11" x14ac:dyDescent="0.3">
      <c r="A2072" s="259">
        <f t="shared" si="74"/>
        <v>1867</v>
      </c>
      <c r="B2072" s="20" t="s">
        <v>2003</v>
      </c>
      <c r="C2072" s="162">
        <v>1990</v>
      </c>
      <c r="D2072" s="234"/>
      <c r="E2072" s="234" t="s">
        <v>3129</v>
      </c>
      <c r="F2072" s="10">
        <v>5</v>
      </c>
      <c r="G2072" s="234">
        <v>7173</v>
      </c>
      <c r="H2072" s="10">
        <v>189</v>
      </c>
      <c r="I2072" s="273">
        <f>SUMIF('2020'!B:B,B2072,'2020'!C:C)+SUMIF('2021'!B:B,B2072,'2021'!C:C)+SUMIF('2022'!B:B,B2072,'2022'!C:C)</f>
        <v>40133107.130000003</v>
      </c>
      <c r="J2072" s="59">
        <v>44925</v>
      </c>
      <c r="K2072" s="273" t="s">
        <v>3118</v>
      </c>
    </row>
    <row r="2073" spans="1:11" x14ac:dyDescent="0.3">
      <c r="A2073" s="259">
        <f t="shared" si="74"/>
        <v>1868</v>
      </c>
      <c r="B2073" s="20" t="s">
        <v>2004</v>
      </c>
      <c r="C2073" s="162">
        <v>1991</v>
      </c>
      <c r="D2073" s="234"/>
      <c r="E2073" s="234" t="s">
        <v>3129</v>
      </c>
      <c r="F2073" s="10">
        <v>5</v>
      </c>
      <c r="G2073" s="234">
        <v>5409.2</v>
      </c>
      <c r="H2073" s="10">
        <v>121</v>
      </c>
      <c r="I2073" s="273">
        <f>SUMIF('2020'!B:B,B2073,'2020'!C:C)+SUMIF('2021'!B:B,B2073,'2021'!C:C)+SUMIF('2022'!B:B,B2073,'2022'!C:C)</f>
        <v>8200671.5999999996</v>
      </c>
      <c r="J2073" s="59">
        <v>44925</v>
      </c>
      <c r="K2073" s="273" t="s">
        <v>3118</v>
      </c>
    </row>
    <row r="2074" spans="1:11" x14ac:dyDescent="0.3">
      <c r="A2074" s="259">
        <f t="shared" si="74"/>
        <v>1869</v>
      </c>
      <c r="B2074" s="20" t="s">
        <v>2005</v>
      </c>
      <c r="C2074" s="162">
        <v>1962</v>
      </c>
      <c r="D2074" s="234"/>
      <c r="E2074" s="273" t="s">
        <v>3437</v>
      </c>
      <c r="F2074" s="10">
        <v>2</v>
      </c>
      <c r="G2074" s="234">
        <v>572.1</v>
      </c>
      <c r="H2074" s="10">
        <v>22</v>
      </c>
      <c r="I2074" s="273">
        <f>SUMIF('2020'!B:B,B2074,'2020'!C:C)+SUMIF('2021'!B:B,B2074,'2021'!C:C)+SUMIF('2022'!B:B,B2074,'2022'!C:C)</f>
        <v>3769089</v>
      </c>
      <c r="J2074" s="59">
        <v>44925</v>
      </c>
      <c r="K2074" s="273" t="s">
        <v>3118</v>
      </c>
    </row>
    <row r="2075" spans="1:11" x14ac:dyDescent="0.3">
      <c r="A2075" s="259">
        <f t="shared" si="74"/>
        <v>1870</v>
      </c>
      <c r="B2075" s="20" t="s">
        <v>2006</v>
      </c>
      <c r="C2075" s="162">
        <v>1963</v>
      </c>
      <c r="D2075" s="234"/>
      <c r="E2075" s="273" t="s">
        <v>3121</v>
      </c>
      <c r="F2075" s="10">
        <v>2</v>
      </c>
      <c r="G2075" s="234">
        <v>559.6</v>
      </c>
      <c r="H2075" s="10">
        <v>21</v>
      </c>
      <c r="I2075" s="273">
        <f>SUMIF('2020'!B:B,B2075,'2020'!C:C)+SUMIF('2021'!B:B,B2075,'2021'!C:C)+SUMIF('2022'!B:B,B2075,'2022'!C:C)</f>
        <v>1592565.6</v>
      </c>
      <c r="J2075" s="59">
        <v>44925</v>
      </c>
      <c r="K2075" s="273" t="s">
        <v>3118</v>
      </c>
    </row>
    <row r="2076" spans="1:11" x14ac:dyDescent="0.3">
      <c r="A2076" s="259">
        <f t="shared" si="74"/>
        <v>1871</v>
      </c>
      <c r="B2076" s="20" t="s">
        <v>2007</v>
      </c>
      <c r="C2076" s="162">
        <v>1967</v>
      </c>
      <c r="D2076" s="234"/>
      <c r="E2076" s="273" t="s">
        <v>3121</v>
      </c>
      <c r="F2076" s="10">
        <v>2</v>
      </c>
      <c r="G2076" s="234">
        <v>584.20000000000005</v>
      </c>
      <c r="H2076" s="10">
        <v>19</v>
      </c>
      <c r="I2076" s="273">
        <f>SUMIF('2020'!B:B,B2076,'2020'!C:C)+SUMIF('2021'!B:B,B2076,'2021'!C:C)+SUMIF('2022'!B:B,B2076,'2022'!C:C)</f>
        <v>1460196</v>
      </c>
      <c r="J2076" s="59">
        <v>44925</v>
      </c>
      <c r="K2076" s="273" t="s">
        <v>3118</v>
      </c>
    </row>
    <row r="2077" spans="1:11" x14ac:dyDescent="0.3">
      <c r="A2077" s="259">
        <f t="shared" si="74"/>
        <v>1872</v>
      </c>
      <c r="B2077" s="20" t="s">
        <v>2008</v>
      </c>
      <c r="C2077" s="162">
        <v>1964</v>
      </c>
      <c r="D2077" s="234"/>
      <c r="E2077" s="273" t="s">
        <v>3121</v>
      </c>
      <c r="F2077" s="10">
        <v>2</v>
      </c>
      <c r="G2077" s="234">
        <v>556.70000000000005</v>
      </c>
      <c r="H2077" s="10">
        <v>16</v>
      </c>
      <c r="I2077" s="273">
        <f>SUMIF('2020'!B:B,B2077,'2020'!C:C)+SUMIF('2021'!B:B,B2077,'2021'!C:C)+SUMIF('2022'!B:B,B2077,'2022'!C:C)</f>
        <v>1999323.6400000001</v>
      </c>
      <c r="J2077" s="59">
        <v>44925</v>
      </c>
      <c r="K2077" s="273" t="s">
        <v>3118</v>
      </c>
    </row>
    <row r="2078" spans="1:11" x14ac:dyDescent="0.3">
      <c r="A2078" s="259">
        <f t="shared" si="74"/>
        <v>1873</v>
      </c>
      <c r="B2078" s="20" t="s">
        <v>2009</v>
      </c>
      <c r="C2078" s="162">
        <v>1960</v>
      </c>
      <c r="D2078" s="234"/>
      <c r="E2078" s="273" t="s">
        <v>3121</v>
      </c>
      <c r="F2078" s="10">
        <v>2</v>
      </c>
      <c r="G2078" s="234">
        <v>566.4</v>
      </c>
      <c r="H2078" s="10">
        <v>14</v>
      </c>
      <c r="I2078" s="273">
        <f>SUMIF('2020'!B:B,B2078,'2020'!C:C)+SUMIF('2021'!B:B,B2078,'2021'!C:C)+SUMIF('2022'!B:B,B2078,'2022'!C:C)</f>
        <v>4139123.9999999995</v>
      </c>
      <c r="J2078" s="59">
        <v>44925</v>
      </c>
      <c r="K2078" s="273" t="s">
        <v>3118</v>
      </c>
    </row>
    <row r="2079" spans="1:11" x14ac:dyDescent="0.3">
      <c r="A2079" s="259">
        <f t="shared" si="74"/>
        <v>1874</v>
      </c>
      <c r="B2079" s="20" t="s">
        <v>2010</v>
      </c>
      <c r="C2079" s="162">
        <v>1984</v>
      </c>
      <c r="D2079" s="234"/>
      <c r="E2079" s="273" t="s">
        <v>3129</v>
      </c>
      <c r="F2079" s="10">
        <v>5</v>
      </c>
      <c r="G2079" s="234">
        <v>7568.7</v>
      </c>
      <c r="H2079" s="10">
        <v>198</v>
      </c>
      <c r="I2079" s="273">
        <f>SUMIF('2020'!B:B,B2079,'2020'!C:C)+SUMIF('2021'!B:B,B2079,'2021'!C:C)+SUMIF('2022'!B:B,B2079,'2022'!C:C)</f>
        <v>618334.30000000005</v>
      </c>
      <c r="J2079" s="59">
        <v>44925</v>
      </c>
      <c r="K2079" s="273" t="s">
        <v>3118</v>
      </c>
    </row>
    <row r="2080" spans="1:11" x14ac:dyDescent="0.3">
      <c r="A2080" s="259">
        <f t="shared" si="74"/>
        <v>1875</v>
      </c>
      <c r="B2080" s="20" t="s">
        <v>2011</v>
      </c>
      <c r="C2080" s="162">
        <v>1983</v>
      </c>
      <c r="D2080" s="234"/>
      <c r="E2080" s="273" t="s">
        <v>3129</v>
      </c>
      <c r="F2080" s="10">
        <v>5</v>
      </c>
      <c r="G2080" s="234">
        <v>4976.7</v>
      </c>
      <c r="H2080" s="10">
        <v>141</v>
      </c>
      <c r="I2080" s="273">
        <f>SUMIF('2020'!B:B,B2080,'2020'!C:C)+SUMIF('2021'!B:B,B2080,'2021'!C:C)+SUMIF('2022'!B:B,B2080,'2022'!C:C)</f>
        <v>11416509.73</v>
      </c>
      <c r="J2080" s="59">
        <v>44925</v>
      </c>
      <c r="K2080" s="273" t="s">
        <v>3118</v>
      </c>
    </row>
    <row r="2081" spans="1:11" x14ac:dyDescent="0.3">
      <c r="A2081" s="259">
        <f t="shared" ref="A2081:A2112" si="75">A2080+1</f>
        <v>1876</v>
      </c>
      <c r="B2081" s="20" t="s">
        <v>2012</v>
      </c>
      <c r="C2081" s="162">
        <v>1980</v>
      </c>
      <c r="D2081" s="234"/>
      <c r="E2081" s="273" t="s">
        <v>3129</v>
      </c>
      <c r="F2081" s="10">
        <v>5</v>
      </c>
      <c r="G2081" s="234">
        <v>5011</v>
      </c>
      <c r="H2081" s="10">
        <v>144</v>
      </c>
      <c r="I2081" s="273">
        <f>SUMIF('2020'!B:B,B2081,'2020'!C:C)+SUMIF('2021'!B:B,B2081,'2021'!C:C)+SUMIF('2022'!B:B,B2081,'2022'!C:C)</f>
        <v>488105.82999999996</v>
      </c>
      <c r="J2081" s="59">
        <v>44925</v>
      </c>
      <c r="K2081" s="273" t="s">
        <v>3118</v>
      </c>
    </row>
    <row r="2082" spans="1:11" x14ac:dyDescent="0.3">
      <c r="A2082" s="259">
        <f t="shared" si="75"/>
        <v>1877</v>
      </c>
      <c r="B2082" s="20" t="s">
        <v>2013</v>
      </c>
      <c r="C2082" s="162">
        <v>1982</v>
      </c>
      <c r="D2082" s="234"/>
      <c r="E2082" s="273" t="s">
        <v>3129</v>
      </c>
      <c r="F2082" s="10">
        <v>5</v>
      </c>
      <c r="G2082" s="234">
        <v>5021.7</v>
      </c>
      <c r="H2082" s="10">
        <v>132</v>
      </c>
      <c r="I2082" s="273">
        <f>SUMIF('2020'!B:B,B2082,'2020'!C:C)+SUMIF('2021'!B:B,B2082,'2021'!C:C)+SUMIF('2022'!B:B,B2082,'2022'!C:C)</f>
        <v>13568634.039999999</v>
      </c>
      <c r="J2082" s="59">
        <v>44925</v>
      </c>
      <c r="K2082" s="273" t="s">
        <v>3118</v>
      </c>
    </row>
    <row r="2083" spans="1:11" x14ac:dyDescent="0.3">
      <c r="A2083" s="259">
        <f t="shared" si="75"/>
        <v>1878</v>
      </c>
      <c r="B2083" s="20" t="s">
        <v>2014</v>
      </c>
      <c r="C2083" s="162">
        <v>1985</v>
      </c>
      <c r="D2083" s="234"/>
      <c r="E2083" s="273" t="s">
        <v>3129</v>
      </c>
      <c r="F2083" s="10">
        <v>5</v>
      </c>
      <c r="G2083" s="234">
        <v>7915.5</v>
      </c>
      <c r="H2083" s="10">
        <v>185</v>
      </c>
      <c r="I2083" s="273">
        <f>SUMIF('2020'!B:B,B2083,'2020'!C:C)+SUMIF('2021'!B:B,B2083,'2021'!C:C)+SUMIF('2022'!B:B,B2083,'2022'!C:C)</f>
        <v>21022502.399999999</v>
      </c>
      <c r="J2083" s="59">
        <v>44925</v>
      </c>
      <c r="K2083" s="273" t="s">
        <v>3118</v>
      </c>
    </row>
    <row r="2084" spans="1:11" x14ac:dyDescent="0.3">
      <c r="A2084" s="259">
        <f t="shared" si="75"/>
        <v>1879</v>
      </c>
      <c r="B2084" s="20" t="s">
        <v>2015</v>
      </c>
      <c r="C2084" s="162">
        <v>1983</v>
      </c>
      <c r="D2084" s="234"/>
      <c r="E2084" s="273" t="s">
        <v>3129</v>
      </c>
      <c r="F2084" s="10">
        <v>5</v>
      </c>
      <c r="G2084" s="234">
        <v>5086</v>
      </c>
      <c r="H2084" s="10">
        <v>109</v>
      </c>
      <c r="I2084" s="273">
        <f>SUMIF('2020'!B:B,B2084,'2020'!C:C)+SUMIF('2021'!B:B,B2084,'2021'!C:C)+SUMIF('2022'!B:B,B2084,'2022'!C:C)</f>
        <v>14989932</v>
      </c>
      <c r="J2084" s="59">
        <v>44925</v>
      </c>
      <c r="K2084" s="273" t="s">
        <v>3118</v>
      </c>
    </row>
    <row r="2085" spans="1:11" x14ac:dyDescent="0.3">
      <c r="A2085" s="259">
        <f t="shared" si="75"/>
        <v>1880</v>
      </c>
      <c r="B2085" s="20" t="s">
        <v>2016</v>
      </c>
      <c r="C2085" s="162">
        <v>1985</v>
      </c>
      <c r="D2085" s="234"/>
      <c r="E2085" s="273" t="s">
        <v>3129</v>
      </c>
      <c r="F2085" s="10">
        <v>5</v>
      </c>
      <c r="G2085" s="234">
        <v>7556.2</v>
      </c>
      <c r="H2085" s="10">
        <v>194</v>
      </c>
      <c r="I2085" s="273">
        <f>SUMIF('2020'!B:B,B2085,'2020'!C:C)+SUMIF('2021'!B:B,B2085,'2021'!C:C)+SUMIF('2022'!B:B,B2085,'2022'!C:C)</f>
        <v>404741.39</v>
      </c>
      <c r="J2085" s="59">
        <v>44925</v>
      </c>
      <c r="K2085" s="273" t="s">
        <v>3118</v>
      </c>
    </row>
    <row r="2086" spans="1:11" x14ac:dyDescent="0.3">
      <c r="A2086" s="259">
        <f t="shared" si="75"/>
        <v>1881</v>
      </c>
      <c r="B2086" s="20" t="s">
        <v>2017</v>
      </c>
      <c r="C2086" s="162">
        <v>1957</v>
      </c>
      <c r="D2086" s="234"/>
      <c r="E2086" s="273" t="s">
        <v>3121</v>
      </c>
      <c r="F2086" s="10">
        <v>2</v>
      </c>
      <c r="G2086" s="273">
        <v>161.9</v>
      </c>
      <c r="H2086" s="10">
        <v>5</v>
      </c>
      <c r="I2086" s="273">
        <f>SUMIF('2020'!B:B,B2086,'2020'!C:C)+SUMIF('2021'!B:B,B2086,'2021'!C:C)+SUMIF('2022'!B:B,B2086,'2022'!C:C)</f>
        <v>233880.52</v>
      </c>
      <c r="J2086" s="59">
        <v>44925</v>
      </c>
      <c r="K2086" s="273" t="s">
        <v>3118</v>
      </c>
    </row>
    <row r="2087" spans="1:11" x14ac:dyDescent="0.3">
      <c r="A2087" s="259">
        <f t="shared" si="75"/>
        <v>1882</v>
      </c>
      <c r="B2087" s="20" t="s">
        <v>2018</v>
      </c>
      <c r="C2087" s="162">
        <v>1948</v>
      </c>
      <c r="D2087" s="234"/>
      <c r="E2087" s="273" t="s">
        <v>3121</v>
      </c>
      <c r="F2087" s="10">
        <v>2</v>
      </c>
      <c r="G2087" s="234">
        <v>943.5</v>
      </c>
      <c r="H2087" s="10">
        <v>12</v>
      </c>
      <c r="I2087" s="273">
        <f>SUMIF('2020'!B:B,B2087,'2020'!C:C)+SUMIF('2021'!B:B,B2087,'2021'!C:C)+SUMIF('2022'!B:B,B2087,'2022'!C:C)</f>
        <v>2096583.6800000002</v>
      </c>
      <c r="J2087" s="59">
        <v>44925</v>
      </c>
      <c r="K2087" s="273" t="s">
        <v>3118</v>
      </c>
    </row>
    <row r="2088" spans="1:11" x14ac:dyDescent="0.3">
      <c r="A2088" s="259">
        <f t="shared" si="75"/>
        <v>1883</v>
      </c>
      <c r="B2088" s="20" t="s">
        <v>2019</v>
      </c>
      <c r="C2088" s="162">
        <v>1959</v>
      </c>
      <c r="D2088" s="234"/>
      <c r="E2088" s="273" t="s">
        <v>3121</v>
      </c>
      <c r="F2088" s="10">
        <v>2</v>
      </c>
      <c r="G2088" s="273">
        <v>155</v>
      </c>
      <c r="H2088" s="10">
        <v>3</v>
      </c>
      <c r="I2088" s="273">
        <f>SUMIF('2020'!B:B,B2088,'2020'!C:C)+SUMIF('2021'!B:B,B2088,'2021'!C:C)+SUMIF('2022'!B:B,B2088,'2022'!C:C)</f>
        <v>231886</v>
      </c>
      <c r="J2088" s="59">
        <v>44925</v>
      </c>
      <c r="K2088" s="273" t="s">
        <v>3118</v>
      </c>
    </row>
    <row r="2089" spans="1:11" x14ac:dyDescent="0.3">
      <c r="A2089" s="259">
        <f t="shared" si="75"/>
        <v>1884</v>
      </c>
      <c r="B2089" s="20" t="s">
        <v>2020</v>
      </c>
      <c r="C2089" s="162">
        <v>1957</v>
      </c>
      <c r="D2089" s="234"/>
      <c r="E2089" s="273" t="s">
        <v>3121</v>
      </c>
      <c r="F2089" s="10">
        <v>2</v>
      </c>
      <c r="G2089" s="273">
        <v>165.8</v>
      </c>
      <c r="H2089" s="10">
        <v>5</v>
      </c>
      <c r="I2089" s="273">
        <f>SUMIF('2020'!B:B,B2089,'2020'!C:C)+SUMIF('2021'!B:B,B2089,'2021'!C:C)+SUMIF('2022'!B:B,B2089,'2022'!C:C)</f>
        <v>146884.57</v>
      </c>
      <c r="J2089" s="59">
        <v>44925</v>
      </c>
      <c r="K2089" s="273" t="s">
        <v>3118</v>
      </c>
    </row>
    <row r="2090" spans="1:11" x14ac:dyDescent="0.3">
      <c r="A2090" s="259">
        <f t="shared" si="75"/>
        <v>1885</v>
      </c>
      <c r="B2090" s="20" t="s">
        <v>2021</v>
      </c>
      <c r="C2090" s="162">
        <v>1957</v>
      </c>
      <c r="D2090" s="234"/>
      <c r="E2090" s="273" t="s">
        <v>3121</v>
      </c>
      <c r="F2090" s="10">
        <v>2</v>
      </c>
      <c r="G2090" s="273">
        <v>163.80000000000001</v>
      </c>
      <c r="H2090" s="10">
        <v>4</v>
      </c>
      <c r="I2090" s="273">
        <f>SUMIF('2020'!B:B,B2090,'2020'!C:C)+SUMIF('2021'!B:B,B2090,'2021'!C:C)+SUMIF('2022'!B:B,B2090,'2022'!C:C)</f>
        <v>262091.92</v>
      </c>
      <c r="J2090" s="59">
        <v>44925</v>
      </c>
      <c r="K2090" s="273" t="s">
        <v>3118</v>
      </c>
    </row>
    <row r="2091" spans="1:11" x14ac:dyDescent="0.3">
      <c r="A2091" s="259">
        <f t="shared" si="75"/>
        <v>1886</v>
      </c>
      <c r="B2091" s="20" t="s">
        <v>2022</v>
      </c>
      <c r="C2091" s="162">
        <v>1957</v>
      </c>
      <c r="D2091" s="234"/>
      <c r="E2091" s="273" t="s">
        <v>3121</v>
      </c>
      <c r="F2091" s="10">
        <v>2</v>
      </c>
      <c r="G2091" s="273">
        <v>163.9</v>
      </c>
      <c r="H2091" s="10">
        <v>2</v>
      </c>
      <c r="I2091" s="273">
        <f>SUMIF('2020'!B:B,B2091,'2020'!C:C)+SUMIF('2021'!B:B,B2091,'2021'!C:C)+SUMIF('2022'!B:B,B2091,'2022'!C:C)</f>
        <v>1952337.9999999998</v>
      </c>
      <c r="J2091" s="59">
        <v>44925</v>
      </c>
      <c r="K2091" s="273" t="s">
        <v>3118</v>
      </c>
    </row>
    <row r="2092" spans="1:11" x14ac:dyDescent="0.3">
      <c r="A2092" s="259">
        <f t="shared" si="75"/>
        <v>1887</v>
      </c>
      <c r="B2092" s="20" t="s">
        <v>2023</v>
      </c>
      <c r="C2092" s="162">
        <v>1957</v>
      </c>
      <c r="D2092" s="234"/>
      <c r="E2092" s="273" t="s">
        <v>3121</v>
      </c>
      <c r="F2092" s="10">
        <v>2</v>
      </c>
      <c r="G2092" s="273">
        <v>160.9</v>
      </c>
      <c r="H2092" s="10">
        <v>8</v>
      </c>
      <c r="I2092" s="273">
        <f>SUMIF('2020'!B:B,B2092,'2020'!C:C)+SUMIF('2021'!B:B,B2092,'2021'!C:C)+SUMIF('2022'!B:B,B2092,'2022'!C:C)</f>
        <v>232740.66999999998</v>
      </c>
      <c r="J2092" s="59">
        <v>44925</v>
      </c>
      <c r="K2092" s="273" t="s">
        <v>3118</v>
      </c>
    </row>
    <row r="2093" spans="1:11" x14ac:dyDescent="0.3">
      <c r="A2093" s="259">
        <f t="shared" si="75"/>
        <v>1888</v>
      </c>
      <c r="B2093" s="20" t="s">
        <v>2024</v>
      </c>
      <c r="C2093" s="162">
        <v>1962</v>
      </c>
      <c r="D2093" s="234"/>
      <c r="E2093" s="273" t="s">
        <v>3121</v>
      </c>
      <c r="F2093" s="10">
        <v>2</v>
      </c>
      <c r="G2093" s="234">
        <v>4847.2</v>
      </c>
      <c r="H2093" s="10">
        <v>20</v>
      </c>
      <c r="I2093" s="273">
        <f>SUMIF('2020'!B:B,B2093,'2020'!C:C)+SUMIF('2021'!B:B,B2093,'2021'!C:C)+SUMIF('2022'!B:B,B2093,'2022'!C:C)</f>
        <v>1587842.4</v>
      </c>
      <c r="J2093" s="59">
        <v>44925</v>
      </c>
      <c r="K2093" s="273" t="s">
        <v>3118</v>
      </c>
    </row>
    <row r="2094" spans="1:11" x14ac:dyDescent="0.3">
      <c r="A2094" s="259">
        <f t="shared" si="75"/>
        <v>1889</v>
      </c>
      <c r="B2094" s="20" t="s">
        <v>2025</v>
      </c>
      <c r="C2094" s="162">
        <v>1957</v>
      </c>
      <c r="D2094" s="234"/>
      <c r="E2094" s="234" t="s">
        <v>3121</v>
      </c>
      <c r="F2094" s="10">
        <v>2</v>
      </c>
      <c r="G2094" s="273">
        <v>160.19999999999999</v>
      </c>
      <c r="H2094" s="10">
        <v>8</v>
      </c>
      <c r="I2094" s="273">
        <f>SUMIF('2020'!B:B,B2094,'2020'!C:C)+SUMIF('2021'!B:B,B2094,'2021'!C:C)+SUMIF('2022'!B:B,B2094,'2022'!C:C)</f>
        <v>130000</v>
      </c>
      <c r="J2094" s="59">
        <v>44925</v>
      </c>
      <c r="K2094" s="273" t="s">
        <v>3118</v>
      </c>
    </row>
    <row r="2095" spans="1:11" x14ac:dyDescent="0.3">
      <c r="A2095" s="259">
        <f t="shared" si="75"/>
        <v>1890</v>
      </c>
      <c r="B2095" s="20" t="s">
        <v>2026</v>
      </c>
      <c r="C2095" s="162">
        <v>1957</v>
      </c>
      <c r="D2095" s="234"/>
      <c r="E2095" s="273" t="s">
        <v>3121</v>
      </c>
      <c r="F2095" s="10">
        <v>2</v>
      </c>
      <c r="G2095" s="273">
        <v>162.30000000000001</v>
      </c>
      <c r="H2095" s="10">
        <v>7</v>
      </c>
      <c r="I2095" s="273">
        <f>SUMIF('2020'!B:B,B2095,'2020'!C:C)+SUMIF('2021'!B:B,B2095,'2021'!C:C)+SUMIF('2022'!B:B,B2095,'2022'!C:C)</f>
        <v>1666899.6</v>
      </c>
      <c r="J2095" s="59">
        <v>44925</v>
      </c>
      <c r="K2095" s="273" t="s">
        <v>3118</v>
      </c>
    </row>
    <row r="2096" spans="1:11" x14ac:dyDescent="0.3">
      <c r="A2096" s="259">
        <f t="shared" si="75"/>
        <v>1891</v>
      </c>
      <c r="B2096" s="20" t="s">
        <v>2027</v>
      </c>
      <c r="C2096" s="162">
        <v>1927</v>
      </c>
      <c r="D2096" s="234"/>
      <c r="E2096" s="273" t="s">
        <v>3437</v>
      </c>
      <c r="F2096" s="10">
        <v>2</v>
      </c>
      <c r="G2096" s="234">
        <v>355.4</v>
      </c>
      <c r="H2096" s="10">
        <v>14</v>
      </c>
      <c r="I2096" s="273">
        <f>SUMIF('2020'!B:B,B2096,'2020'!C:C)+SUMIF('2021'!B:B,B2096,'2021'!C:C)+SUMIF('2022'!B:B,B2096,'2022'!C:C)</f>
        <v>265660.17000000004</v>
      </c>
      <c r="J2096" s="59">
        <v>44925</v>
      </c>
      <c r="K2096" s="273" t="s">
        <v>3118</v>
      </c>
    </row>
    <row r="2097" spans="1:11" x14ac:dyDescent="0.3">
      <c r="A2097" s="259">
        <f t="shared" si="75"/>
        <v>1892</v>
      </c>
      <c r="B2097" s="20" t="s">
        <v>2028</v>
      </c>
      <c r="C2097" s="162">
        <v>1967</v>
      </c>
      <c r="D2097" s="234"/>
      <c r="E2097" s="273" t="s">
        <v>3456</v>
      </c>
      <c r="F2097" s="10">
        <v>2</v>
      </c>
      <c r="G2097" s="234">
        <v>417.3</v>
      </c>
      <c r="H2097" s="10">
        <v>10</v>
      </c>
      <c r="I2097" s="273">
        <f>SUMIF('2020'!B:B,B2097,'2020'!C:C)+SUMIF('2021'!B:B,B2097,'2021'!C:C)+SUMIF('2022'!B:B,B2097,'2022'!C:C)</f>
        <v>325806.07</v>
      </c>
      <c r="J2097" s="59">
        <v>44925</v>
      </c>
      <c r="K2097" s="273" t="s">
        <v>3118</v>
      </c>
    </row>
    <row r="2098" spans="1:11" x14ac:dyDescent="0.3">
      <c r="A2098" s="259">
        <f t="shared" si="75"/>
        <v>1893</v>
      </c>
      <c r="B2098" s="20" t="s">
        <v>2029</v>
      </c>
      <c r="C2098" s="162">
        <v>1958</v>
      </c>
      <c r="D2098" s="234"/>
      <c r="E2098" s="273" t="s">
        <v>3121</v>
      </c>
      <c r="F2098" s="10">
        <v>2</v>
      </c>
      <c r="G2098" s="273">
        <v>145</v>
      </c>
      <c r="H2098" s="10">
        <v>3</v>
      </c>
      <c r="I2098" s="273">
        <f>SUMIF('2020'!B:B,B2098,'2020'!C:C)+SUMIF('2021'!B:B,B2098,'2021'!C:C)+SUMIF('2022'!B:B,B2098,'2022'!C:C)</f>
        <v>1529154</v>
      </c>
      <c r="J2098" s="59">
        <v>44925</v>
      </c>
      <c r="K2098" s="273" t="s">
        <v>3118</v>
      </c>
    </row>
    <row r="2099" spans="1:11" x14ac:dyDescent="0.3">
      <c r="A2099" s="259">
        <f t="shared" si="75"/>
        <v>1894</v>
      </c>
      <c r="B2099" s="20" t="s">
        <v>2030</v>
      </c>
      <c r="C2099" s="162">
        <v>1958</v>
      </c>
      <c r="D2099" s="234"/>
      <c r="E2099" s="273" t="s">
        <v>3121</v>
      </c>
      <c r="F2099" s="10">
        <v>2</v>
      </c>
      <c r="G2099" s="234">
        <v>151.6</v>
      </c>
      <c r="H2099" s="10">
        <v>6</v>
      </c>
      <c r="I2099" s="273">
        <f>SUMIF('2020'!B:B,B2099,'2020'!C:C)+SUMIF('2021'!B:B,B2099,'2021'!C:C)+SUMIF('2022'!B:B,B2099,'2022'!C:C)</f>
        <v>775804.8</v>
      </c>
      <c r="J2099" s="59">
        <v>44925</v>
      </c>
      <c r="K2099" s="273" t="s">
        <v>3118</v>
      </c>
    </row>
    <row r="2100" spans="1:11" x14ac:dyDescent="0.3">
      <c r="A2100" s="259">
        <f t="shared" si="75"/>
        <v>1895</v>
      </c>
      <c r="B2100" s="20" t="s">
        <v>2031</v>
      </c>
      <c r="C2100" s="162">
        <v>1975</v>
      </c>
      <c r="D2100" s="234"/>
      <c r="E2100" s="234" t="s">
        <v>3121</v>
      </c>
      <c r="F2100" s="10">
        <v>2</v>
      </c>
      <c r="G2100" s="234">
        <v>453.8</v>
      </c>
      <c r="H2100" s="10">
        <v>13</v>
      </c>
      <c r="I2100" s="273">
        <f>SUMIF('2020'!B:B,B2100,'2020'!C:C)+SUMIF('2021'!B:B,B2100,'2021'!C:C)+SUMIF('2022'!B:B,B2100,'2022'!C:C)</f>
        <v>157517.44</v>
      </c>
      <c r="J2100" s="59">
        <v>44925</v>
      </c>
      <c r="K2100" s="273" t="s">
        <v>3118</v>
      </c>
    </row>
    <row r="2101" spans="1:11" x14ac:dyDescent="0.3">
      <c r="A2101" s="259">
        <f t="shared" si="75"/>
        <v>1896</v>
      </c>
      <c r="B2101" s="20" t="s">
        <v>2032</v>
      </c>
      <c r="C2101" s="162">
        <v>1956</v>
      </c>
      <c r="D2101" s="234"/>
      <c r="E2101" s="234" t="s">
        <v>3123</v>
      </c>
      <c r="F2101" s="10">
        <v>3</v>
      </c>
      <c r="G2101" s="273">
        <v>3508.4</v>
      </c>
      <c r="H2101" s="10">
        <v>68</v>
      </c>
      <c r="I2101" s="273">
        <f>SUMIF('2020'!B:B,B2101,'2020'!C:C)+SUMIF('2021'!B:B,B2101,'2021'!C:C)+SUMIF('2022'!B:B,B2101,'2022'!C:C)</f>
        <v>157596.85</v>
      </c>
      <c r="J2101" s="59">
        <v>44925</v>
      </c>
      <c r="K2101" s="273" t="s">
        <v>3118</v>
      </c>
    </row>
    <row r="2102" spans="1:11" x14ac:dyDescent="0.3">
      <c r="A2102" s="259">
        <f t="shared" si="75"/>
        <v>1897</v>
      </c>
      <c r="B2102" s="20" t="s">
        <v>2033</v>
      </c>
      <c r="C2102" s="162">
        <v>1983</v>
      </c>
      <c r="D2102" s="234"/>
      <c r="E2102" s="273" t="s">
        <v>3129</v>
      </c>
      <c r="F2102" s="10">
        <v>5</v>
      </c>
      <c r="G2102" s="234">
        <v>4847.2</v>
      </c>
      <c r="H2102" s="10">
        <v>133</v>
      </c>
      <c r="I2102" s="273">
        <f>SUMIF('2020'!B:B,B2102,'2020'!C:C)+SUMIF('2021'!B:B,B2102,'2021'!C:C)+SUMIF('2022'!B:B,B2102,'2022'!C:C)</f>
        <v>5491731.7999999998</v>
      </c>
      <c r="J2102" s="59">
        <v>44925</v>
      </c>
      <c r="K2102" s="273" t="s">
        <v>3118</v>
      </c>
    </row>
    <row r="2103" spans="1:11" x14ac:dyDescent="0.3">
      <c r="A2103" s="259">
        <f t="shared" si="75"/>
        <v>1898</v>
      </c>
      <c r="B2103" s="20" t="s">
        <v>2034</v>
      </c>
      <c r="C2103" s="162">
        <v>1986</v>
      </c>
      <c r="D2103" s="234"/>
      <c r="E2103" s="273" t="s">
        <v>3129</v>
      </c>
      <c r="F2103" s="10">
        <v>5</v>
      </c>
      <c r="G2103" s="234">
        <v>4847.2</v>
      </c>
      <c r="H2103" s="10">
        <v>112</v>
      </c>
      <c r="I2103" s="273">
        <f>SUMIF('2020'!B:B,B2103,'2020'!C:C)+SUMIF('2021'!B:B,B2103,'2021'!C:C)+SUMIF('2022'!B:B,B2103,'2022'!C:C)</f>
        <v>21393365.52</v>
      </c>
      <c r="J2103" s="59">
        <v>44925</v>
      </c>
      <c r="K2103" s="273" t="s">
        <v>3118</v>
      </c>
    </row>
    <row r="2104" spans="1:11" x14ac:dyDescent="0.3">
      <c r="A2104" s="259">
        <f t="shared" si="75"/>
        <v>1899</v>
      </c>
      <c r="B2104" s="20" t="s">
        <v>2035</v>
      </c>
      <c r="C2104" s="162">
        <v>1994</v>
      </c>
      <c r="D2104" s="234"/>
      <c r="E2104" s="234" t="s">
        <v>3129</v>
      </c>
      <c r="F2104" s="10">
        <v>5</v>
      </c>
      <c r="G2104" s="234">
        <v>9328</v>
      </c>
      <c r="H2104" s="10">
        <v>171</v>
      </c>
      <c r="I2104" s="273">
        <f>SUMIF('2020'!B:B,B2104,'2020'!C:C)+SUMIF('2021'!B:B,B2104,'2021'!C:C)+SUMIF('2022'!B:B,B2104,'2022'!C:C)</f>
        <v>789309.06</v>
      </c>
      <c r="J2104" s="59">
        <v>44925</v>
      </c>
      <c r="K2104" s="273" t="s">
        <v>3118</v>
      </c>
    </row>
    <row r="2105" spans="1:11" x14ac:dyDescent="0.3">
      <c r="A2105" s="259">
        <f t="shared" si="75"/>
        <v>1900</v>
      </c>
      <c r="B2105" s="20" t="s">
        <v>2036</v>
      </c>
      <c r="C2105" s="162">
        <v>1955</v>
      </c>
      <c r="D2105" s="234"/>
      <c r="E2105" s="234" t="s">
        <v>3123</v>
      </c>
      <c r="F2105" s="10">
        <v>3</v>
      </c>
      <c r="G2105" s="273">
        <v>2832.04</v>
      </c>
      <c r="H2105" s="10">
        <v>67</v>
      </c>
      <c r="I2105" s="273">
        <f>SUMIF('2020'!B:B,B2105,'2020'!C:C)+SUMIF('2021'!B:B,B2105,'2021'!C:C)+SUMIF('2022'!B:B,B2105,'2022'!C:C)</f>
        <v>156146.35</v>
      </c>
      <c r="J2105" s="59">
        <v>44925</v>
      </c>
      <c r="K2105" s="273" t="s">
        <v>3118</v>
      </c>
    </row>
    <row r="2106" spans="1:11" x14ac:dyDescent="0.3">
      <c r="A2106" s="259">
        <f t="shared" si="75"/>
        <v>1901</v>
      </c>
      <c r="B2106" s="20" t="s">
        <v>2037</v>
      </c>
      <c r="C2106" s="162">
        <v>1955</v>
      </c>
      <c r="D2106" s="234"/>
      <c r="E2106" s="234" t="s">
        <v>3123</v>
      </c>
      <c r="F2106" s="10">
        <v>3</v>
      </c>
      <c r="G2106" s="273">
        <v>2868.53</v>
      </c>
      <c r="H2106" s="10">
        <v>60</v>
      </c>
      <c r="I2106" s="273">
        <f>SUMIF('2020'!B:B,B2106,'2020'!C:C)+SUMIF('2021'!B:B,B2106,'2021'!C:C)+SUMIF('2022'!B:B,B2106,'2022'!C:C)</f>
        <v>157554.6</v>
      </c>
      <c r="J2106" s="59">
        <v>44925</v>
      </c>
      <c r="K2106" s="273" t="s">
        <v>3118</v>
      </c>
    </row>
    <row r="2107" spans="1:11" x14ac:dyDescent="0.3">
      <c r="A2107" s="259">
        <f t="shared" si="75"/>
        <v>1902</v>
      </c>
      <c r="B2107" s="20" t="s">
        <v>2038</v>
      </c>
      <c r="C2107" s="162">
        <v>1956</v>
      </c>
      <c r="D2107" s="234"/>
      <c r="E2107" s="234" t="s">
        <v>3123</v>
      </c>
      <c r="F2107" s="10">
        <v>3</v>
      </c>
      <c r="G2107" s="273">
        <v>3418.69</v>
      </c>
      <c r="H2107" s="10">
        <v>52</v>
      </c>
      <c r="I2107" s="273">
        <f>SUMIF('2020'!B:B,B2107,'2020'!C:C)+SUMIF('2021'!B:B,B2107,'2021'!C:C)+SUMIF('2022'!B:B,B2107,'2022'!C:C)</f>
        <v>578977.97</v>
      </c>
      <c r="J2107" s="59">
        <v>44925</v>
      </c>
      <c r="K2107" s="273" t="s">
        <v>3118</v>
      </c>
    </row>
    <row r="2108" spans="1:11" x14ac:dyDescent="0.3">
      <c r="A2108" s="259">
        <f t="shared" si="75"/>
        <v>1903</v>
      </c>
      <c r="B2108" s="20" t="s">
        <v>2039</v>
      </c>
      <c r="C2108" s="162">
        <v>1955</v>
      </c>
      <c r="D2108" s="234"/>
      <c r="E2108" s="234" t="s">
        <v>3123</v>
      </c>
      <c r="F2108" s="10">
        <v>3</v>
      </c>
      <c r="G2108" s="234">
        <v>3118.5</v>
      </c>
      <c r="H2108" s="10">
        <v>57</v>
      </c>
      <c r="I2108" s="273">
        <f>SUMIF('2020'!B:B,B2108,'2020'!C:C)+SUMIF('2021'!B:B,B2108,'2021'!C:C)+SUMIF('2022'!B:B,B2108,'2022'!C:C)</f>
        <v>2196609.6</v>
      </c>
      <c r="J2108" s="59">
        <v>44925</v>
      </c>
      <c r="K2108" s="273" t="s">
        <v>3118</v>
      </c>
    </row>
    <row r="2109" spans="1:11" x14ac:dyDescent="0.3">
      <c r="A2109" s="259">
        <f t="shared" si="75"/>
        <v>1904</v>
      </c>
      <c r="B2109" s="20" t="s">
        <v>2040</v>
      </c>
      <c r="C2109" s="162">
        <v>1963</v>
      </c>
      <c r="D2109" s="234"/>
      <c r="E2109" s="234" t="s">
        <v>3123</v>
      </c>
      <c r="F2109" s="10">
        <v>3</v>
      </c>
      <c r="G2109" s="234">
        <v>2964.7</v>
      </c>
      <c r="H2109" s="10">
        <v>72</v>
      </c>
      <c r="I2109" s="273">
        <f>SUMIF('2020'!B:B,B2109,'2020'!C:C)+SUMIF('2021'!B:B,B2109,'2021'!C:C)+SUMIF('2022'!B:B,B2109,'2022'!C:C)</f>
        <v>4933443.99</v>
      </c>
      <c r="J2109" s="59">
        <v>44925</v>
      </c>
      <c r="K2109" s="273" t="s">
        <v>3118</v>
      </c>
    </row>
    <row r="2110" spans="1:11" x14ac:dyDescent="0.3">
      <c r="A2110" s="259">
        <f t="shared" si="75"/>
        <v>1905</v>
      </c>
      <c r="B2110" s="20" t="s">
        <v>2041</v>
      </c>
      <c r="C2110" s="162">
        <v>1973</v>
      </c>
      <c r="D2110" s="234"/>
      <c r="E2110" s="234" t="s">
        <v>3123</v>
      </c>
      <c r="F2110" s="10">
        <v>3</v>
      </c>
      <c r="G2110" s="234">
        <v>3133.7</v>
      </c>
      <c r="H2110" s="10">
        <v>71</v>
      </c>
      <c r="I2110" s="273">
        <f>SUMIF('2020'!B:B,B2110,'2020'!C:C)+SUMIF('2021'!B:B,B2110,'2021'!C:C)+SUMIF('2022'!B:B,B2110,'2022'!C:C)</f>
        <v>4080739.5999999996</v>
      </c>
      <c r="J2110" s="59">
        <v>44925</v>
      </c>
      <c r="K2110" s="273" t="s">
        <v>3118</v>
      </c>
    </row>
    <row r="2111" spans="1:11" x14ac:dyDescent="0.3">
      <c r="A2111" s="259">
        <f t="shared" si="75"/>
        <v>1906</v>
      </c>
      <c r="B2111" s="20" t="s">
        <v>2042</v>
      </c>
      <c r="C2111" s="162">
        <v>1979</v>
      </c>
      <c r="D2111" s="234"/>
      <c r="E2111" s="234" t="s">
        <v>3123</v>
      </c>
      <c r="F2111" s="10">
        <v>5</v>
      </c>
      <c r="G2111" s="273">
        <v>4754.5</v>
      </c>
      <c r="H2111" s="10">
        <v>117</v>
      </c>
      <c r="I2111" s="273">
        <f>SUMIF('2020'!B:B,B2111,'2020'!C:C)+SUMIF('2021'!B:B,B2111,'2021'!C:C)+SUMIF('2022'!B:B,B2111,'2022'!C:C)</f>
        <v>19330321.199999999</v>
      </c>
      <c r="J2111" s="59">
        <v>44925</v>
      </c>
      <c r="K2111" s="273" t="s">
        <v>3118</v>
      </c>
    </row>
    <row r="2112" spans="1:11" x14ac:dyDescent="0.3">
      <c r="A2112" s="259">
        <f t="shared" si="75"/>
        <v>1907</v>
      </c>
      <c r="B2112" s="20" t="s">
        <v>2043</v>
      </c>
      <c r="C2112" s="162">
        <v>1970</v>
      </c>
      <c r="D2112" s="234"/>
      <c r="E2112" s="273" t="s">
        <v>3121</v>
      </c>
      <c r="F2112" s="10">
        <v>5</v>
      </c>
      <c r="G2112" s="234">
        <v>6327.1</v>
      </c>
      <c r="H2112" s="10">
        <v>166</v>
      </c>
      <c r="I2112" s="273">
        <f>SUMIF('2020'!B:B,B2112,'2020'!C:C)+SUMIF('2021'!B:B,B2112,'2021'!C:C)+SUMIF('2022'!B:B,B2112,'2022'!C:C)</f>
        <v>27783326.600000001</v>
      </c>
      <c r="J2112" s="59">
        <v>44925</v>
      </c>
      <c r="K2112" s="273" t="s">
        <v>3118</v>
      </c>
    </row>
    <row r="2113" spans="1:11" x14ac:dyDescent="0.3">
      <c r="A2113" s="259">
        <f t="shared" ref="A2113:A2142" si="76">A2112+1</f>
        <v>1908</v>
      </c>
      <c r="B2113" s="20" t="s">
        <v>2044</v>
      </c>
      <c r="C2113" s="162">
        <v>1962</v>
      </c>
      <c r="D2113" s="234"/>
      <c r="E2113" s="273" t="s">
        <v>3121</v>
      </c>
      <c r="F2113" s="10">
        <v>4</v>
      </c>
      <c r="G2113" s="234">
        <v>2254.9</v>
      </c>
      <c r="H2113" s="10">
        <v>48</v>
      </c>
      <c r="I2113" s="273">
        <f>SUMIF('2020'!B:B,B2113,'2020'!C:C)+SUMIF('2021'!B:B,B2113,'2021'!C:C)+SUMIF('2022'!B:B,B2113,'2022'!C:C)</f>
        <v>6098236.9199999999</v>
      </c>
      <c r="J2113" s="59">
        <v>44925</v>
      </c>
      <c r="K2113" s="273" t="s">
        <v>3118</v>
      </c>
    </row>
    <row r="2114" spans="1:11" x14ac:dyDescent="0.3">
      <c r="A2114" s="259">
        <f t="shared" si="76"/>
        <v>1909</v>
      </c>
      <c r="B2114" s="20" t="s">
        <v>2045</v>
      </c>
      <c r="C2114" s="162">
        <v>1965</v>
      </c>
      <c r="D2114" s="234"/>
      <c r="E2114" s="273" t="s">
        <v>3121</v>
      </c>
      <c r="F2114" s="10">
        <v>5</v>
      </c>
      <c r="G2114" s="234">
        <v>2097.1</v>
      </c>
      <c r="H2114" s="10">
        <v>49</v>
      </c>
      <c r="I2114" s="273">
        <f>SUMIF('2020'!B:B,B2114,'2020'!C:C)+SUMIF('2021'!B:B,B2114,'2021'!C:C)+SUMIF('2022'!B:B,B2114,'2022'!C:C)</f>
        <v>563614.01</v>
      </c>
      <c r="J2114" s="59">
        <v>44925</v>
      </c>
      <c r="K2114" s="273" t="s">
        <v>3118</v>
      </c>
    </row>
    <row r="2115" spans="1:11" x14ac:dyDescent="0.3">
      <c r="A2115" s="259">
        <f t="shared" si="76"/>
        <v>1910</v>
      </c>
      <c r="B2115" s="20" t="s">
        <v>2046</v>
      </c>
      <c r="C2115" s="162">
        <v>1967</v>
      </c>
      <c r="D2115" s="234"/>
      <c r="E2115" s="234" t="s">
        <v>3129</v>
      </c>
      <c r="F2115" s="10">
        <v>5</v>
      </c>
      <c r="G2115" s="234">
        <v>4670</v>
      </c>
      <c r="H2115" s="10">
        <v>168</v>
      </c>
      <c r="I2115" s="273">
        <f>SUMIF('2020'!B:B,B2115,'2020'!C:C)+SUMIF('2021'!B:B,B2115,'2021'!C:C)+SUMIF('2022'!B:B,B2115,'2022'!C:C)</f>
        <v>502456.48</v>
      </c>
      <c r="J2115" s="59">
        <v>44925</v>
      </c>
      <c r="K2115" s="273" t="s">
        <v>3118</v>
      </c>
    </row>
    <row r="2116" spans="1:11" x14ac:dyDescent="0.3">
      <c r="A2116" s="259">
        <f t="shared" si="76"/>
        <v>1911</v>
      </c>
      <c r="B2116" s="20" t="s">
        <v>2047</v>
      </c>
      <c r="C2116" s="162">
        <v>1951</v>
      </c>
      <c r="D2116" s="234"/>
      <c r="E2116" s="273" t="s">
        <v>3437</v>
      </c>
      <c r="F2116" s="10">
        <v>2</v>
      </c>
      <c r="G2116" s="234">
        <v>363.2</v>
      </c>
      <c r="H2116" s="10">
        <v>14</v>
      </c>
      <c r="I2116" s="273">
        <f>SUMIF('2020'!B:B,B2116,'2020'!C:C)+SUMIF('2021'!B:B,B2116,'2021'!C:C)+SUMIF('2022'!B:B,B2116,'2022'!C:C)</f>
        <v>2101716.02</v>
      </c>
      <c r="J2116" s="59">
        <v>44925</v>
      </c>
      <c r="K2116" s="273" t="s">
        <v>3118</v>
      </c>
    </row>
    <row r="2117" spans="1:11" x14ac:dyDescent="0.3">
      <c r="A2117" s="259">
        <f t="shared" si="76"/>
        <v>1912</v>
      </c>
      <c r="B2117" s="20" t="s">
        <v>2048</v>
      </c>
      <c r="C2117" s="162">
        <v>1927</v>
      </c>
      <c r="D2117" s="234"/>
      <c r="E2117" s="273"/>
      <c r="F2117" s="10"/>
      <c r="G2117" s="234"/>
      <c r="H2117" s="10"/>
      <c r="I2117" s="273">
        <f>SUMIF('2020'!B:B,B2117,'2020'!C:C)+SUMIF('2021'!B:B,B2117,'2021'!C:C)+SUMIF('2022'!B:B,B2117,'2022'!C:C)</f>
        <v>161740.52000000002</v>
      </c>
      <c r="J2117" s="59">
        <v>44925</v>
      </c>
      <c r="K2117" s="273" t="s">
        <v>3118</v>
      </c>
    </row>
    <row r="2118" spans="1:11" x14ac:dyDescent="0.3">
      <c r="A2118" s="259">
        <f t="shared" si="76"/>
        <v>1913</v>
      </c>
      <c r="B2118" s="20" t="s">
        <v>2049</v>
      </c>
      <c r="C2118" s="162">
        <v>1929</v>
      </c>
      <c r="D2118" s="234"/>
      <c r="E2118" s="273" t="s">
        <v>3437</v>
      </c>
      <c r="F2118" s="10">
        <v>2</v>
      </c>
      <c r="G2118" s="234">
        <v>455.4</v>
      </c>
      <c r="H2118" s="10">
        <v>11</v>
      </c>
      <c r="I2118" s="273">
        <f>SUMIF('2020'!B:B,B2118,'2020'!C:C)+SUMIF('2021'!B:B,B2118,'2021'!C:C)+SUMIF('2022'!B:B,B2118,'2022'!C:C)</f>
        <v>156447.93</v>
      </c>
      <c r="J2118" s="59">
        <v>44925</v>
      </c>
      <c r="K2118" s="273" t="s">
        <v>3118</v>
      </c>
    </row>
    <row r="2119" spans="1:11" x14ac:dyDescent="0.3">
      <c r="A2119" s="259">
        <f t="shared" si="76"/>
        <v>1914</v>
      </c>
      <c r="B2119" s="20" t="s">
        <v>2050</v>
      </c>
      <c r="C2119" s="162">
        <v>1927</v>
      </c>
      <c r="D2119" s="234"/>
      <c r="E2119" s="273" t="s">
        <v>3437</v>
      </c>
      <c r="F2119" s="10">
        <v>2</v>
      </c>
      <c r="G2119" s="273">
        <v>457.9</v>
      </c>
      <c r="H2119" s="10">
        <v>11</v>
      </c>
      <c r="I2119" s="273">
        <f>SUMIF('2020'!B:B,B2119,'2020'!C:C)+SUMIF('2021'!B:B,B2119,'2021'!C:C)+SUMIF('2022'!B:B,B2119,'2022'!C:C)</f>
        <v>2620821.6</v>
      </c>
      <c r="J2119" s="59">
        <v>44925</v>
      </c>
      <c r="K2119" s="273" t="s">
        <v>3118</v>
      </c>
    </row>
    <row r="2120" spans="1:11" x14ac:dyDescent="0.3">
      <c r="A2120" s="259">
        <f t="shared" si="76"/>
        <v>1915</v>
      </c>
      <c r="B2120" s="20" t="s">
        <v>2051</v>
      </c>
      <c r="C2120" s="162">
        <v>1927</v>
      </c>
      <c r="D2120" s="234"/>
      <c r="E2120" s="273" t="s">
        <v>3437</v>
      </c>
      <c r="F2120" s="10">
        <v>2</v>
      </c>
      <c r="G2120" s="273">
        <v>455.4</v>
      </c>
      <c r="H2120" s="10">
        <v>21</v>
      </c>
      <c r="I2120" s="273">
        <f>SUMIF('2020'!B:B,B2120,'2020'!C:C)+SUMIF('2021'!B:B,B2120,'2021'!C:C)+SUMIF('2022'!B:B,B2120,'2022'!C:C)</f>
        <v>79122.48</v>
      </c>
      <c r="J2120" s="59">
        <v>44925</v>
      </c>
      <c r="K2120" s="273" t="s">
        <v>3118</v>
      </c>
    </row>
    <row r="2121" spans="1:11" x14ac:dyDescent="0.3">
      <c r="A2121" s="259">
        <f t="shared" si="76"/>
        <v>1916</v>
      </c>
      <c r="B2121" s="20" t="s">
        <v>2052</v>
      </c>
      <c r="C2121" s="162">
        <v>1927</v>
      </c>
      <c r="D2121" s="234"/>
      <c r="E2121" s="273" t="s">
        <v>3437</v>
      </c>
      <c r="F2121" s="10">
        <v>2</v>
      </c>
      <c r="G2121" s="273">
        <v>468.9</v>
      </c>
      <c r="H2121" s="10">
        <v>15</v>
      </c>
      <c r="I2121" s="273">
        <f>SUMIF('2020'!B:B,B2121,'2020'!C:C)+SUMIF('2021'!B:B,B2121,'2021'!C:C)+SUMIF('2022'!B:B,B2121,'2022'!C:C)</f>
        <v>182039</v>
      </c>
      <c r="J2121" s="59">
        <v>44925</v>
      </c>
      <c r="K2121" s="273" t="s">
        <v>3118</v>
      </c>
    </row>
    <row r="2122" spans="1:11" x14ac:dyDescent="0.3">
      <c r="A2122" s="259">
        <f t="shared" si="76"/>
        <v>1917</v>
      </c>
      <c r="B2122" s="20" t="s">
        <v>2053</v>
      </c>
      <c r="C2122" s="162">
        <v>1988</v>
      </c>
      <c r="D2122" s="234"/>
      <c r="E2122" s="273" t="s">
        <v>3129</v>
      </c>
      <c r="F2122" s="10">
        <v>5</v>
      </c>
      <c r="G2122" s="234">
        <v>4779.3999999999996</v>
      </c>
      <c r="H2122" s="10">
        <v>15</v>
      </c>
      <c r="I2122" s="273">
        <f>SUMIF('2020'!B:B,B2122,'2020'!C:C)+SUMIF('2021'!B:B,B2122,'2021'!C:C)+SUMIF('2022'!B:B,B2122,'2022'!C:C)</f>
        <v>539744.25</v>
      </c>
      <c r="J2122" s="59">
        <v>44925</v>
      </c>
      <c r="K2122" s="273" t="s">
        <v>3118</v>
      </c>
    </row>
    <row r="2123" spans="1:11" x14ac:dyDescent="0.3">
      <c r="A2123" s="259">
        <f t="shared" si="76"/>
        <v>1918</v>
      </c>
      <c r="B2123" s="20" t="s">
        <v>2054</v>
      </c>
      <c r="C2123" s="162">
        <v>1984</v>
      </c>
      <c r="D2123" s="234"/>
      <c r="E2123" s="273" t="s">
        <v>3129</v>
      </c>
      <c r="F2123" s="10">
        <v>5</v>
      </c>
      <c r="G2123" s="234">
        <v>4856.8999999999996</v>
      </c>
      <c r="H2123" s="10">
        <v>143</v>
      </c>
      <c r="I2123" s="273">
        <f>SUMIF('2020'!B:B,B2123,'2020'!C:C)+SUMIF('2021'!B:B,B2123,'2021'!C:C)+SUMIF('2022'!B:B,B2123,'2022'!C:C)</f>
        <v>451961.79</v>
      </c>
      <c r="J2123" s="59">
        <v>44925</v>
      </c>
      <c r="K2123" s="273" t="s">
        <v>3118</v>
      </c>
    </row>
    <row r="2124" spans="1:11" x14ac:dyDescent="0.3">
      <c r="A2124" s="259">
        <f t="shared" si="76"/>
        <v>1919</v>
      </c>
      <c r="B2124" s="20" t="s">
        <v>2055</v>
      </c>
      <c r="C2124" s="162">
        <v>1990</v>
      </c>
      <c r="D2124" s="234"/>
      <c r="E2124" s="273" t="s">
        <v>3129</v>
      </c>
      <c r="F2124" s="10">
        <v>5</v>
      </c>
      <c r="G2124" s="234">
        <v>4950</v>
      </c>
      <c r="H2124" s="10">
        <v>121</v>
      </c>
      <c r="I2124" s="273">
        <f>SUMIF('2020'!B:B,B2124,'2020'!C:C)+SUMIF('2021'!B:B,B2124,'2021'!C:C)+SUMIF('2022'!B:B,B2124,'2022'!C:C)</f>
        <v>720645.58000000007</v>
      </c>
      <c r="J2124" s="59">
        <v>44925</v>
      </c>
      <c r="K2124" s="273" t="s">
        <v>3118</v>
      </c>
    </row>
    <row r="2125" spans="1:11" x14ac:dyDescent="0.3">
      <c r="A2125" s="259">
        <f t="shared" si="76"/>
        <v>1920</v>
      </c>
      <c r="B2125" s="20" t="s">
        <v>2056</v>
      </c>
      <c r="C2125" s="162">
        <v>1987</v>
      </c>
      <c r="D2125" s="234"/>
      <c r="E2125" s="273" t="s">
        <v>3129</v>
      </c>
      <c r="F2125" s="10">
        <v>5</v>
      </c>
      <c r="G2125" s="234">
        <v>4970.1000000000004</v>
      </c>
      <c r="H2125" s="10">
        <v>138</v>
      </c>
      <c r="I2125" s="273">
        <f>SUMIF('2020'!B:B,B2125,'2020'!C:C)+SUMIF('2021'!B:B,B2125,'2021'!C:C)+SUMIF('2022'!B:B,B2125,'2022'!C:C)</f>
        <v>1433362.31</v>
      </c>
      <c r="J2125" s="59">
        <v>44925</v>
      </c>
      <c r="K2125" s="273" t="s">
        <v>3118</v>
      </c>
    </row>
    <row r="2126" spans="1:11" x14ac:dyDescent="0.3">
      <c r="A2126" s="259">
        <f t="shared" si="76"/>
        <v>1921</v>
      </c>
      <c r="B2126" s="20" t="s">
        <v>2057</v>
      </c>
      <c r="C2126" s="162">
        <v>1983</v>
      </c>
      <c r="D2126" s="234"/>
      <c r="E2126" s="273" t="s">
        <v>3129</v>
      </c>
      <c r="F2126" s="10">
        <v>5</v>
      </c>
      <c r="G2126" s="234">
        <v>5056.7</v>
      </c>
      <c r="H2126" s="10">
        <v>135</v>
      </c>
      <c r="I2126" s="273">
        <f>SUMIF('2020'!B:B,B2126,'2020'!C:C)+SUMIF('2021'!B:B,B2126,'2021'!C:C)+SUMIF('2022'!B:B,B2126,'2022'!C:C)</f>
        <v>494922.14</v>
      </c>
      <c r="J2126" s="59">
        <v>44925</v>
      </c>
      <c r="K2126" s="273" t="s">
        <v>3118</v>
      </c>
    </row>
    <row r="2127" spans="1:11" x14ac:dyDescent="0.3">
      <c r="A2127" s="259">
        <f t="shared" si="76"/>
        <v>1922</v>
      </c>
      <c r="B2127" s="20" t="s">
        <v>2058</v>
      </c>
      <c r="C2127" s="162">
        <v>1948</v>
      </c>
      <c r="D2127" s="234"/>
      <c r="E2127" s="273" t="s">
        <v>3437</v>
      </c>
      <c r="F2127" s="10">
        <v>2</v>
      </c>
      <c r="G2127" s="273">
        <v>251.1</v>
      </c>
      <c r="H2127" s="10">
        <v>8</v>
      </c>
      <c r="I2127" s="273">
        <f>SUMIF('2020'!B:B,B2127,'2020'!C:C)+SUMIF('2021'!B:B,B2127,'2021'!C:C)+SUMIF('2022'!B:B,B2127,'2022'!C:C)</f>
        <v>497376.71</v>
      </c>
      <c r="J2127" s="59">
        <v>44925</v>
      </c>
      <c r="K2127" s="273" t="s">
        <v>3118</v>
      </c>
    </row>
    <row r="2128" spans="1:11" x14ac:dyDescent="0.3">
      <c r="A2128" s="259">
        <f t="shared" si="76"/>
        <v>1923</v>
      </c>
      <c r="B2128" s="20" t="s">
        <v>2059</v>
      </c>
      <c r="C2128" s="162">
        <v>1981</v>
      </c>
      <c r="D2128" s="234"/>
      <c r="E2128" s="273" t="s">
        <v>3129</v>
      </c>
      <c r="F2128" s="10">
        <v>5</v>
      </c>
      <c r="G2128" s="234">
        <v>5411.1</v>
      </c>
      <c r="H2128" s="10">
        <v>167</v>
      </c>
      <c r="I2128" s="273">
        <f>SUMIF('2020'!B:B,B2128,'2020'!C:C)+SUMIF('2021'!B:B,B2128,'2021'!C:C)+SUMIF('2022'!B:B,B2128,'2022'!C:C)</f>
        <v>33847759.770000003</v>
      </c>
      <c r="J2128" s="59">
        <v>44925</v>
      </c>
      <c r="K2128" s="273" t="s">
        <v>3118</v>
      </c>
    </row>
    <row r="2129" spans="1:12" x14ac:dyDescent="0.3">
      <c r="A2129" s="259">
        <f t="shared" si="76"/>
        <v>1924</v>
      </c>
      <c r="B2129" s="20" t="s">
        <v>2060</v>
      </c>
      <c r="C2129" s="162">
        <v>1978</v>
      </c>
      <c r="D2129" s="234"/>
      <c r="E2129" s="273" t="s">
        <v>3129</v>
      </c>
      <c r="F2129" s="10">
        <v>5</v>
      </c>
      <c r="G2129" s="234">
        <v>5006.8999999999996</v>
      </c>
      <c r="H2129" s="10">
        <v>132</v>
      </c>
      <c r="I2129" s="273">
        <f>SUMIF('2020'!B:B,B2129,'2020'!C:C)+SUMIF('2021'!B:B,B2129,'2021'!C:C)+SUMIF('2022'!B:B,B2129,'2022'!C:C)</f>
        <v>204858.66</v>
      </c>
      <c r="J2129" s="59">
        <v>44925</v>
      </c>
      <c r="K2129" s="273" t="s">
        <v>3118</v>
      </c>
    </row>
    <row r="2130" spans="1:12" x14ac:dyDescent="0.3">
      <c r="A2130" s="259">
        <f t="shared" si="76"/>
        <v>1925</v>
      </c>
      <c r="B2130" s="20" t="s">
        <v>2061</v>
      </c>
      <c r="C2130" s="162">
        <v>1988</v>
      </c>
      <c r="D2130" s="234"/>
      <c r="E2130" s="273" t="s">
        <v>3129</v>
      </c>
      <c r="F2130" s="10">
        <v>5</v>
      </c>
      <c r="G2130" s="234">
        <v>5030</v>
      </c>
      <c r="H2130" s="10">
        <v>144</v>
      </c>
      <c r="I2130" s="273">
        <f>SUMIF('2020'!B:B,B2130,'2020'!C:C)+SUMIF('2021'!B:B,B2130,'2021'!C:C)+SUMIF('2022'!B:B,B2130,'2022'!C:C)</f>
        <v>219080.22</v>
      </c>
      <c r="J2130" s="59">
        <v>44925</v>
      </c>
      <c r="K2130" s="273" t="s">
        <v>3118</v>
      </c>
    </row>
    <row r="2131" spans="1:12" x14ac:dyDescent="0.3">
      <c r="A2131" s="259">
        <f t="shared" si="76"/>
        <v>1926</v>
      </c>
      <c r="B2131" s="20" t="s">
        <v>2062</v>
      </c>
      <c r="C2131" s="162">
        <v>1987</v>
      </c>
      <c r="D2131" s="234"/>
      <c r="E2131" s="273" t="s">
        <v>3129</v>
      </c>
      <c r="F2131" s="10">
        <v>5</v>
      </c>
      <c r="G2131" s="234">
        <v>5029.3999999999996</v>
      </c>
      <c r="H2131" s="10">
        <v>129</v>
      </c>
      <c r="I2131" s="273">
        <f>SUMIF('2020'!B:B,B2131,'2020'!C:C)+SUMIF('2021'!B:B,B2131,'2021'!C:C)+SUMIF('2022'!B:B,B2131,'2022'!C:C)</f>
        <v>612550.46</v>
      </c>
      <c r="J2131" s="59">
        <v>44925</v>
      </c>
      <c r="K2131" s="273" t="s">
        <v>3118</v>
      </c>
    </row>
    <row r="2132" spans="1:12" x14ac:dyDescent="0.3">
      <c r="A2132" s="259">
        <f t="shared" si="76"/>
        <v>1927</v>
      </c>
      <c r="B2132" s="20" t="s">
        <v>2063</v>
      </c>
      <c r="C2132" s="162">
        <v>1973</v>
      </c>
      <c r="D2132" s="234"/>
      <c r="E2132" s="234"/>
      <c r="F2132" s="10"/>
      <c r="G2132" s="234"/>
      <c r="H2132" s="10"/>
      <c r="I2132" s="273">
        <f>SUMIF('2020'!B:B,B2132,'2020'!C:C)+SUMIF('2021'!B:B,B2132,'2021'!C:C)+SUMIF('2022'!B:B,B2132,'2022'!C:C)</f>
        <v>130000</v>
      </c>
      <c r="J2132" s="59">
        <v>44925</v>
      </c>
      <c r="K2132" s="273" t="s">
        <v>3118</v>
      </c>
    </row>
    <row r="2133" spans="1:12" x14ac:dyDescent="0.3">
      <c r="A2133" s="259">
        <f t="shared" si="76"/>
        <v>1928</v>
      </c>
      <c r="B2133" s="20" t="s">
        <v>2064</v>
      </c>
      <c r="C2133" s="162">
        <v>1965</v>
      </c>
      <c r="D2133" s="234"/>
      <c r="E2133" s="273" t="s">
        <v>3123</v>
      </c>
      <c r="F2133" s="10">
        <v>2</v>
      </c>
      <c r="G2133" s="234">
        <v>816</v>
      </c>
      <c r="H2133" s="10">
        <v>39</v>
      </c>
      <c r="I2133" s="273">
        <f>SUMIF('2020'!B:B,B2133,'2020'!C:C)+SUMIF('2021'!B:B,B2133,'2021'!C:C)+SUMIF('2022'!B:B,B2133,'2022'!C:C)</f>
        <v>1372184.4</v>
      </c>
      <c r="J2133" s="59">
        <v>44925</v>
      </c>
      <c r="K2133" s="273" t="s">
        <v>3118</v>
      </c>
    </row>
    <row r="2134" spans="1:12" x14ac:dyDescent="0.3">
      <c r="A2134" s="259">
        <f t="shared" si="76"/>
        <v>1929</v>
      </c>
      <c r="B2134" s="20" t="s">
        <v>2065</v>
      </c>
      <c r="C2134" s="162">
        <v>1979</v>
      </c>
      <c r="D2134" s="234"/>
      <c r="E2134" s="273" t="s">
        <v>3123</v>
      </c>
      <c r="F2134" s="10">
        <v>2</v>
      </c>
      <c r="G2134" s="234">
        <v>976.3</v>
      </c>
      <c r="H2134" s="10">
        <v>41</v>
      </c>
      <c r="I2134" s="273">
        <f>SUMIF('2020'!B:B,B2134,'2020'!C:C)+SUMIF('2021'!B:B,B2134,'2021'!C:C)+SUMIF('2022'!B:B,B2134,'2022'!C:C)</f>
        <v>120193.26</v>
      </c>
      <c r="J2134" s="59">
        <v>44925</v>
      </c>
      <c r="K2134" s="273" t="s">
        <v>3118</v>
      </c>
    </row>
    <row r="2135" spans="1:12" x14ac:dyDescent="0.3">
      <c r="A2135" s="259">
        <f t="shared" si="76"/>
        <v>1930</v>
      </c>
      <c r="B2135" s="20" t="s">
        <v>2066</v>
      </c>
      <c r="C2135" s="162">
        <v>1979</v>
      </c>
      <c r="D2135" s="234"/>
      <c r="E2135" s="273"/>
      <c r="F2135" s="10">
        <v>3</v>
      </c>
      <c r="G2135" s="234">
        <v>1026.4000000000001</v>
      </c>
      <c r="H2135" s="10">
        <v>30</v>
      </c>
      <c r="I2135" s="273">
        <f>SUMIF('2020'!B:B,B2135,'2020'!C:C)+SUMIF('2021'!B:B,B2135,'2021'!C:C)+SUMIF('2022'!B:B,B2135,'2022'!C:C)</f>
        <v>268919.8</v>
      </c>
      <c r="J2135" s="59">
        <v>44925</v>
      </c>
      <c r="K2135" s="273" t="s">
        <v>3118</v>
      </c>
    </row>
    <row r="2136" spans="1:12" x14ac:dyDescent="0.3">
      <c r="A2136" s="259">
        <f t="shared" si="76"/>
        <v>1931</v>
      </c>
      <c r="B2136" s="20" t="s">
        <v>2067</v>
      </c>
      <c r="C2136" s="162">
        <v>1974</v>
      </c>
      <c r="D2136" s="234"/>
      <c r="E2136" s="273" t="s">
        <v>3123</v>
      </c>
      <c r="F2136" s="10">
        <v>2</v>
      </c>
      <c r="G2136" s="273">
        <v>579</v>
      </c>
      <c r="H2136" s="10">
        <v>13</v>
      </c>
      <c r="I2136" s="273">
        <f>SUMIF('2020'!B:B,B2136,'2020'!C:C)+SUMIF('2021'!B:B,B2136,'2021'!C:C)+SUMIF('2022'!B:B,B2136,'2022'!C:C)</f>
        <v>91748.54</v>
      </c>
      <c r="J2136" s="59">
        <v>44925</v>
      </c>
      <c r="K2136" s="273" t="s">
        <v>3118</v>
      </c>
    </row>
    <row r="2137" spans="1:12" x14ac:dyDescent="0.3">
      <c r="A2137" s="259">
        <f t="shared" si="76"/>
        <v>1932</v>
      </c>
      <c r="B2137" s="20" t="s">
        <v>2068</v>
      </c>
      <c r="C2137" s="162">
        <v>1977</v>
      </c>
      <c r="D2137" s="234"/>
      <c r="E2137" s="273" t="s">
        <v>3119</v>
      </c>
      <c r="F2137" s="10">
        <v>3</v>
      </c>
      <c r="G2137" s="234">
        <v>2592.1999999999998</v>
      </c>
      <c r="H2137" s="10">
        <v>61</v>
      </c>
      <c r="I2137" s="273">
        <f>SUMIF('2020'!B:B,B2137,'2020'!C:C)+SUMIF('2021'!B:B,B2137,'2021'!C:C)+SUMIF('2022'!B:B,B2137,'2022'!C:C)</f>
        <v>133521.65</v>
      </c>
      <c r="J2137" s="59">
        <v>44925</v>
      </c>
      <c r="K2137" s="273" t="s">
        <v>3118</v>
      </c>
    </row>
    <row r="2138" spans="1:12" x14ac:dyDescent="0.3">
      <c r="A2138" s="259">
        <f t="shared" si="76"/>
        <v>1933</v>
      </c>
      <c r="B2138" s="20" t="s">
        <v>2069</v>
      </c>
      <c r="C2138" s="162">
        <v>1977</v>
      </c>
      <c r="D2138" s="234"/>
      <c r="E2138" s="273" t="s">
        <v>3119</v>
      </c>
      <c r="F2138" s="10">
        <v>3</v>
      </c>
      <c r="G2138" s="234">
        <v>2080</v>
      </c>
      <c r="H2138" s="10">
        <v>53</v>
      </c>
      <c r="I2138" s="273">
        <f>SUMIF('2020'!B:B,B2138,'2020'!C:C)+SUMIF('2021'!B:B,B2138,'2021'!C:C)+SUMIF('2022'!B:B,B2138,'2022'!C:C)</f>
        <v>9275002.8499999996</v>
      </c>
      <c r="J2138" s="59">
        <v>44925</v>
      </c>
      <c r="K2138" s="273" t="s">
        <v>3118</v>
      </c>
    </row>
    <row r="2139" spans="1:12" x14ac:dyDescent="0.3">
      <c r="A2139" s="259">
        <f t="shared" si="76"/>
        <v>1934</v>
      </c>
      <c r="B2139" s="20" t="s">
        <v>2070</v>
      </c>
      <c r="C2139" s="162">
        <v>1979</v>
      </c>
      <c r="D2139" s="234"/>
      <c r="E2139" s="273" t="s">
        <v>3119</v>
      </c>
      <c r="F2139" s="10">
        <v>5</v>
      </c>
      <c r="G2139" s="234">
        <v>4787.6000000000004</v>
      </c>
      <c r="H2139" s="10">
        <v>141</v>
      </c>
      <c r="I2139" s="273">
        <f>SUMIF('2020'!B:B,B2139,'2020'!C:C)+SUMIF('2021'!B:B,B2139,'2021'!C:C)+SUMIF('2022'!B:B,B2139,'2022'!C:C)</f>
        <v>14976391.48</v>
      </c>
      <c r="J2139" s="59">
        <v>44925</v>
      </c>
      <c r="K2139" s="273" t="s">
        <v>3118</v>
      </c>
    </row>
    <row r="2140" spans="1:12" x14ac:dyDescent="0.3">
      <c r="A2140" s="259">
        <f t="shared" si="76"/>
        <v>1935</v>
      </c>
      <c r="B2140" s="20" t="s">
        <v>2071</v>
      </c>
      <c r="C2140" s="162">
        <v>1980</v>
      </c>
      <c r="D2140" s="234"/>
      <c r="E2140" s="273" t="s">
        <v>3119</v>
      </c>
      <c r="F2140" s="10">
        <v>3</v>
      </c>
      <c r="G2140" s="234">
        <v>2616</v>
      </c>
      <c r="H2140" s="10">
        <v>57</v>
      </c>
      <c r="I2140" s="273">
        <f>SUMIF('2020'!B:B,B2140,'2020'!C:C)+SUMIF('2021'!B:B,B2140,'2021'!C:C)+SUMIF('2022'!B:B,B2140,'2022'!C:C)</f>
        <v>259198.42</v>
      </c>
      <c r="J2140" s="59">
        <v>44925</v>
      </c>
      <c r="K2140" s="273" t="s">
        <v>3118</v>
      </c>
    </row>
    <row r="2141" spans="1:12" x14ac:dyDescent="0.3">
      <c r="A2141" s="259">
        <f t="shared" si="76"/>
        <v>1936</v>
      </c>
      <c r="B2141" s="20" t="s">
        <v>2072</v>
      </c>
      <c r="C2141" s="162">
        <v>1982</v>
      </c>
      <c r="D2141" s="234"/>
      <c r="E2141" s="273" t="s">
        <v>3119</v>
      </c>
      <c r="F2141" s="10">
        <v>3</v>
      </c>
      <c r="G2141" s="234">
        <v>2674</v>
      </c>
      <c r="H2141" s="10">
        <v>54</v>
      </c>
      <c r="I2141" s="273">
        <f>SUMIF('2020'!B:B,B2141,'2020'!C:C)+SUMIF('2021'!B:B,B2141,'2021'!C:C)+SUMIF('2022'!B:B,B2141,'2022'!C:C)</f>
        <v>136654.25</v>
      </c>
      <c r="J2141" s="59">
        <v>44925</v>
      </c>
      <c r="K2141" s="273" t="s">
        <v>3118</v>
      </c>
    </row>
    <row r="2142" spans="1:12" x14ac:dyDescent="0.3">
      <c r="A2142" s="259">
        <f t="shared" si="76"/>
        <v>1937</v>
      </c>
      <c r="B2142" s="20" t="s">
        <v>2073</v>
      </c>
      <c r="C2142" s="162">
        <v>1984</v>
      </c>
      <c r="D2142" s="234"/>
      <c r="E2142" s="273" t="s">
        <v>3119</v>
      </c>
      <c r="F2142" s="10">
        <v>3</v>
      </c>
      <c r="G2142" s="234">
        <v>2599.3000000000002</v>
      </c>
      <c r="H2142" s="10">
        <v>70</v>
      </c>
      <c r="I2142" s="273">
        <f>SUMIF('2020'!B:B,B2142,'2020'!C:C)+SUMIF('2021'!B:B,B2142,'2021'!C:C)+SUMIF('2022'!B:B,B2142,'2022'!C:C)</f>
        <v>315877.34000000003</v>
      </c>
      <c r="J2142" s="59">
        <v>44925</v>
      </c>
      <c r="K2142" s="273" t="s">
        <v>3118</v>
      </c>
    </row>
    <row r="2143" spans="1:12" x14ac:dyDescent="0.3">
      <c r="A2143" s="250" t="s">
        <v>208</v>
      </c>
      <c r="B2143" s="250"/>
      <c r="C2143" s="273" t="s">
        <v>3558</v>
      </c>
      <c r="D2143" s="273" t="s">
        <v>3558</v>
      </c>
      <c r="E2143" s="273" t="s">
        <v>3558</v>
      </c>
      <c r="F2143" s="273" t="s">
        <v>3558</v>
      </c>
      <c r="G2143" s="273">
        <f>SUM(G1984:G2142)</f>
        <v>458833.24000000022</v>
      </c>
      <c r="H2143" s="10">
        <f>SUM(H1984:H2142)</f>
        <v>12366</v>
      </c>
      <c r="I2143" s="273">
        <f>SUM(I1984:I2142)</f>
        <v>579902953.08999991</v>
      </c>
      <c r="J2143" s="273" t="s">
        <v>3558</v>
      </c>
      <c r="K2143" s="273" t="s">
        <v>3558</v>
      </c>
      <c r="L2143" s="197">
        <f>I2143-'2020'!C493-'2021'!C1576-'2022'!C643</f>
        <v>0</v>
      </c>
    </row>
    <row r="2144" spans="1:12" x14ac:dyDescent="0.3">
      <c r="A2144" s="249" t="s">
        <v>2074</v>
      </c>
      <c r="B2144" s="249"/>
      <c r="C2144" s="273"/>
      <c r="D2144" s="234"/>
      <c r="E2144" s="234"/>
      <c r="F2144" s="234"/>
      <c r="G2144" s="234"/>
      <c r="H2144" s="10"/>
      <c r="I2144" s="273"/>
      <c r="J2144" s="234"/>
      <c r="K2144" s="273"/>
    </row>
    <row r="2145" spans="1:12" x14ac:dyDescent="0.3">
      <c r="A2145" s="259">
        <f>A2142+1</f>
        <v>1938</v>
      </c>
      <c r="B2145" s="20" t="s">
        <v>2075</v>
      </c>
      <c r="C2145" s="162">
        <v>1982</v>
      </c>
      <c r="D2145" s="234"/>
      <c r="E2145" s="234" t="s">
        <v>3121</v>
      </c>
      <c r="F2145" s="10">
        <v>2</v>
      </c>
      <c r="G2145" s="234">
        <v>508.6</v>
      </c>
      <c r="H2145" s="10">
        <v>21</v>
      </c>
      <c r="I2145" s="273">
        <f>SUMIF('2020'!B:B,B2145,'2020'!C:C)+SUMIF('2021'!B:B,B2145,'2021'!C:C)+SUMIF('2022'!B:B,B2145,'2022'!C:C)</f>
        <v>193730.98</v>
      </c>
      <c r="J2145" s="59">
        <v>44925</v>
      </c>
      <c r="K2145" s="273" t="s">
        <v>3118</v>
      </c>
    </row>
    <row r="2146" spans="1:12" x14ac:dyDescent="0.3">
      <c r="A2146" s="259">
        <f>A2145+1</f>
        <v>1939</v>
      </c>
      <c r="B2146" s="20" t="s">
        <v>2076</v>
      </c>
      <c r="C2146" s="162">
        <v>1972</v>
      </c>
      <c r="D2146" s="234"/>
      <c r="E2146" s="234" t="s">
        <v>3123</v>
      </c>
      <c r="F2146" s="10">
        <v>5</v>
      </c>
      <c r="G2146" s="234">
        <v>4678.6000000000004</v>
      </c>
      <c r="H2146" s="10">
        <v>112</v>
      </c>
      <c r="I2146" s="273">
        <f>SUMIF('2020'!B:B,B2146,'2020'!C:C)+SUMIF('2021'!B:B,B2146,'2021'!C:C)+SUMIF('2022'!B:B,B2146,'2022'!C:C)</f>
        <v>986370.44</v>
      </c>
      <c r="J2146" s="59">
        <v>44925</v>
      </c>
      <c r="K2146" s="273" t="s">
        <v>3118</v>
      </c>
    </row>
    <row r="2147" spans="1:12" x14ac:dyDescent="0.3">
      <c r="A2147" s="259">
        <f>A2146+1</f>
        <v>1940</v>
      </c>
      <c r="B2147" s="20" t="s">
        <v>2077</v>
      </c>
      <c r="C2147" s="162">
        <v>1985</v>
      </c>
      <c r="D2147" s="234"/>
      <c r="E2147" s="234" t="s">
        <v>3119</v>
      </c>
      <c r="F2147" s="10">
        <v>5</v>
      </c>
      <c r="G2147" s="234">
        <v>5082</v>
      </c>
      <c r="H2147" s="10">
        <v>114</v>
      </c>
      <c r="I2147" s="273">
        <f>SUMIF('2020'!B:B,B2147,'2020'!C:C)+SUMIF('2021'!B:B,B2147,'2021'!C:C)+SUMIF('2022'!B:B,B2147,'2022'!C:C)</f>
        <v>844529.45</v>
      </c>
      <c r="J2147" s="59">
        <v>44925</v>
      </c>
      <c r="K2147" s="273" t="s">
        <v>3118</v>
      </c>
    </row>
    <row r="2148" spans="1:12" x14ac:dyDescent="0.3">
      <c r="A2148" s="250" t="s">
        <v>208</v>
      </c>
      <c r="B2148" s="250"/>
      <c r="C2148" s="273" t="s">
        <v>3558</v>
      </c>
      <c r="D2148" s="273" t="s">
        <v>3558</v>
      </c>
      <c r="E2148" s="273" t="s">
        <v>3558</v>
      </c>
      <c r="F2148" s="273" t="s">
        <v>3558</v>
      </c>
      <c r="G2148" s="273">
        <f>SUM(G2145:G2147)</f>
        <v>10269.200000000001</v>
      </c>
      <c r="H2148" s="10">
        <f>SUM(H2145:H2147)</f>
        <v>247</v>
      </c>
      <c r="I2148" s="273">
        <f>SUM(I2145:I2147)</f>
        <v>2024630.8699999999</v>
      </c>
      <c r="J2148" s="273" t="s">
        <v>3558</v>
      </c>
      <c r="K2148" s="273" t="s">
        <v>3558</v>
      </c>
      <c r="L2148" s="197" t="e">
        <f>#REF!-'2022'!C648</f>
        <v>#REF!</v>
      </c>
    </row>
    <row r="2149" spans="1:12" x14ac:dyDescent="0.3">
      <c r="A2149" s="252" t="s">
        <v>2078</v>
      </c>
      <c r="B2149" s="252"/>
      <c r="C2149" s="251" t="s">
        <v>3558</v>
      </c>
      <c r="D2149" s="251" t="s">
        <v>3558</v>
      </c>
      <c r="E2149" s="251" t="s">
        <v>3558</v>
      </c>
      <c r="F2149" s="251" t="s">
        <v>3558</v>
      </c>
      <c r="G2149" s="251">
        <f>G2148+G2143+G1982</f>
        <v>469996.84000000026</v>
      </c>
      <c r="H2149" s="132">
        <f>H2148+H2143+H1982</f>
        <v>12635</v>
      </c>
      <c r="I2149" s="251">
        <f>I2148+I2143+I1982</f>
        <v>582057583.95999992</v>
      </c>
      <c r="J2149" s="251" t="s">
        <v>3558</v>
      </c>
      <c r="K2149" s="251" t="s">
        <v>3558</v>
      </c>
      <c r="L2149" s="197">
        <f>I2149-'2020'!C494-'2021'!C1577-'2022'!C649</f>
        <v>0</v>
      </c>
    </row>
    <row r="2150" spans="1:12" x14ac:dyDescent="0.3">
      <c r="A2150" s="303" t="s">
        <v>2079</v>
      </c>
      <c r="B2150" s="303"/>
      <c r="C2150" s="303"/>
      <c r="D2150" s="303"/>
      <c r="E2150" s="303"/>
      <c r="F2150" s="303"/>
      <c r="G2150" s="303"/>
      <c r="H2150" s="303"/>
      <c r="I2150" s="303"/>
      <c r="J2150" s="303"/>
      <c r="K2150" s="303"/>
    </row>
    <row r="2151" spans="1:12" x14ac:dyDescent="0.3">
      <c r="A2151" s="301" t="s">
        <v>2080</v>
      </c>
      <c r="B2151" s="301"/>
      <c r="C2151" s="273"/>
      <c r="D2151" s="234"/>
      <c r="E2151" s="234"/>
      <c r="F2151" s="234"/>
      <c r="G2151" s="234"/>
      <c r="H2151" s="10"/>
      <c r="I2151" s="273"/>
      <c r="J2151" s="273"/>
      <c r="K2151" s="273"/>
    </row>
    <row r="2152" spans="1:12" x14ac:dyDescent="0.3">
      <c r="A2152" s="259">
        <f>A2147+1</f>
        <v>1941</v>
      </c>
      <c r="B2152" s="20" t="s">
        <v>2081</v>
      </c>
      <c r="C2152" s="162">
        <v>1992</v>
      </c>
      <c r="D2152" s="234"/>
      <c r="E2152" s="234" t="s">
        <v>3119</v>
      </c>
      <c r="F2152" s="234">
        <v>5</v>
      </c>
      <c r="G2152" s="234">
        <v>4035.4</v>
      </c>
      <c r="H2152" s="10">
        <v>127</v>
      </c>
      <c r="I2152" s="273">
        <f>SUMIF('2020'!B:B,B2152,'2020'!C:C)+SUMIF('2021'!B:B,B2152,'2021'!C:C)+SUMIF('2022'!B:B,B2152,'2022'!C:C)</f>
        <v>5894640.6000000006</v>
      </c>
      <c r="J2152" s="59">
        <v>44925</v>
      </c>
      <c r="K2152" s="273" t="s">
        <v>3118</v>
      </c>
    </row>
    <row r="2153" spans="1:12" x14ac:dyDescent="0.3">
      <c r="A2153" s="259">
        <f>A2152+1</f>
        <v>1942</v>
      </c>
      <c r="B2153" s="20" t="s">
        <v>2082</v>
      </c>
      <c r="C2153" s="162">
        <v>1993</v>
      </c>
      <c r="D2153" s="234"/>
      <c r="E2153" s="234" t="s">
        <v>3448</v>
      </c>
      <c r="F2153" s="10">
        <v>5</v>
      </c>
      <c r="G2153" s="234">
        <v>4562.5</v>
      </c>
      <c r="H2153" s="10">
        <v>146</v>
      </c>
      <c r="I2153" s="273">
        <f>SUMIF('2020'!B:B,B2153,'2020'!C:C)+SUMIF('2021'!B:B,B2153,'2021'!C:C)+SUMIF('2022'!B:B,B2153,'2022'!C:C)</f>
        <v>25335400</v>
      </c>
      <c r="J2153" s="59">
        <v>44925</v>
      </c>
      <c r="K2153" s="273" t="s">
        <v>3118</v>
      </c>
    </row>
    <row r="2154" spans="1:12" x14ac:dyDescent="0.3">
      <c r="A2154" s="259">
        <f>A2153+1</f>
        <v>1943</v>
      </c>
      <c r="B2154" s="20" t="s">
        <v>2083</v>
      </c>
      <c r="C2154" s="162">
        <v>1995</v>
      </c>
      <c r="D2154" s="234"/>
      <c r="E2154" s="234" t="s">
        <v>3119</v>
      </c>
      <c r="F2154" s="10">
        <v>5</v>
      </c>
      <c r="G2154" s="234">
        <v>4664.7</v>
      </c>
      <c r="H2154" s="10">
        <v>106</v>
      </c>
      <c r="I2154" s="273">
        <f>SUMIF('2020'!B:B,B2154,'2020'!C:C)+SUMIF('2021'!B:B,B2154,'2021'!C:C)+SUMIF('2022'!B:B,B2154,'2022'!C:C)</f>
        <v>25335400</v>
      </c>
      <c r="J2154" s="59">
        <v>44925</v>
      </c>
      <c r="K2154" s="273" t="s">
        <v>3118</v>
      </c>
    </row>
    <row r="2155" spans="1:12" x14ac:dyDescent="0.3">
      <c r="A2155" s="302" t="s">
        <v>208</v>
      </c>
      <c r="B2155" s="302"/>
      <c r="C2155" s="273" t="s">
        <v>3558</v>
      </c>
      <c r="D2155" s="273" t="s">
        <v>3558</v>
      </c>
      <c r="E2155" s="273" t="s">
        <v>3558</v>
      </c>
      <c r="F2155" s="273" t="s">
        <v>3558</v>
      </c>
      <c r="G2155" s="273">
        <f>SUM(G2152:G2154)</f>
        <v>13262.599999999999</v>
      </c>
      <c r="H2155" s="10">
        <f>SUM(H2152:H2154)</f>
        <v>379</v>
      </c>
      <c r="I2155" s="273">
        <f>SUM(I2152:I2154)</f>
        <v>56565440.600000001</v>
      </c>
      <c r="J2155" s="273" t="s">
        <v>3558</v>
      </c>
      <c r="K2155" s="273" t="s">
        <v>3558</v>
      </c>
    </row>
    <row r="2156" spans="1:12" x14ac:dyDescent="0.3">
      <c r="A2156" s="279" t="s">
        <v>3559</v>
      </c>
      <c r="B2156" s="279"/>
      <c r="C2156" s="279"/>
      <c r="D2156" s="273"/>
      <c r="E2156" s="273"/>
      <c r="F2156" s="273"/>
      <c r="G2156" s="273"/>
      <c r="H2156" s="10"/>
      <c r="I2156" s="273"/>
      <c r="J2156" s="273"/>
      <c r="K2156" s="273"/>
    </row>
    <row r="2157" spans="1:12" x14ac:dyDescent="0.3">
      <c r="A2157" s="259">
        <f>A2154+1</f>
        <v>1944</v>
      </c>
      <c r="B2157" s="20" t="s">
        <v>2085</v>
      </c>
      <c r="C2157" s="162">
        <v>1985</v>
      </c>
      <c r="D2157" s="234"/>
      <c r="E2157" s="273" t="s">
        <v>3585</v>
      </c>
      <c r="F2157" s="50">
        <v>5</v>
      </c>
      <c r="G2157" s="273">
        <v>3240</v>
      </c>
      <c r="H2157" s="10">
        <v>157</v>
      </c>
      <c r="I2157" s="273">
        <f>SUMIF('2020'!B:B,B2157,'2020'!C:C)+SUMIF('2021'!B:B,B2157,'2021'!C:C)+SUMIF('2022'!B:B,B2157,'2022'!C:C)</f>
        <v>23171490.140000001</v>
      </c>
      <c r="J2157" s="59">
        <v>44925</v>
      </c>
      <c r="K2157" s="273" t="s">
        <v>3118</v>
      </c>
    </row>
    <row r="2158" spans="1:12" x14ac:dyDescent="0.3">
      <c r="A2158" s="259">
        <f t="shared" ref="A2158:A2169" si="77">A2157+1</f>
        <v>1945</v>
      </c>
      <c r="B2158" s="20" t="s">
        <v>2086</v>
      </c>
      <c r="C2158" s="162">
        <v>1981</v>
      </c>
      <c r="D2158" s="234"/>
      <c r="E2158" s="234" t="s">
        <v>3156</v>
      </c>
      <c r="F2158" s="50">
        <v>5</v>
      </c>
      <c r="G2158" s="234">
        <v>6107.4</v>
      </c>
      <c r="H2158" s="10">
        <v>255</v>
      </c>
      <c r="I2158" s="273">
        <f>SUMIF('2020'!B:B,B2158,'2020'!C:C)+SUMIF('2021'!B:B,B2158,'2021'!C:C)+SUMIF('2022'!B:B,B2158,'2022'!C:C)</f>
        <v>9427379</v>
      </c>
      <c r="J2158" s="59">
        <v>44925</v>
      </c>
      <c r="K2158" s="273" t="s">
        <v>3118</v>
      </c>
    </row>
    <row r="2159" spans="1:12" x14ac:dyDescent="0.3">
      <c r="A2159" s="259">
        <f t="shared" si="77"/>
        <v>1946</v>
      </c>
      <c r="B2159" s="20" t="s">
        <v>2087</v>
      </c>
      <c r="C2159" s="162">
        <v>1996</v>
      </c>
      <c r="D2159" s="234"/>
      <c r="E2159" s="273" t="s">
        <v>3123</v>
      </c>
      <c r="F2159" s="50">
        <v>2</v>
      </c>
      <c r="G2159" s="273">
        <v>330.3</v>
      </c>
      <c r="H2159" s="10">
        <v>16</v>
      </c>
      <c r="I2159" s="273">
        <f>SUMIF('2020'!B:B,B2159,'2020'!C:C)+SUMIF('2021'!B:B,B2159,'2021'!C:C)+SUMIF('2022'!B:B,B2159,'2022'!C:C)</f>
        <v>5165783.9400000004</v>
      </c>
      <c r="J2159" s="59">
        <v>44925</v>
      </c>
      <c r="K2159" s="273" t="s">
        <v>3118</v>
      </c>
    </row>
    <row r="2160" spans="1:12" x14ac:dyDescent="0.3">
      <c r="A2160" s="259">
        <f t="shared" si="77"/>
        <v>1947</v>
      </c>
      <c r="B2160" s="20" t="s">
        <v>2088</v>
      </c>
      <c r="C2160" s="162">
        <v>1999</v>
      </c>
      <c r="D2160" s="234"/>
      <c r="E2160" s="273" t="s">
        <v>3123</v>
      </c>
      <c r="F2160" s="50">
        <v>2</v>
      </c>
      <c r="G2160" s="273">
        <v>330.3</v>
      </c>
      <c r="H2160" s="10">
        <v>13</v>
      </c>
      <c r="I2160" s="273">
        <f>SUMIF('2020'!B:B,B2160,'2020'!C:C)+SUMIF('2021'!B:B,B2160,'2021'!C:C)+SUMIF('2022'!B:B,B2160,'2022'!C:C)</f>
        <v>5112529.84</v>
      </c>
      <c r="J2160" s="59">
        <v>44925</v>
      </c>
      <c r="K2160" s="273" t="s">
        <v>3118</v>
      </c>
    </row>
    <row r="2161" spans="1:11" x14ac:dyDescent="0.3">
      <c r="A2161" s="259">
        <f t="shared" si="77"/>
        <v>1948</v>
      </c>
      <c r="B2161" s="20" t="s">
        <v>2089</v>
      </c>
      <c r="C2161" s="162">
        <v>1996</v>
      </c>
      <c r="D2161" s="234"/>
      <c r="E2161" s="273" t="s">
        <v>3123</v>
      </c>
      <c r="F2161" s="50">
        <v>2</v>
      </c>
      <c r="G2161" s="273">
        <v>322.8</v>
      </c>
      <c r="H2161" s="10">
        <v>10</v>
      </c>
      <c r="I2161" s="273">
        <f>SUMIF('2020'!B:B,B2161,'2020'!C:C)+SUMIF('2021'!B:B,B2161,'2021'!C:C)+SUMIF('2022'!B:B,B2161,'2022'!C:C)</f>
        <v>2535309.5499999998</v>
      </c>
      <c r="J2161" s="59">
        <v>44925</v>
      </c>
      <c r="K2161" s="273" t="s">
        <v>3118</v>
      </c>
    </row>
    <row r="2162" spans="1:11" x14ac:dyDescent="0.3">
      <c r="A2162" s="259">
        <f t="shared" si="77"/>
        <v>1949</v>
      </c>
      <c r="B2162" s="20" t="s">
        <v>2090</v>
      </c>
      <c r="C2162" s="162">
        <v>1996</v>
      </c>
      <c r="D2162" s="234"/>
      <c r="E2162" s="273" t="s">
        <v>3123</v>
      </c>
      <c r="F2162" s="50">
        <v>2</v>
      </c>
      <c r="G2162" s="273">
        <v>319.5</v>
      </c>
      <c r="H2162" s="10">
        <v>13</v>
      </c>
      <c r="I2162" s="273">
        <f>SUMIF('2020'!B:B,B2162,'2020'!C:C)+SUMIF('2021'!B:B,B2162,'2021'!C:C)+SUMIF('2022'!B:B,B2162,'2022'!C:C)</f>
        <v>14353312.24</v>
      </c>
      <c r="J2162" s="59">
        <v>44925</v>
      </c>
      <c r="K2162" s="273" t="s">
        <v>3118</v>
      </c>
    </row>
    <row r="2163" spans="1:11" x14ac:dyDescent="0.3">
      <c r="A2163" s="259">
        <f t="shared" si="77"/>
        <v>1950</v>
      </c>
      <c r="B2163" s="20" t="s">
        <v>2091</v>
      </c>
      <c r="C2163" s="162">
        <v>1996</v>
      </c>
      <c r="D2163" s="234"/>
      <c r="E2163" s="273" t="s">
        <v>3123</v>
      </c>
      <c r="F2163" s="50">
        <v>2</v>
      </c>
      <c r="G2163" s="273">
        <v>322.8</v>
      </c>
      <c r="H2163" s="10">
        <v>14</v>
      </c>
      <c r="I2163" s="273">
        <f>SUMIF('2020'!B:B,B2163,'2020'!C:C)+SUMIF('2021'!B:B,B2163,'2021'!C:C)+SUMIF('2022'!B:B,B2163,'2022'!C:C)</f>
        <v>2547051.6</v>
      </c>
      <c r="J2163" s="59">
        <v>44925</v>
      </c>
      <c r="K2163" s="273" t="s">
        <v>3118</v>
      </c>
    </row>
    <row r="2164" spans="1:11" x14ac:dyDescent="0.3">
      <c r="A2164" s="259">
        <f t="shared" si="77"/>
        <v>1951</v>
      </c>
      <c r="B2164" s="20" t="s">
        <v>2092</v>
      </c>
      <c r="C2164" s="162">
        <v>1999</v>
      </c>
      <c r="D2164" s="234"/>
      <c r="E2164" s="273" t="s">
        <v>3123</v>
      </c>
      <c r="F2164" s="50">
        <v>2</v>
      </c>
      <c r="G2164" s="273">
        <v>328.6</v>
      </c>
      <c r="H2164" s="10">
        <v>15</v>
      </c>
      <c r="I2164" s="273">
        <f>SUMIF('2020'!B:B,B2164,'2020'!C:C)+SUMIF('2021'!B:B,B2164,'2021'!C:C)+SUMIF('2022'!B:B,B2164,'2022'!C:C)</f>
        <v>2477290.8000000003</v>
      </c>
      <c r="J2164" s="59">
        <v>44925</v>
      </c>
      <c r="K2164" s="273" t="s">
        <v>3118</v>
      </c>
    </row>
    <row r="2165" spans="1:11" x14ac:dyDescent="0.3">
      <c r="A2165" s="259">
        <f t="shared" si="77"/>
        <v>1952</v>
      </c>
      <c r="B2165" s="20" t="s">
        <v>2093</v>
      </c>
      <c r="C2165" s="162">
        <v>1976</v>
      </c>
      <c r="D2165" s="234"/>
      <c r="E2165" s="234" t="s">
        <v>3156</v>
      </c>
      <c r="F2165" s="50">
        <v>5</v>
      </c>
      <c r="G2165" s="234">
        <v>6152</v>
      </c>
      <c r="H2165" s="10">
        <v>184</v>
      </c>
      <c r="I2165" s="273">
        <f>SUMIF('2020'!B:B,B2165,'2020'!C:C)+SUMIF('2021'!B:B,B2165,'2021'!C:C)+SUMIF('2022'!B:B,B2165,'2022'!C:C)</f>
        <v>9427379</v>
      </c>
      <c r="J2165" s="59">
        <v>44925</v>
      </c>
      <c r="K2165" s="273" t="s">
        <v>3118</v>
      </c>
    </row>
    <row r="2166" spans="1:11" x14ac:dyDescent="0.3">
      <c r="A2166" s="259">
        <f t="shared" si="77"/>
        <v>1953</v>
      </c>
      <c r="B2166" s="20" t="s">
        <v>2094</v>
      </c>
      <c r="C2166" s="162">
        <v>1976</v>
      </c>
      <c r="D2166" s="234"/>
      <c r="E2166" s="234" t="s">
        <v>3156</v>
      </c>
      <c r="F2166" s="50">
        <v>5</v>
      </c>
      <c r="G2166" s="234">
        <v>3265.8</v>
      </c>
      <c r="H2166" s="10">
        <v>176</v>
      </c>
      <c r="I2166" s="273">
        <f>SUMIF('2020'!B:B,B2166,'2020'!C:C)+SUMIF('2021'!B:B,B2166,'2021'!C:C)+SUMIF('2022'!B:B,B2166,'2022'!C:C)</f>
        <v>17114338.800000001</v>
      </c>
      <c r="J2166" s="59">
        <v>44925</v>
      </c>
      <c r="K2166" s="273" t="s">
        <v>3118</v>
      </c>
    </row>
    <row r="2167" spans="1:11" x14ac:dyDescent="0.3">
      <c r="A2167" s="259">
        <f t="shared" si="77"/>
        <v>1954</v>
      </c>
      <c r="B2167" s="20" t="s">
        <v>2095</v>
      </c>
      <c r="C2167" s="162">
        <v>1980</v>
      </c>
      <c r="D2167" s="234"/>
      <c r="E2167" s="273" t="s">
        <v>3156</v>
      </c>
      <c r="F2167" s="50">
        <v>5</v>
      </c>
      <c r="G2167" s="273">
        <v>4863.6000000000004</v>
      </c>
      <c r="H2167" s="10">
        <v>225</v>
      </c>
      <c r="I2167" s="273">
        <f>SUMIF('2020'!B:B,B2167,'2020'!C:C)+SUMIF('2021'!B:B,B2167,'2021'!C:C)+SUMIF('2022'!B:B,B2167,'2022'!C:C)</f>
        <v>6989331.5999999996</v>
      </c>
      <c r="J2167" s="59">
        <v>44925</v>
      </c>
      <c r="K2167" s="273" t="s">
        <v>3118</v>
      </c>
    </row>
    <row r="2168" spans="1:11" x14ac:dyDescent="0.3">
      <c r="A2168" s="259">
        <f t="shared" si="77"/>
        <v>1955</v>
      </c>
      <c r="B2168" s="20" t="s">
        <v>2096</v>
      </c>
      <c r="C2168" s="162">
        <v>1965</v>
      </c>
      <c r="D2168" s="234"/>
      <c r="E2168" s="273" t="s">
        <v>3123</v>
      </c>
      <c r="F2168" s="50">
        <v>4</v>
      </c>
      <c r="G2168" s="273">
        <v>1995.3</v>
      </c>
      <c r="H2168" s="10">
        <v>104</v>
      </c>
      <c r="I2168" s="273">
        <f>SUMIF('2020'!B:B,B2168,'2020'!C:C)+SUMIF('2021'!B:B,B2168,'2021'!C:C)+SUMIF('2022'!B:B,B2168,'2022'!C:C)</f>
        <v>6544181.0099999998</v>
      </c>
      <c r="J2168" s="59">
        <v>44925</v>
      </c>
      <c r="K2168" s="273" t="s">
        <v>3118</v>
      </c>
    </row>
    <row r="2169" spans="1:11" x14ac:dyDescent="0.3">
      <c r="A2169" s="259">
        <f t="shared" si="77"/>
        <v>1956</v>
      </c>
      <c r="B2169" s="20" t="s">
        <v>2097</v>
      </c>
      <c r="C2169" s="162">
        <v>1965</v>
      </c>
      <c r="D2169" s="234"/>
      <c r="E2169" s="273" t="s">
        <v>3123</v>
      </c>
      <c r="F2169" s="50">
        <v>4</v>
      </c>
      <c r="G2169" s="234">
        <v>1994.26</v>
      </c>
      <c r="H2169" s="10">
        <v>82</v>
      </c>
      <c r="I2169" s="273">
        <f>SUMIF('2020'!B:B,B2169,'2020'!C:C)+SUMIF('2021'!B:B,B2169,'2021'!C:C)+SUMIF('2022'!B:B,B2169,'2022'!C:C)</f>
        <v>17927456.100000001</v>
      </c>
      <c r="J2169" s="59">
        <v>44925</v>
      </c>
      <c r="K2169" s="273" t="s">
        <v>3118</v>
      </c>
    </row>
    <row r="2170" spans="1:11" x14ac:dyDescent="0.3">
      <c r="A2170" s="302" t="s">
        <v>208</v>
      </c>
      <c r="B2170" s="302"/>
      <c r="C2170" s="273" t="s">
        <v>3558</v>
      </c>
      <c r="D2170" s="273" t="s">
        <v>3558</v>
      </c>
      <c r="E2170" s="273" t="s">
        <v>3558</v>
      </c>
      <c r="F2170" s="273" t="s">
        <v>3558</v>
      </c>
      <c r="G2170" s="273">
        <f>SUM(G2157:G2169)</f>
        <v>29572.659999999996</v>
      </c>
      <c r="H2170" s="10">
        <f>SUM(H2157:H2169)</f>
        <v>1264</v>
      </c>
      <c r="I2170" s="273">
        <f>SUM(I2157:I2169)</f>
        <v>122792833.62</v>
      </c>
      <c r="J2170" s="273" t="s">
        <v>3558</v>
      </c>
      <c r="K2170" s="273" t="s">
        <v>3558</v>
      </c>
    </row>
    <row r="2171" spans="1:11" x14ac:dyDescent="0.3">
      <c r="A2171" s="301" t="s">
        <v>2098</v>
      </c>
      <c r="B2171" s="301"/>
      <c r="C2171" s="273"/>
      <c r="D2171" s="234"/>
      <c r="E2171" s="234"/>
      <c r="F2171" s="234"/>
      <c r="G2171" s="234"/>
      <c r="H2171" s="10"/>
      <c r="I2171" s="273"/>
      <c r="J2171" s="171"/>
      <c r="K2171" s="273"/>
    </row>
    <row r="2172" spans="1:11" x14ac:dyDescent="0.3">
      <c r="A2172" s="259">
        <f>A2169+1</f>
        <v>1957</v>
      </c>
      <c r="B2172" s="20" t="s">
        <v>2099</v>
      </c>
      <c r="C2172" s="162">
        <v>1971</v>
      </c>
      <c r="D2172" s="234"/>
      <c r="E2172" s="273" t="s">
        <v>3123</v>
      </c>
      <c r="F2172" s="50">
        <v>2</v>
      </c>
      <c r="G2172" s="273">
        <v>868.1</v>
      </c>
      <c r="H2172" s="10">
        <v>41</v>
      </c>
      <c r="I2172" s="273">
        <f>SUMIF('2020'!B:B,B2172,'2020'!C:C)+SUMIF('2021'!B:B,B2172,'2021'!C:C)+SUMIF('2022'!B:B,B2172,'2022'!C:C)</f>
        <v>304782.61</v>
      </c>
      <c r="J2172" s="59">
        <v>44925</v>
      </c>
      <c r="K2172" s="273" t="s">
        <v>3118</v>
      </c>
    </row>
    <row r="2173" spans="1:11" x14ac:dyDescent="0.3">
      <c r="A2173" s="259">
        <f>A2172+1</f>
        <v>1958</v>
      </c>
      <c r="B2173" s="20" t="s">
        <v>2100</v>
      </c>
      <c r="C2173" s="162">
        <v>1937</v>
      </c>
      <c r="D2173" s="234"/>
      <c r="E2173" s="273" t="s">
        <v>3437</v>
      </c>
      <c r="F2173" s="50">
        <v>2</v>
      </c>
      <c r="G2173" s="273">
        <v>595</v>
      </c>
      <c r="H2173" s="10">
        <v>34</v>
      </c>
      <c r="I2173" s="273">
        <f>SUMIF('2020'!B:B,B2173,'2020'!C:C)+SUMIF('2021'!B:B,B2173,'2021'!C:C)+SUMIF('2022'!B:B,B2173,'2022'!C:C)</f>
        <v>514069.18</v>
      </c>
      <c r="J2173" s="59">
        <v>44925</v>
      </c>
      <c r="K2173" s="273" t="s">
        <v>3118</v>
      </c>
    </row>
    <row r="2174" spans="1:11" x14ac:dyDescent="0.3">
      <c r="A2174" s="259">
        <f>A2173+1</f>
        <v>1959</v>
      </c>
      <c r="B2174" s="20" t="s">
        <v>2101</v>
      </c>
      <c r="C2174" s="162">
        <v>1937</v>
      </c>
      <c r="D2174" s="234"/>
      <c r="E2174" s="273" t="s">
        <v>3437</v>
      </c>
      <c r="F2174" s="50">
        <v>2</v>
      </c>
      <c r="G2174" s="273">
        <v>579.20000000000005</v>
      </c>
      <c r="H2174" s="10">
        <v>38</v>
      </c>
      <c r="I2174" s="273">
        <f>SUMIF('2020'!B:B,B2174,'2020'!C:C)+SUMIF('2021'!B:B,B2174,'2021'!C:C)+SUMIF('2022'!B:B,B2174,'2022'!C:C)</f>
        <v>514069.18</v>
      </c>
      <c r="J2174" s="59">
        <v>44925</v>
      </c>
      <c r="K2174" s="273" t="s">
        <v>3118</v>
      </c>
    </row>
    <row r="2175" spans="1:11" x14ac:dyDescent="0.3">
      <c r="A2175" s="259">
        <f>A2174+1</f>
        <v>1960</v>
      </c>
      <c r="B2175" s="20" t="s">
        <v>2102</v>
      </c>
      <c r="C2175" s="162">
        <v>1937</v>
      </c>
      <c r="D2175" s="234"/>
      <c r="E2175" s="273" t="s">
        <v>3437</v>
      </c>
      <c r="F2175" s="50">
        <v>2</v>
      </c>
      <c r="G2175" s="273">
        <v>586.20000000000005</v>
      </c>
      <c r="H2175" s="10">
        <v>29</v>
      </c>
      <c r="I2175" s="273">
        <f>SUMIF('2020'!B:B,B2175,'2020'!C:C)+SUMIF('2021'!B:B,B2175,'2021'!C:C)+SUMIF('2022'!B:B,B2175,'2022'!C:C)</f>
        <v>517932.61</v>
      </c>
      <c r="J2175" s="59">
        <v>44925</v>
      </c>
      <c r="K2175" s="273" t="s">
        <v>3118</v>
      </c>
    </row>
    <row r="2176" spans="1:11" x14ac:dyDescent="0.3">
      <c r="A2176" s="259">
        <f>A2175+1</f>
        <v>1961</v>
      </c>
      <c r="B2176" s="20" t="s">
        <v>2103</v>
      </c>
      <c r="C2176" s="162">
        <v>1935</v>
      </c>
      <c r="D2176" s="234"/>
      <c r="E2176" s="273" t="s">
        <v>3437</v>
      </c>
      <c r="F2176" s="50">
        <v>2</v>
      </c>
      <c r="G2176" s="273">
        <v>570.20000000000005</v>
      </c>
      <c r="H2176" s="10">
        <v>29</v>
      </c>
      <c r="I2176" s="273">
        <f>SUMIF('2020'!B:B,B2176,'2020'!C:C)+SUMIF('2021'!B:B,B2176,'2021'!C:C)+SUMIF('2022'!B:B,B2176,'2022'!C:C)</f>
        <v>517932.61</v>
      </c>
      <c r="J2176" s="59">
        <v>44925</v>
      </c>
      <c r="K2176" s="273" t="s">
        <v>3118</v>
      </c>
    </row>
    <row r="2177" spans="1:11" x14ac:dyDescent="0.3">
      <c r="A2177" s="259">
        <f>A2176+1</f>
        <v>1962</v>
      </c>
      <c r="B2177" s="20" t="s">
        <v>2104</v>
      </c>
      <c r="C2177" s="162">
        <v>1938</v>
      </c>
      <c r="D2177" s="234"/>
      <c r="E2177" s="273" t="s">
        <v>3437</v>
      </c>
      <c r="F2177" s="50">
        <v>2</v>
      </c>
      <c r="G2177" s="234">
        <v>1029.2</v>
      </c>
      <c r="H2177" s="10">
        <v>32</v>
      </c>
      <c r="I2177" s="273">
        <f>SUMIF('2020'!B:B,B2177,'2020'!C:C)+SUMIF('2021'!B:B,B2177,'2021'!C:C)+SUMIF('2022'!B:B,B2177,'2022'!C:C)</f>
        <v>540518.56000000006</v>
      </c>
      <c r="J2177" s="59">
        <v>44925</v>
      </c>
      <c r="K2177" s="273" t="s">
        <v>3118</v>
      </c>
    </row>
    <row r="2178" spans="1:11" x14ac:dyDescent="0.3">
      <c r="A2178" s="302" t="s">
        <v>208</v>
      </c>
      <c r="B2178" s="302"/>
      <c r="C2178" s="273" t="s">
        <v>3558</v>
      </c>
      <c r="D2178" s="273" t="s">
        <v>3558</v>
      </c>
      <c r="E2178" s="273" t="s">
        <v>3558</v>
      </c>
      <c r="F2178" s="273" t="s">
        <v>3558</v>
      </c>
      <c r="G2178" s="273">
        <f>SUM(G2172:G2177)</f>
        <v>4227.8999999999996</v>
      </c>
      <c r="H2178" s="10">
        <f>SUM(H2172:H2177)</f>
        <v>203</v>
      </c>
      <c r="I2178" s="273">
        <f>SUM(I2172:I2177)</f>
        <v>2909304.75</v>
      </c>
      <c r="J2178" s="273" t="s">
        <v>3558</v>
      </c>
      <c r="K2178" s="273" t="s">
        <v>3558</v>
      </c>
    </row>
    <row r="2179" spans="1:11" x14ac:dyDescent="0.3">
      <c r="A2179" s="301" t="s">
        <v>2105</v>
      </c>
      <c r="B2179" s="301"/>
      <c r="C2179" s="273"/>
      <c r="D2179" s="234"/>
      <c r="E2179" s="234"/>
      <c r="F2179" s="234"/>
      <c r="G2179" s="234"/>
      <c r="H2179" s="10"/>
      <c r="I2179" s="273"/>
      <c r="J2179" s="171"/>
      <c r="K2179" s="273"/>
    </row>
    <row r="2180" spans="1:11" x14ac:dyDescent="0.3">
      <c r="A2180" s="259">
        <f>A2177+1</f>
        <v>1963</v>
      </c>
      <c r="B2180" s="20" t="s">
        <v>2106</v>
      </c>
      <c r="C2180" s="162">
        <v>1994</v>
      </c>
      <c r="D2180" s="234"/>
      <c r="E2180" s="234"/>
      <c r="F2180" s="10">
        <v>5</v>
      </c>
      <c r="G2180" s="234">
        <v>8338.1</v>
      </c>
      <c r="H2180" s="10">
        <v>347</v>
      </c>
      <c r="I2180" s="273">
        <f>SUMIF('2020'!B:B,B2180,'2020'!C:C)+SUMIF('2021'!B:B,B2180,'2021'!C:C)+SUMIF('2022'!B:B,B2180,'2022'!C:C)</f>
        <v>66078821.5</v>
      </c>
      <c r="J2180" s="59">
        <v>44925</v>
      </c>
      <c r="K2180" s="273" t="s">
        <v>3118</v>
      </c>
    </row>
    <row r="2181" spans="1:11" x14ac:dyDescent="0.3">
      <c r="A2181" s="259">
        <f>A2180+1</f>
        <v>1964</v>
      </c>
      <c r="B2181" s="20" t="s">
        <v>2107</v>
      </c>
      <c r="C2181" s="162">
        <v>1972</v>
      </c>
      <c r="D2181" s="234"/>
      <c r="E2181" s="234"/>
      <c r="F2181" s="10">
        <v>5</v>
      </c>
      <c r="G2181" s="234">
        <v>2594.6</v>
      </c>
      <c r="H2181" s="10">
        <v>116</v>
      </c>
      <c r="I2181" s="273">
        <f>SUMIF('2020'!B:B,B2181,'2020'!C:C)+SUMIF('2021'!B:B,B2181,'2021'!C:C)+SUMIF('2022'!B:B,B2181,'2022'!C:C)</f>
        <v>17281753.300000001</v>
      </c>
      <c r="J2181" s="59">
        <v>44925</v>
      </c>
      <c r="K2181" s="273" t="s">
        <v>3118</v>
      </c>
    </row>
    <row r="2182" spans="1:11" x14ac:dyDescent="0.3">
      <c r="A2182" s="259">
        <f>A2181+1</f>
        <v>1965</v>
      </c>
      <c r="B2182" s="20" t="s">
        <v>2108</v>
      </c>
      <c r="C2182" s="162">
        <v>1973</v>
      </c>
      <c r="D2182" s="234"/>
      <c r="E2182" s="234"/>
      <c r="F2182" s="10">
        <v>5</v>
      </c>
      <c r="G2182" s="234">
        <v>2543.6</v>
      </c>
      <c r="H2182" s="10">
        <v>136</v>
      </c>
      <c r="I2182" s="273">
        <f>SUMIF('2020'!B:B,B2182,'2020'!C:C)+SUMIF('2021'!B:B,B2182,'2021'!C:C)+SUMIF('2022'!B:B,B2182,'2022'!C:C)</f>
        <v>17281753.300000001</v>
      </c>
      <c r="J2182" s="59">
        <v>44925</v>
      </c>
      <c r="K2182" s="273" t="s">
        <v>3118</v>
      </c>
    </row>
    <row r="2183" spans="1:11" x14ac:dyDescent="0.3">
      <c r="A2183" s="259">
        <f>A2182+1</f>
        <v>1966</v>
      </c>
      <c r="B2183" s="20" t="s">
        <v>2109</v>
      </c>
      <c r="C2183" s="162">
        <v>1980</v>
      </c>
      <c r="D2183" s="234"/>
      <c r="E2183" s="234"/>
      <c r="F2183" s="10">
        <v>5</v>
      </c>
      <c r="G2183" s="234">
        <v>2002.2</v>
      </c>
      <c r="H2183" s="10">
        <v>115</v>
      </c>
      <c r="I2183" s="273">
        <f>SUMIF('2020'!B:B,B2183,'2020'!C:C)+SUMIF('2021'!B:B,B2183,'2021'!C:C)+SUMIF('2022'!B:B,B2183,'2022'!C:C)</f>
        <v>17871674.399999999</v>
      </c>
      <c r="J2183" s="59">
        <v>44925</v>
      </c>
      <c r="K2183" s="273" t="s">
        <v>3118</v>
      </c>
    </row>
    <row r="2184" spans="1:11" x14ac:dyDescent="0.3">
      <c r="A2184" s="302" t="s">
        <v>208</v>
      </c>
      <c r="B2184" s="302"/>
      <c r="C2184" s="273" t="s">
        <v>3558</v>
      </c>
      <c r="D2184" s="273" t="s">
        <v>3558</v>
      </c>
      <c r="E2184" s="273" t="s">
        <v>3558</v>
      </c>
      <c r="F2184" s="273" t="s">
        <v>3558</v>
      </c>
      <c r="G2184" s="273">
        <f>SUM(G2180:G2183)</f>
        <v>15478.500000000002</v>
      </c>
      <c r="H2184" s="10">
        <f>SUM(H2180:H2183)</f>
        <v>714</v>
      </c>
      <c r="I2184" s="273">
        <f>SUM(I2180:I2183)</f>
        <v>118514002.5</v>
      </c>
      <c r="J2184" s="273" t="s">
        <v>3558</v>
      </c>
      <c r="K2184" s="273" t="s">
        <v>3558</v>
      </c>
    </row>
    <row r="2185" spans="1:11" x14ac:dyDescent="0.3">
      <c r="A2185" s="301" t="s">
        <v>2110</v>
      </c>
      <c r="B2185" s="301"/>
      <c r="C2185" s="273"/>
      <c r="D2185" s="234"/>
      <c r="E2185" s="234"/>
      <c r="F2185" s="234"/>
      <c r="G2185" s="234"/>
      <c r="H2185" s="10"/>
      <c r="I2185" s="273"/>
      <c r="J2185" s="171"/>
      <c r="K2185" s="273"/>
    </row>
    <row r="2186" spans="1:11" x14ac:dyDescent="0.3">
      <c r="A2186" s="259">
        <f>A2183+1</f>
        <v>1967</v>
      </c>
      <c r="B2186" s="20" t="s">
        <v>2111</v>
      </c>
      <c r="C2186" s="162">
        <v>1976</v>
      </c>
      <c r="D2186" s="234"/>
      <c r="E2186" s="234" t="s">
        <v>3119</v>
      </c>
      <c r="F2186" s="10">
        <v>5</v>
      </c>
      <c r="G2186" s="234">
        <v>5624.5</v>
      </c>
      <c r="H2186" s="10">
        <v>90</v>
      </c>
      <c r="I2186" s="273">
        <f>SUMIF('2020'!B:B,B2186,'2020'!C:C)+SUMIF('2021'!B:B,B2186,'2021'!C:C)+SUMIF('2022'!B:B,B2186,'2022'!C:C)</f>
        <v>130000</v>
      </c>
      <c r="J2186" s="59">
        <v>44925</v>
      </c>
      <c r="K2186" s="273" t="s">
        <v>3118</v>
      </c>
    </row>
    <row r="2187" spans="1:11" x14ac:dyDescent="0.3">
      <c r="A2187" s="259">
        <f t="shared" ref="A2187:A2197" si="78">A2186+1</f>
        <v>1968</v>
      </c>
      <c r="B2187" s="20" t="s">
        <v>2112</v>
      </c>
      <c r="C2187" s="162">
        <v>1972</v>
      </c>
      <c r="D2187" s="234"/>
      <c r="E2187" s="234" t="s">
        <v>3119</v>
      </c>
      <c r="F2187" s="10">
        <v>5</v>
      </c>
      <c r="G2187" s="234">
        <v>4862</v>
      </c>
      <c r="H2187" s="10">
        <v>90</v>
      </c>
      <c r="I2187" s="273">
        <f>SUMIF('2020'!B:B,B2187,'2020'!C:C)+SUMIF('2021'!B:B,B2187,'2021'!C:C)+SUMIF('2022'!B:B,B2187,'2022'!C:C)</f>
        <v>130000</v>
      </c>
      <c r="J2187" s="59">
        <v>44925</v>
      </c>
      <c r="K2187" s="273" t="s">
        <v>3118</v>
      </c>
    </row>
    <row r="2188" spans="1:11" x14ac:dyDescent="0.3">
      <c r="A2188" s="259">
        <f t="shared" si="78"/>
        <v>1969</v>
      </c>
      <c r="B2188" s="20" t="s">
        <v>2113</v>
      </c>
      <c r="C2188" s="162">
        <v>1974</v>
      </c>
      <c r="D2188" s="234"/>
      <c r="E2188" s="234" t="s">
        <v>3119</v>
      </c>
      <c r="F2188" s="10">
        <v>5</v>
      </c>
      <c r="G2188" s="234">
        <v>4810</v>
      </c>
      <c r="H2188" s="10">
        <v>90</v>
      </c>
      <c r="I2188" s="273">
        <f>SUMIF('2020'!B:B,B2188,'2020'!C:C)+SUMIF('2021'!B:B,B2188,'2021'!C:C)+SUMIF('2022'!B:B,B2188,'2022'!C:C)</f>
        <v>130000</v>
      </c>
      <c r="J2188" s="59">
        <v>44925</v>
      </c>
      <c r="K2188" s="273" t="s">
        <v>3118</v>
      </c>
    </row>
    <row r="2189" spans="1:11" x14ac:dyDescent="0.3">
      <c r="A2189" s="259">
        <f t="shared" si="78"/>
        <v>1970</v>
      </c>
      <c r="B2189" s="20" t="s">
        <v>2114</v>
      </c>
      <c r="C2189" s="162">
        <v>1966</v>
      </c>
      <c r="D2189" s="234"/>
      <c r="E2189" s="234" t="s">
        <v>3119</v>
      </c>
      <c r="F2189" s="10">
        <v>5</v>
      </c>
      <c r="G2189" s="234">
        <v>6035.8</v>
      </c>
      <c r="H2189" s="10">
        <v>110</v>
      </c>
      <c r="I2189" s="273">
        <f>SUMIF('2020'!B:B,B2189,'2020'!C:C)+SUMIF('2021'!B:B,B2189,'2021'!C:C)+SUMIF('2022'!B:B,B2189,'2022'!C:C)</f>
        <v>130000</v>
      </c>
      <c r="J2189" s="59">
        <v>44925</v>
      </c>
      <c r="K2189" s="273" t="s">
        <v>3118</v>
      </c>
    </row>
    <row r="2190" spans="1:11" x14ac:dyDescent="0.3">
      <c r="A2190" s="259">
        <f t="shared" si="78"/>
        <v>1971</v>
      </c>
      <c r="B2190" s="20" t="s">
        <v>2115</v>
      </c>
      <c r="C2190" s="162">
        <v>1977</v>
      </c>
      <c r="D2190" s="234"/>
      <c r="E2190" s="234" t="s">
        <v>3119</v>
      </c>
      <c r="F2190" s="10">
        <v>5</v>
      </c>
      <c r="G2190" s="234">
        <v>5592.8</v>
      </c>
      <c r="H2190" s="10">
        <v>90</v>
      </c>
      <c r="I2190" s="273">
        <f>SUMIF('2020'!B:B,B2190,'2020'!C:C)+SUMIF('2021'!B:B,B2190,'2021'!C:C)+SUMIF('2022'!B:B,B2190,'2022'!C:C)</f>
        <v>130000</v>
      </c>
      <c r="J2190" s="59">
        <v>44925</v>
      </c>
      <c r="K2190" s="273" t="s">
        <v>3118</v>
      </c>
    </row>
    <row r="2191" spans="1:11" x14ac:dyDescent="0.3">
      <c r="A2191" s="259">
        <f t="shared" si="78"/>
        <v>1972</v>
      </c>
      <c r="B2191" s="20" t="s">
        <v>2116</v>
      </c>
      <c r="C2191" s="162">
        <v>1967</v>
      </c>
      <c r="D2191" s="234"/>
      <c r="E2191" s="234" t="s">
        <v>3119</v>
      </c>
      <c r="F2191" s="10">
        <v>5</v>
      </c>
      <c r="G2191" s="234">
        <v>4910.6000000000004</v>
      </c>
      <c r="H2191" s="10">
        <v>100</v>
      </c>
      <c r="I2191" s="273">
        <f>SUMIF('2020'!B:B,B2191,'2020'!C:C)+SUMIF('2021'!B:B,B2191,'2021'!C:C)+SUMIF('2022'!B:B,B2191,'2022'!C:C)</f>
        <v>130000</v>
      </c>
      <c r="J2191" s="59">
        <v>44925</v>
      </c>
      <c r="K2191" s="273" t="s">
        <v>3118</v>
      </c>
    </row>
    <row r="2192" spans="1:11" x14ac:dyDescent="0.3">
      <c r="A2192" s="259">
        <f t="shared" si="78"/>
        <v>1973</v>
      </c>
      <c r="B2192" s="20" t="s">
        <v>2117</v>
      </c>
      <c r="C2192" s="162">
        <v>1977</v>
      </c>
      <c r="D2192" s="234"/>
      <c r="E2192" s="234" t="s">
        <v>3119</v>
      </c>
      <c r="F2192" s="10">
        <v>5</v>
      </c>
      <c r="G2192" s="234">
        <v>5464.7</v>
      </c>
      <c r="H2192" s="10">
        <v>90</v>
      </c>
      <c r="I2192" s="273">
        <f>SUMIF('2020'!B:B,B2192,'2020'!C:C)+SUMIF('2021'!B:B,B2192,'2021'!C:C)+SUMIF('2022'!B:B,B2192,'2022'!C:C)</f>
        <v>130000</v>
      </c>
      <c r="J2192" s="59">
        <v>44925</v>
      </c>
      <c r="K2192" s="273" t="s">
        <v>3118</v>
      </c>
    </row>
    <row r="2193" spans="1:11" x14ac:dyDescent="0.3">
      <c r="A2193" s="259">
        <f t="shared" si="78"/>
        <v>1974</v>
      </c>
      <c r="B2193" s="20" t="s">
        <v>2118</v>
      </c>
      <c r="C2193" s="162">
        <v>1966</v>
      </c>
      <c r="D2193" s="234"/>
      <c r="E2193" s="234" t="s">
        <v>3119</v>
      </c>
      <c r="F2193" s="10">
        <v>5</v>
      </c>
      <c r="G2193" s="234">
        <v>5728</v>
      </c>
      <c r="H2193" s="10">
        <v>139</v>
      </c>
      <c r="I2193" s="273">
        <f>SUMIF('2020'!B:B,B2193,'2020'!C:C)+SUMIF('2021'!B:B,B2193,'2021'!C:C)+SUMIF('2022'!B:B,B2193,'2022'!C:C)</f>
        <v>130000</v>
      </c>
      <c r="J2193" s="59">
        <v>44925</v>
      </c>
      <c r="K2193" s="273" t="s">
        <v>3118</v>
      </c>
    </row>
    <row r="2194" spans="1:11" x14ac:dyDescent="0.3">
      <c r="A2194" s="259">
        <f t="shared" si="78"/>
        <v>1975</v>
      </c>
      <c r="B2194" s="20" t="s">
        <v>2119</v>
      </c>
      <c r="C2194" s="162">
        <v>1978</v>
      </c>
      <c r="D2194" s="234"/>
      <c r="E2194" s="234" t="s">
        <v>3119</v>
      </c>
      <c r="F2194" s="10">
        <v>5</v>
      </c>
      <c r="G2194" s="234">
        <v>5504</v>
      </c>
      <c r="H2194" s="10">
        <v>90</v>
      </c>
      <c r="I2194" s="273">
        <f>SUMIF('2020'!B:B,B2194,'2020'!C:C)+SUMIF('2021'!B:B,B2194,'2021'!C:C)+SUMIF('2022'!B:B,B2194,'2022'!C:C)</f>
        <v>130000</v>
      </c>
      <c r="J2194" s="59">
        <v>44925</v>
      </c>
      <c r="K2194" s="273" t="s">
        <v>3118</v>
      </c>
    </row>
    <row r="2195" spans="1:11" x14ac:dyDescent="0.3">
      <c r="A2195" s="259">
        <f t="shared" si="78"/>
        <v>1976</v>
      </c>
      <c r="B2195" s="20" t="s">
        <v>2120</v>
      </c>
      <c r="C2195" s="162">
        <v>1973</v>
      </c>
      <c r="D2195" s="234"/>
      <c r="E2195" s="234" t="s">
        <v>3119</v>
      </c>
      <c r="F2195" s="10">
        <v>5</v>
      </c>
      <c r="G2195" s="234">
        <v>4892.3</v>
      </c>
      <c r="H2195" s="10">
        <v>90</v>
      </c>
      <c r="I2195" s="273">
        <f>SUMIF('2020'!B:B,B2195,'2020'!C:C)+SUMIF('2021'!B:B,B2195,'2021'!C:C)+SUMIF('2022'!B:B,B2195,'2022'!C:C)</f>
        <v>130000</v>
      </c>
      <c r="J2195" s="59">
        <v>44925</v>
      </c>
      <c r="K2195" s="273" t="s">
        <v>3118</v>
      </c>
    </row>
    <row r="2196" spans="1:11" x14ac:dyDescent="0.3">
      <c r="A2196" s="259">
        <f t="shared" si="78"/>
        <v>1977</v>
      </c>
      <c r="B2196" s="20" t="s">
        <v>2121</v>
      </c>
      <c r="C2196" s="162">
        <v>1965</v>
      </c>
      <c r="D2196" s="234"/>
      <c r="E2196" s="234" t="s">
        <v>3119</v>
      </c>
      <c r="F2196" s="10">
        <v>5</v>
      </c>
      <c r="G2196" s="273">
        <v>681.5</v>
      </c>
      <c r="H2196" s="10"/>
      <c r="I2196" s="273">
        <f>SUMIF('2020'!B:B,B2196,'2020'!C:C)+SUMIF('2021'!B:B,B2196,'2021'!C:C)+SUMIF('2022'!B:B,B2196,'2022'!C:C)</f>
        <v>13984861.91</v>
      </c>
      <c r="J2196" s="59">
        <v>44925</v>
      </c>
      <c r="K2196" s="273" t="s">
        <v>3118</v>
      </c>
    </row>
    <row r="2197" spans="1:11" x14ac:dyDescent="0.3">
      <c r="A2197" s="259">
        <f t="shared" si="78"/>
        <v>1978</v>
      </c>
      <c r="B2197" s="20" t="s">
        <v>2122</v>
      </c>
      <c r="C2197" s="162">
        <v>1978</v>
      </c>
      <c r="D2197" s="234"/>
      <c r="E2197" s="234" t="s">
        <v>3119</v>
      </c>
      <c r="F2197" s="10">
        <v>5</v>
      </c>
      <c r="G2197" s="234">
        <v>4172</v>
      </c>
      <c r="H2197" s="10">
        <v>80</v>
      </c>
      <c r="I2197" s="273">
        <f>SUMIF('2020'!B:B,B2197,'2020'!C:C)+SUMIF('2021'!B:B,B2197,'2021'!C:C)+SUMIF('2022'!B:B,B2197,'2022'!C:C)</f>
        <v>130000</v>
      </c>
      <c r="J2197" s="59">
        <v>44925</v>
      </c>
      <c r="K2197" s="273" t="s">
        <v>3118</v>
      </c>
    </row>
    <row r="2198" spans="1:11" x14ac:dyDescent="0.3">
      <c r="A2198" s="302" t="s">
        <v>208</v>
      </c>
      <c r="B2198" s="302"/>
      <c r="C2198" s="273" t="s">
        <v>3558</v>
      </c>
      <c r="D2198" s="273" t="s">
        <v>3558</v>
      </c>
      <c r="E2198" s="273" t="s">
        <v>3558</v>
      </c>
      <c r="F2198" s="273" t="s">
        <v>3558</v>
      </c>
      <c r="G2198" s="273">
        <f>SUM(G2186:G2197)</f>
        <v>58278.2</v>
      </c>
      <c r="H2198" s="10">
        <f>SUM(H2186:H2197)</f>
        <v>1059</v>
      </c>
      <c r="I2198" s="273">
        <f>SUM(I2186:I2197)</f>
        <v>15414861.91</v>
      </c>
      <c r="J2198" s="273" t="s">
        <v>3558</v>
      </c>
      <c r="K2198" s="273" t="s">
        <v>3558</v>
      </c>
    </row>
    <row r="2199" spans="1:11" x14ac:dyDescent="0.3">
      <c r="A2199" s="301" t="s">
        <v>2123</v>
      </c>
      <c r="B2199" s="301"/>
      <c r="C2199" s="273"/>
      <c r="D2199" s="234"/>
      <c r="E2199" s="234"/>
      <c r="F2199" s="234"/>
      <c r="G2199" s="234"/>
      <c r="H2199" s="10"/>
      <c r="I2199" s="273"/>
      <c r="J2199" s="171"/>
      <c r="K2199" s="273"/>
    </row>
    <row r="2200" spans="1:11" x14ac:dyDescent="0.3">
      <c r="A2200" s="259">
        <f>A2197+1</f>
        <v>1979</v>
      </c>
      <c r="B2200" s="20" t="s">
        <v>2124</v>
      </c>
      <c r="C2200" s="162">
        <v>1980</v>
      </c>
      <c r="D2200" s="234"/>
      <c r="E2200" s="234" t="s">
        <v>3119</v>
      </c>
      <c r="F2200" s="10">
        <v>5</v>
      </c>
      <c r="G2200" s="234">
        <v>4829</v>
      </c>
      <c r="H2200" s="10">
        <v>233</v>
      </c>
      <c r="I2200" s="273">
        <f>SUMIF('2020'!B:B,B2200,'2020'!C:C)+SUMIF('2021'!B:B,B2200,'2021'!C:C)+SUMIF('2022'!B:B,B2200,'2022'!C:C)</f>
        <v>27494469.600000001</v>
      </c>
      <c r="J2200" s="59">
        <v>44925</v>
      </c>
      <c r="K2200" s="273" t="s">
        <v>3118</v>
      </c>
    </row>
    <row r="2201" spans="1:11" x14ac:dyDescent="0.3">
      <c r="A2201" s="259">
        <f>A2200+1</f>
        <v>1980</v>
      </c>
      <c r="B2201" s="20" t="s">
        <v>2125</v>
      </c>
      <c r="C2201" s="162">
        <v>1961</v>
      </c>
      <c r="D2201" s="234"/>
      <c r="E2201" s="234" t="s">
        <v>3123</v>
      </c>
      <c r="F2201" s="10">
        <v>2</v>
      </c>
      <c r="G2201" s="234">
        <v>488</v>
      </c>
      <c r="H2201" s="10">
        <v>40</v>
      </c>
      <c r="I2201" s="273">
        <f>SUMIF('2020'!B:B,B2201,'2020'!C:C)+SUMIF('2021'!B:B,B2201,'2021'!C:C)+SUMIF('2022'!B:B,B2201,'2022'!C:C)</f>
        <v>256585.06</v>
      </c>
      <c r="J2201" s="59">
        <v>44925</v>
      </c>
      <c r="K2201" s="273" t="s">
        <v>3118</v>
      </c>
    </row>
    <row r="2202" spans="1:11" x14ac:dyDescent="0.3">
      <c r="A2202" s="259">
        <f>A2201+1</f>
        <v>1981</v>
      </c>
      <c r="B2202" s="20" t="s">
        <v>2126</v>
      </c>
      <c r="C2202" s="162">
        <v>1984</v>
      </c>
      <c r="D2202" s="234"/>
      <c r="E2202" s="234" t="s">
        <v>3119</v>
      </c>
      <c r="F2202" s="10">
        <v>5</v>
      </c>
      <c r="G2202" s="234">
        <v>4898.2</v>
      </c>
      <c r="H2202" s="10">
        <v>228</v>
      </c>
      <c r="I2202" s="273">
        <f>SUMIF('2020'!B:B,B2202,'2020'!C:C)+SUMIF('2021'!B:B,B2202,'2021'!C:C)+SUMIF('2022'!B:B,B2202,'2022'!C:C)</f>
        <v>24574214.399999999</v>
      </c>
      <c r="J2202" s="59">
        <v>44925</v>
      </c>
      <c r="K2202" s="273" t="s">
        <v>3118</v>
      </c>
    </row>
    <row r="2203" spans="1:11" x14ac:dyDescent="0.3">
      <c r="A2203" s="259">
        <f>A2202+1</f>
        <v>1982</v>
      </c>
      <c r="B2203" s="20" t="s">
        <v>2127</v>
      </c>
      <c r="C2203" s="162">
        <v>1964</v>
      </c>
      <c r="D2203" s="234"/>
      <c r="E2203" s="234" t="s">
        <v>3123</v>
      </c>
      <c r="F2203" s="10">
        <v>2</v>
      </c>
      <c r="G2203" s="234">
        <v>541.29</v>
      </c>
      <c r="H2203" s="10">
        <v>26</v>
      </c>
      <c r="I2203" s="273">
        <f>SUMIF('2020'!B:B,B2203,'2020'!C:C)+SUMIF('2021'!B:B,B2203,'2021'!C:C)+SUMIF('2022'!B:B,B2203,'2022'!C:C)</f>
        <v>6540166.7999999998</v>
      </c>
      <c r="J2203" s="59">
        <v>44925</v>
      </c>
      <c r="K2203" s="273" t="s">
        <v>3118</v>
      </c>
    </row>
    <row r="2204" spans="1:11" x14ac:dyDescent="0.3">
      <c r="A2204" s="259">
        <f>A2203+1</f>
        <v>1983</v>
      </c>
      <c r="B2204" s="20" t="s">
        <v>2128</v>
      </c>
      <c r="C2204" s="162">
        <v>1970</v>
      </c>
      <c r="D2204" s="234"/>
      <c r="E2204" s="234" t="s">
        <v>3123</v>
      </c>
      <c r="F2204" s="10">
        <v>2</v>
      </c>
      <c r="G2204" s="234">
        <v>547.76</v>
      </c>
      <c r="H2204" s="10">
        <v>38</v>
      </c>
      <c r="I2204" s="273">
        <f>SUMIF('2020'!B:B,B2204,'2020'!C:C)+SUMIF('2021'!B:B,B2204,'2021'!C:C)+SUMIF('2022'!B:B,B2204,'2022'!C:C)</f>
        <v>6540166.7999999998</v>
      </c>
      <c r="J2204" s="59">
        <v>44925</v>
      </c>
      <c r="K2204" s="273" t="s">
        <v>3118</v>
      </c>
    </row>
    <row r="2205" spans="1:11" x14ac:dyDescent="0.3">
      <c r="A2205" s="302" t="s">
        <v>208</v>
      </c>
      <c r="B2205" s="302"/>
      <c r="C2205" s="273" t="s">
        <v>3558</v>
      </c>
      <c r="D2205" s="273" t="s">
        <v>3558</v>
      </c>
      <c r="E2205" s="273" t="s">
        <v>3558</v>
      </c>
      <c r="F2205" s="273" t="s">
        <v>3558</v>
      </c>
      <c r="G2205" s="273">
        <f>SUM(G2200:G2204)</f>
        <v>11304.250000000002</v>
      </c>
      <c r="H2205" s="10">
        <f>SUM(H2200:H2204)</f>
        <v>565</v>
      </c>
      <c r="I2205" s="273">
        <f>SUM(I2200:I2204)</f>
        <v>65405602.659999996</v>
      </c>
      <c r="J2205" s="273" t="s">
        <v>3558</v>
      </c>
      <c r="K2205" s="273" t="s">
        <v>3558</v>
      </c>
    </row>
    <row r="2206" spans="1:11" x14ac:dyDescent="0.3">
      <c r="A2206" s="301" t="s">
        <v>2129</v>
      </c>
      <c r="B2206" s="301"/>
      <c r="C2206" s="273"/>
      <c r="D2206" s="234"/>
      <c r="E2206" s="234"/>
      <c r="F2206" s="234"/>
      <c r="G2206" s="234"/>
      <c r="H2206" s="10"/>
      <c r="I2206" s="273"/>
      <c r="J2206" s="171"/>
      <c r="K2206" s="273"/>
    </row>
    <row r="2207" spans="1:11" x14ac:dyDescent="0.3">
      <c r="A2207" s="259">
        <f>A2204+1</f>
        <v>1984</v>
      </c>
      <c r="B2207" s="20" t="s">
        <v>2130</v>
      </c>
      <c r="C2207" s="162">
        <v>1969</v>
      </c>
      <c r="D2207" s="234"/>
      <c r="E2207" s="273"/>
      <c r="F2207" s="10">
        <v>2</v>
      </c>
      <c r="G2207" s="234">
        <v>563.29999999999995</v>
      </c>
      <c r="H2207" s="10">
        <v>2</v>
      </c>
      <c r="I2207" s="273">
        <f>SUMIF('2020'!B:B,B2207,'2020'!C:C)+SUMIF('2021'!B:B,B2207,'2021'!C:C)+SUMIF('2022'!B:B,B2207,'2022'!C:C)</f>
        <v>8973101.5700000003</v>
      </c>
      <c r="J2207" s="59">
        <v>44925</v>
      </c>
      <c r="K2207" s="273" t="s">
        <v>3118</v>
      </c>
    </row>
    <row r="2208" spans="1:11" x14ac:dyDescent="0.3">
      <c r="A2208" s="302" t="s">
        <v>208</v>
      </c>
      <c r="B2208" s="302"/>
      <c r="C2208" s="273" t="s">
        <v>3558</v>
      </c>
      <c r="D2208" s="273" t="s">
        <v>3558</v>
      </c>
      <c r="E2208" s="273" t="s">
        <v>3558</v>
      </c>
      <c r="F2208" s="273" t="s">
        <v>3558</v>
      </c>
      <c r="G2208" s="273">
        <f>SUM(G2207)</f>
        <v>563.29999999999995</v>
      </c>
      <c r="H2208" s="10">
        <f>SUM(H2207)</f>
        <v>2</v>
      </c>
      <c r="I2208" s="273">
        <f>SUM(I2207)</f>
        <v>8973101.5700000003</v>
      </c>
      <c r="J2208" s="273" t="s">
        <v>3558</v>
      </c>
      <c r="K2208" s="273" t="s">
        <v>3558</v>
      </c>
    </row>
    <row r="2209" spans="1:11" x14ac:dyDescent="0.3">
      <c r="A2209" s="301" t="s">
        <v>2131</v>
      </c>
      <c r="B2209" s="301"/>
      <c r="C2209" s="273"/>
      <c r="D2209" s="234"/>
      <c r="E2209" s="234"/>
      <c r="F2209" s="234"/>
      <c r="G2209" s="234"/>
      <c r="H2209" s="10"/>
      <c r="I2209" s="273"/>
      <c r="J2209" s="171"/>
      <c r="K2209" s="273"/>
    </row>
    <row r="2210" spans="1:11" x14ac:dyDescent="0.3">
      <c r="A2210" s="259">
        <f>A2207+1</f>
        <v>1985</v>
      </c>
      <c r="B2210" s="20" t="s">
        <v>2132</v>
      </c>
      <c r="C2210" s="162">
        <v>1970</v>
      </c>
      <c r="D2210" s="234"/>
      <c r="E2210" s="234" t="s">
        <v>3123</v>
      </c>
      <c r="F2210" s="10">
        <v>5</v>
      </c>
      <c r="G2210" s="234">
        <v>3142.9</v>
      </c>
      <c r="H2210" s="10">
        <v>163</v>
      </c>
      <c r="I2210" s="273">
        <f>SUMIF('2020'!B:B,B2210,'2020'!C:C)+SUMIF('2021'!B:B,B2210,'2021'!C:C)+SUMIF('2022'!B:B,B2210,'2022'!C:C)</f>
        <v>197208.78</v>
      </c>
      <c r="J2210" s="59">
        <v>44925</v>
      </c>
      <c r="K2210" s="273" t="s">
        <v>3118</v>
      </c>
    </row>
    <row r="2211" spans="1:11" x14ac:dyDescent="0.3">
      <c r="A2211" s="259">
        <f t="shared" ref="A2211:A2220" si="79">A2210+1</f>
        <v>1986</v>
      </c>
      <c r="B2211" s="20" t="s">
        <v>2133</v>
      </c>
      <c r="C2211" s="162">
        <v>1969</v>
      </c>
      <c r="D2211" s="234"/>
      <c r="E2211" s="234" t="s">
        <v>3123</v>
      </c>
      <c r="F2211" s="10">
        <v>5</v>
      </c>
      <c r="G2211" s="234">
        <v>4224.3</v>
      </c>
      <c r="H2211" s="10">
        <v>215</v>
      </c>
      <c r="I2211" s="273">
        <f>SUMIF('2020'!B:B,B2211,'2020'!C:C)+SUMIF('2021'!B:B,B2211,'2021'!C:C)+SUMIF('2022'!B:B,B2211,'2022'!C:C)</f>
        <v>242459.51</v>
      </c>
      <c r="J2211" s="59">
        <v>44925</v>
      </c>
      <c r="K2211" s="273" t="s">
        <v>3118</v>
      </c>
    </row>
    <row r="2212" spans="1:11" x14ac:dyDescent="0.3">
      <c r="A2212" s="259">
        <f t="shared" si="79"/>
        <v>1987</v>
      </c>
      <c r="B2212" s="20" t="s">
        <v>2134</v>
      </c>
      <c r="C2212" s="162">
        <v>1971</v>
      </c>
      <c r="D2212" s="234"/>
      <c r="E2212" s="234" t="s">
        <v>3123</v>
      </c>
      <c r="F2212" s="10">
        <v>5</v>
      </c>
      <c r="G2212" s="234">
        <v>3102.6</v>
      </c>
      <c r="H2212" s="10">
        <v>158</v>
      </c>
      <c r="I2212" s="273">
        <f>SUMIF('2020'!B:B,B2212,'2020'!C:C)+SUMIF('2021'!B:B,B2212,'2021'!C:C)+SUMIF('2022'!B:B,B2212,'2022'!C:C)</f>
        <v>390753.91</v>
      </c>
      <c r="J2212" s="59">
        <v>44925</v>
      </c>
      <c r="K2212" s="273" t="s">
        <v>3118</v>
      </c>
    </row>
    <row r="2213" spans="1:11" x14ac:dyDescent="0.3">
      <c r="A2213" s="259">
        <f t="shared" si="79"/>
        <v>1988</v>
      </c>
      <c r="B2213" s="20" t="s">
        <v>2135</v>
      </c>
      <c r="C2213" s="162">
        <v>1972</v>
      </c>
      <c r="D2213" s="234"/>
      <c r="E2213" s="234" t="s">
        <v>3123</v>
      </c>
      <c r="F2213" s="10">
        <v>5</v>
      </c>
      <c r="G2213" s="234">
        <v>4460</v>
      </c>
      <c r="H2213" s="10">
        <v>178</v>
      </c>
      <c r="I2213" s="273">
        <f>SUMIF('2020'!B:B,B2213,'2020'!C:C)+SUMIF('2021'!B:B,B2213,'2021'!C:C)+SUMIF('2022'!B:B,B2213,'2022'!C:C)</f>
        <v>247024.25</v>
      </c>
      <c r="J2213" s="59">
        <v>44925</v>
      </c>
      <c r="K2213" s="273" t="s">
        <v>3118</v>
      </c>
    </row>
    <row r="2214" spans="1:11" x14ac:dyDescent="0.3">
      <c r="A2214" s="259">
        <f t="shared" si="79"/>
        <v>1989</v>
      </c>
      <c r="B2214" s="20" t="s">
        <v>2136</v>
      </c>
      <c r="C2214" s="162">
        <v>1977</v>
      </c>
      <c r="D2214" s="234"/>
      <c r="E2214" s="234" t="s">
        <v>3123</v>
      </c>
      <c r="F2214" s="10">
        <v>5</v>
      </c>
      <c r="G2214" s="234">
        <v>3465</v>
      </c>
      <c r="H2214" s="10">
        <v>165</v>
      </c>
      <c r="I2214" s="273">
        <f>SUMIF('2020'!B:B,B2214,'2020'!C:C)+SUMIF('2021'!B:B,B2214,'2021'!C:C)+SUMIF('2022'!B:B,B2214,'2022'!C:C)</f>
        <v>225263.62</v>
      </c>
      <c r="J2214" s="59">
        <v>44925</v>
      </c>
      <c r="K2214" s="273" t="s">
        <v>3118</v>
      </c>
    </row>
    <row r="2215" spans="1:11" x14ac:dyDescent="0.3">
      <c r="A2215" s="259">
        <f t="shared" si="79"/>
        <v>1990</v>
      </c>
      <c r="B2215" s="20" t="s">
        <v>2137</v>
      </c>
      <c r="C2215" s="162">
        <v>1965</v>
      </c>
      <c r="D2215" s="234"/>
      <c r="E2215" s="234" t="s">
        <v>3123</v>
      </c>
      <c r="F2215" s="10">
        <v>2</v>
      </c>
      <c r="G2215" s="234">
        <v>649.5</v>
      </c>
      <c r="H2215" s="10">
        <v>21</v>
      </c>
      <c r="I2215" s="273">
        <f>SUMIF('2020'!B:B,B2215,'2020'!C:C)+SUMIF('2021'!B:B,B2215,'2021'!C:C)+SUMIF('2022'!B:B,B2215,'2022'!C:C)</f>
        <v>117755.14</v>
      </c>
      <c r="J2215" s="59">
        <v>44925</v>
      </c>
      <c r="K2215" s="273" t="s">
        <v>3118</v>
      </c>
    </row>
    <row r="2216" spans="1:11" x14ac:dyDescent="0.3">
      <c r="A2216" s="259">
        <f t="shared" si="79"/>
        <v>1991</v>
      </c>
      <c r="B2216" s="20" t="s">
        <v>2138</v>
      </c>
      <c r="C2216" s="162">
        <v>1961</v>
      </c>
      <c r="D2216" s="234"/>
      <c r="E2216" s="234" t="s">
        <v>3123</v>
      </c>
      <c r="F2216" s="10">
        <v>2</v>
      </c>
      <c r="G2216" s="234">
        <v>670.9</v>
      </c>
      <c r="H2216" s="10">
        <v>11</v>
      </c>
      <c r="I2216" s="273">
        <f>SUMIF('2020'!B:B,B2216,'2020'!C:C)+SUMIF('2021'!B:B,B2216,'2021'!C:C)+SUMIF('2022'!B:B,B2216,'2022'!C:C)</f>
        <v>386066.69</v>
      </c>
      <c r="J2216" s="59">
        <v>44925</v>
      </c>
      <c r="K2216" s="273" t="s">
        <v>3118</v>
      </c>
    </row>
    <row r="2217" spans="1:11" x14ac:dyDescent="0.3">
      <c r="A2217" s="259">
        <f t="shared" si="79"/>
        <v>1992</v>
      </c>
      <c r="B2217" s="20" t="s">
        <v>2139</v>
      </c>
      <c r="C2217" s="162">
        <v>1963</v>
      </c>
      <c r="D2217" s="234"/>
      <c r="E2217" s="234" t="s">
        <v>3123</v>
      </c>
      <c r="F2217" s="10">
        <v>2</v>
      </c>
      <c r="G2217" s="234">
        <v>409.7</v>
      </c>
      <c r="H2217" s="10">
        <v>18</v>
      </c>
      <c r="I2217" s="273">
        <f>SUMIF('2020'!B:B,B2217,'2020'!C:C)+SUMIF('2021'!B:B,B2217,'2021'!C:C)+SUMIF('2022'!B:B,B2217,'2022'!C:C)</f>
        <v>354963.20999999996</v>
      </c>
      <c r="J2217" s="59">
        <v>44925</v>
      </c>
      <c r="K2217" s="273" t="s">
        <v>3118</v>
      </c>
    </row>
    <row r="2218" spans="1:11" x14ac:dyDescent="0.3">
      <c r="A2218" s="259">
        <f t="shared" si="79"/>
        <v>1993</v>
      </c>
      <c r="B2218" s="20" t="s">
        <v>2140</v>
      </c>
      <c r="C2218" s="162">
        <v>1954</v>
      </c>
      <c r="D2218" s="234"/>
      <c r="E2218" s="234" t="s">
        <v>3123</v>
      </c>
      <c r="F2218" s="10">
        <v>2</v>
      </c>
      <c r="G2218" s="234">
        <v>418</v>
      </c>
      <c r="H2218" s="10">
        <v>17</v>
      </c>
      <c r="I2218" s="273">
        <f>SUMIF('2020'!B:B,B2218,'2020'!C:C)+SUMIF('2021'!B:B,B2218,'2021'!C:C)+SUMIF('2022'!B:B,B2218,'2022'!C:C)</f>
        <v>360484.58</v>
      </c>
      <c r="J2218" s="59">
        <v>44925</v>
      </c>
      <c r="K2218" s="273" t="s">
        <v>3118</v>
      </c>
    </row>
    <row r="2219" spans="1:11" x14ac:dyDescent="0.3">
      <c r="A2219" s="259">
        <f t="shared" si="79"/>
        <v>1994</v>
      </c>
      <c r="B2219" s="20" t="s">
        <v>2141</v>
      </c>
      <c r="C2219" s="162">
        <v>1955</v>
      </c>
      <c r="D2219" s="234"/>
      <c r="E2219" s="234" t="s">
        <v>3123</v>
      </c>
      <c r="F2219" s="10">
        <v>2</v>
      </c>
      <c r="G2219" s="234">
        <v>427.8</v>
      </c>
      <c r="H2219" s="10">
        <v>28</v>
      </c>
      <c r="I2219" s="273">
        <f>SUMIF('2020'!B:B,B2219,'2020'!C:C)+SUMIF('2021'!B:B,B2219,'2021'!C:C)+SUMIF('2022'!B:B,B2219,'2022'!C:C)</f>
        <v>366929.83</v>
      </c>
      <c r="J2219" s="59">
        <v>44925</v>
      </c>
      <c r="K2219" s="273" t="s">
        <v>3118</v>
      </c>
    </row>
    <row r="2220" spans="1:11" x14ac:dyDescent="0.3">
      <c r="A2220" s="259">
        <f t="shared" si="79"/>
        <v>1995</v>
      </c>
      <c r="B2220" s="20" t="s">
        <v>2142</v>
      </c>
      <c r="C2220" s="162">
        <v>1965</v>
      </c>
      <c r="D2220" s="234"/>
      <c r="E2220" s="234" t="s">
        <v>3123</v>
      </c>
      <c r="F2220" s="10">
        <v>2</v>
      </c>
      <c r="G2220" s="234">
        <v>661.7</v>
      </c>
      <c r="H2220" s="10">
        <v>19</v>
      </c>
      <c r="I2220" s="273">
        <f>SUMIF('2020'!B:B,B2220,'2020'!C:C)+SUMIF('2021'!B:B,B2220,'2021'!C:C)+SUMIF('2022'!B:B,B2220,'2022'!C:C)</f>
        <v>116312.47</v>
      </c>
      <c r="J2220" s="59">
        <v>44925</v>
      </c>
      <c r="K2220" s="273" t="s">
        <v>3118</v>
      </c>
    </row>
    <row r="2221" spans="1:11" x14ac:dyDescent="0.3">
      <c r="A2221" s="302" t="s">
        <v>208</v>
      </c>
      <c r="B2221" s="302"/>
      <c r="C2221" s="273" t="s">
        <v>3558</v>
      </c>
      <c r="D2221" s="273" t="s">
        <v>3558</v>
      </c>
      <c r="E2221" s="273" t="s">
        <v>3558</v>
      </c>
      <c r="F2221" s="273" t="s">
        <v>3558</v>
      </c>
      <c r="G2221" s="273">
        <f>SUM(G2210:G2220)</f>
        <v>21632.400000000005</v>
      </c>
      <c r="H2221" s="10">
        <f>SUM(H2210:H2220)</f>
        <v>993</v>
      </c>
      <c r="I2221" s="273">
        <f>SUM(I2210:I2220)</f>
        <v>3005221.9899999998</v>
      </c>
      <c r="J2221" s="273" t="s">
        <v>3558</v>
      </c>
      <c r="K2221" s="273" t="s">
        <v>3558</v>
      </c>
    </row>
    <row r="2222" spans="1:11" x14ac:dyDescent="0.3">
      <c r="A2222" s="301" t="s">
        <v>2143</v>
      </c>
      <c r="B2222" s="301"/>
      <c r="C2222" s="273"/>
      <c r="D2222" s="234"/>
      <c r="E2222" s="234"/>
      <c r="F2222" s="234"/>
      <c r="G2222" s="234"/>
      <c r="H2222" s="10"/>
      <c r="I2222" s="273"/>
      <c r="J2222" s="171"/>
      <c r="K2222" s="273"/>
    </row>
    <row r="2223" spans="1:11" x14ac:dyDescent="0.3">
      <c r="A2223" s="259">
        <f>A2220+1</f>
        <v>1996</v>
      </c>
      <c r="B2223" s="20" t="s">
        <v>2144</v>
      </c>
      <c r="C2223" s="162">
        <v>1937</v>
      </c>
      <c r="D2223" s="234"/>
      <c r="E2223" s="234"/>
      <c r="F2223" s="234"/>
      <c r="G2223" s="234"/>
      <c r="H2223" s="10"/>
      <c r="I2223" s="273">
        <f>SUMIF('2020'!B:B,B2223,'2020'!C:C)+SUMIF('2021'!B:B,B2223,'2021'!C:C)+SUMIF('2022'!B:B,B2223,'2022'!C:C)</f>
        <v>130000</v>
      </c>
      <c r="J2223" s="59">
        <v>44925</v>
      </c>
      <c r="K2223" s="273" t="s">
        <v>3118</v>
      </c>
    </row>
    <row r="2224" spans="1:11" x14ac:dyDescent="0.3">
      <c r="A2224" s="259">
        <f t="shared" ref="A2224:A2230" si="80">A2223+1</f>
        <v>1997</v>
      </c>
      <c r="B2224" s="20" t="s">
        <v>2145</v>
      </c>
      <c r="C2224" s="162">
        <v>1938</v>
      </c>
      <c r="D2224" s="234"/>
      <c r="E2224" s="234"/>
      <c r="F2224" s="234"/>
      <c r="G2224" s="234"/>
      <c r="H2224" s="10"/>
      <c r="I2224" s="273">
        <f>SUMIF('2020'!B:B,B2224,'2020'!C:C)+SUMIF('2021'!B:B,B2224,'2021'!C:C)+SUMIF('2022'!B:B,B2224,'2022'!C:C)</f>
        <v>130000</v>
      </c>
      <c r="J2224" s="59">
        <v>44925</v>
      </c>
      <c r="K2224" s="273" t="s">
        <v>3118</v>
      </c>
    </row>
    <row r="2225" spans="1:11" x14ac:dyDescent="0.3">
      <c r="A2225" s="259">
        <f t="shared" si="80"/>
        <v>1998</v>
      </c>
      <c r="B2225" s="20" t="s">
        <v>2146</v>
      </c>
      <c r="C2225" s="162">
        <v>1967</v>
      </c>
      <c r="D2225" s="234"/>
      <c r="E2225" s="234"/>
      <c r="F2225" s="234"/>
      <c r="G2225" s="234"/>
      <c r="H2225" s="10"/>
      <c r="I2225" s="273">
        <f>SUMIF('2020'!B:B,B2225,'2020'!C:C)+SUMIF('2021'!B:B,B2225,'2021'!C:C)+SUMIF('2022'!B:B,B2225,'2022'!C:C)</f>
        <v>130000</v>
      </c>
      <c r="J2225" s="59">
        <v>44925</v>
      </c>
      <c r="K2225" s="273" t="s">
        <v>3118</v>
      </c>
    </row>
    <row r="2226" spans="1:11" x14ac:dyDescent="0.3">
      <c r="A2226" s="259">
        <f t="shared" si="80"/>
        <v>1999</v>
      </c>
      <c r="B2226" s="20" t="s">
        <v>2147</v>
      </c>
      <c r="C2226" s="162">
        <v>1962</v>
      </c>
      <c r="D2226" s="234"/>
      <c r="E2226" s="234"/>
      <c r="F2226" s="10">
        <v>3</v>
      </c>
      <c r="G2226" s="234">
        <v>964.2</v>
      </c>
      <c r="H2226" s="10">
        <v>41</v>
      </c>
      <c r="I2226" s="273">
        <f>SUMIF('2020'!B:B,B2226,'2020'!C:C)+SUMIF('2021'!B:B,B2226,'2021'!C:C)+SUMIF('2022'!B:B,B2226,'2022'!C:C)</f>
        <v>13733567.200000001</v>
      </c>
      <c r="J2226" s="59">
        <v>44925</v>
      </c>
      <c r="K2226" s="273" t="s">
        <v>3118</v>
      </c>
    </row>
    <row r="2227" spans="1:11" x14ac:dyDescent="0.3">
      <c r="A2227" s="259">
        <f t="shared" si="80"/>
        <v>2000</v>
      </c>
      <c r="B2227" s="20" t="s">
        <v>2148</v>
      </c>
      <c r="C2227" s="162">
        <v>1982</v>
      </c>
      <c r="D2227" s="234"/>
      <c r="E2227" s="234"/>
      <c r="F2227" s="10">
        <v>5</v>
      </c>
      <c r="G2227" s="273">
        <v>3417.3</v>
      </c>
      <c r="H2227" s="10">
        <v>153</v>
      </c>
      <c r="I2227" s="273">
        <f>SUMIF('2020'!B:B,B2227,'2020'!C:C)+SUMIF('2021'!B:B,B2227,'2021'!C:C)+SUMIF('2022'!B:B,B2227,'2022'!C:C)</f>
        <v>39878316.530000001</v>
      </c>
      <c r="J2227" s="59">
        <v>44925</v>
      </c>
      <c r="K2227" s="273" t="s">
        <v>3118</v>
      </c>
    </row>
    <row r="2228" spans="1:11" x14ac:dyDescent="0.3">
      <c r="A2228" s="259">
        <f t="shared" si="80"/>
        <v>2001</v>
      </c>
      <c r="B2228" s="20" t="s">
        <v>2149</v>
      </c>
      <c r="C2228" s="162">
        <v>1984</v>
      </c>
      <c r="D2228" s="234"/>
      <c r="E2228" s="234"/>
      <c r="F2228" s="10">
        <v>5</v>
      </c>
      <c r="G2228" s="273">
        <v>3498.7</v>
      </c>
      <c r="H2228" s="10">
        <v>167</v>
      </c>
      <c r="I2228" s="273">
        <f>SUMIF('2020'!B:B,B2228,'2020'!C:C)+SUMIF('2021'!B:B,B2228,'2021'!C:C)+SUMIF('2022'!B:B,B2228,'2022'!C:C)</f>
        <v>48804034.930000007</v>
      </c>
      <c r="J2228" s="59">
        <v>44925</v>
      </c>
      <c r="K2228" s="273" t="s">
        <v>3118</v>
      </c>
    </row>
    <row r="2229" spans="1:11" x14ac:dyDescent="0.3">
      <c r="A2229" s="259">
        <f t="shared" si="80"/>
        <v>2002</v>
      </c>
      <c r="B2229" s="20" t="s">
        <v>2150</v>
      </c>
      <c r="C2229" s="162">
        <v>1988</v>
      </c>
      <c r="D2229" s="234"/>
      <c r="E2229" s="234"/>
      <c r="F2229" s="10">
        <v>5</v>
      </c>
      <c r="G2229" s="273">
        <v>3502.6</v>
      </c>
      <c r="H2229" s="10">
        <v>155</v>
      </c>
      <c r="I2229" s="273">
        <f>SUMIF('2020'!B:B,B2229,'2020'!C:C)+SUMIF('2021'!B:B,B2229,'2021'!C:C)+SUMIF('2022'!B:B,B2229,'2022'!C:C)</f>
        <v>48804034.930000007</v>
      </c>
      <c r="J2229" s="59">
        <v>44925</v>
      </c>
      <c r="K2229" s="273" t="s">
        <v>3118</v>
      </c>
    </row>
    <row r="2230" spans="1:11" x14ac:dyDescent="0.3">
      <c r="A2230" s="259">
        <f t="shared" si="80"/>
        <v>2003</v>
      </c>
      <c r="B2230" s="20" t="s">
        <v>2151</v>
      </c>
      <c r="C2230" s="162">
        <v>1938</v>
      </c>
      <c r="D2230" s="234"/>
      <c r="E2230" s="234"/>
      <c r="F2230" s="234"/>
      <c r="G2230" s="234"/>
      <c r="H2230" s="10"/>
      <c r="I2230" s="273">
        <f>SUMIF('2020'!B:B,B2230,'2020'!C:C)+SUMIF('2021'!B:B,B2230,'2021'!C:C)+SUMIF('2022'!B:B,B2230,'2022'!C:C)</f>
        <v>130000</v>
      </c>
      <c r="J2230" s="59">
        <v>44925</v>
      </c>
      <c r="K2230" s="273" t="s">
        <v>3118</v>
      </c>
    </row>
    <row r="2231" spans="1:11" x14ac:dyDescent="0.3">
      <c r="A2231" s="302" t="s">
        <v>208</v>
      </c>
      <c r="B2231" s="302"/>
      <c r="C2231" s="273" t="s">
        <v>3558</v>
      </c>
      <c r="D2231" s="273" t="s">
        <v>3558</v>
      </c>
      <c r="E2231" s="273" t="s">
        <v>3558</v>
      </c>
      <c r="F2231" s="273" t="s">
        <v>3558</v>
      </c>
      <c r="G2231" s="273">
        <f>SUM(G2223:G2230)</f>
        <v>11382.8</v>
      </c>
      <c r="H2231" s="10">
        <f>SUM(H2223:H2230)</f>
        <v>516</v>
      </c>
      <c r="I2231" s="273">
        <f>SUM(I2223:I2230)</f>
        <v>151739953.59000003</v>
      </c>
      <c r="J2231" s="273" t="s">
        <v>3558</v>
      </c>
      <c r="K2231" s="273" t="s">
        <v>3558</v>
      </c>
    </row>
    <row r="2232" spans="1:11" x14ac:dyDescent="0.3">
      <c r="A2232" s="301" t="s">
        <v>2152</v>
      </c>
      <c r="B2232" s="301"/>
      <c r="C2232" s="273"/>
      <c r="D2232" s="234"/>
      <c r="E2232" s="234"/>
      <c r="F2232" s="234"/>
      <c r="G2232" s="234"/>
      <c r="H2232" s="10"/>
      <c r="I2232" s="273"/>
      <c r="J2232" s="171"/>
      <c r="K2232" s="273"/>
    </row>
    <row r="2233" spans="1:11" x14ac:dyDescent="0.3">
      <c r="A2233" s="259">
        <f>A2230+1</f>
        <v>2004</v>
      </c>
      <c r="B2233" s="20" t="s">
        <v>2153</v>
      </c>
      <c r="C2233" s="162">
        <v>1983</v>
      </c>
      <c r="D2233" s="234"/>
      <c r="E2233" s="234" t="s">
        <v>3123</v>
      </c>
      <c r="F2233" s="10">
        <v>2</v>
      </c>
      <c r="G2233" s="234">
        <v>901</v>
      </c>
      <c r="H2233" s="10">
        <v>55</v>
      </c>
      <c r="I2233" s="273">
        <f>SUMIF('2020'!B:B,B2233,'2020'!C:C)+SUMIF('2021'!B:B,B2233,'2021'!C:C)+SUMIF('2022'!B:B,B2233,'2022'!C:C)</f>
        <v>123945.74</v>
      </c>
      <c r="J2233" s="59">
        <v>44925</v>
      </c>
      <c r="K2233" s="273" t="s">
        <v>3118</v>
      </c>
    </row>
    <row r="2234" spans="1:11" x14ac:dyDescent="0.3">
      <c r="A2234" s="259">
        <f t="shared" ref="A2234:A2245" si="81">A2233+1</f>
        <v>2005</v>
      </c>
      <c r="B2234" s="20" t="s">
        <v>3205</v>
      </c>
      <c r="C2234" s="162"/>
      <c r="D2234" s="234"/>
      <c r="E2234" s="234"/>
      <c r="F2234" s="10"/>
      <c r="G2234" s="234"/>
      <c r="H2234" s="10"/>
      <c r="I2234" s="273">
        <f>SUMIF('2020'!B:B,B2234,'2020'!C:C)+SUMIF('2021'!B:B,B2234,'2021'!C:C)+SUMIF('2022'!B:B,B2234,'2022'!C:C)</f>
        <v>105222</v>
      </c>
      <c r="J2234" s="59">
        <v>44925</v>
      </c>
      <c r="K2234" s="273" t="s">
        <v>3118</v>
      </c>
    </row>
    <row r="2235" spans="1:11" x14ac:dyDescent="0.3">
      <c r="A2235" s="259">
        <f t="shared" si="81"/>
        <v>2006</v>
      </c>
      <c r="B2235" s="20" t="s">
        <v>2154</v>
      </c>
      <c r="C2235" s="162">
        <v>1972</v>
      </c>
      <c r="D2235" s="234"/>
      <c r="E2235" s="234" t="s">
        <v>3123</v>
      </c>
      <c r="F2235" s="10">
        <v>2</v>
      </c>
      <c r="G2235" s="234">
        <v>750.7</v>
      </c>
      <c r="H2235" s="10">
        <v>30</v>
      </c>
      <c r="I2235" s="273">
        <f>SUMIF('2020'!B:B,B2235,'2020'!C:C)+SUMIF('2021'!B:B,B2235,'2021'!C:C)+SUMIF('2022'!B:B,B2235,'2022'!C:C)</f>
        <v>119578.8</v>
      </c>
      <c r="J2235" s="59">
        <v>44925</v>
      </c>
      <c r="K2235" s="273" t="s">
        <v>3118</v>
      </c>
    </row>
    <row r="2236" spans="1:11" x14ac:dyDescent="0.3">
      <c r="A2236" s="259">
        <f t="shared" si="81"/>
        <v>2007</v>
      </c>
      <c r="B2236" s="20" t="s">
        <v>2155</v>
      </c>
      <c r="C2236" s="162">
        <v>1973</v>
      </c>
      <c r="D2236" s="234"/>
      <c r="E2236" s="234" t="s">
        <v>3449</v>
      </c>
      <c r="F2236" s="10">
        <v>3</v>
      </c>
      <c r="G2236" s="234">
        <v>1458</v>
      </c>
      <c r="H2236" s="10">
        <v>79</v>
      </c>
      <c r="I2236" s="273">
        <f>SUMIF('2020'!B:B,B2236,'2020'!C:C)+SUMIF('2021'!B:B,B2236,'2021'!C:C)+SUMIF('2022'!B:B,B2236,'2022'!C:C)</f>
        <v>413431.5</v>
      </c>
      <c r="J2236" s="59">
        <v>44925</v>
      </c>
      <c r="K2236" s="273" t="s">
        <v>3118</v>
      </c>
    </row>
    <row r="2237" spans="1:11" x14ac:dyDescent="0.3">
      <c r="A2237" s="259">
        <f t="shared" si="81"/>
        <v>2008</v>
      </c>
      <c r="B2237" s="20" t="s">
        <v>2156</v>
      </c>
      <c r="C2237" s="162">
        <v>1987</v>
      </c>
      <c r="D2237" s="234"/>
      <c r="E2237" s="234" t="s">
        <v>3123</v>
      </c>
      <c r="F2237" s="10">
        <v>2</v>
      </c>
      <c r="G2237" s="234">
        <v>633.6</v>
      </c>
      <c r="H2237" s="10">
        <v>25</v>
      </c>
      <c r="I2237" s="273">
        <f>SUMIF('2020'!B:B,B2237,'2020'!C:C)+SUMIF('2021'!B:B,B2237,'2021'!C:C)+SUMIF('2022'!B:B,B2237,'2022'!C:C)</f>
        <v>903395.99</v>
      </c>
      <c r="J2237" s="59">
        <v>44925</v>
      </c>
      <c r="K2237" s="273" t="s">
        <v>3118</v>
      </c>
    </row>
    <row r="2238" spans="1:11" x14ac:dyDescent="0.3">
      <c r="A2238" s="259">
        <f t="shared" si="81"/>
        <v>2009</v>
      </c>
      <c r="B2238" s="20" t="s">
        <v>2157</v>
      </c>
      <c r="C2238" s="162">
        <v>1964</v>
      </c>
      <c r="D2238" s="234"/>
      <c r="E2238" s="234" t="s">
        <v>3123</v>
      </c>
      <c r="F2238" s="10">
        <v>2</v>
      </c>
      <c r="G2238" s="234">
        <v>508.1</v>
      </c>
      <c r="H2238" s="10">
        <v>36</v>
      </c>
      <c r="I2238" s="273">
        <f>SUMIF('2020'!B:B,B2238,'2020'!C:C)+SUMIF('2021'!B:B,B2238,'2021'!C:C)+SUMIF('2022'!B:B,B2238,'2022'!C:C)</f>
        <v>91685.58</v>
      </c>
      <c r="J2238" s="59">
        <v>44925</v>
      </c>
      <c r="K2238" s="273" t="s">
        <v>3118</v>
      </c>
    </row>
    <row r="2239" spans="1:11" x14ac:dyDescent="0.3">
      <c r="A2239" s="259">
        <f t="shared" si="81"/>
        <v>2010</v>
      </c>
      <c r="B2239" s="20" t="s">
        <v>2158</v>
      </c>
      <c r="C2239" s="162">
        <v>1968</v>
      </c>
      <c r="D2239" s="234"/>
      <c r="E2239" s="234" t="s">
        <v>3123</v>
      </c>
      <c r="F2239" s="10">
        <v>2</v>
      </c>
      <c r="G2239" s="234">
        <v>643.20000000000005</v>
      </c>
      <c r="H2239" s="10">
        <v>32</v>
      </c>
      <c r="I2239" s="273">
        <f>SUMIF('2020'!B:B,B2239,'2020'!C:C)+SUMIF('2021'!B:B,B2239,'2021'!C:C)+SUMIF('2022'!B:B,B2239,'2022'!C:C)</f>
        <v>109932.97</v>
      </c>
      <c r="J2239" s="59">
        <v>44925</v>
      </c>
      <c r="K2239" s="273" t="s">
        <v>3118</v>
      </c>
    </row>
    <row r="2240" spans="1:11" x14ac:dyDescent="0.3">
      <c r="A2240" s="259">
        <f t="shared" si="81"/>
        <v>2011</v>
      </c>
      <c r="B2240" s="20" t="s">
        <v>2159</v>
      </c>
      <c r="C2240" s="162">
        <v>1965</v>
      </c>
      <c r="D2240" s="234"/>
      <c r="E2240" s="234" t="s">
        <v>3123</v>
      </c>
      <c r="F2240" s="10">
        <v>2</v>
      </c>
      <c r="G2240" s="234">
        <v>622.6</v>
      </c>
      <c r="H2240" s="10">
        <v>30</v>
      </c>
      <c r="I2240" s="273">
        <f>SUMIF('2020'!B:B,B2240,'2020'!C:C)+SUMIF('2021'!B:B,B2240,'2021'!C:C)+SUMIF('2022'!B:B,B2240,'2022'!C:C)</f>
        <v>107083.18</v>
      </c>
      <c r="J2240" s="59">
        <v>44925</v>
      </c>
      <c r="K2240" s="273" t="s">
        <v>3118</v>
      </c>
    </row>
    <row r="2241" spans="1:11" x14ac:dyDescent="0.3">
      <c r="A2241" s="259">
        <f t="shared" si="81"/>
        <v>2012</v>
      </c>
      <c r="B2241" s="20" t="s">
        <v>2160</v>
      </c>
      <c r="C2241" s="162">
        <v>1964</v>
      </c>
      <c r="D2241" s="234"/>
      <c r="E2241" s="234" t="s">
        <v>3119</v>
      </c>
      <c r="F2241" s="10">
        <v>5</v>
      </c>
      <c r="G2241" s="234">
        <v>3695</v>
      </c>
      <c r="H2241" s="10">
        <v>186</v>
      </c>
      <c r="I2241" s="273">
        <f>SUMIF('2020'!B:B,B2241,'2020'!C:C)+SUMIF('2021'!B:B,B2241,'2021'!C:C)+SUMIF('2022'!B:B,B2241,'2022'!C:C)</f>
        <v>376209.98</v>
      </c>
      <c r="J2241" s="59">
        <v>44925</v>
      </c>
      <c r="K2241" s="273" t="s">
        <v>3118</v>
      </c>
    </row>
    <row r="2242" spans="1:11" x14ac:dyDescent="0.3">
      <c r="A2242" s="259">
        <f t="shared" si="81"/>
        <v>2013</v>
      </c>
      <c r="B2242" s="20" t="s">
        <v>2161</v>
      </c>
      <c r="C2242" s="162">
        <v>1981</v>
      </c>
      <c r="D2242" s="234"/>
      <c r="E2242" s="234" t="s">
        <v>3449</v>
      </c>
      <c r="F2242" s="10">
        <v>5</v>
      </c>
      <c r="G2242" s="234">
        <v>3609.1</v>
      </c>
      <c r="H2242" s="10">
        <v>187</v>
      </c>
      <c r="I2242" s="273">
        <f>SUMIF('2020'!B:B,B2242,'2020'!C:C)+SUMIF('2021'!B:B,B2242,'2021'!C:C)+SUMIF('2022'!B:B,B2242,'2022'!C:C)</f>
        <v>204609.5</v>
      </c>
      <c r="J2242" s="59">
        <v>44925</v>
      </c>
      <c r="K2242" s="273" t="s">
        <v>3118</v>
      </c>
    </row>
    <row r="2243" spans="1:11" x14ac:dyDescent="0.3">
      <c r="A2243" s="259">
        <f t="shared" si="81"/>
        <v>2014</v>
      </c>
      <c r="B2243" s="20" t="s">
        <v>2162</v>
      </c>
      <c r="C2243" s="162">
        <v>1970</v>
      </c>
      <c r="D2243" s="234"/>
      <c r="E2243" s="234" t="s">
        <v>3449</v>
      </c>
      <c r="F2243" s="10">
        <v>5</v>
      </c>
      <c r="G2243" s="234">
        <v>3586.2</v>
      </c>
      <c r="H2243" s="10">
        <v>174</v>
      </c>
      <c r="I2243" s="273">
        <f>SUMIF('2020'!B:B,B2243,'2020'!C:C)+SUMIF('2021'!B:B,B2243,'2021'!C:C)+SUMIF('2022'!B:B,B2243,'2022'!C:C)</f>
        <v>204609.5</v>
      </c>
      <c r="J2243" s="59">
        <v>44925</v>
      </c>
      <c r="K2243" s="273" t="s">
        <v>3118</v>
      </c>
    </row>
    <row r="2244" spans="1:11" x14ac:dyDescent="0.3">
      <c r="A2244" s="259">
        <f t="shared" si="81"/>
        <v>2015</v>
      </c>
      <c r="B2244" s="20" t="s">
        <v>2163</v>
      </c>
      <c r="C2244" s="162">
        <v>1971</v>
      </c>
      <c r="D2244" s="234"/>
      <c r="E2244" s="234" t="s">
        <v>3449</v>
      </c>
      <c r="F2244" s="10">
        <v>5</v>
      </c>
      <c r="G2244" s="234">
        <v>3524.2</v>
      </c>
      <c r="H2244" s="10">
        <v>164</v>
      </c>
      <c r="I2244" s="273">
        <f>SUMIF('2020'!B:B,B2244,'2020'!C:C)+SUMIF('2021'!B:B,B2244,'2021'!C:C)+SUMIF('2022'!B:B,B2244,'2022'!C:C)</f>
        <v>201542.47</v>
      </c>
      <c r="J2244" s="59">
        <v>44925</v>
      </c>
      <c r="K2244" s="273" t="s">
        <v>3118</v>
      </c>
    </row>
    <row r="2245" spans="1:11" x14ac:dyDescent="0.3">
      <c r="A2245" s="259">
        <f t="shared" si="81"/>
        <v>2016</v>
      </c>
      <c r="B2245" s="20" t="s">
        <v>2164</v>
      </c>
      <c r="C2245" s="162">
        <v>1969</v>
      </c>
      <c r="D2245" s="234"/>
      <c r="E2245" s="234" t="s">
        <v>3457</v>
      </c>
      <c r="F2245" s="10">
        <v>5</v>
      </c>
      <c r="G2245" s="234">
        <v>4403</v>
      </c>
      <c r="H2245" s="10">
        <v>249</v>
      </c>
      <c r="I2245" s="273">
        <f>SUMIF('2020'!B:B,B2245,'2020'!C:C)+SUMIF('2021'!B:B,B2245,'2021'!C:C)+SUMIF('2022'!B:B,B2245,'2022'!C:C)</f>
        <v>33410154.32</v>
      </c>
      <c r="J2245" s="59">
        <v>44925</v>
      </c>
      <c r="K2245" s="273" t="s">
        <v>3118</v>
      </c>
    </row>
    <row r="2246" spans="1:11" x14ac:dyDescent="0.3">
      <c r="A2246" s="302" t="s">
        <v>208</v>
      </c>
      <c r="B2246" s="302"/>
      <c r="C2246" s="273" t="s">
        <v>3558</v>
      </c>
      <c r="D2246" s="273" t="s">
        <v>3558</v>
      </c>
      <c r="E2246" s="273" t="s">
        <v>3558</v>
      </c>
      <c r="F2246" s="273" t="s">
        <v>3558</v>
      </c>
      <c r="G2246" s="273">
        <f>SUM(G2233:G2245)</f>
        <v>24334.7</v>
      </c>
      <c r="H2246" s="10">
        <f>SUM(H2233:H2245)</f>
        <v>1247</v>
      </c>
      <c r="I2246" s="273">
        <f>SUM(I2233:I2245)</f>
        <v>36371401.530000001</v>
      </c>
      <c r="J2246" s="273" t="s">
        <v>3558</v>
      </c>
      <c r="K2246" s="273" t="s">
        <v>3558</v>
      </c>
    </row>
    <row r="2247" spans="1:11" x14ac:dyDescent="0.3">
      <c r="A2247" s="301" t="s">
        <v>2165</v>
      </c>
      <c r="B2247" s="301"/>
      <c r="C2247" s="273"/>
      <c r="D2247" s="234"/>
      <c r="E2247" s="234"/>
      <c r="F2247" s="234"/>
      <c r="G2247" s="234"/>
      <c r="H2247" s="10"/>
      <c r="I2247" s="273"/>
      <c r="J2247" s="171"/>
      <c r="K2247" s="273"/>
    </row>
    <row r="2248" spans="1:11" x14ac:dyDescent="0.3">
      <c r="A2248" s="259">
        <f>A2245+1</f>
        <v>2017</v>
      </c>
      <c r="B2248" s="20" t="s">
        <v>2166</v>
      </c>
      <c r="C2248" s="162">
        <v>1974</v>
      </c>
      <c r="D2248" s="234"/>
      <c r="E2248" s="234" t="s">
        <v>3448</v>
      </c>
      <c r="F2248" s="10">
        <v>5</v>
      </c>
      <c r="G2248" s="234">
        <v>5805.1</v>
      </c>
      <c r="H2248" s="10">
        <v>324</v>
      </c>
      <c r="I2248" s="273">
        <f>SUMIF('2020'!B:B,B2248,'2020'!C:C)+SUMIF('2021'!B:B,B2248,'2021'!C:C)+SUMIF('2022'!B:B,B2248,'2022'!C:C)</f>
        <v>10667647.279999999</v>
      </c>
      <c r="J2248" s="59">
        <v>44925</v>
      </c>
      <c r="K2248" s="273" t="s">
        <v>3118</v>
      </c>
    </row>
    <row r="2249" spans="1:11" x14ac:dyDescent="0.3">
      <c r="A2249" s="259">
        <f>A2248+1</f>
        <v>2018</v>
      </c>
      <c r="B2249" s="20" t="s">
        <v>2167</v>
      </c>
      <c r="C2249" s="162">
        <v>1981</v>
      </c>
      <c r="D2249" s="234"/>
      <c r="E2249" s="234" t="s">
        <v>3119</v>
      </c>
      <c r="F2249" s="10">
        <v>5</v>
      </c>
      <c r="G2249" s="234">
        <v>6472</v>
      </c>
      <c r="H2249" s="10">
        <v>365</v>
      </c>
      <c r="I2249" s="273">
        <f>SUMIF('2020'!B:B,B2249,'2020'!C:C)+SUMIF('2021'!B:B,B2249,'2021'!C:C)+SUMIF('2022'!B:B,B2249,'2022'!C:C)</f>
        <v>21934347.82</v>
      </c>
      <c r="J2249" s="59">
        <v>44925</v>
      </c>
      <c r="K2249" s="273" t="s">
        <v>3118</v>
      </c>
    </row>
    <row r="2250" spans="1:11" x14ac:dyDescent="0.3">
      <c r="A2250" s="302" t="s">
        <v>208</v>
      </c>
      <c r="B2250" s="302"/>
      <c r="C2250" s="273" t="s">
        <v>3558</v>
      </c>
      <c r="D2250" s="273" t="s">
        <v>3558</v>
      </c>
      <c r="E2250" s="273" t="s">
        <v>3558</v>
      </c>
      <c r="F2250" s="273" t="s">
        <v>3558</v>
      </c>
      <c r="G2250" s="273">
        <f>SUM(G2248:G2249)</f>
        <v>12277.1</v>
      </c>
      <c r="H2250" s="10">
        <f>SUM(H2248:H2249)</f>
        <v>689</v>
      </c>
      <c r="I2250" s="273">
        <f>SUM(I2248:I2249)</f>
        <v>32601995.100000001</v>
      </c>
      <c r="J2250" s="273" t="s">
        <v>3558</v>
      </c>
      <c r="K2250" s="273" t="s">
        <v>3558</v>
      </c>
    </row>
    <row r="2251" spans="1:11" x14ac:dyDescent="0.3">
      <c r="A2251" s="301" t="s">
        <v>2168</v>
      </c>
      <c r="B2251" s="301"/>
      <c r="C2251" s="273"/>
      <c r="D2251" s="234"/>
      <c r="E2251" s="234"/>
      <c r="F2251" s="234"/>
      <c r="G2251" s="234"/>
      <c r="H2251" s="10"/>
      <c r="I2251" s="273"/>
      <c r="J2251" s="171"/>
      <c r="K2251" s="273"/>
    </row>
    <row r="2252" spans="1:11" x14ac:dyDescent="0.3">
      <c r="A2252" s="259">
        <f>A2249+1</f>
        <v>2019</v>
      </c>
      <c r="B2252" s="20" t="s">
        <v>2169</v>
      </c>
      <c r="C2252" s="162">
        <v>1970</v>
      </c>
      <c r="D2252" s="234"/>
      <c r="E2252" s="234" t="s">
        <v>3123</v>
      </c>
      <c r="F2252" s="10">
        <v>2</v>
      </c>
      <c r="G2252" s="234">
        <v>563.29999999999995</v>
      </c>
      <c r="H2252" s="10">
        <v>35</v>
      </c>
      <c r="I2252" s="273">
        <f>SUMIF('2020'!B:B,B2252,'2020'!C:C)+SUMIF('2021'!B:B,B2252,'2021'!C:C)+SUMIF('2022'!B:B,B2252,'2022'!C:C)</f>
        <v>98261.36</v>
      </c>
      <c r="J2252" s="59">
        <v>44925</v>
      </c>
      <c r="K2252" s="273" t="s">
        <v>3118</v>
      </c>
    </row>
    <row r="2253" spans="1:11" x14ac:dyDescent="0.3">
      <c r="A2253" s="259">
        <f t="shared" ref="A2253:A2258" si="82">A2252+1</f>
        <v>2020</v>
      </c>
      <c r="B2253" s="20" t="s">
        <v>2170</v>
      </c>
      <c r="C2253" s="162">
        <v>1979</v>
      </c>
      <c r="D2253" s="234"/>
      <c r="E2253" s="234" t="s">
        <v>3448</v>
      </c>
      <c r="F2253" s="10">
        <v>5</v>
      </c>
      <c r="G2253" s="234">
        <v>3225.2</v>
      </c>
      <c r="H2253" s="10">
        <v>148</v>
      </c>
      <c r="I2253" s="273">
        <f>SUMIF('2020'!B:B,B2253,'2020'!C:C)+SUMIF('2021'!B:B,B2253,'2021'!C:C)+SUMIF('2022'!B:B,B2253,'2022'!C:C)</f>
        <v>305710.40000000002</v>
      </c>
      <c r="J2253" s="59">
        <v>44925</v>
      </c>
      <c r="K2253" s="273" t="s">
        <v>3118</v>
      </c>
    </row>
    <row r="2254" spans="1:11" x14ac:dyDescent="0.3">
      <c r="A2254" s="259">
        <f t="shared" si="82"/>
        <v>2021</v>
      </c>
      <c r="B2254" s="20" t="s">
        <v>2171</v>
      </c>
      <c r="C2254" s="162">
        <v>1992</v>
      </c>
      <c r="D2254" s="234"/>
      <c r="E2254" s="234" t="s">
        <v>3119</v>
      </c>
      <c r="F2254" s="10">
        <v>5</v>
      </c>
      <c r="G2254" s="234">
        <v>3592</v>
      </c>
      <c r="H2254" s="10">
        <v>157</v>
      </c>
      <c r="I2254" s="273">
        <f>SUMIF('2020'!B:B,B2254,'2020'!C:C)+SUMIF('2021'!B:B,B2254,'2021'!C:C)+SUMIF('2022'!B:B,B2254,'2022'!C:C)</f>
        <v>25546229.440000001</v>
      </c>
      <c r="J2254" s="59">
        <v>44925</v>
      </c>
      <c r="K2254" s="273" t="s">
        <v>3118</v>
      </c>
    </row>
    <row r="2255" spans="1:11" x14ac:dyDescent="0.3">
      <c r="A2255" s="259">
        <f t="shared" si="82"/>
        <v>2022</v>
      </c>
      <c r="B2255" s="20" t="s">
        <v>2172</v>
      </c>
      <c r="C2255" s="162">
        <v>1969</v>
      </c>
      <c r="D2255" s="234"/>
      <c r="E2255" s="234" t="s">
        <v>3123</v>
      </c>
      <c r="F2255" s="10">
        <v>2</v>
      </c>
      <c r="G2255" s="234">
        <v>563.6</v>
      </c>
      <c r="H2255" s="10">
        <v>27</v>
      </c>
      <c r="I2255" s="273">
        <f>SUMIF('2020'!B:B,B2255,'2020'!C:C)+SUMIF('2021'!B:B,B2255,'2021'!C:C)+SUMIF('2022'!B:B,B2255,'2022'!C:C)</f>
        <v>130000</v>
      </c>
      <c r="J2255" s="59">
        <v>44925</v>
      </c>
      <c r="K2255" s="273" t="s">
        <v>3118</v>
      </c>
    </row>
    <row r="2256" spans="1:11" x14ac:dyDescent="0.3">
      <c r="A2256" s="259">
        <f t="shared" si="82"/>
        <v>2023</v>
      </c>
      <c r="B2256" s="20" t="s">
        <v>2173</v>
      </c>
      <c r="C2256" s="162">
        <v>1974</v>
      </c>
      <c r="D2256" s="234"/>
      <c r="E2256" s="234" t="s">
        <v>3123</v>
      </c>
      <c r="F2256" s="10">
        <v>2</v>
      </c>
      <c r="G2256" s="234">
        <v>347.9</v>
      </c>
      <c r="H2256" s="10">
        <v>17</v>
      </c>
      <c r="I2256" s="273">
        <f>SUMIF('2020'!B:B,B2256,'2020'!C:C)+SUMIF('2021'!B:B,B2256,'2021'!C:C)+SUMIF('2022'!B:B,B2256,'2022'!C:C)</f>
        <v>99679.63</v>
      </c>
      <c r="J2256" s="59">
        <v>44925</v>
      </c>
      <c r="K2256" s="273" t="s">
        <v>3118</v>
      </c>
    </row>
    <row r="2257" spans="1:11" x14ac:dyDescent="0.3">
      <c r="A2257" s="259">
        <f t="shared" si="82"/>
        <v>2024</v>
      </c>
      <c r="B2257" s="20" t="s">
        <v>2174</v>
      </c>
      <c r="C2257" s="162">
        <v>1965</v>
      </c>
      <c r="D2257" s="234"/>
      <c r="E2257" s="234" t="s">
        <v>3123</v>
      </c>
      <c r="F2257" s="10">
        <v>2</v>
      </c>
      <c r="G2257" s="234">
        <v>291.10000000000002</v>
      </c>
      <c r="H2257" s="10">
        <v>19</v>
      </c>
      <c r="I2257" s="273">
        <f>SUMIF('2020'!B:B,B2257,'2020'!C:C)+SUMIF('2021'!B:B,B2257,'2021'!C:C)+SUMIF('2022'!B:B,B2257,'2022'!C:C)</f>
        <v>130000</v>
      </c>
      <c r="J2257" s="59">
        <v>44925</v>
      </c>
      <c r="K2257" s="273" t="s">
        <v>3118</v>
      </c>
    </row>
    <row r="2258" spans="1:11" x14ac:dyDescent="0.3">
      <c r="A2258" s="259">
        <f t="shared" si="82"/>
        <v>2025</v>
      </c>
      <c r="B2258" s="20" t="s">
        <v>2175</v>
      </c>
      <c r="C2258" s="162">
        <v>1968</v>
      </c>
      <c r="D2258" s="234"/>
      <c r="E2258" s="234" t="s">
        <v>3123</v>
      </c>
      <c r="F2258" s="10">
        <v>2</v>
      </c>
      <c r="G2258" s="234">
        <v>670.8</v>
      </c>
      <c r="H2258" s="10">
        <v>35</v>
      </c>
      <c r="I2258" s="273">
        <f>SUMIF('2020'!B:B,B2258,'2020'!C:C)+SUMIF('2021'!B:B,B2258,'2021'!C:C)+SUMIF('2022'!B:B,B2258,'2022'!C:C)</f>
        <v>130000</v>
      </c>
      <c r="J2258" s="59">
        <v>44925</v>
      </c>
      <c r="K2258" s="273" t="s">
        <v>3118</v>
      </c>
    </row>
    <row r="2259" spans="1:11" x14ac:dyDescent="0.3">
      <c r="A2259" s="302" t="s">
        <v>208</v>
      </c>
      <c r="B2259" s="302"/>
      <c r="C2259" s="273" t="s">
        <v>3558</v>
      </c>
      <c r="D2259" s="273" t="s">
        <v>3558</v>
      </c>
      <c r="E2259" s="273" t="s">
        <v>3558</v>
      </c>
      <c r="F2259" s="273" t="s">
        <v>3558</v>
      </c>
      <c r="G2259" s="273">
        <f>SUM(G2252:G2258)</f>
        <v>9253.9</v>
      </c>
      <c r="H2259" s="10">
        <f>SUM(H2252:H2258)</f>
        <v>438</v>
      </c>
      <c r="I2259" s="273">
        <f>SUM(I2252:I2258)</f>
        <v>26439880.830000002</v>
      </c>
      <c r="J2259" s="273" t="s">
        <v>3558</v>
      </c>
      <c r="K2259" s="273" t="s">
        <v>3558</v>
      </c>
    </row>
    <row r="2260" spans="1:11" x14ac:dyDescent="0.3">
      <c r="A2260" s="301" t="s">
        <v>2176</v>
      </c>
      <c r="B2260" s="301"/>
      <c r="C2260" s="273"/>
      <c r="D2260" s="234"/>
      <c r="E2260" s="234"/>
      <c r="F2260" s="234"/>
      <c r="G2260" s="234"/>
      <c r="H2260" s="10"/>
      <c r="I2260" s="273"/>
      <c r="J2260" s="171"/>
      <c r="K2260" s="273"/>
    </row>
    <row r="2261" spans="1:11" x14ac:dyDescent="0.3">
      <c r="A2261" s="259">
        <f>A2258+1</f>
        <v>2026</v>
      </c>
      <c r="B2261" s="20" t="s">
        <v>2177</v>
      </c>
      <c r="C2261" s="162">
        <v>1940</v>
      </c>
      <c r="D2261" s="234"/>
      <c r="E2261" s="234"/>
      <c r="F2261" s="10">
        <v>2</v>
      </c>
      <c r="G2261" s="234">
        <v>650.79999999999995</v>
      </c>
      <c r="H2261" s="10">
        <v>21</v>
      </c>
      <c r="I2261" s="273">
        <f>SUMIF('2020'!B:B,B2261,'2020'!C:C)+SUMIF('2021'!B:B,B2261,'2021'!C:C)+SUMIF('2022'!B:B,B2261,'2022'!C:C)</f>
        <v>103314.9</v>
      </c>
      <c r="J2261" s="59">
        <v>44925</v>
      </c>
      <c r="K2261" s="273" t="s">
        <v>3118</v>
      </c>
    </row>
    <row r="2262" spans="1:11" x14ac:dyDescent="0.3">
      <c r="A2262" s="259">
        <f>A2261+1</f>
        <v>2027</v>
      </c>
      <c r="B2262" s="20" t="s">
        <v>2178</v>
      </c>
      <c r="C2262" s="162">
        <v>1941</v>
      </c>
      <c r="D2262" s="234"/>
      <c r="E2262" s="234"/>
      <c r="F2262" s="10">
        <v>2</v>
      </c>
      <c r="G2262" s="234">
        <v>655.20000000000005</v>
      </c>
      <c r="H2262" s="10">
        <v>20</v>
      </c>
      <c r="I2262" s="273">
        <f>SUMIF('2020'!B:B,B2262,'2020'!C:C)+SUMIF('2021'!B:B,B2262,'2021'!C:C)+SUMIF('2022'!B:B,B2262,'2022'!C:C)</f>
        <v>105693.47</v>
      </c>
      <c r="J2262" s="59">
        <v>44925</v>
      </c>
      <c r="K2262" s="273" t="s">
        <v>3118</v>
      </c>
    </row>
    <row r="2263" spans="1:11" x14ac:dyDescent="0.3">
      <c r="A2263" s="259">
        <f>A2262+1</f>
        <v>2028</v>
      </c>
      <c r="B2263" s="20" t="s">
        <v>2179</v>
      </c>
      <c r="C2263" s="162">
        <v>1936</v>
      </c>
      <c r="D2263" s="234"/>
      <c r="E2263" s="234"/>
      <c r="F2263" s="10">
        <v>2</v>
      </c>
      <c r="G2263" s="234">
        <v>578.9</v>
      </c>
      <c r="H2263" s="10">
        <v>25</v>
      </c>
      <c r="I2263" s="273">
        <f>SUMIF('2020'!B:B,B2263,'2020'!C:C)+SUMIF('2021'!B:B,B2263,'2021'!C:C)+SUMIF('2022'!B:B,B2263,'2022'!C:C)</f>
        <v>333294.25</v>
      </c>
      <c r="J2263" s="59">
        <v>44925</v>
      </c>
      <c r="K2263" s="273" t="s">
        <v>3118</v>
      </c>
    </row>
    <row r="2264" spans="1:11" x14ac:dyDescent="0.3">
      <c r="A2264" s="259">
        <f>A2263+1</f>
        <v>2029</v>
      </c>
      <c r="B2264" s="20" t="s">
        <v>2180</v>
      </c>
      <c r="C2264" s="162">
        <v>1936</v>
      </c>
      <c r="D2264" s="234"/>
      <c r="E2264" s="234"/>
      <c r="F2264" s="10">
        <v>2</v>
      </c>
      <c r="G2264" s="234">
        <v>549</v>
      </c>
      <c r="H2264" s="10">
        <v>17</v>
      </c>
      <c r="I2264" s="273">
        <f>SUMIF('2020'!B:B,B2264,'2020'!C:C)+SUMIF('2021'!B:B,B2264,'2021'!C:C)+SUMIF('2022'!B:B,B2264,'2022'!C:C)</f>
        <v>334699.55</v>
      </c>
      <c r="J2264" s="59">
        <v>44925</v>
      </c>
      <c r="K2264" s="273" t="s">
        <v>3118</v>
      </c>
    </row>
    <row r="2265" spans="1:11" x14ac:dyDescent="0.3">
      <c r="A2265" s="302" t="s">
        <v>208</v>
      </c>
      <c r="B2265" s="302"/>
      <c r="C2265" s="273" t="s">
        <v>3558</v>
      </c>
      <c r="D2265" s="273" t="s">
        <v>3558</v>
      </c>
      <c r="E2265" s="273" t="s">
        <v>3558</v>
      </c>
      <c r="F2265" s="273" t="s">
        <v>3558</v>
      </c>
      <c r="G2265" s="273">
        <f>SUM(G2261:G2264)</f>
        <v>2433.9</v>
      </c>
      <c r="H2265" s="10">
        <f>SUM(H2261:H2264)</f>
        <v>83</v>
      </c>
      <c r="I2265" s="273">
        <f>SUM(I2261:I2264)</f>
        <v>877002.16999999993</v>
      </c>
      <c r="J2265" s="273" t="s">
        <v>3558</v>
      </c>
      <c r="K2265" s="273" t="s">
        <v>3558</v>
      </c>
    </row>
    <row r="2266" spans="1:11" x14ac:dyDescent="0.3">
      <c r="A2266" s="301" t="s">
        <v>2181</v>
      </c>
      <c r="B2266" s="301"/>
      <c r="C2266" s="273"/>
      <c r="D2266" s="234"/>
      <c r="E2266" s="234"/>
      <c r="F2266" s="234"/>
      <c r="G2266" s="234"/>
      <c r="H2266" s="10"/>
      <c r="I2266" s="273"/>
      <c r="J2266" s="171"/>
      <c r="K2266" s="273"/>
    </row>
    <row r="2267" spans="1:11" x14ac:dyDescent="0.3">
      <c r="A2267" s="259">
        <f>A2264+1</f>
        <v>2030</v>
      </c>
      <c r="B2267" s="20" t="s">
        <v>2182</v>
      </c>
      <c r="C2267" s="162">
        <v>1971</v>
      </c>
      <c r="D2267" s="234"/>
      <c r="E2267" s="234" t="s">
        <v>3119</v>
      </c>
      <c r="F2267" s="10">
        <v>5</v>
      </c>
      <c r="G2267" s="234">
        <v>4595.3999999999996</v>
      </c>
      <c r="H2267" s="10">
        <v>175</v>
      </c>
      <c r="I2267" s="273">
        <f>SUMIF('2020'!B:B,B2267,'2020'!C:C)+SUMIF('2021'!B:B,B2267,'2021'!C:C)+SUMIF('2022'!B:B,B2267,'2022'!C:C)</f>
        <v>192030.89</v>
      </c>
      <c r="J2267" s="59">
        <v>44925</v>
      </c>
      <c r="K2267" s="273" t="s">
        <v>3118</v>
      </c>
    </row>
    <row r="2268" spans="1:11" x14ac:dyDescent="0.3">
      <c r="A2268" s="259">
        <f t="shared" ref="A2268:A2274" si="83">A2267+1</f>
        <v>2031</v>
      </c>
      <c r="B2268" s="20" t="s">
        <v>2183</v>
      </c>
      <c r="C2268" s="162">
        <v>1975</v>
      </c>
      <c r="D2268" s="234"/>
      <c r="E2268" s="234" t="s">
        <v>3123</v>
      </c>
      <c r="F2268" s="10">
        <v>5</v>
      </c>
      <c r="G2268" s="234">
        <v>1930.8</v>
      </c>
      <c r="H2268" s="10">
        <v>64</v>
      </c>
      <c r="I2268" s="273">
        <f>SUMIF('2020'!B:B,B2268,'2020'!C:C)+SUMIF('2021'!B:B,B2268,'2021'!C:C)+SUMIF('2022'!B:B,B2268,'2022'!C:C)</f>
        <v>562660.14</v>
      </c>
      <c r="J2268" s="59">
        <v>44925</v>
      </c>
      <c r="K2268" s="273" t="s">
        <v>3118</v>
      </c>
    </row>
    <row r="2269" spans="1:11" x14ac:dyDescent="0.3">
      <c r="A2269" s="259">
        <f t="shared" si="83"/>
        <v>2032</v>
      </c>
      <c r="B2269" s="20" t="s">
        <v>2184</v>
      </c>
      <c r="C2269" s="162">
        <v>1977</v>
      </c>
      <c r="D2269" s="234"/>
      <c r="E2269" s="234" t="s">
        <v>3123</v>
      </c>
      <c r="F2269" s="10">
        <v>5</v>
      </c>
      <c r="G2269" s="234">
        <v>1944.1</v>
      </c>
      <c r="H2269" s="10">
        <v>66</v>
      </c>
      <c r="I2269" s="273">
        <f>SUMIF('2020'!B:B,B2269,'2020'!C:C)+SUMIF('2021'!B:B,B2269,'2021'!C:C)+SUMIF('2022'!B:B,B2269,'2022'!C:C)</f>
        <v>448446.39</v>
      </c>
      <c r="J2269" s="59">
        <v>44925</v>
      </c>
      <c r="K2269" s="273" t="s">
        <v>3118</v>
      </c>
    </row>
    <row r="2270" spans="1:11" x14ac:dyDescent="0.3">
      <c r="A2270" s="259">
        <f t="shared" si="83"/>
        <v>2033</v>
      </c>
      <c r="B2270" s="20" t="s">
        <v>2185</v>
      </c>
      <c r="C2270" s="162">
        <v>1968</v>
      </c>
      <c r="D2270" s="234"/>
      <c r="E2270" s="273" t="s">
        <v>3123</v>
      </c>
      <c r="F2270" s="10">
        <v>5</v>
      </c>
      <c r="G2270" s="273">
        <v>3478.4</v>
      </c>
      <c r="H2270" s="10">
        <v>135</v>
      </c>
      <c r="I2270" s="273">
        <f>SUMIF('2020'!B:B,B2270,'2020'!C:C)+SUMIF('2021'!B:B,B2270,'2021'!C:C)+SUMIF('2022'!B:B,B2270,'2022'!C:C)</f>
        <v>22121366.969999999</v>
      </c>
      <c r="J2270" s="59">
        <v>44925</v>
      </c>
      <c r="K2270" s="273" t="s">
        <v>3118</v>
      </c>
    </row>
    <row r="2271" spans="1:11" x14ac:dyDescent="0.3">
      <c r="A2271" s="259">
        <f t="shared" si="83"/>
        <v>2034</v>
      </c>
      <c r="B2271" s="20" t="s">
        <v>2186</v>
      </c>
      <c r="C2271" s="162">
        <v>1968</v>
      </c>
      <c r="D2271" s="234"/>
      <c r="E2271" s="234" t="s">
        <v>3119</v>
      </c>
      <c r="F2271" s="10">
        <v>5</v>
      </c>
      <c r="G2271" s="234">
        <v>4606.8</v>
      </c>
      <c r="H2271" s="10">
        <v>203</v>
      </c>
      <c r="I2271" s="273">
        <f>SUMIF('2020'!B:B,B2271,'2020'!C:C)+SUMIF('2021'!B:B,B2271,'2021'!C:C)+SUMIF('2022'!B:B,B2271,'2022'!C:C)</f>
        <v>202196.69</v>
      </c>
      <c r="J2271" s="59">
        <v>44925</v>
      </c>
      <c r="K2271" s="273" t="s">
        <v>3118</v>
      </c>
    </row>
    <row r="2272" spans="1:11" x14ac:dyDescent="0.3">
      <c r="A2272" s="259">
        <f t="shared" si="83"/>
        <v>2035</v>
      </c>
      <c r="B2272" s="20" t="s">
        <v>2187</v>
      </c>
      <c r="C2272" s="162">
        <v>1969</v>
      </c>
      <c r="D2272" s="234"/>
      <c r="E2272" s="234" t="s">
        <v>3119</v>
      </c>
      <c r="F2272" s="10">
        <v>5</v>
      </c>
      <c r="G2272" s="234">
        <v>4610.8999999999996</v>
      </c>
      <c r="H2272" s="10">
        <v>200</v>
      </c>
      <c r="I2272" s="273">
        <f>SUMIF('2020'!B:B,B2272,'2020'!C:C)+SUMIF('2021'!B:B,B2272,'2021'!C:C)+SUMIF('2022'!B:B,B2272,'2022'!C:C)</f>
        <v>202196.69</v>
      </c>
      <c r="J2272" s="59">
        <v>44925</v>
      </c>
      <c r="K2272" s="273" t="s">
        <v>3118</v>
      </c>
    </row>
    <row r="2273" spans="1:13" x14ac:dyDescent="0.3">
      <c r="A2273" s="259">
        <f t="shared" si="83"/>
        <v>2036</v>
      </c>
      <c r="B2273" s="20" t="s">
        <v>2188</v>
      </c>
      <c r="C2273" s="162">
        <v>1971</v>
      </c>
      <c r="D2273" s="234"/>
      <c r="E2273" s="234" t="s">
        <v>3119</v>
      </c>
      <c r="F2273" s="10">
        <v>5</v>
      </c>
      <c r="G2273" s="234">
        <v>4595.1000000000004</v>
      </c>
      <c r="H2273" s="10">
        <v>175</v>
      </c>
      <c r="I2273" s="273">
        <f>SUMIF('2020'!B:B,B2273,'2020'!C:C)+SUMIF('2021'!B:B,B2273,'2021'!C:C)+SUMIF('2022'!B:B,B2273,'2022'!C:C)</f>
        <v>202679.24</v>
      </c>
      <c r="J2273" s="59">
        <v>44925</v>
      </c>
      <c r="K2273" s="273" t="s">
        <v>3118</v>
      </c>
    </row>
    <row r="2274" spans="1:13" x14ac:dyDescent="0.3">
      <c r="A2274" s="259">
        <f t="shared" si="83"/>
        <v>2037</v>
      </c>
      <c r="B2274" s="20" t="s">
        <v>2189</v>
      </c>
      <c r="C2274" s="162">
        <v>1973</v>
      </c>
      <c r="D2274" s="234"/>
      <c r="E2274" s="234" t="s">
        <v>3119</v>
      </c>
      <c r="F2274" s="10">
        <v>5</v>
      </c>
      <c r="G2274" s="234">
        <v>5711.2</v>
      </c>
      <c r="H2274" s="10">
        <v>260</v>
      </c>
      <c r="I2274" s="273">
        <f>SUMIF('2020'!B:B,B2274,'2020'!C:C)+SUMIF('2021'!B:B,B2274,'2021'!C:C)+SUMIF('2022'!B:B,B2274,'2022'!C:C)</f>
        <v>982644.77</v>
      </c>
      <c r="J2274" s="59">
        <v>44925</v>
      </c>
      <c r="K2274" s="273" t="s">
        <v>3118</v>
      </c>
    </row>
    <row r="2275" spans="1:13" x14ac:dyDescent="0.3">
      <c r="A2275" s="302" t="s">
        <v>208</v>
      </c>
      <c r="B2275" s="302"/>
      <c r="C2275" s="162" t="s">
        <v>3558</v>
      </c>
      <c r="D2275" s="162" t="s">
        <v>3558</v>
      </c>
      <c r="E2275" s="162" t="s">
        <v>3558</v>
      </c>
      <c r="F2275" s="162" t="s">
        <v>3558</v>
      </c>
      <c r="G2275" s="273">
        <f>SUM(G2267:G2274)</f>
        <v>31472.7</v>
      </c>
      <c r="H2275" s="10">
        <f>SUM(H2267:H2274)</f>
        <v>1278</v>
      </c>
      <c r="I2275" s="273">
        <f>SUM(I2267:I2274)</f>
        <v>24914221.780000001</v>
      </c>
      <c r="J2275" s="273" t="s">
        <v>3558</v>
      </c>
      <c r="K2275" s="273" t="s">
        <v>3558</v>
      </c>
    </row>
    <row r="2276" spans="1:13" s="43" customFormat="1" x14ac:dyDescent="0.3">
      <c r="A2276" s="304" t="s">
        <v>2190</v>
      </c>
      <c r="B2276" s="304"/>
      <c r="C2276" s="251" t="s">
        <v>3558</v>
      </c>
      <c r="D2276" s="251" t="s">
        <v>3558</v>
      </c>
      <c r="E2276" s="251" t="s">
        <v>3558</v>
      </c>
      <c r="F2276" s="251" t="s">
        <v>3558</v>
      </c>
      <c r="G2276" s="251">
        <f>G2275+G2265+G2259+G2250+G2246+G2231+G2221+G2208+G2205+G2198+G2184+G2178+G2170+G2155</f>
        <v>245474.91</v>
      </c>
      <c r="H2276" s="132">
        <f>H2275+H2265+H2259+H2250+H2246+H2231+H2221+H2208+H2205+H2198+H2184+H2178+H2170+H2155</f>
        <v>9430</v>
      </c>
      <c r="I2276" s="251">
        <f>I2275+I2265+I2259+I2250+I2246+I2231+I2221+I2208+I2205+I2198+I2184+I2178+I2170+I2155</f>
        <v>666524824.60000002</v>
      </c>
      <c r="J2276" s="251" t="s">
        <v>3558</v>
      </c>
      <c r="K2276" s="251" t="s">
        <v>3558</v>
      </c>
      <c r="L2276" s="196">
        <f>I2276-'2020'!C534-'2021'!C1657-'2022'!C708</f>
        <v>0</v>
      </c>
      <c r="M2276" s="198"/>
    </row>
    <row r="2277" spans="1:13" s="43" customFormat="1" x14ac:dyDescent="0.3">
      <c r="A2277" s="252"/>
      <c r="B2277" s="305" t="s">
        <v>3206</v>
      </c>
      <c r="C2277" s="305"/>
      <c r="D2277" s="305"/>
      <c r="E2277" s="305"/>
      <c r="F2277" s="305"/>
      <c r="G2277" s="305"/>
      <c r="H2277" s="305"/>
      <c r="I2277" s="305"/>
      <c r="J2277" s="305"/>
      <c r="K2277" s="305"/>
      <c r="L2277" s="198"/>
      <c r="M2277" s="198"/>
    </row>
    <row r="2278" spans="1:13" x14ac:dyDescent="0.3">
      <c r="A2278" s="301" t="s">
        <v>3287</v>
      </c>
      <c r="B2278" s="301"/>
      <c r="C2278" s="273"/>
      <c r="D2278" s="273"/>
      <c r="E2278" s="273"/>
      <c r="F2278" s="273"/>
      <c r="G2278" s="273"/>
      <c r="H2278" s="10"/>
      <c r="I2278" s="273"/>
      <c r="J2278" s="273"/>
      <c r="K2278" s="273"/>
    </row>
    <row r="2279" spans="1:13" x14ac:dyDescent="0.3">
      <c r="A2279" s="259">
        <f>A2274+1</f>
        <v>2038</v>
      </c>
      <c r="B2279" s="20" t="s">
        <v>3288</v>
      </c>
      <c r="C2279" s="162">
        <v>1963</v>
      </c>
      <c r="D2279" s="273"/>
      <c r="E2279" s="200" t="s">
        <v>3035</v>
      </c>
      <c r="F2279" s="200">
        <v>2</v>
      </c>
      <c r="G2279" s="200">
        <v>670.8</v>
      </c>
      <c r="H2279" s="201">
        <v>39</v>
      </c>
      <c r="I2279" s="273">
        <f>SUMIF('2020'!B:B,B2279,'2020'!C:C)+SUMIF('2021'!B:B,B2279,'2021'!C:C)+SUMIF('2022'!B:B,B2279,'2022'!C:C)</f>
        <v>847073.73</v>
      </c>
      <c r="J2279" s="59">
        <v>44925</v>
      </c>
      <c r="K2279" s="273" t="s">
        <v>3118</v>
      </c>
    </row>
    <row r="2280" spans="1:13" x14ac:dyDescent="0.3">
      <c r="A2280" s="259">
        <f>A2279+1</f>
        <v>2039</v>
      </c>
      <c r="B2280" s="20" t="s">
        <v>3289</v>
      </c>
      <c r="C2280" s="162">
        <v>1964</v>
      </c>
      <c r="D2280" s="273"/>
      <c r="E2280" s="200" t="s">
        <v>3035</v>
      </c>
      <c r="F2280" s="200">
        <v>2</v>
      </c>
      <c r="G2280" s="200">
        <v>670.5</v>
      </c>
      <c r="H2280" s="201">
        <v>32</v>
      </c>
      <c r="I2280" s="273">
        <f>SUMIF('2020'!B:B,B2280,'2020'!C:C)+SUMIF('2021'!B:B,B2280,'2021'!C:C)+SUMIF('2022'!B:B,B2280,'2022'!C:C)</f>
        <v>859261.85</v>
      </c>
      <c r="J2280" s="59">
        <v>44925</v>
      </c>
      <c r="K2280" s="273" t="s">
        <v>3118</v>
      </c>
    </row>
    <row r="2281" spans="1:13" x14ac:dyDescent="0.3">
      <c r="A2281" s="259">
        <f>A2280+1</f>
        <v>2040</v>
      </c>
      <c r="B2281" s="20" t="s">
        <v>3290</v>
      </c>
      <c r="C2281" s="162">
        <v>1966</v>
      </c>
      <c r="D2281" s="273"/>
      <c r="E2281" s="200" t="s">
        <v>3035</v>
      </c>
      <c r="F2281" s="200">
        <v>2</v>
      </c>
      <c r="G2281" s="200">
        <v>689.5</v>
      </c>
      <c r="H2281" s="201">
        <v>36</v>
      </c>
      <c r="I2281" s="273">
        <f>SUMIF('2020'!B:B,B2281,'2020'!C:C)+SUMIF('2021'!B:B,B2281,'2021'!C:C)+SUMIF('2022'!B:B,B2281,'2022'!C:C)</f>
        <v>843727.49</v>
      </c>
      <c r="J2281" s="59">
        <v>44925</v>
      </c>
      <c r="K2281" s="273" t="s">
        <v>3118</v>
      </c>
    </row>
    <row r="2282" spans="1:13" x14ac:dyDescent="0.3">
      <c r="A2282" s="259">
        <f>A2281+1</f>
        <v>2041</v>
      </c>
      <c r="B2282" s="20" t="s">
        <v>3291</v>
      </c>
      <c r="C2282" s="162">
        <v>1964</v>
      </c>
      <c r="D2282" s="273"/>
      <c r="E2282" s="200" t="s">
        <v>3035</v>
      </c>
      <c r="F2282" s="200">
        <v>2</v>
      </c>
      <c r="G2282" s="200">
        <v>677.8</v>
      </c>
      <c r="H2282" s="201">
        <v>31</v>
      </c>
      <c r="I2282" s="273">
        <f>SUMIF('2020'!B:B,B2282,'2020'!C:C)+SUMIF('2021'!B:B,B2282,'2021'!C:C)+SUMIF('2022'!B:B,B2282,'2022'!C:C)</f>
        <v>833688.76</v>
      </c>
      <c r="J2282" s="59">
        <v>44925</v>
      </c>
      <c r="K2282" s="273" t="s">
        <v>3118</v>
      </c>
    </row>
    <row r="2283" spans="1:13" x14ac:dyDescent="0.3">
      <c r="A2283" s="259">
        <f>A2282+1</f>
        <v>2042</v>
      </c>
      <c r="B2283" s="20" t="s">
        <v>3292</v>
      </c>
      <c r="C2283" s="162">
        <v>1965</v>
      </c>
      <c r="D2283" s="273"/>
      <c r="E2283" s="200" t="s">
        <v>3035</v>
      </c>
      <c r="F2283" s="200">
        <v>2</v>
      </c>
      <c r="G2283" s="200">
        <v>689.5</v>
      </c>
      <c r="H2283" s="201">
        <v>36</v>
      </c>
      <c r="I2283" s="273">
        <f>SUMIF('2020'!B:B,B2283,'2020'!C:C)+SUMIF('2021'!B:B,B2283,'2021'!C:C)+SUMIF('2022'!B:B,B2283,'2022'!C:C)</f>
        <v>825323.14999999991</v>
      </c>
      <c r="J2283" s="59">
        <v>44925</v>
      </c>
      <c r="K2283" s="273" t="s">
        <v>3118</v>
      </c>
    </row>
    <row r="2284" spans="1:13" x14ac:dyDescent="0.3">
      <c r="A2284" s="259">
        <f>A2283+1</f>
        <v>2043</v>
      </c>
      <c r="B2284" s="20" t="s">
        <v>3293</v>
      </c>
      <c r="C2284" s="162">
        <v>1975</v>
      </c>
      <c r="D2284" s="273"/>
      <c r="E2284" s="200" t="s">
        <v>3035</v>
      </c>
      <c r="F2284" s="200">
        <v>2</v>
      </c>
      <c r="G2284" s="200">
        <v>675.7</v>
      </c>
      <c r="H2284" s="201">
        <v>33</v>
      </c>
      <c r="I2284" s="273">
        <f>SUMIF('2020'!B:B,B2284,'2020'!C:C)+SUMIF('2021'!B:B,B2284,'2021'!C:C)+SUMIF('2022'!B:B,B2284,'2022'!C:C)</f>
        <v>860422.21</v>
      </c>
      <c r="J2284" s="59">
        <v>44925</v>
      </c>
      <c r="K2284" s="273" t="s">
        <v>3118</v>
      </c>
    </row>
    <row r="2285" spans="1:13" x14ac:dyDescent="0.3">
      <c r="A2285" s="302" t="s">
        <v>208</v>
      </c>
      <c r="B2285" s="302"/>
      <c r="C2285" s="273" t="s">
        <v>3558</v>
      </c>
      <c r="D2285" s="273" t="s">
        <v>3558</v>
      </c>
      <c r="E2285" s="273" t="s">
        <v>3558</v>
      </c>
      <c r="F2285" s="273" t="s">
        <v>3558</v>
      </c>
      <c r="G2285" s="273">
        <f>SUM(G2279:G2284)</f>
        <v>4073.8</v>
      </c>
      <c r="H2285" s="10">
        <f>SUM(H2279:H2284)</f>
        <v>207</v>
      </c>
      <c r="I2285" s="273">
        <f>SUM(I2279:I2284)</f>
        <v>5069497.1900000004</v>
      </c>
      <c r="J2285" s="273" t="s">
        <v>3558</v>
      </c>
      <c r="K2285" s="273" t="s">
        <v>3558</v>
      </c>
    </row>
    <row r="2286" spans="1:13" x14ac:dyDescent="0.3">
      <c r="A2286" s="301" t="s">
        <v>3294</v>
      </c>
      <c r="B2286" s="301"/>
      <c r="C2286" s="273"/>
      <c r="D2286" s="273"/>
      <c r="E2286" s="273"/>
      <c r="F2286" s="273"/>
      <c r="G2286" s="273"/>
      <c r="H2286" s="10"/>
      <c r="I2286" s="273"/>
      <c r="J2286" s="273"/>
      <c r="K2286" s="273"/>
    </row>
    <row r="2287" spans="1:13" x14ac:dyDescent="0.3">
      <c r="A2287" s="259">
        <f>A2284+1</f>
        <v>2044</v>
      </c>
      <c r="B2287" s="20" t="s">
        <v>3295</v>
      </c>
      <c r="C2287" s="162">
        <v>1967</v>
      </c>
      <c r="D2287" s="273"/>
      <c r="E2287" s="200" t="s">
        <v>3035</v>
      </c>
      <c r="F2287" s="200">
        <v>2</v>
      </c>
      <c r="G2287" s="200">
        <v>692.3</v>
      </c>
      <c r="H2287" s="201">
        <v>17</v>
      </c>
      <c r="I2287" s="273">
        <f>SUMIF('2020'!B:B,B2287,'2020'!C:C)+SUMIF('2021'!B:B,B2287,'2021'!C:C)+SUMIF('2022'!B:B,B2287,'2022'!C:C)</f>
        <v>101939.7</v>
      </c>
      <c r="J2287" s="59">
        <v>44925</v>
      </c>
      <c r="K2287" s="273" t="s">
        <v>3118</v>
      </c>
    </row>
    <row r="2288" spans="1:13" x14ac:dyDescent="0.3">
      <c r="A2288" s="259">
        <f t="shared" ref="A2288:A2313" si="84">A2287+1</f>
        <v>2045</v>
      </c>
      <c r="B2288" s="20" t="s">
        <v>3296</v>
      </c>
      <c r="C2288" s="162">
        <v>1968</v>
      </c>
      <c r="D2288" s="273"/>
      <c r="E2288" s="200" t="s">
        <v>3035</v>
      </c>
      <c r="F2288" s="200">
        <v>2</v>
      </c>
      <c r="G2288" s="200">
        <v>564.9</v>
      </c>
      <c r="H2288" s="201">
        <v>9</v>
      </c>
      <c r="I2288" s="273">
        <f>SUMIF('2020'!B:B,B2288,'2020'!C:C)+SUMIF('2021'!B:B,B2288,'2021'!C:C)+SUMIF('2022'!B:B,B2288,'2022'!C:C)</f>
        <v>90947.83</v>
      </c>
      <c r="J2288" s="59">
        <v>44925</v>
      </c>
      <c r="K2288" s="273" t="s">
        <v>3118</v>
      </c>
    </row>
    <row r="2289" spans="1:11" x14ac:dyDescent="0.3">
      <c r="A2289" s="259">
        <f t="shared" si="84"/>
        <v>2046</v>
      </c>
      <c r="B2289" s="20" t="s">
        <v>3297</v>
      </c>
      <c r="C2289" s="162">
        <v>1966</v>
      </c>
      <c r="D2289" s="273"/>
      <c r="E2289" s="200" t="s">
        <v>3035</v>
      </c>
      <c r="F2289" s="200">
        <v>2</v>
      </c>
      <c r="G2289" s="200">
        <v>659.6</v>
      </c>
      <c r="H2289" s="201">
        <v>45</v>
      </c>
      <c r="I2289" s="273">
        <f>SUMIF('2020'!B:B,B2289,'2020'!C:C)+SUMIF('2021'!B:B,B2289,'2021'!C:C)+SUMIF('2022'!B:B,B2289,'2022'!C:C)</f>
        <v>106913.72</v>
      </c>
      <c r="J2289" s="59">
        <v>44925</v>
      </c>
      <c r="K2289" s="273" t="s">
        <v>3118</v>
      </c>
    </row>
    <row r="2290" spans="1:11" x14ac:dyDescent="0.3">
      <c r="A2290" s="259">
        <f t="shared" si="84"/>
        <v>2047</v>
      </c>
      <c r="B2290" s="20" t="s">
        <v>3298</v>
      </c>
      <c r="C2290" s="162">
        <v>1978</v>
      </c>
      <c r="D2290" s="273"/>
      <c r="E2290" s="200" t="s">
        <v>3119</v>
      </c>
      <c r="F2290" s="200">
        <v>3</v>
      </c>
      <c r="G2290" s="200">
        <v>2016.9</v>
      </c>
      <c r="H2290" s="201">
        <v>65</v>
      </c>
      <c r="I2290" s="273">
        <f>SUMIF('2020'!B:B,B2290,'2020'!C:C)+SUMIF('2021'!B:B,B2290,'2021'!C:C)+SUMIF('2022'!B:B,B2290,'2022'!C:C)</f>
        <v>288967.08</v>
      </c>
      <c r="J2290" s="59">
        <v>44925</v>
      </c>
      <c r="K2290" s="273" t="s">
        <v>3118</v>
      </c>
    </row>
    <row r="2291" spans="1:11" x14ac:dyDescent="0.3">
      <c r="A2291" s="259">
        <f t="shared" si="84"/>
        <v>2048</v>
      </c>
      <c r="B2291" s="20" t="s">
        <v>3299</v>
      </c>
      <c r="C2291" s="162">
        <v>1966</v>
      </c>
      <c r="D2291" s="273"/>
      <c r="E2291" s="200" t="s">
        <v>3035</v>
      </c>
      <c r="F2291" s="200">
        <v>2</v>
      </c>
      <c r="G2291" s="200">
        <v>659.6</v>
      </c>
      <c r="H2291" s="201">
        <v>41</v>
      </c>
      <c r="I2291" s="273">
        <f>SUMIF('2020'!B:B,B2291,'2020'!C:C)+SUMIF('2021'!B:B,B2291,'2021'!C:C)+SUMIF('2022'!B:B,B2291,'2022'!C:C)</f>
        <v>105204.37</v>
      </c>
      <c r="J2291" s="59">
        <v>44925</v>
      </c>
      <c r="K2291" s="273" t="s">
        <v>3118</v>
      </c>
    </row>
    <row r="2292" spans="1:11" x14ac:dyDescent="0.3">
      <c r="A2292" s="259">
        <f t="shared" si="84"/>
        <v>2049</v>
      </c>
      <c r="B2292" s="20" t="s">
        <v>3300</v>
      </c>
      <c r="C2292" s="162">
        <v>1978</v>
      </c>
      <c r="D2292" s="273"/>
      <c r="E2292" s="200" t="s">
        <v>3119</v>
      </c>
      <c r="F2292" s="200">
        <v>3</v>
      </c>
      <c r="G2292" s="200">
        <v>2017</v>
      </c>
      <c r="H2292" s="201">
        <v>58</v>
      </c>
      <c r="I2292" s="273">
        <f>SUMIF('2020'!B:B,B2292,'2020'!C:C)+SUMIF('2021'!B:B,B2292,'2021'!C:C)+SUMIF('2022'!B:B,B2292,'2022'!C:C)</f>
        <v>288967.08</v>
      </c>
      <c r="J2292" s="59">
        <v>44925</v>
      </c>
      <c r="K2292" s="273" t="s">
        <v>3118</v>
      </c>
    </row>
    <row r="2293" spans="1:11" x14ac:dyDescent="0.3">
      <c r="A2293" s="259">
        <f t="shared" si="84"/>
        <v>2050</v>
      </c>
      <c r="B2293" s="20" t="s">
        <v>3301</v>
      </c>
      <c r="C2293" s="162">
        <v>1971</v>
      </c>
      <c r="D2293" s="273"/>
      <c r="E2293" s="200" t="s">
        <v>3035</v>
      </c>
      <c r="F2293" s="200">
        <v>2</v>
      </c>
      <c r="G2293" s="200">
        <v>764.7</v>
      </c>
      <c r="H2293" s="201">
        <v>38</v>
      </c>
      <c r="I2293" s="273">
        <f>SUMIF('2020'!B:B,B2293,'2020'!C:C)+SUMIF('2021'!B:B,B2293,'2021'!C:C)+SUMIF('2022'!B:B,B2293,'2022'!C:C)</f>
        <v>113597.11</v>
      </c>
      <c r="J2293" s="59">
        <v>44925</v>
      </c>
      <c r="K2293" s="273" t="s">
        <v>3118</v>
      </c>
    </row>
    <row r="2294" spans="1:11" x14ac:dyDescent="0.3">
      <c r="A2294" s="259">
        <f t="shared" si="84"/>
        <v>2051</v>
      </c>
      <c r="B2294" s="20" t="s">
        <v>3302</v>
      </c>
      <c r="C2294" s="162">
        <v>1978</v>
      </c>
      <c r="D2294" s="273"/>
      <c r="E2294" s="200" t="s">
        <v>3119</v>
      </c>
      <c r="F2294" s="200">
        <v>3</v>
      </c>
      <c r="G2294" s="200">
        <v>2017</v>
      </c>
      <c r="H2294" s="201">
        <v>38</v>
      </c>
      <c r="I2294" s="273">
        <f>SUMIF('2020'!B:B,B2294,'2020'!C:C)+SUMIF('2021'!B:B,B2294,'2021'!C:C)+SUMIF('2022'!B:B,B2294,'2022'!C:C)</f>
        <v>130000</v>
      </c>
      <c r="J2294" s="59">
        <v>44925</v>
      </c>
      <c r="K2294" s="273" t="s">
        <v>3118</v>
      </c>
    </row>
    <row r="2295" spans="1:11" x14ac:dyDescent="0.3">
      <c r="A2295" s="259">
        <f t="shared" si="84"/>
        <v>2052</v>
      </c>
      <c r="B2295" s="20" t="s">
        <v>3303</v>
      </c>
      <c r="C2295" s="162">
        <v>1971</v>
      </c>
      <c r="D2295" s="273"/>
      <c r="E2295" s="200" t="s">
        <v>3035</v>
      </c>
      <c r="F2295" s="200">
        <v>2</v>
      </c>
      <c r="G2295" s="200">
        <v>760.5</v>
      </c>
      <c r="H2295" s="201">
        <v>40</v>
      </c>
      <c r="I2295" s="273">
        <f>SUMIF('2020'!B:B,B2295,'2020'!C:C)+SUMIF('2021'!B:B,B2295,'2021'!C:C)+SUMIF('2022'!B:B,B2295,'2022'!C:C)</f>
        <v>111689.34</v>
      </c>
      <c r="J2295" s="59">
        <v>44925</v>
      </c>
      <c r="K2295" s="273" t="s">
        <v>3118</v>
      </c>
    </row>
    <row r="2296" spans="1:11" x14ac:dyDescent="0.3">
      <c r="A2296" s="259">
        <f t="shared" si="84"/>
        <v>2053</v>
      </c>
      <c r="B2296" s="20" t="s">
        <v>3304</v>
      </c>
      <c r="C2296" s="162">
        <v>1959</v>
      </c>
      <c r="D2296" s="273"/>
      <c r="E2296" s="200" t="s">
        <v>3036</v>
      </c>
      <c r="F2296" s="200">
        <v>2</v>
      </c>
      <c r="G2296" s="200">
        <v>468.4</v>
      </c>
      <c r="H2296" s="201">
        <v>24</v>
      </c>
      <c r="I2296" s="273">
        <f>SUMIF('2020'!B:B,B2296,'2020'!C:C)+SUMIF('2021'!B:B,B2296,'2021'!C:C)+SUMIF('2022'!B:B,B2296,'2022'!C:C)</f>
        <v>119811.06</v>
      </c>
      <c r="J2296" s="59">
        <v>44925</v>
      </c>
      <c r="K2296" s="273" t="s">
        <v>3118</v>
      </c>
    </row>
    <row r="2297" spans="1:11" x14ac:dyDescent="0.3">
      <c r="A2297" s="259">
        <f t="shared" si="84"/>
        <v>2054</v>
      </c>
      <c r="B2297" s="20" t="s">
        <v>3305</v>
      </c>
      <c r="C2297" s="162">
        <v>1960</v>
      </c>
      <c r="D2297" s="273"/>
      <c r="E2297" s="200" t="s">
        <v>3036</v>
      </c>
      <c r="F2297" s="200">
        <v>2</v>
      </c>
      <c r="G2297" s="200">
        <v>672.4</v>
      </c>
      <c r="H2297" s="201">
        <v>20</v>
      </c>
      <c r="I2297" s="273">
        <f>SUMIF('2020'!B:B,B2297,'2020'!C:C)+SUMIF('2021'!B:B,B2297,'2021'!C:C)+SUMIF('2022'!B:B,B2297,'2022'!C:C)</f>
        <v>100332.65</v>
      </c>
      <c r="J2297" s="59">
        <v>44925</v>
      </c>
      <c r="K2297" s="273" t="s">
        <v>3118</v>
      </c>
    </row>
    <row r="2298" spans="1:11" x14ac:dyDescent="0.3">
      <c r="A2298" s="259">
        <f t="shared" si="84"/>
        <v>2055</v>
      </c>
      <c r="B2298" s="20" t="s">
        <v>3306</v>
      </c>
      <c r="C2298" s="162">
        <v>1961</v>
      </c>
      <c r="D2298" s="273"/>
      <c r="E2298" s="200" t="s">
        <v>3036</v>
      </c>
      <c r="F2298" s="200">
        <v>2</v>
      </c>
      <c r="G2298" s="200">
        <v>670</v>
      </c>
      <c r="H2298" s="201">
        <v>27</v>
      </c>
      <c r="I2298" s="273">
        <f>SUMIF('2020'!B:B,B2298,'2020'!C:C)+SUMIF('2021'!B:B,B2298,'2021'!C:C)+SUMIF('2022'!B:B,B2298,'2022'!C:C)</f>
        <v>101222.45</v>
      </c>
      <c r="J2298" s="59">
        <v>44925</v>
      </c>
      <c r="K2298" s="273" t="s">
        <v>3118</v>
      </c>
    </row>
    <row r="2299" spans="1:11" x14ac:dyDescent="0.3">
      <c r="A2299" s="259">
        <f t="shared" si="84"/>
        <v>2056</v>
      </c>
      <c r="B2299" s="20" t="s">
        <v>3307</v>
      </c>
      <c r="C2299" s="162">
        <v>1961</v>
      </c>
      <c r="D2299" s="273"/>
      <c r="E2299" s="200" t="s">
        <v>3036</v>
      </c>
      <c r="F2299" s="200">
        <v>2</v>
      </c>
      <c r="G2299" s="200">
        <v>675.9</v>
      </c>
      <c r="H2299" s="201">
        <v>21</v>
      </c>
      <c r="I2299" s="273">
        <f>SUMIF('2020'!B:B,B2299,'2020'!C:C)+SUMIF('2021'!B:B,B2299,'2021'!C:C)+SUMIF('2022'!B:B,B2299,'2022'!C:C)</f>
        <v>99078.05</v>
      </c>
      <c r="J2299" s="59">
        <v>44925</v>
      </c>
      <c r="K2299" s="273" t="s">
        <v>3118</v>
      </c>
    </row>
    <row r="2300" spans="1:11" x14ac:dyDescent="0.3">
      <c r="A2300" s="259">
        <f t="shared" si="84"/>
        <v>2057</v>
      </c>
      <c r="B2300" s="20" t="s">
        <v>3308</v>
      </c>
      <c r="C2300" s="162">
        <v>1961</v>
      </c>
      <c r="D2300" s="273"/>
      <c r="E2300" s="200" t="s">
        <v>3036</v>
      </c>
      <c r="F2300" s="200">
        <v>2</v>
      </c>
      <c r="G2300" s="200">
        <v>677.6</v>
      </c>
      <c r="H2300" s="201">
        <v>27</v>
      </c>
      <c r="I2300" s="273">
        <f>SUMIF('2020'!B:B,B2300,'2020'!C:C)+SUMIF('2021'!B:B,B2300,'2021'!C:C)+SUMIF('2022'!B:B,B2300,'2022'!C:C)</f>
        <v>101222.45</v>
      </c>
      <c r="J2300" s="59">
        <v>44925</v>
      </c>
      <c r="K2300" s="273" t="s">
        <v>3118</v>
      </c>
    </row>
    <row r="2301" spans="1:11" x14ac:dyDescent="0.3">
      <c r="A2301" s="259">
        <f t="shared" si="84"/>
        <v>2058</v>
      </c>
      <c r="B2301" s="20" t="s">
        <v>3309</v>
      </c>
      <c r="C2301" s="162">
        <v>1961</v>
      </c>
      <c r="D2301" s="273"/>
      <c r="E2301" s="200" t="s">
        <v>3036</v>
      </c>
      <c r="F2301" s="200">
        <v>2</v>
      </c>
      <c r="G2301" s="200">
        <v>671.9</v>
      </c>
      <c r="H2301" s="201">
        <v>20</v>
      </c>
      <c r="I2301" s="273">
        <f>SUMIF('2020'!B:B,B2301,'2020'!C:C)+SUMIF('2021'!B:B,B2301,'2021'!C:C)+SUMIF('2022'!B:B,B2301,'2022'!C:C)</f>
        <v>101222.45</v>
      </c>
      <c r="J2301" s="59">
        <v>44925</v>
      </c>
      <c r="K2301" s="273" t="s">
        <v>3118</v>
      </c>
    </row>
    <row r="2302" spans="1:11" x14ac:dyDescent="0.3">
      <c r="A2302" s="259">
        <f t="shared" si="84"/>
        <v>2059</v>
      </c>
      <c r="B2302" s="20" t="s">
        <v>3310</v>
      </c>
      <c r="C2302" s="162">
        <v>1961</v>
      </c>
      <c r="D2302" s="273"/>
      <c r="E2302" s="200" t="s">
        <v>3036</v>
      </c>
      <c r="F2302" s="200">
        <v>2</v>
      </c>
      <c r="G2302" s="200">
        <v>687.5</v>
      </c>
      <c r="H2302" s="201">
        <v>22</v>
      </c>
      <c r="I2302" s="273">
        <f>SUMIF('2020'!B:B,B2302,'2020'!C:C)+SUMIF('2021'!B:B,B2302,'2021'!C:C)+SUMIF('2022'!B:B,B2302,'2022'!C:C)</f>
        <v>101222.45</v>
      </c>
      <c r="J2302" s="59">
        <v>44925</v>
      </c>
      <c r="K2302" s="273" t="s">
        <v>3118</v>
      </c>
    </row>
    <row r="2303" spans="1:11" x14ac:dyDescent="0.3">
      <c r="A2303" s="259">
        <f t="shared" si="84"/>
        <v>2060</v>
      </c>
      <c r="B2303" s="20" t="s">
        <v>3311</v>
      </c>
      <c r="C2303" s="162">
        <v>1961</v>
      </c>
      <c r="D2303" s="273"/>
      <c r="E2303" s="200" t="s">
        <v>3035</v>
      </c>
      <c r="F2303" s="200">
        <v>2</v>
      </c>
      <c r="G2303" s="200">
        <v>687.5</v>
      </c>
      <c r="H2303" s="201">
        <v>23</v>
      </c>
      <c r="I2303" s="273">
        <f>SUMIF('2020'!B:B,B2303,'2020'!C:C)+SUMIF('2021'!B:B,B2303,'2021'!C:C)+SUMIF('2022'!B:B,B2303,'2022'!C:C)</f>
        <v>101222.45</v>
      </c>
      <c r="J2303" s="59">
        <v>44925</v>
      </c>
      <c r="K2303" s="273" t="s">
        <v>3118</v>
      </c>
    </row>
    <row r="2304" spans="1:11" x14ac:dyDescent="0.3">
      <c r="A2304" s="259">
        <f t="shared" si="84"/>
        <v>2061</v>
      </c>
      <c r="B2304" s="20" t="s">
        <v>3312</v>
      </c>
      <c r="C2304" s="162">
        <v>1961</v>
      </c>
      <c r="D2304" s="273"/>
      <c r="E2304" s="200" t="s">
        <v>3036</v>
      </c>
      <c r="F2304" s="200">
        <v>2</v>
      </c>
      <c r="G2304" s="200">
        <v>670</v>
      </c>
      <c r="H2304" s="201">
        <v>24</v>
      </c>
      <c r="I2304" s="273">
        <f>SUMIF('2020'!B:B,B2304,'2020'!C:C)+SUMIF('2021'!B:B,B2304,'2021'!C:C)+SUMIF('2022'!B:B,B2304,'2022'!C:C)</f>
        <v>101843.59</v>
      </c>
      <c r="J2304" s="59">
        <v>44925</v>
      </c>
      <c r="K2304" s="273" t="s">
        <v>3118</v>
      </c>
    </row>
    <row r="2305" spans="1:11" x14ac:dyDescent="0.3">
      <c r="A2305" s="259">
        <f t="shared" si="84"/>
        <v>2062</v>
      </c>
      <c r="B2305" s="20" t="s">
        <v>3313</v>
      </c>
      <c r="C2305" s="162">
        <v>1981</v>
      </c>
      <c r="D2305" s="273"/>
      <c r="E2305" s="200" t="s">
        <v>3035</v>
      </c>
      <c r="F2305" s="200">
        <v>2</v>
      </c>
      <c r="G2305" s="200">
        <v>983.9</v>
      </c>
      <c r="H2305" s="201">
        <v>31</v>
      </c>
      <c r="I2305" s="273">
        <f>SUMIF('2020'!B:B,B2305,'2020'!C:C)+SUMIF('2021'!B:B,B2305,'2021'!C:C)+SUMIF('2022'!B:B,B2305,'2022'!C:C)</f>
        <v>0</v>
      </c>
      <c r="J2305" s="59">
        <v>44925</v>
      </c>
      <c r="K2305" s="273" t="s">
        <v>3118</v>
      </c>
    </row>
    <row r="2306" spans="1:11" x14ac:dyDescent="0.3">
      <c r="A2306" s="259">
        <f t="shared" si="84"/>
        <v>2063</v>
      </c>
      <c r="B2306" s="20" t="s">
        <v>3314</v>
      </c>
      <c r="C2306" s="162">
        <v>1960</v>
      </c>
      <c r="D2306" s="273"/>
      <c r="E2306" s="200" t="s">
        <v>3036</v>
      </c>
      <c r="F2306" s="200">
        <v>2</v>
      </c>
      <c r="G2306" s="200">
        <v>663.6</v>
      </c>
      <c r="H2306" s="201">
        <v>22</v>
      </c>
      <c r="I2306" s="273">
        <f>SUMIF('2020'!B:B,B2306,'2020'!C:C)+SUMIF('2021'!B:B,B2306,'2021'!C:C)+SUMIF('2022'!B:B,B2306,'2022'!C:C)</f>
        <v>99078.05</v>
      </c>
      <c r="J2306" s="59">
        <v>44925</v>
      </c>
      <c r="K2306" s="273" t="s">
        <v>3118</v>
      </c>
    </row>
    <row r="2307" spans="1:11" x14ac:dyDescent="0.3">
      <c r="A2307" s="259">
        <f t="shared" si="84"/>
        <v>2064</v>
      </c>
      <c r="B2307" s="20" t="s">
        <v>3315</v>
      </c>
      <c r="C2307" s="162">
        <v>1960</v>
      </c>
      <c r="D2307" s="273"/>
      <c r="E2307" s="200" t="s">
        <v>3036</v>
      </c>
      <c r="F2307" s="200">
        <v>2</v>
      </c>
      <c r="G2307" s="200">
        <v>665</v>
      </c>
      <c r="H2307" s="201">
        <v>25</v>
      </c>
      <c r="I2307" s="273">
        <f>SUMIF('2020'!B:B,B2307,'2020'!C:C)+SUMIF('2021'!B:B,B2307,'2021'!C:C)+SUMIF('2022'!B:B,B2307,'2022'!C:C)</f>
        <v>99737.39</v>
      </c>
      <c r="J2307" s="59">
        <v>44925</v>
      </c>
      <c r="K2307" s="273" t="s">
        <v>3118</v>
      </c>
    </row>
    <row r="2308" spans="1:11" x14ac:dyDescent="0.3">
      <c r="A2308" s="259">
        <f t="shared" si="84"/>
        <v>2065</v>
      </c>
      <c r="B2308" s="20" t="s">
        <v>3316</v>
      </c>
      <c r="C2308" s="162">
        <v>1960</v>
      </c>
      <c r="D2308" s="273"/>
      <c r="E2308" s="200" t="s">
        <v>3036</v>
      </c>
      <c r="F2308" s="200">
        <v>2</v>
      </c>
      <c r="G2308" s="200">
        <v>684.1</v>
      </c>
      <c r="H2308" s="201">
        <v>25</v>
      </c>
      <c r="I2308" s="273">
        <f>SUMIF('2020'!B:B,B2308,'2020'!C:C)+SUMIF('2021'!B:B,B2308,'2021'!C:C)+SUMIF('2022'!B:B,B2308,'2022'!C:C)</f>
        <v>99378.77</v>
      </c>
      <c r="J2308" s="59">
        <v>44925</v>
      </c>
      <c r="K2308" s="273" t="s">
        <v>3118</v>
      </c>
    </row>
    <row r="2309" spans="1:11" x14ac:dyDescent="0.3">
      <c r="A2309" s="259">
        <f t="shared" si="84"/>
        <v>2066</v>
      </c>
      <c r="B2309" s="20" t="s">
        <v>3317</v>
      </c>
      <c r="C2309" s="162">
        <v>1960</v>
      </c>
      <c r="D2309" s="273"/>
      <c r="E2309" s="200" t="s">
        <v>3036</v>
      </c>
      <c r="F2309" s="200">
        <v>2</v>
      </c>
      <c r="G2309" s="200">
        <v>710.1</v>
      </c>
      <c r="H2309" s="201">
        <v>25</v>
      </c>
      <c r="I2309" s="273">
        <f>SUMIF('2020'!B:B,B2309,'2020'!C:C)+SUMIF('2021'!B:B,B2309,'2021'!C:C)+SUMIF('2022'!B:B,B2309,'2022'!C:C)</f>
        <v>105697.36</v>
      </c>
      <c r="J2309" s="59">
        <v>44925</v>
      </c>
      <c r="K2309" s="273" t="s">
        <v>3118</v>
      </c>
    </row>
    <row r="2310" spans="1:11" x14ac:dyDescent="0.3">
      <c r="A2310" s="259">
        <f t="shared" si="84"/>
        <v>2067</v>
      </c>
      <c r="B2310" s="20" t="s">
        <v>3318</v>
      </c>
      <c r="C2310" s="162">
        <v>1960</v>
      </c>
      <c r="D2310" s="273"/>
      <c r="E2310" s="200" t="s">
        <v>3036</v>
      </c>
      <c r="F2310" s="200">
        <v>2</v>
      </c>
      <c r="G2310" s="200">
        <v>686.7</v>
      </c>
      <c r="H2310" s="201">
        <v>38</v>
      </c>
      <c r="I2310" s="273">
        <f>SUMIF('2020'!B:B,B2310,'2020'!C:C)+SUMIF('2021'!B:B,B2310,'2021'!C:C)+SUMIF('2022'!B:B,B2310,'2022'!C:C)</f>
        <v>99967.85</v>
      </c>
      <c r="J2310" s="59">
        <v>44925</v>
      </c>
      <c r="K2310" s="273" t="s">
        <v>3118</v>
      </c>
    </row>
    <row r="2311" spans="1:11" x14ac:dyDescent="0.3">
      <c r="A2311" s="259">
        <f t="shared" si="84"/>
        <v>2068</v>
      </c>
      <c r="B2311" s="20" t="s">
        <v>3319</v>
      </c>
      <c r="C2311" s="162">
        <v>1960</v>
      </c>
      <c r="D2311" s="273"/>
      <c r="E2311" s="200" t="s">
        <v>3036</v>
      </c>
      <c r="F2311" s="200">
        <v>2</v>
      </c>
      <c r="G2311" s="200">
        <v>711.9</v>
      </c>
      <c r="H2311" s="201">
        <v>28</v>
      </c>
      <c r="I2311" s="273">
        <f>SUMIF('2020'!B:B,B2311,'2020'!C:C)+SUMIF('2021'!B:B,B2311,'2021'!C:C)+SUMIF('2022'!B:B,B2311,'2022'!C:C)</f>
        <v>105697.36</v>
      </c>
      <c r="J2311" s="59">
        <v>44925</v>
      </c>
      <c r="K2311" s="273" t="s">
        <v>3118</v>
      </c>
    </row>
    <row r="2312" spans="1:11" x14ac:dyDescent="0.3">
      <c r="A2312" s="259">
        <f t="shared" si="84"/>
        <v>2069</v>
      </c>
      <c r="B2312" s="20" t="s">
        <v>3320</v>
      </c>
      <c r="C2312" s="162">
        <v>1960</v>
      </c>
      <c r="D2312" s="273"/>
      <c r="E2312" s="200" t="s">
        <v>3036</v>
      </c>
      <c r="F2312" s="200">
        <v>2</v>
      </c>
      <c r="G2312" s="200">
        <v>682.2</v>
      </c>
      <c r="H2312" s="201">
        <v>24</v>
      </c>
      <c r="I2312" s="273">
        <f>SUMIF('2020'!B:B,B2312,'2020'!C:C)+SUMIF('2021'!B:B,B2312,'2021'!C:C)+SUMIF('2022'!B:B,B2312,'2022'!C:C)</f>
        <v>99865.57</v>
      </c>
      <c r="J2312" s="59">
        <v>44925</v>
      </c>
      <c r="K2312" s="273" t="s">
        <v>3118</v>
      </c>
    </row>
    <row r="2313" spans="1:11" x14ac:dyDescent="0.3">
      <c r="A2313" s="259">
        <f t="shared" si="84"/>
        <v>2070</v>
      </c>
      <c r="B2313" s="20" t="s">
        <v>3321</v>
      </c>
      <c r="C2313" s="162">
        <v>1960</v>
      </c>
      <c r="D2313" s="273"/>
      <c r="E2313" s="200" t="s">
        <v>3036</v>
      </c>
      <c r="F2313" s="200">
        <v>2</v>
      </c>
      <c r="G2313" s="200">
        <v>711.9</v>
      </c>
      <c r="H2313" s="201">
        <v>26</v>
      </c>
      <c r="I2313" s="273">
        <f>SUMIF('2020'!B:B,B2313,'2020'!C:C)+SUMIF('2021'!B:B,B2313,'2021'!C:C)+SUMIF('2022'!B:B,B2313,'2022'!C:C)</f>
        <v>105697.36</v>
      </c>
      <c r="J2313" s="59">
        <v>44925</v>
      </c>
      <c r="K2313" s="273" t="s">
        <v>3118</v>
      </c>
    </row>
    <row r="2314" spans="1:11" x14ac:dyDescent="0.3">
      <c r="A2314" s="302" t="s">
        <v>208</v>
      </c>
      <c r="B2314" s="302"/>
      <c r="C2314" s="273" t="s">
        <v>3558</v>
      </c>
      <c r="D2314" s="273" t="s">
        <v>3558</v>
      </c>
      <c r="E2314" s="273" t="s">
        <v>3558</v>
      </c>
      <c r="F2314" s="273" t="s">
        <v>3558</v>
      </c>
      <c r="G2314" s="273">
        <f>SUM(G2287:G2313)</f>
        <v>22533.1</v>
      </c>
      <c r="H2314" s="10">
        <f>SUM(H2287:H2313)</f>
        <v>803</v>
      </c>
      <c r="I2314" s="273">
        <f>SUM(I2287:I2313)</f>
        <v>3080523.5399999996</v>
      </c>
      <c r="J2314" s="273" t="s">
        <v>3558</v>
      </c>
      <c r="K2314" s="273" t="s">
        <v>3558</v>
      </c>
    </row>
    <row r="2315" spans="1:11" x14ac:dyDescent="0.3">
      <c r="A2315" s="301" t="s">
        <v>3322</v>
      </c>
      <c r="B2315" s="301"/>
      <c r="C2315" s="273"/>
      <c r="D2315" s="273"/>
      <c r="E2315" s="273"/>
      <c r="F2315" s="273"/>
      <c r="G2315" s="273"/>
      <c r="H2315" s="10"/>
      <c r="I2315" s="273"/>
      <c r="J2315" s="273"/>
      <c r="K2315" s="273"/>
    </row>
    <row r="2316" spans="1:11" x14ac:dyDescent="0.3">
      <c r="A2316" s="259">
        <f>A2313+1</f>
        <v>2071</v>
      </c>
      <c r="B2316" s="20" t="s">
        <v>3323</v>
      </c>
      <c r="C2316" s="162">
        <v>1965</v>
      </c>
      <c r="D2316" s="273"/>
      <c r="E2316" s="32" t="s">
        <v>3123</v>
      </c>
      <c r="F2316" s="28">
        <v>2</v>
      </c>
      <c r="G2316" s="46">
        <v>664.6</v>
      </c>
      <c r="H2316" s="174">
        <v>38</v>
      </c>
      <c r="I2316" s="273">
        <f>SUMIF('2020'!B:B,B2316,'2020'!C:C)+SUMIF('2021'!B:B,B2316,'2021'!C:C)+SUMIF('2022'!B:B,B2316,'2022'!C:C)</f>
        <v>130000</v>
      </c>
      <c r="J2316" s="59">
        <v>44925</v>
      </c>
      <c r="K2316" s="273" t="s">
        <v>3118</v>
      </c>
    </row>
    <row r="2317" spans="1:11" x14ac:dyDescent="0.3">
      <c r="A2317" s="259">
        <f t="shared" ref="A2317:A2331" si="85">A2316+1</f>
        <v>2072</v>
      </c>
      <c r="B2317" s="20" t="s">
        <v>3324</v>
      </c>
      <c r="C2317" s="162">
        <v>1969</v>
      </c>
      <c r="D2317" s="273"/>
      <c r="E2317" s="32" t="s">
        <v>3123</v>
      </c>
      <c r="F2317" s="28">
        <v>2</v>
      </c>
      <c r="G2317" s="46">
        <v>570.29999999999995</v>
      </c>
      <c r="H2317" s="174">
        <v>39</v>
      </c>
      <c r="I2317" s="273">
        <f>SUMIF('2020'!B:B,B2317,'2020'!C:C)+SUMIF('2021'!B:B,B2317,'2021'!C:C)+SUMIF('2022'!B:B,B2317,'2022'!C:C)</f>
        <v>130000</v>
      </c>
      <c r="J2317" s="59">
        <v>44925</v>
      </c>
      <c r="K2317" s="273" t="s">
        <v>3118</v>
      </c>
    </row>
    <row r="2318" spans="1:11" x14ac:dyDescent="0.3">
      <c r="A2318" s="259">
        <f t="shared" si="85"/>
        <v>2073</v>
      </c>
      <c r="B2318" s="20" t="s">
        <v>3325</v>
      </c>
      <c r="C2318" s="162">
        <v>1969</v>
      </c>
      <c r="D2318" s="273"/>
      <c r="E2318" s="32" t="s">
        <v>3123</v>
      </c>
      <c r="F2318" s="28">
        <v>2</v>
      </c>
      <c r="G2318" s="46">
        <v>570.6</v>
      </c>
      <c r="H2318" s="174">
        <v>28</v>
      </c>
      <c r="I2318" s="273">
        <f>SUMIF('2020'!B:B,B2318,'2020'!C:C)+SUMIF('2021'!B:B,B2318,'2021'!C:C)+SUMIF('2022'!B:B,B2318,'2022'!C:C)</f>
        <v>130000</v>
      </c>
      <c r="J2318" s="59">
        <v>44925</v>
      </c>
      <c r="K2318" s="273" t="s">
        <v>3118</v>
      </c>
    </row>
    <row r="2319" spans="1:11" x14ac:dyDescent="0.3">
      <c r="A2319" s="259">
        <f t="shared" si="85"/>
        <v>2074</v>
      </c>
      <c r="B2319" s="20" t="s">
        <v>3326</v>
      </c>
      <c r="C2319" s="162">
        <v>1970</v>
      </c>
      <c r="D2319" s="273"/>
      <c r="E2319" s="32" t="s">
        <v>3123</v>
      </c>
      <c r="F2319" s="28">
        <v>2</v>
      </c>
      <c r="G2319" s="46">
        <v>538.5</v>
      </c>
      <c r="H2319" s="174">
        <v>11</v>
      </c>
      <c r="I2319" s="273">
        <f>SUMIF('2020'!B:B,B2319,'2020'!C:C)+SUMIF('2021'!B:B,B2319,'2021'!C:C)+SUMIF('2022'!B:B,B2319,'2022'!C:C)</f>
        <v>130000</v>
      </c>
      <c r="J2319" s="59">
        <v>44925</v>
      </c>
      <c r="K2319" s="273" t="s">
        <v>3118</v>
      </c>
    </row>
    <row r="2320" spans="1:11" x14ac:dyDescent="0.3">
      <c r="A2320" s="259">
        <f t="shared" si="85"/>
        <v>2075</v>
      </c>
      <c r="B2320" s="20" t="s">
        <v>3327</v>
      </c>
      <c r="C2320" s="162">
        <v>1966</v>
      </c>
      <c r="D2320" s="273"/>
      <c r="E2320" s="32" t="s">
        <v>3123</v>
      </c>
      <c r="F2320" s="28">
        <v>2</v>
      </c>
      <c r="G2320" s="46">
        <v>549.6</v>
      </c>
      <c r="H2320" s="174">
        <v>25</v>
      </c>
      <c r="I2320" s="273">
        <f>SUMIF('2020'!B:B,B2320,'2020'!C:C)+SUMIF('2021'!B:B,B2320,'2021'!C:C)+SUMIF('2022'!B:B,B2320,'2022'!C:C)</f>
        <v>130000</v>
      </c>
      <c r="J2320" s="59">
        <v>44925</v>
      </c>
      <c r="K2320" s="273" t="s">
        <v>3118</v>
      </c>
    </row>
    <row r="2321" spans="1:11" x14ac:dyDescent="0.3">
      <c r="A2321" s="259">
        <f t="shared" si="85"/>
        <v>2076</v>
      </c>
      <c r="B2321" s="20" t="s">
        <v>3328</v>
      </c>
      <c r="C2321" s="162">
        <v>1967</v>
      </c>
      <c r="D2321" s="273"/>
      <c r="E2321" s="32" t="s">
        <v>3123</v>
      </c>
      <c r="F2321" s="28">
        <v>2</v>
      </c>
      <c r="G2321" s="46">
        <v>530</v>
      </c>
      <c r="H2321" s="174">
        <v>30</v>
      </c>
      <c r="I2321" s="273">
        <f>SUMIF('2020'!B:B,B2321,'2020'!C:C)+SUMIF('2021'!B:B,B2321,'2021'!C:C)+SUMIF('2022'!B:B,B2321,'2022'!C:C)</f>
        <v>130000</v>
      </c>
      <c r="J2321" s="59">
        <v>44925</v>
      </c>
      <c r="K2321" s="273" t="s">
        <v>3118</v>
      </c>
    </row>
    <row r="2322" spans="1:11" x14ac:dyDescent="0.3">
      <c r="A2322" s="259">
        <f t="shared" si="85"/>
        <v>2077</v>
      </c>
      <c r="B2322" s="20" t="s">
        <v>3329</v>
      </c>
      <c r="C2322" s="162">
        <v>1977</v>
      </c>
      <c r="D2322" s="273"/>
      <c r="E2322" s="32" t="s">
        <v>3121</v>
      </c>
      <c r="F2322" s="28">
        <v>5</v>
      </c>
      <c r="G2322" s="46">
        <v>3975</v>
      </c>
      <c r="H2322" s="174">
        <v>126</v>
      </c>
      <c r="I2322" s="273">
        <f>SUMIF('2020'!B:B,B2322,'2020'!C:C)+SUMIF('2021'!B:B,B2322,'2021'!C:C)+SUMIF('2022'!B:B,B2322,'2022'!C:C)</f>
        <v>130000</v>
      </c>
      <c r="J2322" s="59">
        <v>44925</v>
      </c>
      <c r="K2322" s="273" t="s">
        <v>3118</v>
      </c>
    </row>
    <row r="2323" spans="1:11" x14ac:dyDescent="0.3">
      <c r="A2323" s="259">
        <f t="shared" si="85"/>
        <v>2078</v>
      </c>
      <c r="B2323" s="20" t="s">
        <v>3330</v>
      </c>
      <c r="C2323" s="162">
        <v>1965</v>
      </c>
      <c r="D2323" s="273"/>
      <c r="E2323" s="32" t="s">
        <v>3123</v>
      </c>
      <c r="F2323" s="28">
        <v>2</v>
      </c>
      <c r="G2323" s="46">
        <v>649.79999999999995</v>
      </c>
      <c r="H2323" s="174">
        <v>20</v>
      </c>
      <c r="I2323" s="273">
        <f>SUMIF('2020'!B:B,B2323,'2020'!C:C)+SUMIF('2021'!B:B,B2323,'2021'!C:C)+SUMIF('2022'!B:B,B2323,'2022'!C:C)</f>
        <v>130000</v>
      </c>
      <c r="J2323" s="59">
        <v>44925</v>
      </c>
      <c r="K2323" s="273" t="s">
        <v>3118</v>
      </c>
    </row>
    <row r="2324" spans="1:11" x14ac:dyDescent="0.3">
      <c r="A2324" s="259">
        <f t="shared" si="85"/>
        <v>2079</v>
      </c>
      <c r="B2324" s="20" t="s">
        <v>3331</v>
      </c>
      <c r="C2324" s="162">
        <v>1957</v>
      </c>
      <c r="D2324" s="273"/>
      <c r="E2324" s="32" t="s">
        <v>3123</v>
      </c>
      <c r="F2324" s="28">
        <v>2</v>
      </c>
      <c r="G2324" s="46">
        <v>429.5</v>
      </c>
      <c r="H2324" s="174">
        <v>27</v>
      </c>
      <c r="I2324" s="273">
        <f>SUMIF('2020'!B:B,B2324,'2020'!C:C)+SUMIF('2021'!B:B,B2324,'2021'!C:C)+SUMIF('2022'!B:B,B2324,'2022'!C:C)</f>
        <v>120049.60000000001</v>
      </c>
      <c r="J2324" s="59">
        <v>44925</v>
      </c>
      <c r="K2324" s="273" t="s">
        <v>3118</v>
      </c>
    </row>
    <row r="2325" spans="1:11" x14ac:dyDescent="0.3">
      <c r="A2325" s="259">
        <f t="shared" si="85"/>
        <v>2080</v>
      </c>
      <c r="B2325" s="20" t="s">
        <v>3332</v>
      </c>
      <c r="C2325" s="162">
        <v>1967</v>
      </c>
      <c r="D2325" s="273"/>
      <c r="E2325" s="32" t="s">
        <v>3123</v>
      </c>
      <c r="F2325" s="28">
        <v>2</v>
      </c>
      <c r="G2325" s="46">
        <v>765.9</v>
      </c>
      <c r="H2325" s="174">
        <v>41</v>
      </c>
      <c r="I2325" s="273">
        <f>SUMIF('2020'!B:B,B2325,'2020'!C:C)+SUMIF('2021'!B:B,B2325,'2021'!C:C)+SUMIF('2022'!B:B,B2325,'2022'!C:C)</f>
        <v>115701.19</v>
      </c>
      <c r="J2325" s="59">
        <v>44925</v>
      </c>
      <c r="K2325" s="273" t="s">
        <v>3118</v>
      </c>
    </row>
    <row r="2326" spans="1:11" x14ac:dyDescent="0.3">
      <c r="A2326" s="259">
        <f t="shared" si="85"/>
        <v>2081</v>
      </c>
      <c r="B2326" s="20" t="s">
        <v>3333</v>
      </c>
      <c r="C2326" s="162">
        <v>1969</v>
      </c>
      <c r="D2326" s="273"/>
      <c r="E2326" s="32" t="s">
        <v>3123</v>
      </c>
      <c r="F2326" s="28">
        <v>2</v>
      </c>
      <c r="G2326" s="46">
        <v>1191.9000000000001</v>
      </c>
      <c r="H2326" s="174">
        <v>20</v>
      </c>
      <c r="I2326" s="273">
        <f>SUMIF('2020'!B:B,B2326,'2020'!C:C)+SUMIF('2021'!B:B,B2326,'2021'!C:C)+SUMIF('2022'!B:B,B2326,'2022'!C:C)</f>
        <v>118684.68</v>
      </c>
      <c r="J2326" s="59">
        <v>44925</v>
      </c>
      <c r="K2326" s="273" t="s">
        <v>3118</v>
      </c>
    </row>
    <row r="2327" spans="1:11" x14ac:dyDescent="0.3">
      <c r="A2327" s="259">
        <f t="shared" si="85"/>
        <v>2082</v>
      </c>
      <c r="B2327" s="20" t="s">
        <v>3334</v>
      </c>
      <c r="C2327" s="162">
        <v>1945</v>
      </c>
      <c r="D2327" s="273"/>
      <c r="E2327" s="32" t="s">
        <v>3123</v>
      </c>
      <c r="F2327" s="28">
        <v>2</v>
      </c>
      <c r="G2327" s="46">
        <v>399.5</v>
      </c>
      <c r="H2327" s="174">
        <v>20</v>
      </c>
      <c r="I2327" s="273">
        <f>SUMIF('2020'!B:B,B2327,'2020'!C:C)+SUMIF('2021'!B:B,B2327,'2021'!C:C)+SUMIF('2022'!B:B,B2327,'2022'!C:C)</f>
        <v>93423.07</v>
      </c>
      <c r="J2327" s="59">
        <v>44925</v>
      </c>
      <c r="K2327" s="273" t="s">
        <v>3118</v>
      </c>
    </row>
    <row r="2328" spans="1:11" x14ac:dyDescent="0.3">
      <c r="A2328" s="259">
        <f t="shared" si="85"/>
        <v>2083</v>
      </c>
      <c r="B2328" s="20" t="s">
        <v>3335</v>
      </c>
      <c r="C2328" s="162">
        <v>1963</v>
      </c>
      <c r="D2328" s="273"/>
      <c r="E2328" s="32" t="s">
        <v>3123</v>
      </c>
      <c r="F2328" s="28">
        <v>2</v>
      </c>
      <c r="G2328" s="46">
        <v>428.1</v>
      </c>
      <c r="H2328" s="174">
        <v>21</v>
      </c>
      <c r="I2328" s="273">
        <f>SUMIF('2020'!B:B,B2328,'2020'!C:C)+SUMIF('2021'!B:B,B2328,'2021'!C:C)+SUMIF('2022'!B:B,B2328,'2022'!C:C)</f>
        <v>114779.33</v>
      </c>
      <c r="J2328" s="59">
        <v>44925</v>
      </c>
      <c r="K2328" s="273" t="s">
        <v>3118</v>
      </c>
    </row>
    <row r="2329" spans="1:11" x14ac:dyDescent="0.3">
      <c r="A2329" s="259">
        <f t="shared" si="85"/>
        <v>2084</v>
      </c>
      <c r="B2329" s="20" t="s">
        <v>3336</v>
      </c>
      <c r="C2329" s="162">
        <v>1930</v>
      </c>
      <c r="D2329" s="273"/>
      <c r="E2329" s="32" t="s">
        <v>3123</v>
      </c>
      <c r="F2329" s="28">
        <v>2</v>
      </c>
      <c r="G2329" s="46">
        <v>366.9</v>
      </c>
      <c r="H2329" s="174">
        <v>17</v>
      </c>
      <c r="I2329" s="273">
        <f>SUMIF('2020'!B:B,B2329,'2020'!C:C)+SUMIF('2021'!B:B,B2329,'2021'!C:C)+SUMIF('2022'!B:B,B2329,'2022'!C:C)</f>
        <v>0</v>
      </c>
      <c r="J2329" s="59">
        <v>44925</v>
      </c>
      <c r="K2329" s="273" t="s">
        <v>3118</v>
      </c>
    </row>
    <row r="2330" spans="1:11" x14ac:dyDescent="0.3">
      <c r="A2330" s="259">
        <f t="shared" si="85"/>
        <v>2085</v>
      </c>
      <c r="B2330" s="20" t="s">
        <v>3337</v>
      </c>
      <c r="C2330" s="162">
        <v>1963</v>
      </c>
      <c r="D2330" s="273"/>
      <c r="E2330" s="32" t="s">
        <v>3123</v>
      </c>
      <c r="F2330" s="28">
        <v>2</v>
      </c>
      <c r="G2330" s="46">
        <v>440.5</v>
      </c>
      <c r="H2330" s="174">
        <v>18</v>
      </c>
      <c r="I2330" s="273">
        <f>SUMIF('2020'!B:B,B2330,'2020'!C:C)+SUMIF('2021'!B:B,B2330,'2021'!C:C)+SUMIF('2022'!B:B,B2330,'2022'!C:C)</f>
        <v>130000</v>
      </c>
      <c r="J2330" s="59">
        <v>44925</v>
      </c>
      <c r="K2330" s="273" t="s">
        <v>3118</v>
      </c>
    </row>
    <row r="2331" spans="1:11" x14ac:dyDescent="0.3">
      <c r="A2331" s="259">
        <f t="shared" si="85"/>
        <v>2086</v>
      </c>
      <c r="B2331" s="20" t="s">
        <v>3338</v>
      </c>
      <c r="C2331" s="162">
        <v>1962</v>
      </c>
      <c r="D2331" s="273"/>
      <c r="E2331" s="32" t="s">
        <v>3123</v>
      </c>
      <c r="F2331" s="28">
        <v>2</v>
      </c>
      <c r="G2331" s="46">
        <v>419.4</v>
      </c>
      <c r="H2331" s="174">
        <v>31</v>
      </c>
      <c r="I2331" s="273">
        <f>SUMIF('2020'!B:B,B2331,'2020'!C:C)+SUMIF('2021'!B:B,B2331,'2021'!C:C)+SUMIF('2022'!B:B,B2331,'2022'!C:C)</f>
        <v>114779.33</v>
      </c>
      <c r="J2331" s="59">
        <v>44925</v>
      </c>
      <c r="K2331" s="273" t="s">
        <v>3118</v>
      </c>
    </row>
    <row r="2332" spans="1:11" x14ac:dyDescent="0.3">
      <c r="A2332" s="302" t="s">
        <v>208</v>
      </c>
      <c r="B2332" s="302"/>
      <c r="C2332" s="273" t="s">
        <v>3558</v>
      </c>
      <c r="D2332" s="273" t="s">
        <v>3558</v>
      </c>
      <c r="E2332" s="273" t="s">
        <v>3558</v>
      </c>
      <c r="F2332" s="273" t="s">
        <v>3558</v>
      </c>
      <c r="G2332" s="273">
        <f>SUM(G2316:G2331)</f>
        <v>12490.1</v>
      </c>
      <c r="H2332" s="10">
        <f>SUM(H2316:H2331)</f>
        <v>512</v>
      </c>
      <c r="I2332" s="273">
        <f>SUM(I2316:I2331)</f>
        <v>1847417.2000000002</v>
      </c>
      <c r="J2332" s="273" t="s">
        <v>3558</v>
      </c>
      <c r="K2332" s="273" t="s">
        <v>3558</v>
      </c>
    </row>
    <row r="2333" spans="1:11" x14ac:dyDescent="0.3">
      <c r="A2333" s="301" t="s">
        <v>3207</v>
      </c>
      <c r="B2333" s="301"/>
      <c r="C2333" s="273"/>
      <c r="D2333" s="273"/>
      <c r="E2333" s="273"/>
      <c r="F2333" s="273"/>
      <c r="G2333" s="273"/>
      <c r="H2333" s="10"/>
      <c r="I2333" s="273"/>
      <c r="J2333" s="273"/>
      <c r="K2333" s="273"/>
    </row>
    <row r="2334" spans="1:11" x14ac:dyDescent="0.3">
      <c r="A2334" s="259">
        <f>A2331+1</f>
        <v>2087</v>
      </c>
      <c r="B2334" s="20" t="s">
        <v>3208</v>
      </c>
      <c r="C2334" s="162">
        <v>1969</v>
      </c>
      <c r="D2334" s="273"/>
      <c r="E2334" s="31" t="s">
        <v>3035</v>
      </c>
      <c r="F2334" s="273">
        <v>2</v>
      </c>
      <c r="G2334" s="31">
        <v>771.2</v>
      </c>
      <c r="H2334" s="10">
        <v>31</v>
      </c>
      <c r="I2334" s="273">
        <f>SUMIF('2020'!B:B,B2334,'2020'!C:C)+SUMIF('2021'!B:B,B2334,'2021'!C:C)+SUMIF('2022'!B:B,B2334,'2022'!C:C)</f>
        <v>3666566.4</v>
      </c>
      <c r="J2334" s="59">
        <v>44925</v>
      </c>
      <c r="K2334" s="273" t="s">
        <v>3118</v>
      </c>
    </row>
    <row r="2335" spans="1:11" x14ac:dyDescent="0.3">
      <c r="A2335" s="302" t="s">
        <v>208</v>
      </c>
      <c r="B2335" s="302"/>
      <c r="C2335" s="273" t="s">
        <v>3558</v>
      </c>
      <c r="D2335" s="273" t="s">
        <v>3558</v>
      </c>
      <c r="E2335" s="273" t="s">
        <v>3558</v>
      </c>
      <c r="F2335" s="273" t="s">
        <v>3558</v>
      </c>
      <c r="G2335" s="273">
        <f>SUM(G2334)</f>
        <v>771.2</v>
      </c>
      <c r="H2335" s="10">
        <f>SUM(H2334)</f>
        <v>31</v>
      </c>
      <c r="I2335" s="273">
        <f>SUM(I2334)</f>
        <v>3666566.4</v>
      </c>
      <c r="J2335" s="273" t="s">
        <v>3558</v>
      </c>
      <c r="K2335" s="273" t="s">
        <v>3558</v>
      </c>
    </row>
    <row r="2336" spans="1:11" x14ac:dyDescent="0.3">
      <c r="A2336" s="301" t="s">
        <v>3209</v>
      </c>
      <c r="B2336" s="301"/>
      <c r="C2336" s="273"/>
      <c r="D2336" s="273"/>
      <c r="E2336" s="273"/>
      <c r="F2336" s="273"/>
      <c r="G2336" s="273"/>
      <c r="H2336" s="10"/>
      <c r="I2336" s="273"/>
      <c r="J2336" s="273"/>
      <c r="K2336" s="273"/>
    </row>
    <row r="2337" spans="1:11" x14ac:dyDescent="0.3">
      <c r="A2337" s="259">
        <f>A2334+1</f>
        <v>2088</v>
      </c>
      <c r="B2337" s="20" t="s">
        <v>3210</v>
      </c>
      <c r="C2337" s="162">
        <v>1936</v>
      </c>
      <c r="D2337" s="273"/>
      <c r="E2337" s="31" t="s">
        <v>3123</v>
      </c>
      <c r="F2337" s="28">
        <v>4</v>
      </c>
      <c r="G2337" s="46">
        <v>2260.5</v>
      </c>
      <c r="H2337" s="48">
        <v>90</v>
      </c>
      <c r="I2337" s="273">
        <f>SUMIF('2020'!B:B,B2337,'2020'!C:C)+SUMIF('2021'!B:B,B2337,'2021'!C:C)+SUMIF('2022'!B:B,B2337,'2022'!C:C)</f>
        <v>6788856</v>
      </c>
      <c r="J2337" s="59">
        <v>44925</v>
      </c>
      <c r="K2337" s="273" t="s">
        <v>3118</v>
      </c>
    </row>
    <row r="2338" spans="1:11" x14ac:dyDescent="0.3">
      <c r="A2338" s="259">
        <f t="shared" ref="A2338:A2369" si="86">A2337+1</f>
        <v>2089</v>
      </c>
      <c r="B2338" s="20" t="s">
        <v>3339</v>
      </c>
      <c r="C2338" s="162">
        <v>1935</v>
      </c>
      <c r="D2338" s="273"/>
      <c r="E2338" s="31" t="s">
        <v>3123</v>
      </c>
      <c r="F2338" s="31">
        <v>4</v>
      </c>
      <c r="G2338" s="46">
        <v>2538.6</v>
      </c>
      <c r="H2338" s="173">
        <v>79</v>
      </c>
      <c r="I2338" s="273">
        <f>SUMIF('2020'!B:B,B2338,'2020'!C:C)+SUMIF('2021'!B:B,B2338,'2021'!C:C)+SUMIF('2022'!B:B,B2338,'2022'!C:C)</f>
        <v>397212.85</v>
      </c>
      <c r="J2338" s="59">
        <v>44925</v>
      </c>
      <c r="K2338" s="273" t="s">
        <v>3118</v>
      </c>
    </row>
    <row r="2339" spans="1:11" x14ac:dyDescent="0.3">
      <c r="A2339" s="259">
        <f t="shared" si="86"/>
        <v>2090</v>
      </c>
      <c r="B2339" s="20" t="s">
        <v>3340</v>
      </c>
      <c r="C2339" s="162">
        <v>1935</v>
      </c>
      <c r="D2339" s="273"/>
      <c r="E2339" s="31" t="s">
        <v>3123</v>
      </c>
      <c r="F2339" s="31">
        <v>4</v>
      </c>
      <c r="G2339" s="46">
        <v>2540.1</v>
      </c>
      <c r="H2339" s="173">
        <v>91</v>
      </c>
      <c r="I2339" s="273">
        <f>SUMIF('2020'!B:B,B2339,'2020'!C:C)+SUMIF('2021'!B:B,B2339,'2021'!C:C)+SUMIF('2022'!B:B,B2339,'2022'!C:C)</f>
        <v>397212.85</v>
      </c>
      <c r="J2339" s="59">
        <v>44925</v>
      </c>
      <c r="K2339" s="273" t="s">
        <v>3118</v>
      </c>
    </row>
    <row r="2340" spans="1:11" x14ac:dyDescent="0.3">
      <c r="A2340" s="259">
        <f t="shared" si="86"/>
        <v>2091</v>
      </c>
      <c r="B2340" s="20" t="s">
        <v>3341</v>
      </c>
      <c r="C2340" s="162">
        <v>1960</v>
      </c>
      <c r="D2340" s="273"/>
      <c r="E2340" s="31" t="s">
        <v>3123</v>
      </c>
      <c r="F2340" s="31">
        <v>2</v>
      </c>
      <c r="G2340" s="46">
        <v>691.6</v>
      </c>
      <c r="H2340" s="173">
        <v>12</v>
      </c>
      <c r="I2340" s="273">
        <f>SUMIF('2020'!B:B,B2340,'2020'!C:C)+SUMIF('2021'!B:B,B2340,'2021'!C:C)+SUMIF('2022'!B:B,B2340,'2022'!C:C)</f>
        <v>102534.97</v>
      </c>
      <c r="J2340" s="59">
        <v>44925</v>
      </c>
      <c r="K2340" s="273" t="s">
        <v>3118</v>
      </c>
    </row>
    <row r="2341" spans="1:11" x14ac:dyDescent="0.3">
      <c r="A2341" s="259">
        <f t="shared" si="86"/>
        <v>2092</v>
      </c>
      <c r="B2341" s="20" t="s">
        <v>3342</v>
      </c>
      <c r="C2341" s="162">
        <v>1960</v>
      </c>
      <c r="D2341" s="273"/>
      <c r="E2341" s="31" t="s">
        <v>3123</v>
      </c>
      <c r="F2341" s="31">
        <v>2</v>
      </c>
      <c r="G2341" s="46">
        <v>684</v>
      </c>
      <c r="H2341" s="173">
        <v>23</v>
      </c>
      <c r="I2341" s="273">
        <f>SUMIF('2020'!B:B,B2341,'2020'!C:C)+SUMIF('2021'!B:B,B2341,'2021'!C:C)+SUMIF('2022'!B:B,B2341,'2022'!C:C)</f>
        <v>200523.49</v>
      </c>
      <c r="J2341" s="59">
        <v>44925</v>
      </c>
      <c r="K2341" s="273" t="s">
        <v>3118</v>
      </c>
    </row>
    <row r="2342" spans="1:11" x14ac:dyDescent="0.3">
      <c r="A2342" s="259">
        <f t="shared" si="86"/>
        <v>2093</v>
      </c>
      <c r="B2342" s="20" t="s">
        <v>3343</v>
      </c>
      <c r="C2342" s="162">
        <v>1938</v>
      </c>
      <c r="D2342" s="273"/>
      <c r="E2342" s="31" t="s">
        <v>3123</v>
      </c>
      <c r="F2342" s="31">
        <v>4</v>
      </c>
      <c r="G2342" s="46">
        <v>2673</v>
      </c>
      <c r="H2342" s="173">
        <v>74</v>
      </c>
      <c r="I2342" s="273">
        <f>SUMIF('2020'!B:B,B2342,'2020'!C:C)+SUMIF('2021'!B:B,B2342,'2021'!C:C)+SUMIF('2022'!B:B,B2342,'2022'!C:C)</f>
        <v>377101.75</v>
      </c>
      <c r="J2342" s="59">
        <v>44925</v>
      </c>
      <c r="K2342" s="273" t="s">
        <v>3118</v>
      </c>
    </row>
    <row r="2343" spans="1:11" x14ac:dyDescent="0.3">
      <c r="A2343" s="259">
        <f t="shared" si="86"/>
        <v>2094</v>
      </c>
      <c r="B2343" s="20" t="s">
        <v>3344</v>
      </c>
      <c r="C2343" s="162">
        <v>1960</v>
      </c>
      <c r="D2343" s="273"/>
      <c r="E2343" s="31" t="s">
        <v>3123</v>
      </c>
      <c r="F2343" s="31">
        <v>2</v>
      </c>
      <c r="G2343" s="46">
        <v>688.1</v>
      </c>
      <c r="H2343" s="173">
        <v>7</v>
      </c>
      <c r="I2343" s="273">
        <f>SUMIF('2020'!B:B,B2343,'2020'!C:C)+SUMIF('2021'!B:B,B2343,'2021'!C:C)+SUMIF('2022'!B:B,B2343,'2022'!C:C)</f>
        <v>210725.71</v>
      </c>
      <c r="J2343" s="59">
        <v>44925</v>
      </c>
      <c r="K2343" s="273" t="s">
        <v>3118</v>
      </c>
    </row>
    <row r="2344" spans="1:11" x14ac:dyDescent="0.3">
      <c r="A2344" s="259">
        <f t="shared" si="86"/>
        <v>2095</v>
      </c>
      <c r="B2344" s="20" t="s">
        <v>3345</v>
      </c>
      <c r="C2344" s="162">
        <v>1960</v>
      </c>
      <c r="D2344" s="273"/>
      <c r="E2344" s="31" t="s">
        <v>3123</v>
      </c>
      <c r="F2344" s="31">
        <v>2</v>
      </c>
      <c r="G2344" s="46">
        <v>660.6</v>
      </c>
      <c r="H2344" s="173">
        <v>9</v>
      </c>
      <c r="I2344" s="273">
        <f>SUMIF('2020'!B:B,B2344,'2020'!C:C)+SUMIF('2021'!B:B,B2344,'2021'!C:C)+SUMIF('2022'!B:B,B2344,'2022'!C:C)</f>
        <v>108891.76</v>
      </c>
      <c r="J2344" s="59">
        <v>44925</v>
      </c>
      <c r="K2344" s="273" t="s">
        <v>3118</v>
      </c>
    </row>
    <row r="2345" spans="1:11" x14ac:dyDescent="0.3">
      <c r="A2345" s="259">
        <f t="shared" si="86"/>
        <v>2096</v>
      </c>
      <c r="B2345" s="20" t="s">
        <v>3211</v>
      </c>
      <c r="C2345" s="162">
        <v>1970</v>
      </c>
      <c r="D2345" s="273"/>
      <c r="E2345" s="31" t="s">
        <v>3119</v>
      </c>
      <c r="F2345" s="31">
        <v>5</v>
      </c>
      <c r="G2345" s="46">
        <v>3396.9</v>
      </c>
      <c r="H2345" s="173">
        <v>101</v>
      </c>
      <c r="I2345" s="273">
        <f>SUMIF('2020'!B:B,B2345,'2020'!C:C)+SUMIF('2021'!B:B,B2345,'2021'!C:C)+SUMIF('2022'!B:B,B2345,'2022'!C:C)</f>
        <v>4559446.3</v>
      </c>
      <c r="J2345" s="59">
        <v>44925</v>
      </c>
      <c r="K2345" s="273" t="s">
        <v>3118</v>
      </c>
    </row>
    <row r="2346" spans="1:11" x14ac:dyDescent="0.3">
      <c r="A2346" s="259">
        <f t="shared" si="86"/>
        <v>2097</v>
      </c>
      <c r="B2346" s="20" t="s">
        <v>3346</v>
      </c>
      <c r="C2346" s="162">
        <v>1918</v>
      </c>
      <c r="D2346" s="273"/>
      <c r="E2346" s="31" t="s">
        <v>3120</v>
      </c>
      <c r="F2346" s="31">
        <v>2</v>
      </c>
      <c r="G2346" s="46">
        <v>256.10000000000002</v>
      </c>
      <c r="H2346" s="173">
        <v>6</v>
      </c>
      <c r="I2346" s="273">
        <f>SUMIF('2020'!B:B,B2346,'2020'!C:C)+SUMIF('2021'!B:B,B2346,'2021'!C:C)+SUMIF('2022'!B:B,B2346,'2022'!C:C)</f>
        <v>151387.57999999999</v>
      </c>
      <c r="J2346" s="59">
        <v>44925</v>
      </c>
      <c r="K2346" s="273" t="s">
        <v>3118</v>
      </c>
    </row>
    <row r="2347" spans="1:11" x14ac:dyDescent="0.3">
      <c r="A2347" s="259">
        <f t="shared" si="86"/>
        <v>2098</v>
      </c>
      <c r="B2347" s="20" t="s">
        <v>3347</v>
      </c>
      <c r="C2347" s="162">
        <v>1962</v>
      </c>
      <c r="D2347" s="273"/>
      <c r="E2347" s="31" t="s">
        <v>3123</v>
      </c>
      <c r="F2347" s="31">
        <v>2</v>
      </c>
      <c r="G2347" s="46">
        <v>355.1</v>
      </c>
      <c r="H2347" s="173">
        <v>7</v>
      </c>
      <c r="I2347" s="273">
        <f>SUMIF('2020'!B:B,B2347,'2020'!C:C)+SUMIF('2021'!B:B,B2347,'2021'!C:C)+SUMIF('2022'!B:B,B2347,'2022'!C:C)</f>
        <v>184816.56</v>
      </c>
      <c r="J2347" s="59">
        <v>44925</v>
      </c>
      <c r="K2347" s="273" t="s">
        <v>3118</v>
      </c>
    </row>
    <row r="2348" spans="1:11" x14ac:dyDescent="0.3">
      <c r="A2348" s="259">
        <f t="shared" si="86"/>
        <v>2099</v>
      </c>
      <c r="B2348" s="20" t="s">
        <v>3348</v>
      </c>
      <c r="C2348" s="162">
        <v>1917</v>
      </c>
      <c r="D2348" s="273"/>
      <c r="E2348" s="31" t="s">
        <v>3123</v>
      </c>
      <c r="F2348" s="31">
        <v>2</v>
      </c>
      <c r="G2348" s="46">
        <v>413.6</v>
      </c>
      <c r="H2348" s="173">
        <v>11</v>
      </c>
      <c r="I2348" s="273">
        <f>SUMIF('2020'!B:B,B2348,'2020'!C:C)+SUMIF('2021'!B:B,B2348,'2021'!C:C)+SUMIF('2022'!B:B,B2348,'2022'!C:C)</f>
        <v>167708.12</v>
      </c>
      <c r="J2348" s="59">
        <v>44925</v>
      </c>
      <c r="K2348" s="273" t="s">
        <v>3118</v>
      </c>
    </row>
    <row r="2349" spans="1:11" x14ac:dyDescent="0.3">
      <c r="A2349" s="259">
        <f t="shared" si="86"/>
        <v>2100</v>
      </c>
      <c r="B2349" s="20" t="s">
        <v>3349</v>
      </c>
      <c r="C2349" s="162">
        <v>1976</v>
      </c>
      <c r="D2349" s="273"/>
      <c r="E2349" s="31" t="s">
        <v>3119</v>
      </c>
      <c r="F2349" s="31">
        <v>5</v>
      </c>
      <c r="G2349" s="46">
        <v>5442.8</v>
      </c>
      <c r="H2349" s="173">
        <v>197</v>
      </c>
      <c r="I2349" s="273">
        <f>SUMIF('2020'!B:B,B2349,'2020'!C:C)+SUMIF('2021'!B:B,B2349,'2021'!C:C)+SUMIF('2022'!B:B,B2349,'2022'!C:C)</f>
        <v>327964.7</v>
      </c>
      <c r="J2349" s="59">
        <v>44925</v>
      </c>
      <c r="K2349" s="273" t="s">
        <v>3118</v>
      </c>
    </row>
    <row r="2350" spans="1:11" x14ac:dyDescent="0.3">
      <c r="A2350" s="259">
        <f t="shared" si="86"/>
        <v>2101</v>
      </c>
      <c r="B2350" s="20" t="s">
        <v>3212</v>
      </c>
      <c r="C2350" s="162">
        <v>1991</v>
      </c>
      <c r="D2350" s="273"/>
      <c r="E2350" s="31" t="s">
        <v>3119</v>
      </c>
      <c r="F2350" s="31">
        <v>9</v>
      </c>
      <c r="G2350" s="46">
        <v>4870.2</v>
      </c>
      <c r="H2350" s="173">
        <v>168</v>
      </c>
      <c r="I2350" s="273">
        <f>SUMIF('2020'!B:B,B2350,'2020'!C:C)+SUMIF('2021'!B:B,B2350,'2021'!C:C)+SUMIF('2022'!B:B,B2350,'2022'!C:C)</f>
        <v>0</v>
      </c>
      <c r="J2350" s="59">
        <v>44925</v>
      </c>
      <c r="K2350" s="273" t="s">
        <v>3118</v>
      </c>
    </row>
    <row r="2351" spans="1:11" x14ac:dyDescent="0.3">
      <c r="A2351" s="259">
        <f t="shared" si="86"/>
        <v>2102</v>
      </c>
      <c r="B2351" s="20" t="s">
        <v>3350</v>
      </c>
      <c r="C2351" s="162">
        <v>1973</v>
      </c>
      <c r="D2351" s="273"/>
      <c r="E2351" s="31" t="s">
        <v>3123</v>
      </c>
      <c r="F2351" s="31">
        <v>5</v>
      </c>
      <c r="G2351" s="46">
        <v>6256.4</v>
      </c>
      <c r="H2351" s="173">
        <v>130</v>
      </c>
      <c r="I2351" s="273">
        <f>SUMIF('2020'!B:B,B2351,'2020'!C:C)+SUMIF('2021'!B:B,B2351,'2021'!C:C)+SUMIF('2022'!B:B,B2351,'2022'!C:C)</f>
        <v>405768.01</v>
      </c>
      <c r="J2351" s="59">
        <v>44925</v>
      </c>
      <c r="K2351" s="273" t="s">
        <v>3118</v>
      </c>
    </row>
    <row r="2352" spans="1:11" x14ac:dyDescent="0.3">
      <c r="A2352" s="259">
        <f t="shared" si="86"/>
        <v>2103</v>
      </c>
      <c r="B2352" s="20" t="s">
        <v>3213</v>
      </c>
      <c r="C2352" s="162">
        <v>1983</v>
      </c>
      <c r="D2352" s="273"/>
      <c r="E2352" s="31" t="s">
        <v>3119</v>
      </c>
      <c r="F2352" s="31">
        <v>5</v>
      </c>
      <c r="G2352" s="46">
        <v>13133.6</v>
      </c>
      <c r="H2352" s="173">
        <v>183</v>
      </c>
      <c r="I2352" s="273">
        <f>SUMIF('2020'!B:B,B2352,'2020'!C:C)+SUMIF('2021'!B:B,B2352,'2021'!C:C)+SUMIF('2022'!B:B,B2352,'2022'!C:C)</f>
        <v>11541715.699999999</v>
      </c>
      <c r="J2352" s="59">
        <v>44925</v>
      </c>
      <c r="K2352" s="273" t="s">
        <v>3118</v>
      </c>
    </row>
    <row r="2353" spans="1:11" x14ac:dyDescent="0.3">
      <c r="A2353" s="259">
        <f t="shared" si="86"/>
        <v>2104</v>
      </c>
      <c r="B2353" s="20" t="s">
        <v>3214</v>
      </c>
      <c r="C2353" s="162">
        <v>1986</v>
      </c>
      <c r="D2353" s="273"/>
      <c r="E2353" s="31" t="s">
        <v>3119</v>
      </c>
      <c r="F2353" s="31" t="s">
        <v>3524</v>
      </c>
      <c r="G2353" s="46">
        <v>10281.799999999999</v>
      </c>
      <c r="H2353" s="173">
        <v>299</v>
      </c>
      <c r="I2353" s="273">
        <f>SUMIF('2020'!B:B,B2353,'2020'!C:C)+SUMIF('2021'!B:B,B2353,'2021'!C:C)+SUMIF('2022'!B:B,B2353,'2022'!C:C)</f>
        <v>19687856.509999998</v>
      </c>
      <c r="J2353" s="59">
        <v>44925</v>
      </c>
      <c r="K2353" s="273" t="s">
        <v>3118</v>
      </c>
    </row>
    <row r="2354" spans="1:11" x14ac:dyDescent="0.3">
      <c r="A2354" s="259">
        <f t="shared" si="86"/>
        <v>2105</v>
      </c>
      <c r="B2354" s="20" t="s">
        <v>3215</v>
      </c>
      <c r="C2354" s="5">
        <v>1987</v>
      </c>
      <c r="D2354" s="273"/>
      <c r="E2354" s="273" t="s">
        <v>3119</v>
      </c>
      <c r="F2354" s="273" t="s">
        <v>3524</v>
      </c>
      <c r="G2354" s="273">
        <v>10258.4</v>
      </c>
      <c r="H2354" s="10">
        <v>319</v>
      </c>
      <c r="I2354" s="273">
        <f>SUMIF('2020'!B:B,B2354,'2020'!C:C)+SUMIF('2021'!B:B,B2354,'2021'!C:C)+SUMIF('2022'!B:B,B2354,'2022'!C:C)</f>
        <v>39472559.439999998</v>
      </c>
      <c r="J2354" s="59">
        <v>44925</v>
      </c>
      <c r="K2354" s="273" t="s">
        <v>3118</v>
      </c>
    </row>
    <row r="2355" spans="1:11" x14ac:dyDescent="0.3">
      <c r="A2355" s="259">
        <f t="shared" si="86"/>
        <v>2106</v>
      </c>
      <c r="B2355" s="20" t="s">
        <v>3216</v>
      </c>
      <c r="C2355" s="162">
        <v>1990</v>
      </c>
      <c r="D2355" s="273"/>
      <c r="E2355" s="31" t="s">
        <v>3119</v>
      </c>
      <c r="F2355" s="31">
        <v>5</v>
      </c>
      <c r="G2355" s="46">
        <v>4344.8</v>
      </c>
      <c r="H2355" s="173">
        <v>131</v>
      </c>
      <c r="I2355" s="273">
        <f>SUMIF('2020'!B:B,B2355,'2020'!C:C)+SUMIF('2021'!B:B,B2355,'2021'!C:C)+SUMIF('2022'!B:B,B2355,'2022'!C:C)</f>
        <v>6142465.5899999999</v>
      </c>
      <c r="J2355" s="59">
        <v>44925</v>
      </c>
      <c r="K2355" s="273" t="s">
        <v>3118</v>
      </c>
    </row>
    <row r="2356" spans="1:11" x14ac:dyDescent="0.3">
      <c r="A2356" s="259">
        <f t="shared" si="86"/>
        <v>2107</v>
      </c>
      <c r="B2356" s="20" t="s">
        <v>3351</v>
      </c>
      <c r="C2356" s="162">
        <v>1975</v>
      </c>
      <c r="D2356" s="273"/>
      <c r="E2356" s="31" t="s">
        <v>3123</v>
      </c>
      <c r="F2356" s="31">
        <v>5</v>
      </c>
      <c r="G2356" s="46">
        <v>2949.3</v>
      </c>
      <c r="H2356" s="173">
        <v>74</v>
      </c>
      <c r="I2356" s="273">
        <f>SUMIF('2020'!B:B,B2356,'2020'!C:C)+SUMIF('2021'!B:B,B2356,'2021'!C:C)+SUMIF('2022'!B:B,B2356,'2022'!C:C)</f>
        <v>288483.83</v>
      </c>
      <c r="J2356" s="59">
        <v>44925</v>
      </c>
      <c r="K2356" s="273" t="s">
        <v>3118</v>
      </c>
    </row>
    <row r="2357" spans="1:11" x14ac:dyDescent="0.3">
      <c r="A2357" s="259">
        <f t="shared" si="86"/>
        <v>2108</v>
      </c>
      <c r="B2357" s="20" t="s">
        <v>3352</v>
      </c>
      <c r="C2357" s="162">
        <v>1958</v>
      </c>
      <c r="D2357" s="273"/>
      <c r="E2357" s="31" t="s">
        <v>3123</v>
      </c>
      <c r="F2357" s="31">
        <v>2</v>
      </c>
      <c r="G2357" s="46">
        <v>816</v>
      </c>
      <c r="H2357" s="173">
        <v>26</v>
      </c>
      <c r="I2357" s="273">
        <f>SUMIF('2020'!B:B,B2357,'2020'!C:C)+SUMIF('2021'!B:B,B2357,'2021'!C:C)+SUMIF('2022'!B:B,B2357,'2022'!C:C)</f>
        <v>274518.8</v>
      </c>
      <c r="J2357" s="59">
        <v>44925</v>
      </c>
      <c r="K2357" s="273" t="s">
        <v>3118</v>
      </c>
    </row>
    <row r="2358" spans="1:11" x14ac:dyDescent="0.3">
      <c r="A2358" s="259">
        <f t="shared" si="86"/>
        <v>2109</v>
      </c>
      <c r="B2358" s="20" t="s">
        <v>3353</v>
      </c>
      <c r="C2358" s="162">
        <v>1980</v>
      </c>
      <c r="D2358" s="273"/>
      <c r="E2358" s="31" t="s">
        <v>3119</v>
      </c>
      <c r="F2358" s="31">
        <v>5</v>
      </c>
      <c r="G2358" s="46">
        <v>7171.2</v>
      </c>
      <c r="H2358" s="173">
        <v>297</v>
      </c>
      <c r="I2358" s="273">
        <f>SUMIF('2020'!B:B,B2358,'2020'!C:C)+SUMIF('2021'!B:B,B2358,'2021'!C:C)+SUMIF('2022'!B:B,B2358,'2022'!C:C)</f>
        <v>30926670</v>
      </c>
      <c r="J2358" s="59">
        <v>44925</v>
      </c>
      <c r="K2358" s="273" t="s">
        <v>3118</v>
      </c>
    </row>
    <row r="2359" spans="1:11" x14ac:dyDescent="0.3">
      <c r="A2359" s="259">
        <f t="shared" si="86"/>
        <v>2110</v>
      </c>
      <c r="B2359" s="20" t="s">
        <v>3354</v>
      </c>
      <c r="C2359" s="162">
        <v>1951</v>
      </c>
      <c r="D2359" s="273"/>
      <c r="E2359" s="31" t="s">
        <v>3121</v>
      </c>
      <c r="F2359" s="31">
        <v>2</v>
      </c>
      <c r="G2359" s="46">
        <v>422.2</v>
      </c>
      <c r="H2359" s="173">
        <v>19</v>
      </c>
      <c r="I2359" s="273">
        <f>SUMIF('2020'!B:B,B2359,'2020'!C:C)+SUMIF('2021'!B:B,B2359,'2021'!C:C)+SUMIF('2022'!B:B,B2359,'2022'!C:C)</f>
        <v>197631</v>
      </c>
      <c r="J2359" s="59">
        <v>44925</v>
      </c>
      <c r="K2359" s="273" t="s">
        <v>3118</v>
      </c>
    </row>
    <row r="2360" spans="1:11" x14ac:dyDescent="0.3">
      <c r="A2360" s="259">
        <f t="shared" si="86"/>
        <v>2111</v>
      </c>
      <c r="B2360" s="20" t="s">
        <v>3355</v>
      </c>
      <c r="C2360" s="162">
        <v>1947</v>
      </c>
      <c r="D2360" s="273"/>
      <c r="E2360" s="31" t="s">
        <v>3123</v>
      </c>
      <c r="F2360" s="31">
        <v>2</v>
      </c>
      <c r="G2360" s="46">
        <v>425.8</v>
      </c>
      <c r="H2360" s="173">
        <v>10</v>
      </c>
      <c r="I2360" s="273">
        <f>SUMIF('2020'!B:B,B2360,'2020'!C:C)+SUMIF('2021'!B:B,B2360,'2021'!C:C)+SUMIF('2022'!B:B,B2360,'2022'!C:C)</f>
        <v>228728.39</v>
      </c>
      <c r="J2360" s="59">
        <v>44925</v>
      </c>
      <c r="K2360" s="273" t="s">
        <v>3118</v>
      </c>
    </row>
    <row r="2361" spans="1:11" x14ac:dyDescent="0.3">
      <c r="A2361" s="259">
        <f t="shared" si="86"/>
        <v>2112</v>
      </c>
      <c r="B2361" s="20" t="s">
        <v>3356</v>
      </c>
      <c r="C2361" s="162">
        <v>1983</v>
      </c>
      <c r="D2361" s="273"/>
      <c r="E2361" s="31" t="s">
        <v>3123</v>
      </c>
      <c r="F2361" s="31">
        <v>9</v>
      </c>
      <c r="G2361" s="46">
        <v>7725.6</v>
      </c>
      <c r="H2361" s="173">
        <v>189</v>
      </c>
      <c r="I2361" s="273">
        <f>SUMIF('2020'!B:B,B2361,'2020'!C:C)+SUMIF('2021'!B:B,B2361,'2021'!C:C)+SUMIF('2022'!B:B,B2361,'2022'!C:C)</f>
        <v>604106.42000000004</v>
      </c>
      <c r="J2361" s="59">
        <v>44925</v>
      </c>
      <c r="K2361" s="273" t="s">
        <v>3118</v>
      </c>
    </row>
    <row r="2362" spans="1:11" x14ac:dyDescent="0.3">
      <c r="A2362" s="259">
        <f t="shared" si="86"/>
        <v>2113</v>
      </c>
      <c r="B2362" s="20" t="s">
        <v>3357</v>
      </c>
      <c r="C2362" s="162">
        <v>1960</v>
      </c>
      <c r="D2362" s="273"/>
      <c r="E2362" s="31" t="s">
        <v>3123</v>
      </c>
      <c r="F2362" s="31">
        <v>2</v>
      </c>
      <c r="G2362" s="46">
        <v>1093.0999999999999</v>
      </c>
      <c r="H2362" s="173">
        <v>43</v>
      </c>
      <c r="I2362" s="273">
        <f>SUMIF('2020'!B:B,B2362,'2020'!C:C)+SUMIF('2021'!B:B,B2362,'2021'!C:C)+SUMIF('2022'!B:B,B2362,'2022'!C:C)</f>
        <v>113929.01</v>
      </c>
      <c r="J2362" s="59">
        <v>44925</v>
      </c>
      <c r="K2362" s="273" t="s">
        <v>3118</v>
      </c>
    </row>
    <row r="2363" spans="1:11" x14ac:dyDescent="0.3">
      <c r="A2363" s="259">
        <f t="shared" si="86"/>
        <v>2114</v>
      </c>
      <c r="B2363" s="20" t="s">
        <v>3401</v>
      </c>
      <c r="C2363" s="162">
        <v>1967</v>
      </c>
      <c r="D2363" s="273"/>
      <c r="E2363" s="31" t="s">
        <v>3123</v>
      </c>
      <c r="F2363" s="31">
        <v>5</v>
      </c>
      <c r="G2363" s="46">
        <v>3897.6</v>
      </c>
      <c r="H2363" s="173">
        <v>107</v>
      </c>
      <c r="I2363" s="273">
        <f>SUMIF('2020'!B:B,B2363,'2020'!C:C)+SUMIF('2021'!B:B,B2363,'2021'!C:C)+SUMIF('2022'!B:B,B2363,'2022'!C:C)</f>
        <v>4696462.8</v>
      </c>
      <c r="J2363" s="59">
        <v>44925</v>
      </c>
      <c r="K2363" s="273" t="s">
        <v>3118</v>
      </c>
    </row>
    <row r="2364" spans="1:11" x14ac:dyDescent="0.3">
      <c r="A2364" s="259">
        <f t="shared" si="86"/>
        <v>2115</v>
      </c>
      <c r="B2364" s="20" t="s">
        <v>3217</v>
      </c>
      <c r="C2364" s="162">
        <v>1968</v>
      </c>
      <c r="D2364" s="273"/>
      <c r="E2364" s="31" t="s">
        <v>3123</v>
      </c>
      <c r="F2364" s="31">
        <v>5</v>
      </c>
      <c r="G2364" s="46">
        <v>4370.8999999999996</v>
      </c>
      <c r="H2364" s="173">
        <v>104</v>
      </c>
      <c r="I2364" s="273">
        <f>SUMIF('2020'!B:B,B2364,'2020'!C:C)+SUMIF('2021'!B:B,B2364,'2021'!C:C)+SUMIF('2022'!B:B,B2364,'2022'!C:C)</f>
        <v>12863890.300000001</v>
      </c>
      <c r="J2364" s="59">
        <v>44925</v>
      </c>
      <c r="K2364" s="273" t="s">
        <v>3118</v>
      </c>
    </row>
    <row r="2365" spans="1:11" x14ac:dyDescent="0.3">
      <c r="A2365" s="259">
        <f t="shared" si="86"/>
        <v>2116</v>
      </c>
      <c r="B2365" s="20" t="s">
        <v>3218</v>
      </c>
      <c r="C2365" s="162">
        <v>1976</v>
      </c>
      <c r="D2365" s="273"/>
      <c r="E2365" s="31" t="s">
        <v>3119</v>
      </c>
      <c r="F2365" s="31">
        <v>5</v>
      </c>
      <c r="G2365" s="46">
        <v>5720.9</v>
      </c>
      <c r="H2365" s="173">
        <v>177</v>
      </c>
      <c r="I2365" s="273">
        <f>SUMIF('2020'!B:B,B2365,'2020'!C:C)+SUMIF('2021'!B:B,B2365,'2021'!C:C)+SUMIF('2022'!B:B,B2365,'2022'!C:C)</f>
        <v>7897216.2699999996</v>
      </c>
      <c r="J2365" s="59">
        <v>44925</v>
      </c>
      <c r="K2365" s="273" t="s">
        <v>3118</v>
      </c>
    </row>
    <row r="2366" spans="1:11" x14ac:dyDescent="0.3">
      <c r="A2366" s="259">
        <f t="shared" si="86"/>
        <v>2117</v>
      </c>
      <c r="B2366" s="20" t="s">
        <v>3402</v>
      </c>
      <c r="C2366" s="162">
        <v>1968</v>
      </c>
      <c r="D2366" s="273"/>
      <c r="E2366" s="31" t="s">
        <v>3123</v>
      </c>
      <c r="F2366" s="31">
        <v>5</v>
      </c>
      <c r="G2366" s="46">
        <v>4154.2</v>
      </c>
      <c r="H2366" s="173">
        <v>90</v>
      </c>
      <c r="I2366" s="273">
        <f>SUMIF('2020'!B:B,B2366,'2020'!C:C)+SUMIF('2021'!B:B,B2366,'2021'!C:C)+SUMIF('2022'!B:B,B2366,'2022'!C:C)</f>
        <v>5264296.8</v>
      </c>
      <c r="J2366" s="59">
        <v>44925</v>
      </c>
      <c r="K2366" s="273" t="s">
        <v>3118</v>
      </c>
    </row>
    <row r="2367" spans="1:11" x14ac:dyDescent="0.3">
      <c r="A2367" s="259">
        <f t="shared" si="86"/>
        <v>2118</v>
      </c>
      <c r="B2367" s="20" t="s">
        <v>3358</v>
      </c>
      <c r="C2367" s="162">
        <v>1947</v>
      </c>
      <c r="D2367" s="273"/>
      <c r="E2367" s="31" t="s">
        <v>3120</v>
      </c>
      <c r="F2367" s="31">
        <v>2</v>
      </c>
      <c r="G2367" s="46">
        <v>517.1</v>
      </c>
      <c r="H2367" s="173">
        <v>21</v>
      </c>
      <c r="I2367" s="273">
        <f>SUMIF('2020'!B:B,B2367,'2020'!C:C)+SUMIF('2021'!B:B,B2367,'2021'!C:C)+SUMIF('2022'!B:B,B2367,'2022'!C:C)</f>
        <v>111881.72</v>
      </c>
      <c r="J2367" s="59">
        <v>44925</v>
      </c>
      <c r="K2367" s="273" t="s">
        <v>3118</v>
      </c>
    </row>
    <row r="2368" spans="1:11" x14ac:dyDescent="0.3">
      <c r="A2368" s="259">
        <f t="shared" si="86"/>
        <v>2119</v>
      </c>
      <c r="B2368" s="20" t="s">
        <v>3359</v>
      </c>
      <c r="C2368" s="162">
        <v>1960</v>
      </c>
      <c r="D2368" s="273"/>
      <c r="E2368" s="31" t="s">
        <v>3123</v>
      </c>
      <c r="F2368" s="31">
        <v>2</v>
      </c>
      <c r="G2368" s="46">
        <v>311.2</v>
      </c>
      <c r="H2368" s="173">
        <v>12</v>
      </c>
      <c r="I2368" s="273">
        <f>SUMIF('2020'!B:B,B2368,'2020'!C:C)+SUMIF('2021'!B:B,B2368,'2021'!C:C)+SUMIF('2022'!B:B,B2368,'2022'!C:C)</f>
        <v>158789.71</v>
      </c>
      <c r="J2368" s="59">
        <v>44925</v>
      </c>
      <c r="K2368" s="273" t="s">
        <v>3118</v>
      </c>
    </row>
    <row r="2369" spans="1:11" x14ac:dyDescent="0.3">
      <c r="A2369" s="259">
        <f t="shared" si="86"/>
        <v>2120</v>
      </c>
      <c r="B2369" s="20" t="s">
        <v>3360</v>
      </c>
      <c r="C2369" s="162">
        <v>1925</v>
      </c>
      <c r="D2369" s="273"/>
      <c r="E2369" s="31" t="s">
        <v>3123</v>
      </c>
      <c r="F2369" s="31">
        <v>2</v>
      </c>
      <c r="G2369" s="46">
        <v>359.4</v>
      </c>
      <c r="H2369" s="173">
        <v>7</v>
      </c>
      <c r="I2369" s="273">
        <f>SUMIF('2020'!B:B,B2369,'2020'!C:C)+SUMIF('2021'!B:B,B2369,'2021'!C:C)+SUMIF('2022'!B:B,B2369,'2022'!C:C)</f>
        <v>130000</v>
      </c>
      <c r="J2369" s="59">
        <v>44925</v>
      </c>
      <c r="K2369" s="273" t="s">
        <v>3118</v>
      </c>
    </row>
    <row r="2370" spans="1:11" x14ac:dyDescent="0.3">
      <c r="A2370" s="259">
        <f t="shared" ref="A2370:A2398" si="87">A2369+1</f>
        <v>2121</v>
      </c>
      <c r="B2370" s="20" t="s">
        <v>3361</v>
      </c>
      <c r="C2370" s="162">
        <v>1918</v>
      </c>
      <c r="D2370" s="273"/>
      <c r="E2370" s="31" t="s">
        <v>3120</v>
      </c>
      <c r="F2370" s="31">
        <v>2</v>
      </c>
      <c r="G2370" s="46">
        <v>207.1</v>
      </c>
      <c r="H2370" s="173">
        <v>23</v>
      </c>
      <c r="I2370" s="273">
        <f>SUMIF('2020'!B:B,B2370,'2020'!C:C)+SUMIF('2021'!B:B,B2370,'2021'!C:C)+SUMIF('2022'!B:B,B2370,'2022'!C:C)</f>
        <v>131565.20000000001</v>
      </c>
      <c r="J2370" s="59">
        <v>44925</v>
      </c>
      <c r="K2370" s="273" t="s">
        <v>3118</v>
      </c>
    </row>
    <row r="2371" spans="1:11" x14ac:dyDescent="0.3">
      <c r="A2371" s="259">
        <f t="shared" si="87"/>
        <v>2122</v>
      </c>
      <c r="B2371" s="20" t="s">
        <v>3362</v>
      </c>
      <c r="C2371" s="162">
        <v>1941</v>
      </c>
      <c r="D2371" s="273"/>
      <c r="E2371" s="31" t="s">
        <v>3123</v>
      </c>
      <c r="F2371" s="31">
        <v>4</v>
      </c>
      <c r="G2371" s="46">
        <v>2537.1</v>
      </c>
      <c r="H2371" s="173">
        <v>79</v>
      </c>
      <c r="I2371" s="273">
        <f>SUMIF('2020'!B:B,B2371,'2020'!C:C)+SUMIF('2021'!B:B,B2371,'2021'!C:C)+SUMIF('2022'!B:B,B2371,'2022'!C:C)</f>
        <v>431662.08999999997</v>
      </c>
      <c r="J2371" s="59">
        <v>44925</v>
      </c>
      <c r="K2371" s="273" t="s">
        <v>3118</v>
      </c>
    </row>
    <row r="2372" spans="1:11" x14ac:dyDescent="0.3">
      <c r="A2372" s="259">
        <f t="shared" si="87"/>
        <v>2123</v>
      </c>
      <c r="B2372" s="20" t="s">
        <v>3363</v>
      </c>
      <c r="C2372" s="162">
        <v>1948</v>
      </c>
      <c r="D2372" s="273"/>
      <c r="E2372" s="31" t="s">
        <v>3123</v>
      </c>
      <c r="F2372" s="31">
        <v>4</v>
      </c>
      <c r="G2372" s="46">
        <v>2725.8</v>
      </c>
      <c r="H2372" s="173">
        <v>107</v>
      </c>
      <c r="I2372" s="273">
        <f>SUMIF('2020'!B:B,B2372,'2020'!C:C)+SUMIF('2021'!B:B,B2372,'2021'!C:C)+SUMIF('2022'!B:B,B2372,'2022'!C:C)</f>
        <v>269549.98</v>
      </c>
      <c r="J2372" s="59">
        <v>44925</v>
      </c>
      <c r="K2372" s="273" t="s">
        <v>3118</v>
      </c>
    </row>
    <row r="2373" spans="1:11" x14ac:dyDescent="0.3">
      <c r="A2373" s="259">
        <f t="shared" si="87"/>
        <v>2124</v>
      </c>
      <c r="B2373" s="20" t="s">
        <v>3403</v>
      </c>
      <c r="C2373" s="162">
        <v>1978</v>
      </c>
      <c r="D2373" s="273"/>
      <c r="E2373" s="31" t="s">
        <v>3119</v>
      </c>
      <c r="F2373" s="31">
        <v>5</v>
      </c>
      <c r="G2373" s="46">
        <v>6421.6</v>
      </c>
      <c r="H2373" s="173">
        <v>173</v>
      </c>
      <c r="I2373" s="273">
        <f>SUMIF('2020'!B:B,B2373,'2020'!C:C)+SUMIF('2021'!B:B,B2373,'2021'!C:C)+SUMIF('2022'!B:B,B2373,'2022'!C:C)</f>
        <v>25584548.399999999</v>
      </c>
      <c r="J2373" s="59">
        <v>44925</v>
      </c>
      <c r="K2373" s="273" t="s">
        <v>3118</v>
      </c>
    </row>
    <row r="2374" spans="1:11" x14ac:dyDescent="0.3">
      <c r="A2374" s="259">
        <f t="shared" si="87"/>
        <v>2125</v>
      </c>
      <c r="B2374" s="20" t="s">
        <v>3404</v>
      </c>
      <c r="C2374" s="162">
        <v>1976</v>
      </c>
      <c r="D2374" s="273"/>
      <c r="E2374" s="31" t="s">
        <v>3119</v>
      </c>
      <c r="F2374" s="31">
        <v>5</v>
      </c>
      <c r="G2374" s="46">
        <v>5085.6000000000004</v>
      </c>
      <c r="H2374" s="173">
        <v>173</v>
      </c>
      <c r="I2374" s="273">
        <f>SUMIF('2020'!B:B,B2374,'2020'!C:C)+SUMIF('2021'!B:B,B2374,'2021'!C:C)+SUMIF('2022'!B:B,B2374,'2022'!C:C)</f>
        <v>22961302.800000001</v>
      </c>
      <c r="J2374" s="59">
        <v>44925</v>
      </c>
      <c r="K2374" s="273" t="s">
        <v>3118</v>
      </c>
    </row>
    <row r="2375" spans="1:11" x14ac:dyDescent="0.3">
      <c r="A2375" s="259">
        <f t="shared" si="87"/>
        <v>2126</v>
      </c>
      <c r="B2375" s="20" t="s">
        <v>3364</v>
      </c>
      <c r="C2375" s="162">
        <v>1961</v>
      </c>
      <c r="D2375" s="273"/>
      <c r="E2375" s="31" t="s">
        <v>3123</v>
      </c>
      <c r="F2375" s="31">
        <v>3</v>
      </c>
      <c r="G2375" s="46">
        <v>1372.3</v>
      </c>
      <c r="H2375" s="173">
        <v>42</v>
      </c>
      <c r="I2375" s="273">
        <f>SUMIF('2020'!B:B,B2375,'2020'!C:C)+SUMIF('2021'!B:B,B2375,'2021'!C:C)+SUMIF('2022'!B:B,B2375,'2022'!C:C)</f>
        <v>839913.58</v>
      </c>
      <c r="J2375" s="59">
        <v>44925</v>
      </c>
      <c r="K2375" s="273" t="s">
        <v>3118</v>
      </c>
    </row>
    <row r="2376" spans="1:11" x14ac:dyDescent="0.3">
      <c r="A2376" s="259">
        <f t="shared" si="87"/>
        <v>2127</v>
      </c>
      <c r="B2376" s="20" t="s">
        <v>3365</v>
      </c>
      <c r="C2376" s="162">
        <v>1971</v>
      </c>
      <c r="D2376" s="273"/>
      <c r="E2376" s="31" t="s">
        <v>3119</v>
      </c>
      <c r="F2376" s="31">
        <v>5</v>
      </c>
      <c r="G2376" s="46">
        <v>7435.8</v>
      </c>
      <c r="H2376" s="173">
        <v>258</v>
      </c>
      <c r="I2376" s="273">
        <f>SUMIF('2020'!B:B,B2376,'2020'!C:C)+SUMIF('2021'!B:B,B2376,'2021'!C:C)+SUMIF('2022'!B:B,B2376,'2022'!C:C)</f>
        <v>704307.36</v>
      </c>
      <c r="J2376" s="59">
        <v>44925</v>
      </c>
      <c r="K2376" s="273" t="s">
        <v>3118</v>
      </c>
    </row>
    <row r="2377" spans="1:11" x14ac:dyDescent="0.3">
      <c r="A2377" s="259">
        <f t="shared" si="87"/>
        <v>2128</v>
      </c>
      <c r="B2377" s="20" t="s">
        <v>3366</v>
      </c>
      <c r="C2377" s="162">
        <v>1974</v>
      </c>
      <c r="D2377" s="273"/>
      <c r="E2377" s="31" t="s">
        <v>3119</v>
      </c>
      <c r="F2377" s="31">
        <v>5</v>
      </c>
      <c r="G2377" s="46" t="s">
        <v>3525</v>
      </c>
      <c r="H2377" s="173">
        <v>180</v>
      </c>
      <c r="I2377" s="273">
        <f>SUMIF('2020'!B:B,B2377,'2020'!C:C)+SUMIF('2021'!B:B,B2377,'2021'!C:C)+SUMIF('2022'!B:B,B2377,'2022'!C:C)</f>
        <v>740166.06</v>
      </c>
      <c r="J2377" s="59">
        <v>44925</v>
      </c>
      <c r="K2377" s="273" t="s">
        <v>3118</v>
      </c>
    </row>
    <row r="2378" spans="1:11" x14ac:dyDescent="0.3">
      <c r="A2378" s="259">
        <f t="shared" si="87"/>
        <v>2129</v>
      </c>
      <c r="B2378" s="20" t="s">
        <v>3219</v>
      </c>
      <c r="C2378" s="162">
        <v>1993</v>
      </c>
      <c r="D2378" s="273"/>
      <c r="E2378" s="31" t="s">
        <v>3119</v>
      </c>
      <c r="F2378" s="31">
        <v>9</v>
      </c>
      <c r="G2378" s="46">
        <v>7582</v>
      </c>
      <c r="H2378" s="173">
        <v>203</v>
      </c>
      <c r="I2378" s="273">
        <f>SUMIF('2020'!B:B,B2378,'2020'!C:C)+SUMIF('2021'!B:B,B2378,'2021'!C:C)+SUMIF('2022'!B:B,B2378,'2022'!C:C)</f>
        <v>9561226.1300000008</v>
      </c>
      <c r="J2378" s="59">
        <v>44925</v>
      </c>
      <c r="K2378" s="273" t="s">
        <v>3118</v>
      </c>
    </row>
    <row r="2379" spans="1:11" x14ac:dyDescent="0.3">
      <c r="A2379" s="259">
        <f t="shared" si="87"/>
        <v>2130</v>
      </c>
      <c r="B2379" s="20" t="s">
        <v>3220</v>
      </c>
      <c r="C2379" s="162">
        <v>1990</v>
      </c>
      <c r="D2379" s="273"/>
      <c r="E2379" s="31" t="s">
        <v>3119</v>
      </c>
      <c r="F2379" s="31">
        <v>5</v>
      </c>
      <c r="G2379" s="46">
        <v>10118.799999999999</v>
      </c>
      <c r="H2379" s="173">
        <v>285</v>
      </c>
      <c r="I2379" s="273">
        <f>SUMIF('2020'!B:B,B2379,'2020'!C:C)+SUMIF('2021'!B:B,B2379,'2021'!C:C)+SUMIF('2022'!B:B,B2379,'2022'!C:C)</f>
        <v>13594330.380000001</v>
      </c>
      <c r="J2379" s="59">
        <v>44925</v>
      </c>
      <c r="K2379" s="273" t="s">
        <v>3118</v>
      </c>
    </row>
    <row r="2380" spans="1:11" x14ac:dyDescent="0.3">
      <c r="A2380" s="259">
        <f t="shared" si="87"/>
        <v>2131</v>
      </c>
      <c r="B2380" s="20" t="s">
        <v>3367</v>
      </c>
      <c r="C2380" s="162">
        <v>1918</v>
      </c>
      <c r="D2380" s="273"/>
      <c r="E2380" s="31" t="s">
        <v>3120</v>
      </c>
      <c r="F2380" s="31">
        <v>2</v>
      </c>
      <c r="G2380" s="46">
        <v>461.2</v>
      </c>
      <c r="H2380" s="173">
        <v>17</v>
      </c>
      <c r="I2380" s="273">
        <f>SUMIF('2020'!B:B,B2380,'2020'!C:C)+SUMIF('2021'!B:B,B2380,'2021'!C:C)+SUMIF('2022'!B:B,B2380,'2022'!C:C)</f>
        <v>916578.73</v>
      </c>
      <c r="J2380" s="59">
        <v>44925</v>
      </c>
      <c r="K2380" s="273" t="s">
        <v>3118</v>
      </c>
    </row>
    <row r="2381" spans="1:11" x14ac:dyDescent="0.3">
      <c r="A2381" s="259">
        <f t="shared" si="87"/>
        <v>2132</v>
      </c>
      <c r="B2381" s="20" t="s">
        <v>3221</v>
      </c>
      <c r="C2381" s="162">
        <v>1975</v>
      </c>
      <c r="D2381" s="273"/>
      <c r="E2381" s="31" t="s">
        <v>3123</v>
      </c>
      <c r="F2381" s="31">
        <v>2</v>
      </c>
      <c r="G2381" s="46">
        <v>813.4</v>
      </c>
      <c r="H2381" s="173">
        <v>29</v>
      </c>
      <c r="I2381" s="273">
        <f>SUMIF('2020'!B:B,B2381,'2020'!C:C)+SUMIF('2021'!B:B,B2381,'2021'!C:C)+SUMIF('2022'!B:B,B2381,'2022'!C:C)</f>
        <v>7121431.1900000004</v>
      </c>
      <c r="J2381" s="59">
        <v>44925</v>
      </c>
      <c r="K2381" s="273" t="s">
        <v>3118</v>
      </c>
    </row>
    <row r="2382" spans="1:11" x14ac:dyDescent="0.3">
      <c r="A2382" s="259">
        <f t="shared" si="87"/>
        <v>2133</v>
      </c>
      <c r="B2382" s="20" t="s">
        <v>3222</v>
      </c>
      <c r="C2382" s="162">
        <v>1917</v>
      </c>
      <c r="D2382" s="273"/>
      <c r="E2382" s="31" t="s">
        <v>3123</v>
      </c>
      <c r="F2382" s="31">
        <v>3</v>
      </c>
      <c r="G2382" s="46">
        <v>2655.5</v>
      </c>
      <c r="H2382" s="173">
        <v>85</v>
      </c>
      <c r="I2382" s="273">
        <f>SUMIF('2020'!B:B,B2382,'2020'!C:C)+SUMIF('2021'!B:B,B2382,'2021'!C:C)+SUMIF('2022'!B:B,B2382,'2022'!C:C)</f>
        <v>12993597.27</v>
      </c>
      <c r="J2382" s="59">
        <v>44925</v>
      </c>
      <c r="K2382" s="273" t="s">
        <v>3118</v>
      </c>
    </row>
    <row r="2383" spans="1:11" x14ac:dyDescent="0.3">
      <c r="A2383" s="259">
        <f t="shared" si="87"/>
        <v>2134</v>
      </c>
      <c r="B2383" s="20" t="s">
        <v>3223</v>
      </c>
      <c r="C2383" s="162">
        <v>1988</v>
      </c>
      <c r="D2383" s="273"/>
      <c r="E2383" s="31" t="s">
        <v>3119</v>
      </c>
      <c r="F2383" s="31">
        <v>9</v>
      </c>
      <c r="G2383" s="46">
        <v>3004.6</v>
      </c>
      <c r="H2383" s="173">
        <v>82</v>
      </c>
      <c r="I2383" s="273">
        <f>SUMIF('2020'!B:B,B2383,'2020'!C:C)+SUMIF('2021'!B:B,B2383,'2021'!C:C)+SUMIF('2022'!B:B,B2383,'2022'!C:C)</f>
        <v>0</v>
      </c>
      <c r="J2383" s="59">
        <v>44925</v>
      </c>
      <c r="K2383" s="273" t="s">
        <v>3118</v>
      </c>
    </row>
    <row r="2384" spans="1:11" x14ac:dyDescent="0.3">
      <c r="A2384" s="259">
        <f t="shared" si="87"/>
        <v>2135</v>
      </c>
      <c r="B2384" s="20" t="s">
        <v>3224</v>
      </c>
      <c r="C2384" s="162">
        <v>1997</v>
      </c>
      <c r="D2384" s="273"/>
      <c r="E2384" s="31" t="s">
        <v>3123</v>
      </c>
      <c r="F2384" s="31">
        <v>10</v>
      </c>
      <c r="G2384" s="46">
        <v>2563.1999999999998</v>
      </c>
      <c r="H2384" s="173">
        <v>89</v>
      </c>
      <c r="I2384" s="273">
        <f>SUMIF('2020'!B:B,B2384,'2020'!C:C)+SUMIF('2021'!B:B,B2384,'2021'!C:C)+SUMIF('2022'!B:B,B2384,'2022'!C:C)</f>
        <v>0</v>
      </c>
      <c r="J2384" s="59">
        <v>44925</v>
      </c>
      <c r="K2384" s="273" t="s">
        <v>3118</v>
      </c>
    </row>
    <row r="2385" spans="1:11" x14ac:dyDescent="0.3">
      <c r="A2385" s="259">
        <f t="shared" si="87"/>
        <v>2136</v>
      </c>
      <c r="B2385" s="20" t="s">
        <v>3518</v>
      </c>
      <c r="C2385" s="162">
        <v>1981</v>
      </c>
      <c r="D2385" s="273"/>
      <c r="E2385" s="31" t="s">
        <v>3119</v>
      </c>
      <c r="F2385" s="31">
        <v>5</v>
      </c>
      <c r="G2385" s="46">
        <v>6353.6</v>
      </c>
      <c r="H2385" s="173">
        <v>152</v>
      </c>
      <c r="I2385" s="273">
        <f>SUMIF('2020'!B:B,B2385,'2020'!C:C)+SUMIF('2021'!B:B,B2385,'2021'!C:C)+SUMIF('2022'!B:B,B2385,'2022'!C:C)</f>
        <v>130000</v>
      </c>
      <c r="J2385" s="59">
        <v>44925</v>
      </c>
      <c r="K2385" s="273" t="s">
        <v>3118</v>
      </c>
    </row>
    <row r="2386" spans="1:11" x14ac:dyDescent="0.3">
      <c r="A2386" s="259">
        <f t="shared" si="87"/>
        <v>2137</v>
      </c>
      <c r="B2386" s="20" t="s">
        <v>3368</v>
      </c>
      <c r="C2386" s="162">
        <v>1959</v>
      </c>
      <c r="D2386" s="273"/>
      <c r="E2386" s="31" t="s">
        <v>3123</v>
      </c>
      <c r="F2386" s="31">
        <v>2</v>
      </c>
      <c r="G2386" s="46">
        <v>640</v>
      </c>
      <c r="H2386" s="173">
        <v>17</v>
      </c>
      <c r="I2386" s="273">
        <f>SUMIF('2020'!B:B,B2386,'2020'!C:C)+SUMIF('2021'!B:B,B2386,'2021'!C:C)+SUMIF('2022'!B:B,B2386,'2022'!C:C)</f>
        <v>258700.98</v>
      </c>
      <c r="J2386" s="59">
        <v>44925</v>
      </c>
      <c r="K2386" s="273" t="s">
        <v>3118</v>
      </c>
    </row>
    <row r="2387" spans="1:11" x14ac:dyDescent="0.3">
      <c r="A2387" s="259">
        <f t="shared" si="87"/>
        <v>2138</v>
      </c>
      <c r="B2387" s="20" t="s">
        <v>3225</v>
      </c>
      <c r="C2387" s="162">
        <v>1991</v>
      </c>
      <c r="D2387" s="273"/>
      <c r="E2387" s="31" t="s">
        <v>3119</v>
      </c>
      <c r="F2387" s="31">
        <v>3</v>
      </c>
      <c r="G2387" s="46">
        <v>1658.9</v>
      </c>
      <c r="H2387" s="173">
        <v>64</v>
      </c>
      <c r="I2387" s="273">
        <f>SUMIF('2020'!B:B,B2387,'2020'!C:C)+SUMIF('2021'!B:B,B2387,'2021'!C:C)+SUMIF('2022'!B:B,B2387,'2022'!C:C)</f>
        <v>3111848.4</v>
      </c>
      <c r="J2387" s="59">
        <v>44925</v>
      </c>
      <c r="K2387" s="273" t="s">
        <v>3118</v>
      </c>
    </row>
    <row r="2388" spans="1:11" x14ac:dyDescent="0.3">
      <c r="A2388" s="259">
        <f t="shared" si="87"/>
        <v>2139</v>
      </c>
      <c r="B2388" s="20" t="s">
        <v>3226</v>
      </c>
      <c r="C2388" s="162">
        <v>1978</v>
      </c>
      <c r="D2388" s="273"/>
      <c r="E2388" s="31" t="s">
        <v>3119</v>
      </c>
      <c r="F2388" s="31">
        <v>3</v>
      </c>
      <c r="G2388" s="46">
        <v>1646.4</v>
      </c>
      <c r="H2388" s="173">
        <v>61</v>
      </c>
      <c r="I2388" s="273">
        <f>SUMIF('2020'!B:B,B2388,'2020'!C:C)+SUMIF('2021'!B:B,B2388,'2021'!C:C)+SUMIF('2022'!B:B,B2388,'2022'!C:C)</f>
        <v>1332338.3999999999</v>
      </c>
      <c r="J2388" s="59">
        <v>44925</v>
      </c>
      <c r="K2388" s="273" t="s">
        <v>3118</v>
      </c>
    </row>
    <row r="2389" spans="1:11" x14ac:dyDescent="0.3">
      <c r="A2389" s="259">
        <f t="shared" si="87"/>
        <v>2140</v>
      </c>
      <c r="B2389" s="20" t="s">
        <v>3227</v>
      </c>
      <c r="C2389" s="162">
        <v>1913</v>
      </c>
      <c r="D2389" s="273"/>
      <c r="E2389" s="31" t="s">
        <v>3123</v>
      </c>
      <c r="F2389" s="31">
        <v>2</v>
      </c>
      <c r="G2389" s="46">
        <v>863.8</v>
      </c>
      <c r="H2389" s="173">
        <v>33</v>
      </c>
      <c r="I2389" s="273">
        <f>SUMIF('2020'!B:B,B2389,'2020'!C:C)+SUMIF('2021'!B:B,B2389,'2021'!C:C)+SUMIF('2022'!B:B,B2389,'2022'!C:C)</f>
        <v>5259826.8</v>
      </c>
      <c r="J2389" s="59">
        <v>44925</v>
      </c>
      <c r="K2389" s="273" t="s">
        <v>3118</v>
      </c>
    </row>
    <row r="2390" spans="1:11" x14ac:dyDescent="0.3">
      <c r="A2390" s="259">
        <f t="shared" si="87"/>
        <v>2141</v>
      </c>
      <c r="B2390" s="20" t="s">
        <v>3228</v>
      </c>
      <c r="C2390" s="162">
        <v>1913</v>
      </c>
      <c r="D2390" s="273"/>
      <c r="E2390" s="31" t="s">
        <v>3123</v>
      </c>
      <c r="F2390" s="31">
        <v>3</v>
      </c>
      <c r="G2390" s="46">
        <v>1049.0999999999999</v>
      </c>
      <c r="H2390" s="173">
        <v>43</v>
      </c>
      <c r="I2390" s="273">
        <f>SUMIF('2020'!B:B,B2390,'2020'!C:C)+SUMIF('2021'!B:B,B2390,'2021'!C:C)+SUMIF('2022'!B:B,B2390,'2022'!C:C)</f>
        <v>3353553.6</v>
      </c>
      <c r="J2390" s="59">
        <v>44925</v>
      </c>
      <c r="K2390" s="273" t="s">
        <v>3118</v>
      </c>
    </row>
    <row r="2391" spans="1:11" x14ac:dyDescent="0.3">
      <c r="A2391" s="259">
        <f t="shared" si="87"/>
        <v>2142</v>
      </c>
      <c r="B2391" s="20" t="s">
        <v>3229</v>
      </c>
      <c r="C2391" s="162">
        <v>1913</v>
      </c>
      <c r="D2391" s="273"/>
      <c r="E2391" s="31" t="s">
        <v>3123</v>
      </c>
      <c r="F2391" s="31">
        <v>3</v>
      </c>
      <c r="G2391" s="46">
        <v>1600.2</v>
      </c>
      <c r="H2391" s="173">
        <v>66</v>
      </c>
      <c r="I2391" s="273">
        <f>SUMIF('2020'!B:B,B2391,'2020'!C:C)+SUMIF('2021'!B:B,B2391,'2021'!C:C)+SUMIF('2022'!B:B,B2391,'2022'!C:C)</f>
        <v>7734552</v>
      </c>
      <c r="J2391" s="59">
        <v>44925</v>
      </c>
      <c r="K2391" s="273" t="s">
        <v>3118</v>
      </c>
    </row>
    <row r="2392" spans="1:11" x14ac:dyDescent="0.3">
      <c r="A2392" s="259">
        <f t="shared" si="87"/>
        <v>2143</v>
      </c>
      <c r="B2392" s="20" t="s">
        <v>3369</v>
      </c>
      <c r="C2392" s="162">
        <v>1913</v>
      </c>
      <c r="D2392" s="273"/>
      <c r="E2392" s="31" t="s">
        <v>3123</v>
      </c>
      <c r="F2392" s="31">
        <v>2</v>
      </c>
      <c r="G2392" s="46">
        <v>534.5</v>
      </c>
      <c r="H2392" s="173">
        <v>24</v>
      </c>
      <c r="I2392" s="273">
        <f>SUMIF('2020'!B:B,B2392,'2020'!C:C)+SUMIF('2021'!B:B,B2392,'2021'!C:C)+SUMIF('2022'!B:B,B2392,'2022'!C:C)</f>
        <v>193055.89</v>
      </c>
      <c r="J2392" s="59">
        <v>44925</v>
      </c>
      <c r="K2392" s="273" t="s">
        <v>3118</v>
      </c>
    </row>
    <row r="2393" spans="1:11" x14ac:dyDescent="0.3">
      <c r="A2393" s="259">
        <f t="shared" si="87"/>
        <v>2144</v>
      </c>
      <c r="B2393" s="20" t="s">
        <v>3370</v>
      </c>
      <c r="C2393" s="162">
        <v>1913</v>
      </c>
      <c r="D2393" s="273"/>
      <c r="E2393" s="31" t="s">
        <v>3123</v>
      </c>
      <c r="F2393" s="31">
        <v>2</v>
      </c>
      <c r="G2393" s="46">
        <v>519.70000000000005</v>
      </c>
      <c r="H2393" s="173">
        <v>13</v>
      </c>
      <c r="I2393" s="273">
        <f>SUMIF('2020'!B:B,B2393,'2020'!C:C)+SUMIF('2021'!B:B,B2393,'2021'!C:C)+SUMIF('2022'!B:B,B2393,'2022'!C:C)</f>
        <v>212881.85</v>
      </c>
      <c r="J2393" s="59">
        <v>44925</v>
      </c>
      <c r="K2393" s="273" t="s">
        <v>3118</v>
      </c>
    </row>
    <row r="2394" spans="1:11" x14ac:dyDescent="0.3">
      <c r="A2394" s="259">
        <f t="shared" si="87"/>
        <v>2145</v>
      </c>
      <c r="B2394" s="20" t="s">
        <v>3230</v>
      </c>
      <c r="C2394" s="162">
        <v>1913</v>
      </c>
      <c r="D2394" s="273"/>
      <c r="E2394" s="31" t="s">
        <v>3123</v>
      </c>
      <c r="F2394" s="31">
        <v>3</v>
      </c>
      <c r="G2394" s="46">
        <v>1073</v>
      </c>
      <c r="H2394" s="173">
        <v>24</v>
      </c>
      <c r="I2394" s="273">
        <f>SUMIF('2020'!B:B,B2394,'2020'!C:C)+SUMIF('2021'!B:B,B2394,'2021'!C:C)+SUMIF('2022'!B:B,B2394,'2022'!C:C)</f>
        <v>5130295.2</v>
      </c>
      <c r="J2394" s="59">
        <v>44925</v>
      </c>
      <c r="K2394" s="273" t="s">
        <v>3118</v>
      </c>
    </row>
    <row r="2395" spans="1:11" x14ac:dyDescent="0.3">
      <c r="A2395" s="259">
        <f t="shared" si="87"/>
        <v>2146</v>
      </c>
      <c r="B2395" s="20" t="s">
        <v>3231</v>
      </c>
      <c r="C2395" s="162">
        <v>1916</v>
      </c>
      <c r="D2395" s="273"/>
      <c r="E2395" s="31" t="s">
        <v>3123</v>
      </c>
      <c r="F2395" s="31">
        <v>3</v>
      </c>
      <c r="G2395" s="46">
        <v>1208.3</v>
      </c>
      <c r="H2395" s="173">
        <v>48</v>
      </c>
      <c r="I2395" s="273">
        <f>SUMIF('2020'!B:B,B2395,'2020'!C:C)+SUMIF('2021'!B:B,B2395,'2021'!C:C)+SUMIF('2022'!B:B,B2395,'2022'!C:C)</f>
        <v>3520922.36</v>
      </c>
      <c r="J2395" s="59">
        <v>44925</v>
      </c>
      <c r="K2395" s="273" t="s">
        <v>3118</v>
      </c>
    </row>
    <row r="2396" spans="1:11" x14ac:dyDescent="0.3">
      <c r="A2396" s="259">
        <f t="shared" si="87"/>
        <v>2147</v>
      </c>
      <c r="B2396" s="20" t="s">
        <v>3371</v>
      </c>
      <c r="C2396" s="162">
        <v>1916</v>
      </c>
      <c r="D2396" s="273"/>
      <c r="E2396" s="31" t="s">
        <v>3123</v>
      </c>
      <c r="F2396" s="31">
        <v>3</v>
      </c>
      <c r="G2396" s="46">
        <v>671.4</v>
      </c>
      <c r="H2396" s="173">
        <v>22</v>
      </c>
      <c r="I2396" s="273">
        <f>SUMIF('2020'!B:B,B2396,'2020'!C:C)+SUMIF('2021'!B:B,B2396,'2021'!C:C)+SUMIF('2022'!B:B,B2396,'2022'!C:C)</f>
        <v>121976.36</v>
      </c>
      <c r="J2396" s="59">
        <v>44925</v>
      </c>
      <c r="K2396" s="273" t="s">
        <v>3118</v>
      </c>
    </row>
    <row r="2397" spans="1:11" x14ac:dyDescent="0.3">
      <c r="A2397" s="259">
        <f t="shared" si="87"/>
        <v>2148</v>
      </c>
      <c r="B2397" s="20" t="s">
        <v>3232</v>
      </c>
      <c r="C2397" s="162">
        <v>1939</v>
      </c>
      <c r="D2397" s="273"/>
      <c r="E2397" s="31" t="s">
        <v>3123</v>
      </c>
      <c r="F2397" s="31">
        <v>4</v>
      </c>
      <c r="G2397" s="46">
        <v>2339.3000000000002</v>
      </c>
      <c r="H2397" s="173">
        <v>96</v>
      </c>
      <c r="I2397" s="273">
        <f>SUMIF('2020'!B:B,B2397,'2020'!C:C)+SUMIF('2021'!B:B,B2397,'2021'!C:C)+SUMIF('2022'!B:B,B2397,'2022'!C:C)</f>
        <v>6306580.7999999998</v>
      </c>
      <c r="J2397" s="59">
        <v>44925</v>
      </c>
      <c r="K2397" s="273" t="s">
        <v>3118</v>
      </c>
    </row>
    <row r="2398" spans="1:11" x14ac:dyDescent="0.3">
      <c r="A2398" s="259">
        <f t="shared" si="87"/>
        <v>2149</v>
      </c>
      <c r="B2398" s="20" t="s">
        <v>3233</v>
      </c>
      <c r="C2398" s="162">
        <v>1960</v>
      </c>
      <c r="D2398" s="273"/>
      <c r="E2398" s="31" t="s">
        <v>3123</v>
      </c>
      <c r="F2398" s="31">
        <v>2</v>
      </c>
      <c r="G2398" s="46">
        <v>679.8</v>
      </c>
      <c r="H2398" s="173">
        <v>26</v>
      </c>
      <c r="I2398" s="273">
        <f>SUMIF('2020'!B:B,B2398,'2020'!C:C)+SUMIF('2021'!B:B,B2398,'2021'!C:C)+SUMIF('2022'!B:B,B2398,'2022'!C:C)</f>
        <v>2921263.2</v>
      </c>
      <c r="J2398" s="59">
        <v>44925</v>
      </c>
      <c r="K2398" s="273" t="s">
        <v>3118</v>
      </c>
    </row>
    <row r="2399" spans="1:11" x14ac:dyDescent="0.3">
      <c r="A2399" s="302" t="s">
        <v>208</v>
      </c>
      <c r="B2399" s="302"/>
      <c r="C2399" s="273" t="s">
        <v>3558</v>
      </c>
      <c r="D2399" s="273" t="s">
        <v>3558</v>
      </c>
      <c r="E2399" s="273" t="s">
        <v>3558</v>
      </c>
      <c r="F2399" s="273" t="s">
        <v>3558</v>
      </c>
      <c r="G2399" s="273">
        <f>SUM(G2337:G2398)</f>
        <v>185502.7</v>
      </c>
      <c r="H2399" s="10">
        <f>SUM(H2337:H2398)</f>
        <v>5627</v>
      </c>
      <c r="I2399" s="273">
        <f>SUM(I2337:I2398)</f>
        <v>290419327.95000011</v>
      </c>
      <c r="J2399" s="273" t="s">
        <v>3558</v>
      </c>
      <c r="K2399" s="273" t="s">
        <v>3558</v>
      </c>
    </row>
    <row r="2400" spans="1:11" x14ac:dyDescent="0.3">
      <c r="A2400" s="301" t="s">
        <v>3234</v>
      </c>
      <c r="B2400" s="301"/>
      <c r="C2400" s="273"/>
      <c r="D2400" s="273"/>
      <c r="E2400" s="273"/>
      <c r="F2400" s="273"/>
      <c r="G2400" s="273"/>
      <c r="H2400" s="10"/>
      <c r="I2400" s="273"/>
      <c r="J2400" s="273"/>
      <c r="K2400" s="273"/>
    </row>
    <row r="2401" spans="1:11" x14ac:dyDescent="0.3">
      <c r="A2401" s="259">
        <f>A2398+1</f>
        <v>2150</v>
      </c>
      <c r="B2401" s="20" t="s">
        <v>3372</v>
      </c>
      <c r="C2401" s="162">
        <v>1969</v>
      </c>
      <c r="D2401" s="273"/>
      <c r="E2401" s="162" t="s">
        <v>3123</v>
      </c>
      <c r="F2401" s="259">
        <v>2</v>
      </c>
      <c r="G2401" s="46">
        <v>579.1</v>
      </c>
      <c r="H2401" s="48">
        <v>21</v>
      </c>
      <c r="I2401" s="273">
        <f>SUMIF('2020'!B:B,B2401,'2020'!C:C)+SUMIF('2021'!B:B,B2401,'2021'!C:C)+SUMIF('2022'!B:B,B2401,'2022'!C:C)</f>
        <v>1696902</v>
      </c>
      <c r="J2401" s="59">
        <v>44925</v>
      </c>
      <c r="K2401" s="273" t="s">
        <v>3118</v>
      </c>
    </row>
    <row r="2402" spans="1:11" x14ac:dyDescent="0.3">
      <c r="A2402" s="259">
        <f t="shared" ref="A2402:A2410" si="88">A2401+1</f>
        <v>2151</v>
      </c>
      <c r="B2402" s="20" t="s">
        <v>3373</v>
      </c>
      <c r="C2402" s="162">
        <v>1969</v>
      </c>
      <c r="D2402" s="273"/>
      <c r="E2402" s="162" t="s">
        <v>3123</v>
      </c>
      <c r="F2402" s="259">
        <v>2</v>
      </c>
      <c r="G2402" s="46">
        <v>575.79999999999995</v>
      </c>
      <c r="H2402" s="48">
        <v>25</v>
      </c>
      <c r="I2402" s="273">
        <f>SUMIF('2020'!B:B,B2402,'2020'!C:C)+SUMIF('2021'!B:B,B2402,'2021'!C:C)+SUMIF('2022'!B:B,B2402,'2022'!C:C)</f>
        <v>130000</v>
      </c>
      <c r="J2402" s="59">
        <v>44925</v>
      </c>
      <c r="K2402" s="273" t="s">
        <v>3118</v>
      </c>
    </row>
    <row r="2403" spans="1:11" x14ac:dyDescent="0.3">
      <c r="A2403" s="259">
        <f t="shared" si="88"/>
        <v>2152</v>
      </c>
      <c r="B2403" s="20" t="s">
        <v>3374</v>
      </c>
      <c r="C2403" s="162">
        <v>1969</v>
      </c>
      <c r="D2403" s="273"/>
      <c r="E2403" s="162" t="s">
        <v>3123</v>
      </c>
      <c r="F2403" s="259">
        <v>2</v>
      </c>
      <c r="G2403" s="46">
        <v>798.4</v>
      </c>
      <c r="H2403" s="48">
        <v>62</v>
      </c>
      <c r="I2403" s="273">
        <f>SUMIF('2020'!B:B,B2403,'2020'!C:C)+SUMIF('2021'!B:B,B2403,'2021'!C:C)+SUMIF('2022'!B:B,B2403,'2022'!C:C)</f>
        <v>241245.26</v>
      </c>
      <c r="J2403" s="59">
        <v>44925</v>
      </c>
      <c r="K2403" s="273" t="s">
        <v>3118</v>
      </c>
    </row>
    <row r="2404" spans="1:11" x14ac:dyDescent="0.3">
      <c r="A2404" s="259">
        <f t="shared" si="88"/>
        <v>2153</v>
      </c>
      <c r="B2404" s="20" t="s">
        <v>3375</v>
      </c>
      <c r="C2404" s="162">
        <v>1965</v>
      </c>
      <c r="D2404" s="273"/>
      <c r="E2404" s="162" t="s">
        <v>3123</v>
      </c>
      <c r="F2404" s="259">
        <v>2</v>
      </c>
      <c r="G2404" s="46">
        <v>791.1</v>
      </c>
      <c r="H2404" s="48">
        <v>40</v>
      </c>
      <c r="I2404" s="273">
        <f>SUMIF('2020'!B:B,B2404,'2020'!C:C)+SUMIF('2021'!B:B,B2404,'2021'!C:C)+SUMIF('2022'!B:B,B2404,'2022'!C:C)</f>
        <v>130000</v>
      </c>
      <c r="J2404" s="59">
        <v>44925</v>
      </c>
      <c r="K2404" s="273" t="s">
        <v>3118</v>
      </c>
    </row>
    <row r="2405" spans="1:11" x14ac:dyDescent="0.3">
      <c r="A2405" s="259">
        <f t="shared" si="88"/>
        <v>2154</v>
      </c>
      <c r="B2405" s="20" t="s">
        <v>3376</v>
      </c>
      <c r="C2405" s="162">
        <v>1979</v>
      </c>
      <c r="D2405" s="273"/>
      <c r="E2405" s="162" t="s">
        <v>3119</v>
      </c>
      <c r="F2405" s="259">
        <v>3</v>
      </c>
      <c r="G2405" s="46">
        <v>2309</v>
      </c>
      <c r="H2405" s="48">
        <v>57</v>
      </c>
      <c r="I2405" s="273">
        <f>SUMIF('2020'!B:B,B2405,'2020'!C:C)+SUMIF('2021'!B:B,B2405,'2021'!C:C)+SUMIF('2022'!B:B,B2405,'2022'!C:C)</f>
        <v>340446.62</v>
      </c>
      <c r="J2405" s="59">
        <v>44925</v>
      </c>
      <c r="K2405" s="273" t="s">
        <v>3118</v>
      </c>
    </row>
    <row r="2406" spans="1:11" x14ac:dyDescent="0.3">
      <c r="A2406" s="259">
        <f t="shared" si="88"/>
        <v>2155</v>
      </c>
      <c r="B2406" s="20" t="s">
        <v>3377</v>
      </c>
      <c r="C2406" s="162">
        <v>1978</v>
      </c>
      <c r="D2406" s="273"/>
      <c r="E2406" s="162" t="s">
        <v>3119</v>
      </c>
      <c r="F2406" s="259">
        <v>3</v>
      </c>
      <c r="G2406" s="46">
        <v>1858.2</v>
      </c>
      <c r="H2406" s="48">
        <v>58</v>
      </c>
      <c r="I2406" s="273">
        <f>SUMIF('2020'!B:B,B2406,'2020'!C:C)+SUMIF('2021'!B:B,B2406,'2021'!C:C)+SUMIF('2022'!B:B,B2406,'2022'!C:C)</f>
        <v>259048.93</v>
      </c>
      <c r="J2406" s="59">
        <v>44925</v>
      </c>
      <c r="K2406" s="273" t="s">
        <v>3118</v>
      </c>
    </row>
    <row r="2407" spans="1:11" x14ac:dyDescent="0.3">
      <c r="A2407" s="259">
        <f t="shared" si="88"/>
        <v>2156</v>
      </c>
      <c r="B2407" s="20" t="s">
        <v>3235</v>
      </c>
      <c r="C2407" s="162">
        <v>1981</v>
      </c>
      <c r="D2407" s="273"/>
      <c r="E2407" s="162" t="s">
        <v>3126</v>
      </c>
      <c r="F2407" s="259">
        <v>3</v>
      </c>
      <c r="G2407" s="46">
        <v>2110.1999999999998</v>
      </c>
      <c r="H2407" s="48">
        <v>66</v>
      </c>
      <c r="I2407" s="273">
        <f>SUMIF('2020'!B:B,B2407,'2020'!C:C)+SUMIF('2021'!B:B,B2407,'2021'!C:C)+SUMIF('2022'!B:B,B2407,'2022'!C:C)</f>
        <v>5395905.9400000004</v>
      </c>
      <c r="J2407" s="59">
        <v>44925</v>
      </c>
      <c r="K2407" s="273" t="s">
        <v>3118</v>
      </c>
    </row>
    <row r="2408" spans="1:11" x14ac:dyDescent="0.3">
      <c r="A2408" s="259">
        <f t="shared" si="88"/>
        <v>2157</v>
      </c>
      <c r="B2408" s="20" t="s">
        <v>3236</v>
      </c>
      <c r="C2408" s="162">
        <v>1983</v>
      </c>
      <c r="D2408" s="273"/>
      <c r="E2408" s="162" t="s">
        <v>3035</v>
      </c>
      <c r="F2408" s="259">
        <v>4</v>
      </c>
      <c r="G2408" s="46">
        <v>702.7</v>
      </c>
      <c r="H2408" s="48">
        <v>18</v>
      </c>
      <c r="I2408" s="273">
        <f>SUMIF('2020'!B:B,B2408,'2020'!C:C)+SUMIF('2021'!B:B,B2408,'2021'!C:C)+SUMIF('2022'!B:B,B2408,'2022'!C:C)</f>
        <v>1315864.8</v>
      </c>
      <c r="J2408" s="59">
        <v>44925</v>
      </c>
      <c r="K2408" s="273" t="s">
        <v>3118</v>
      </c>
    </row>
    <row r="2409" spans="1:11" x14ac:dyDescent="0.3">
      <c r="A2409" s="259">
        <f t="shared" si="88"/>
        <v>2158</v>
      </c>
      <c r="B2409" s="20" t="s">
        <v>3405</v>
      </c>
      <c r="C2409" s="162">
        <v>1981</v>
      </c>
      <c r="D2409" s="273"/>
      <c r="E2409" s="162" t="s">
        <v>3119</v>
      </c>
      <c r="F2409" s="259">
        <v>3</v>
      </c>
      <c r="G2409" s="46">
        <v>2102.1</v>
      </c>
      <c r="H2409" s="48">
        <v>69</v>
      </c>
      <c r="I2409" s="273">
        <f>SUMIF('2020'!B:B,B2409,'2020'!C:C)+SUMIF('2021'!B:B,B2409,'2021'!C:C)+SUMIF('2022'!B:B,B2409,'2022'!C:C)</f>
        <v>4902662.4000000004</v>
      </c>
      <c r="J2409" s="59">
        <v>44925</v>
      </c>
      <c r="K2409" s="273" t="s">
        <v>3118</v>
      </c>
    </row>
    <row r="2410" spans="1:11" x14ac:dyDescent="0.3">
      <c r="A2410" s="259">
        <f t="shared" si="88"/>
        <v>2159</v>
      </c>
      <c r="B2410" s="20" t="s">
        <v>3237</v>
      </c>
      <c r="C2410" s="162">
        <v>1976</v>
      </c>
      <c r="D2410" s="273"/>
      <c r="E2410" s="162" t="s">
        <v>3119</v>
      </c>
      <c r="F2410" s="259">
        <v>3</v>
      </c>
      <c r="G2410" s="46">
        <v>1282.7</v>
      </c>
      <c r="H2410" s="48">
        <v>64</v>
      </c>
      <c r="I2410" s="273">
        <f>SUMIF('2020'!B:B,B2410,'2020'!C:C)+SUMIF('2021'!B:B,B2410,'2021'!C:C)+SUMIF('2022'!B:B,B2410,'2022'!C:C)</f>
        <v>7747711.2000000002</v>
      </c>
      <c r="J2410" s="59">
        <v>44925</v>
      </c>
      <c r="K2410" s="273" t="s">
        <v>3118</v>
      </c>
    </row>
    <row r="2411" spans="1:11" x14ac:dyDescent="0.3">
      <c r="A2411" s="302" t="s">
        <v>208</v>
      </c>
      <c r="B2411" s="302"/>
      <c r="C2411" s="273" t="s">
        <v>3558</v>
      </c>
      <c r="D2411" s="273" t="s">
        <v>3558</v>
      </c>
      <c r="E2411" s="273" t="s">
        <v>3558</v>
      </c>
      <c r="F2411" s="273" t="s">
        <v>3558</v>
      </c>
      <c r="G2411" s="273">
        <f>SUM(G2401:G2410)</f>
        <v>13109.300000000001</v>
      </c>
      <c r="H2411" s="10">
        <f>SUM(H2401:H2410)</f>
        <v>480</v>
      </c>
      <c r="I2411" s="273">
        <f>SUM(I2401:I2410)</f>
        <v>22159787.150000002</v>
      </c>
      <c r="J2411" s="273" t="s">
        <v>3558</v>
      </c>
      <c r="K2411" s="273" t="s">
        <v>3558</v>
      </c>
    </row>
    <row r="2412" spans="1:11" x14ac:dyDescent="0.3">
      <c r="A2412" s="301" t="s">
        <v>3238</v>
      </c>
      <c r="B2412" s="301"/>
      <c r="C2412" s="273"/>
      <c r="D2412" s="273"/>
      <c r="E2412" s="273"/>
      <c r="F2412" s="273"/>
      <c r="G2412" s="273"/>
      <c r="H2412" s="10"/>
      <c r="I2412" s="273"/>
      <c r="J2412" s="273"/>
      <c r="K2412" s="273"/>
    </row>
    <row r="2413" spans="1:11" x14ac:dyDescent="0.3">
      <c r="A2413" s="259">
        <f>A2410+1</f>
        <v>2160</v>
      </c>
      <c r="B2413" s="20" t="s">
        <v>3239</v>
      </c>
      <c r="C2413" s="162">
        <v>1966</v>
      </c>
      <c r="D2413" s="273"/>
      <c r="E2413" s="200" t="s">
        <v>3442</v>
      </c>
      <c r="F2413" s="200">
        <v>2</v>
      </c>
      <c r="G2413" s="200">
        <v>666.4</v>
      </c>
      <c r="H2413" s="201">
        <v>23</v>
      </c>
      <c r="I2413" s="273">
        <f>SUMIF('2020'!B:B,B2413,'2020'!C:C)+SUMIF('2021'!B:B,B2413,'2021'!C:C)+SUMIF('2022'!B:B,B2413,'2022'!C:C)</f>
        <v>1182634.8</v>
      </c>
      <c r="J2413" s="59">
        <v>44925</v>
      </c>
      <c r="K2413" s="273" t="s">
        <v>3118</v>
      </c>
    </row>
    <row r="2414" spans="1:11" x14ac:dyDescent="0.3">
      <c r="A2414" s="259">
        <f t="shared" ref="A2414:A2433" si="89">A2413+1</f>
        <v>2161</v>
      </c>
      <c r="B2414" s="20" t="s">
        <v>3406</v>
      </c>
      <c r="C2414" s="162">
        <v>1966</v>
      </c>
      <c r="D2414" s="273"/>
      <c r="E2414" s="200" t="s">
        <v>3442</v>
      </c>
      <c r="F2414" s="200">
        <v>2</v>
      </c>
      <c r="G2414" s="200">
        <v>664.4</v>
      </c>
      <c r="H2414" s="201">
        <v>11</v>
      </c>
      <c r="I2414" s="273">
        <f>SUMIF('2020'!B:B,B2414,'2020'!C:C)+SUMIF('2021'!B:B,B2414,'2021'!C:C)+SUMIF('2022'!B:B,B2414,'2022'!C:C)</f>
        <v>106053.88</v>
      </c>
      <c r="J2414" s="59">
        <v>44925</v>
      </c>
      <c r="K2414" s="273" t="s">
        <v>3118</v>
      </c>
    </row>
    <row r="2415" spans="1:11" x14ac:dyDescent="0.3">
      <c r="A2415" s="259">
        <f t="shared" si="89"/>
        <v>2162</v>
      </c>
      <c r="B2415" s="20" t="s">
        <v>3240</v>
      </c>
      <c r="C2415" s="162">
        <v>1971</v>
      </c>
      <c r="D2415" s="273"/>
      <c r="E2415" s="200" t="s">
        <v>3442</v>
      </c>
      <c r="F2415" s="200">
        <v>2</v>
      </c>
      <c r="G2415" s="200">
        <v>650.6</v>
      </c>
      <c r="H2415" s="201">
        <v>18</v>
      </c>
      <c r="I2415" s="273">
        <f>SUMIF('2020'!B:B,B2415,'2020'!C:C)+SUMIF('2021'!B:B,B2415,'2021'!C:C)+SUMIF('2022'!B:B,B2415,'2022'!C:C)</f>
        <v>3820404.66</v>
      </c>
      <c r="J2415" s="59">
        <v>44925</v>
      </c>
      <c r="K2415" s="273" t="s">
        <v>3118</v>
      </c>
    </row>
    <row r="2416" spans="1:11" x14ac:dyDescent="0.3">
      <c r="A2416" s="259">
        <f t="shared" si="89"/>
        <v>2163</v>
      </c>
      <c r="B2416" s="20" t="s">
        <v>3241</v>
      </c>
      <c r="C2416" s="162">
        <v>1953</v>
      </c>
      <c r="D2416" s="273"/>
      <c r="E2416" s="200" t="s">
        <v>3442</v>
      </c>
      <c r="F2416" s="200">
        <v>2</v>
      </c>
      <c r="G2416" s="200">
        <v>414.7</v>
      </c>
      <c r="H2416" s="201">
        <v>9</v>
      </c>
      <c r="I2416" s="273">
        <f>SUMIF('2020'!B:B,B2416,'2020'!C:C)+SUMIF('2021'!B:B,B2416,'2021'!C:C)+SUMIF('2022'!B:B,B2416,'2022'!C:C)</f>
        <v>1032100.8</v>
      </c>
      <c r="J2416" s="59">
        <v>44925</v>
      </c>
      <c r="K2416" s="273" t="s">
        <v>3118</v>
      </c>
    </row>
    <row r="2417" spans="1:11" x14ac:dyDescent="0.3">
      <c r="A2417" s="259">
        <f t="shared" si="89"/>
        <v>2164</v>
      </c>
      <c r="B2417" s="20" t="s">
        <v>3242</v>
      </c>
      <c r="C2417" s="162">
        <v>1953</v>
      </c>
      <c r="D2417" s="273"/>
      <c r="E2417" s="200" t="s">
        <v>3442</v>
      </c>
      <c r="F2417" s="200">
        <v>2</v>
      </c>
      <c r="G2417" s="200">
        <v>414.6</v>
      </c>
      <c r="H2417" s="201">
        <v>20</v>
      </c>
      <c r="I2417" s="273">
        <f>SUMIF('2020'!B:B,B2417,'2020'!C:C)+SUMIF('2021'!B:B,B2417,'2021'!C:C)+SUMIF('2022'!B:B,B2417,'2022'!C:C)</f>
        <v>1032100.8</v>
      </c>
      <c r="J2417" s="59">
        <v>44925</v>
      </c>
      <c r="K2417" s="273" t="s">
        <v>3118</v>
      </c>
    </row>
    <row r="2418" spans="1:11" x14ac:dyDescent="0.3">
      <c r="A2418" s="259">
        <f t="shared" si="89"/>
        <v>2165</v>
      </c>
      <c r="B2418" s="20" t="s">
        <v>3243</v>
      </c>
      <c r="C2418" s="162">
        <v>1953</v>
      </c>
      <c r="D2418" s="273"/>
      <c r="E2418" s="200" t="s">
        <v>3442</v>
      </c>
      <c r="F2418" s="200">
        <v>2</v>
      </c>
      <c r="G2418" s="200">
        <v>414.6</v>
      </c>
      <c r="H2418" s="201">
        <v>18</v>
      </c>
      <c r="I2418" s="273">
        <f>SUMIF('2020'!B:B,B2418,'2020'!C:C)+SUMIF('2021'!B:B,B2418,'2021'!C:C)+SUMIF('2022'!B:B,B2418,'2022'!C:C)</f>
        <v>1032100.8</v>
      </c>
      <c r="J2418" s="59">
        <v>44925</v>
      </c>
      <c r="K2418" s="273" t="s">
        <v>3118</v>
      </c>
    </row>
    <row r="2419" spans="1:11" x14ac:dyDescent="0.3">
      <c r="A2419" s="259">
        <f t="shared" si="89"/>
        <v>2166</v>
      </c>
      <c r="B2419" s="20" t="s">
        <v>3407</v>
      </c>
      <c r="C2419" s="162">
        <v>1985</v>
      </c>
      <c r="D2419" s="273"/>
      <c r="E2419" s="200" t="s">
        <v>3526</v>
      </c>
      <c r="F2419" s="200">
        <v>5</v>
      </c>
      <c r="G2419" s="202">
        <v>6461.2</v>
      </c>
      <c r="H2419" s="201">
        <v>182</v>
      </c>
      <c r="I2419" s="273">
        <f>SUMIF('2020'!B:B,B2419,'2020'!C:C)+SUMIF('2021'!B:B,B2419,'2021'!C:C)+SUMIF('2022'!B:B,B2419,'2022'!C:C)</f>
        <v>130000</v>
      </c>
      <c r="J2419" s="59">
        <v>44925</v>
      </c>
      <c r="K2419" s="273" t="s">
        <v>3118</v>
      </c>
    </row>
    <row r="2420" spans="1:11" x14ac:dyDescent="0.3">
      <c r="A2420" s="259">
        <f t="shared" si="89"/>
        <v>2167</v>
      </c>
      <c r="B2420" s="20" t="s">
        <v>3244</v>
      </c>
      <c r="C2420" s="162">
        <v>1973</v>
      </c>
      <c r="D2420" s="273"/>
      <c r="E2420" s="200" t="s">
        <v>3526</v>
      </c>
      <c r="F2420" s="200">
        <v>5</v>
      </c>
      <c r="G2420" s="202">
        <v>4256.2</v>
      </c>
      <c r="H2420" s="201">
        <v>124</v>
      </c>
      <c r="I2420" s="273">
        <f>SUMIF('2020'!B:B,B2420,'2020'!C:C)+SUMIF('2021'!B:B,B2420,'2021'!C:C)+SUMIF('2022'!B:B,B2420,'2022'!C:C)</f>
        <v>22568718</v>
      </c>
      <c r="J2420" s="59">
        <v>44925</v>
      </c>
      <c r="K2420" s="273" t="s">
        <v>3118</v>
      </c>
    </row>
    <row r="2421" spans="1:11" x14ac:dyDescent="0.3">
      <c r="A2421" s="259">
        <f t="shared" si="89"/>
        <v>2168</v>
      </c>
      <c r="B2421" s="20" t="s">
        <v>3378</v>
      </c>
      <c r="C2421" s="162">
        <v>1982</v>
      </c>
      <c r="D2421" s="273"/>
      <c r="E2421" s="200" t="s">
        <v>3526</v>
      </c>
      <c r="F2421" s="200">
        <v>5</v>
      </c>
      <c r="G2421" s="202">
        <v>4336</v>
      </c>
      <c r="H2421" s="201">
        <v>122</v>
      </c>
      <c r="I2421" s="273">
        <f>SUMIF('2020'!B:B,B2421,'2020'!C:C)+SUMIF('2021'!B:B,B2421,'2021'!C:C)+SUMIF('2022'!B:B,B2421,'2022'!C:C)</f>
        <v>17209218</v>
      </c>
      <c r="J2421" s="59">
        <v>44925</v>
      </c>
      <c r="K2421" s="273" t="s">
        <v>3118</v>
      </c>
    </row>
    <row r="2422" spans="1:11" x14ac:dyDescent="0.3">
      <c r="A2422" s="259">
        <f t="shared" si="89"/>
        <v>2169</v>
      </c>
      <c r="B2422" s="20" t="s">
        <v>3408</v>
      </c>
      <c r="C2422" s="162">
        <v>1959</v>
      </c>
      <c r="D2422" s="273"/>
      <c r="E2422" s="200" t="s">
        <v>3515</v>
      </c>
      <c r="F2422" s="200">
        <v>2</v>
      </c>
      <c r="G2422" s="200">
        <v>282.8</v>
      </c>
      <c r="H2422" s="201">
        <v>13</v>
      </c>
      <c r="I2422" s="273">
        <f>SUMIF('2020'!B:B,B2422,'2020'!C:C)+SUMIF('2021'!B:B,B2422,'2021'!C:C)+SUMIF('2022'!B:B,B2422,'2022'!C:C)</f>
        <v>130000</v>
      </c>
      <c r="J2422" s="59">
        <v>44925</v>
      </c>
      <c r="K2422" s="273" t="s">
        <v>3118</v>
      </c>
    </row>
    <row r="2423" spans="1:11" x14ac:dyDescent="0.3">
      <c r="A2423" s="259">
        <f t="shared" si="89"/>
        <v>2170</v>
      </c>
      <c r="B2423" s="20" t="s">
        <v>3245</v>
      </c>
      <c r="C2423" s="162">
        <v>1960</v>
      </c>
      <c r="D2423" s="273"/>
      <c r="E2423" s="200" t="s">
        <v>3442</v>
      </c>
      <c r="F2423" s="200">
        <v>2</v>
      </c>
      <c r="G2423" s="200">
        <v>509.9</v>
      </c>
      <c r="H2423" s="201">
        <v>21</v>
      </c>
      <c r="I2423" s="273">
        <f>SUMIF('2020'!B:B,B2423,'2020'!C:C)+SUMIF('2021'!B:B,B2423,'2021'!C:C)+SUMIF('2022'!B:B,B2423,'2022'!C:C)</f>
        <v>3489621.54</v>
      </c>
      <c r="J2423" s="59">
        <v>44925</v>
      </c>
      <c r="K2423" s="273" t="s">
        <v>3118</v>
      </c>
    </row>
    <row r="2424" spans="1:11" x14ac:dyDescent="0.3">
      <c r="A2424" s="259">
        <f t="shared" si="89"/>
        <v>2171</v>
      </c>
      <c r="B2424" s="20" t="s">
        <v>3379</v>
      </c>
      <c r="C2424" s="162">
        <v>1968</v>
      </c>
      <c r="D2424" s="273"/>
      <c r="E2424" s="200" t="s">
        <v>3526</v>
      </c>
      <c r="F2424" s="200">
        <v>5</v>
      </c>
      <c r="G2424" s="202">
        <v>2783.8</v>
      </c>
      <c r="H2424" s="201">
        <v>92</v>
      </c>
      <c r="I2424" s="273">
        <f>SUMIF('2020'!B:B,B2424,'2020'!C:C)+SUMIF('2021'!B:B,B2424,'2021'!C:C)+SUMIF('2022'!B:B,B2424,'2022'!C:C)</f>
        <v>10623490.800000001</v>
      </c>
      <c r="J2424" s="59">
        <v>44925</v>
      </c>
      <c r="K2424" s="273" t="s">
        <v>3118</v>
      </c>
    </row>
    <row r="2425" spans="1:11" x14ac:dyDescent="0.3">
      <c r="A2425" s="259">
        <f t="shared" si="89"/>
        <v>2172</v>
      </c>
      <c r="B2425" s="20" t="s">
        <v>3246</v>
      </c>
      <c r="C2425" s="162">
        <v>1968</v>
      </c>
      <c r="D2425" s="273"/>
      <c r="E2425" s="200" t="s">
        <v>3526</v>
      </c>
      <c r="F2425" s="200">
        <v>5</v>
      </c>
      <c r="G2425" s="202">
        <v>2774.7</v>
      </c>
      <c r="H2425" s="201">
        <v>77</v>
      </c>
      <c r="I2425" s="273">
        <f>SUMIF('2020'!B:B,B2425,'2020'!C:C)+SUMIF('2021'!B:B,B2425,'2021'!C:C)+SUMIF('2022'!B:B,B2425,'2022'!C:C)</f>
        <v>130000</v>
      </c>
      <c r="J2425" s="59">
        <v>44925</v>
      </c>
      <c r="K2425" s="273" t="s">
        <v>3118</v>
      </c>
    </row>
    <row r="2426" spans="1:11" x14ac:dyDescent="0.3">
      <c r="A2426" s="259">
        <f t="shared" si="89"/>
        <v>2173</v>
      </c>
      <c r="B2426" s="20" t="s">
        <v>3247</v>
      </c>
      <c r="C2426" s="162">
        <v>1982</v>
      </c>
      <c r="D2426" s="273"/>
      <c r="E2426" s="200" t="s">
        <v>3515</v>
      </c>
      <c r="F2426" s="200">
        <v>2</v>
      </c>
      <c r="G2426" s="200">
        <v>282.8</v>
      </c>
      <c r="H2426" s="201">
        <v>13</v>
      </c>
      <c r="I2426" s="273">
        <f>SUMIF('2020'!B:B,B2426,'2020'!C:C)+SUMIF('2021'!B:B,B2426,'2021'!C:C)+SUMIF('2022'!B:B,B2426,'2022'!C:C)</f>
        <v>1080122.3999999999</v>
      </c>
      <c r="J2426" s="59">
        <v>44925</v>
      </c>
      <c r="K2426" s="273" t="s">
        <v>3118</v>
      </c>
    </row>
    <row r="2427" spans="1:11" x14ac:dyDescent="0.3">
      <c r="A2427" s="259">
        <f t="shared" si="89"/>
        <v>2174</v>
      </c>
      <c r="B2427" s="20" t="s">
        <v>3248</v>
      </c>
      <c r="C2427" s="162">
        <v>1957</v>
      </c>
      <c r="D2427" s="273"/>
      <c r="E2427" s="200" t="s">
        <v>3123</v>
      </c>
      <c r="F2427" s="200">
        <v>2</v>
      </c>
      <c r="G2427" s="200">
        <v>378.6</v>
      </c>
      <c r="H2427" s="201">
        <v>17</v>
      </c>
      <c r="I2427" s="273">
        <f>SUMIF('2020'!B:B,B2427,'2020'!C:C)+SUMIF('2021'!B:B,B2427,'2021'!C:C)+SUMIF('2022'!B:B,B2427,'2022'!C:C)</f>
        <v>982032</v>
      </c>
      <c r="J2427" s="59">
        <v>44925</v>
      </c>
      <c r="K2427" s="273" t="s">
        <v>3118</v>
      </c>
    </row>
    <row r="2428" spans="1:11" x14ac:dyDescent="0.3">
      <c r="A2428" s="259">
        <f t="shared" si="89"/>
        <v>2175</v>
      </c>
      <c r="B2428" s="20" t="s">
        <v>3249</v>
      </c>
      <c r="C2428" s="162">
        <v>1982</v>
      </c>
      <c r="D2428" s="273"/>
      <c r="E2428" s="200" t="s">
        <v>3527</v>
      </c>
      <c r="F2428" s="200">
        <v>2</v>
      </c>
      <c r="G2428" s="200">
        <v>278</v>
      </c>
      <c r="H2428" s="201">
        <v>18</v>
      </c>
      <c r="I2428" s="273">
        <f>SUMIF('2020'!B:B,B2428,'2020'!C:C)+SUMIF('2021'!B:B,B2428,'2021'!C:C)+SUMIF('2022'!B:B,B2428,'2022'!C:C)</f>
        <v>2576173.5999999996</v>
      </c>
      <c r="J2428" s="59">
        <v>44925</v>
      </c>
      <c r="K2428" s="273" t="s">
        <v>3118</v>
      </c>
    </row>
    <row r="2429" spans="1:11" x14ac:dyDescent="0.3">
      <c r="A2429" s="259">
        <f t="shared" si="89"/>
        <v>2176</v>
      </c>
      <c r="B2429" s="20" t="s">
        <v>3409</v>
      </c>
      <c r="C2429" s="162">
        <v>1949</v>
      </c>
      <c r="D2429" s="273"/>
      <c r="E2429" s="200" t="s">
        <v>3527</v>
      </c>
      <c r="F2429" s="200">
        <v>2</v>
      </c>
      <c r="G2429" s="200">
        <v>299.2</v>
      </c>
      <c r="H2429" s="201">
        <v>9</v>
      </c>
      <c r="I2429" s="273">
        <f>SUMIF('2020'!B:B,B2429,'2020'!C:C)+SUMIF('2021'!B:B,B2429,'2021'!C:C)+SUMIF('2022'!B:B,B2429,'2022'!C:C)</f>
        <v>130000</v>
      </c>
      <c r="J2429" s="59">
        <v>44925</v>
      </c>
      <c r="K2429" s="273" t="s">
        <v>3118</v>
      </c>
    </row>
    <row r="2430" spans="1:11" x14ac:dyDescent="0.3">
      <c r="A2430" s="259">
        <f t="shared" si="89"/>
        <v>2177</v>
      </c>
      <c r="B2430" s="20" t="s">
        <v>3410</v>
      </c>
      <c r="C2430" s="162">
        <v>1982</v>
      </c>
      <c r="D2430" s="273"/>
      <c r="E2430" s="200" t="s">
        <v>3526</v>
      </c>
      <c r="F2430" s="200">
        <v>3</v>
      </c>
      <c r="G2430" s="202">
        <v>2088</v>
      </c>
      <c r="H2430" s="201">
        <v>42</v>
      </c>
      <c r="I2430" s="273">
        <f>SUMIF('2020'!B:B,B2430,'2020'!C:C)+SUMIF('2021'!B:B,B2430,'2021'!C:C)+SUMIF('2022'!B:B,B2430,'2022'!C:C)</f>
        <v>130000</v>
      </c>
      <c r="J2430" s="59">
        <v>44925</v>
      </c>
      <c r="K2430" s="273" t="s">
        <v>3118</v>
      </c>
    </row>
    <row r="2431" spans="1:11" x14ac:dyDescent="0.3">
      <c r="A2431" s="259">
        <f t="shared" si="89"/>
        <v>2178</v>
      </c>
      <c r="B2431" s="20" t="s">
        <v>3411</v>
      </c>
      <c r="C2431" s="162">
        <v>1940</v>
      </c>
      <c r="D2431" s="273"/>
      <c r="E2431" s="200" t="s">
        <v>3527</v>
      </c>
      <c r="F2431" s="200">
        <v>2</v>
      </c>
      <c r="G2431" s="200">
        <v>332.1</v>
      </c>
      <c r="H2431" s="201">
        <v>12</v>
      </c>
      <c r="I2431" s="273">
        <f>SUMIF('2020'!B:B,B2431,'2020'!C:C)+SUMIF('2021'!B:B,B2431,'2021'!C:C)+SUMIF('2022'!B:B,B2431,'2022'!C:C)</f>
        <v>130000</v>
      </c>
      <c r="J2431" s="59">
        <v>44925</v>
      </c>
      <c r="K2431" s="273" t="s">
        <v>3118</v>
      </c>
    </row>
    <row r="2432" spans="1:11" x14ac:dyDescent="0.3">
      <c r="A2432" s="259">
        <f t="shared" si="89"/>
        <v>2179</v>
      </c>
      <c r="B2432" s="20" t="s">
        <v>3250</v>
      </c>
      <c r="C2432" s="162">
        <v>1958</v>
      </c>
      <c r="D2432" s="273"/>
      <c r="E2432" s="200" t="s">
        <v>3442</v>
      </c>
      <c r="F2432" s="200">
        <v>2</v>
      </c>
      <c r="G2432" s="200">
        <v>696</v>
      </c>
      <c r="H2432" s="201">
        <v>29</v>
      </c>
      <c r="I2432" s="273">
        <f>SUMIF('2020'!B:B,B2432,'2020'!C:C)+SUMIF('2021'!B:B,B2432,'2021'!C:C)+SUMIF('2022'!B:B,B2432,'2022'!C:C)</f>
        <v>1660358.4</v>
      </c>
      <c r="J2432" s="59">
        <v>44925</v>
      </c>
      <c r="K2432" s="273" t="s">
        <v>3118</v>
      </c>
    </row>
    <row r="2433" spans="1:11" x14ac:dyDescent="0.3">
      <c r="A2433" s="259">
        <f t="shared" si="89"/>
        <v>2180</v>
      </c>
      <c r="B2433" s="20" t="s">
        <v>3412</v>
      </c>
      <c r="C2433" s="162">
        <v>1975</v>
      </c>
      <c r="D2433" s="273"/>
      <c r="E2433" s="200" t="s">
        <v>3442</v>
      </c>
      <c r="F2433" s="200">
        <v>2</v>
      </c>
      <c r="G2433" s="200">
        <v>802.3</v>
      </c>
      <c r="H2433" s="201">
        <v>30</v>
      </c>
      <c r="I2433" s="273">
        <f>SUMIF('2020'!B:B,B2433,'2020'!C:C)+SUMIF('2021'!B:B,B2433,'2021'!C:C)+SUMIF('2022'!B:B,B2433,'2022'!C:C)</f>
        <v>130000</v>
      </c>
      <c r="J2433" s="59">
        <v>44925</v>
      </c>
      <c r="K2433" s="273" t="s">
        <v>3118</v>
      </c>
    </row>
    <row r="2434" spans="1:11" x14ac:dyDescent="0.3">
      <c r="A2434" s="302" t="s">
        <v>208</v>
      </c>
      <c r="B2434" s="302"/>
      <c r="C2434" s="273" t="s">
        <v>3558</v>
      </c>
      <c r="D2434" s="273" t="s">
        <v>3558</v>
      </c>
      <c r="E2434" s="273" t="s">
        <v>3558</v>
      </c>
      <c r="F2434" s="273" t="s">
        <v>3558</v>
      </c>
      <c r="G2434" s="273">
        <f>SUM(G2413:G2433)</f>
        <v>29786.899999999998</v>
      </c>
      <c r="H2434" s="10">
        <f>SUM(H2413:H2433)</f>
        <v>900</v>
      </c>
      <c r="I2434" s="273">
        <f>SUM(I2413:I2433)</f>
        <v>69305130.480000004</v>
      </c>
      <c r="J2434" s="273" t="s">
        <v>3558</v>
      </c>
      <c r="K2434" s="273" t="s">
        <v>3558</v>
      </c>
    </row>
    <row r="2435" spans="1:11" x14ac:dyDescent="0.3">
      <c r="A2435" s="301" t="s">
        <v>3251</v>
      </c>
      <c r="B2435" s="301"/>
      <c r="C2435" s="273"/>
      <c r="D2435" s="273"/>
      <c r="E2435" s="273"/>
      <c r="F2435" s="273"/>
      <c r="G2435" s="273"/>
      <c r="H2435" s="10"/>
      <c r="I2435" s="273"/>
      <c r="J2435" s="273"/>
      <c r="K2435" s="273"/>
    </row>
    <row r="2436" spans="1:11" x14ac:dyDescent="0.3">
      <c r="A2436" s="259">
        <f>A2433+1</f>
        <v>2181</v>
      </c>
      <c r="B2436" s="20" t="s">
        <v>3380</v>
      </c>
      <c r="C2436" s="162">
        <v>1978</v>
      </c>
      <c r="D2436" s="273"/>
      <c r="E2436" s="162" t="s">
        <v>3528</v>
      </c>
      <c r="F2436" s="259">
        <v>5</v>
      </c>
      <c r="G2436" s="46">
        <v>3968.5</v>
      </c>
      <c r="H2436" s="48">
        <v>173</v>
      </c>
      <c r="I2436" s="273">
        <f>SUMIF('2020'!B:B,B2436,'2020'!C:C)+SUMIF('2021'!B:B,B2436,'2021'!C:C)+SUMIF('2022'!B:B,B2436,'2022'!C:C)</f>
        <v>376786.94999999995</v>
      </c>
      <c r="J2436" s="59">
        <v>44925</v>
      </c>
      <c r="K2436" s="273" t="s">
        <v>3118</v>
      </c>
    </row>
    <row r="2437" spans="1:11" x14ac:dyDescent="0.3">
      <c r="A2437" s="259">
        <f>A2436+1</f>
        <v>2182</v>
      </c>
      <c r="B2437" s="20" t="s">
        <v>3252</v>
      </c>
      <c r="C2437" s="162">
        <v>1978</v>
      </c>
      <c r="D2437" s="273"/>
      <c r="E2437" s="162" t="s">
        <v>3528</v>
      </c>
      <c r="F2437" s="259">
        <v>5</v>
      </c>
      <c r="G2437" s="46">
        <v>3959.3</v>
      </c>
      <c r="H2437" s="48">
        <v>153</v>
      </c>
      <c r="I2437" s="273">
        <f>SUMIF('2020'!B:B,B2437,'2020'!C:C)+SUMIF('2021'!B:B,B2437,'2021'!C:C)+SUMIF('2022'!B:B,B2437,'2022'!C:C)</f>
        <v>814578.78</v>
      </c>
      <c r="J2437" s="59">
        <v>44925</v>
      </c>
      <c r="K2437" s="273" t="s">
        <v>3118</v>
      </c>
    </row>
    <row r="2438" spans="1:11" x14ac:dyDescent="0.3">
      <c r="A2438" s="259">
        <f>A2437+1</f>
        <v>2183</v>
      </c>
      <c r="B2438" s="20" t="s">
        <v>3253</v>
      </c>
      <c r="C2438" s="162">
        <v>1980</v>
      </c>
      <c r="D2438" s="273"/>
      <c r="E2438" s="162" t="s">
        <v>3528</v>
      </c>
      <c r="F2438" s="259">
        <v>5</v>
      </c>
      <c r="G2438" s="46">
        <v>4386.6000000000004</v>
      </c>
      <c r="H2438" s="48">
        <v>149</v>
      </c>
      <c r="I2438" s="273">
        <f>SUMIF('2020'!B:B,B2438,'2020'!C:C)+SUMIF('2021'!B:B,B2438,'2021'!C:C)+SUMIF('2022'!B:B,B2438,'2022'!C:C)</f>
        <v>1532422.8</v>
      </c>
      <c r="J2438" s="59">
        <v>44925</v>
      </c>
      <c r="K2438" s="273" t="s">
        <v>3118</v>
      </c>
    </row>
    <row r="2439" spans="1:11" x14ac:dyDescent="0.3">
      <c r="A2439" s="302" t="s">
        <v>208</v>
      </c>
      <c r="B2439" s="302"/>
      <c r="C2439" s="273" t="s">
        <v>3558</v>
      </c>
      <c r="D2439" s="273" t="s">
        <v>3558</v>
      </c>
      <c r="E2439" s="273" t="s">
        <v>3558</v>
      </c>
      <c r="F2439" s="273" t="s">
        <v>3558</v>
      </c>
      <c r="G2439" s="273">
        <f>SUM(G2436:G2438)</f>
        <v>12314.400000000001</v>
      </c>
      <c r="H2439" s="10">
        <f>SUM(H2436:H2438)</f>
        <v>475</v>
      </c>
      <c r="I2439" s="273">
        <f>SUM(I2436:I2438)</f>
        <v>2723788.5300000003</v>
      </c>
      <c r="J2439" s="273" t="s">
        <v>3558</v>
      </c>
      <c r="K2439" s="273" t="s">
        <v>3558</v>
      </c>
    </row>
    <row r="2440" spans="1:11" x14ac:dyDescent="0.3">
      <c r="A2440" s="301" t="s">
        <v>3254</v>
      </c>
      <c r="B2440" s="301"/>
      <c r="C2440" s="273"/>
      <c r="D2440" s="273"/>
      <c r="E2440" s="273"/>
      <c r="F2440" s="273"/>
      <c r="G2440" s="273"/>
      <c r="H2440" s="10"/>
      <c r="I2440" s="273"/>
      <c r="J2440" s="273"/>
      <c r="K2440" s="273"/>
    </row>
    <row r="2441" spans="1:11" x14ac:dyDescent="0.3">
      <c r="A2441" s="259">
        <f>A2438+1</f>
        <v>2184</v>
      </c>
      <c r="B2441" s="20" t="s">
        <v>3255</v>
      </c>
      <c r="C2441" s="162">
        <v>1966</v>
      </c>
      <c r="D2441" s="273"/>
      <c r="E2441" s="200" t="s">
        <v>3529</v>
      </c>
      <c r="F2441" s="200">
        <v>2</v>
      </c>
      <c r="G2441" s="46">
        <v>656</v>
      </c>
      <c r="H2441" s="48">
        <v>17</v>
      </c>
      <c r="I2441" s="273">
        <f>SUMIF('2020'!B:B,B2441,'2020'!C:C)+SUMIF('2021'!B:B,B2441,'2021'!C:C)+SUMIF('2022'!B:B,B2441,'2022'!C:C)</f>
        <v>103211.48</v>
      </c>
      <c r="J2441" s="59">
        <v>44925</v>
      </c>
      <c r="K2441" s="273" t="s">
        <v>3118</v>
      </c>
    </row>
    <row r="2442" spans="1:11" x14ac:dyDescent="0.3">
      <c r="A2442" s="259">
        <f>A2441+1</f>
        <v>2185</v>
      </c>
      <c r="B2442" s="20" t="s">
        <v>3256</v>
      </c>
      <c r="C2442" s="162">
        <v>1967</v>
      </c>
      <c r="D2442" s="273"/>
      <c r="E2442" s="200" t="s">
        <v>3529</v>
      </c>
      <c r="F2442" s="200">
        <v>2</v>
      </c>
      <c r="G2442" s="46">
        <v>665.4</v>
      </c>
      <c r="H2442" s="48">
        <v>17</v>
      </c>
      <c r="I2442" s="273">
        <f>SUMIF('2020'!B:B,B2442,'2020'!C:C)+SUMIF('2021'!B:B,B2442,'2021'!C:C)+SUMIF('2022'!B:B,B2442,'2022'!C:C)</f>
        <v>105130.6</v>
      </c>
      <c r="J2442" s="59">
        <v>44925</v>
      </c>
      <c r="K2442" s="273" t="s">
        <v>3118</v>
      </c>
    </row>
    <row r="2443" spans="1:11" x14ac:dyDescent="0.3">
      <c r="A2443" s="259">
        <f>A2442+1</f>
        <v>2186</v>
      </c>
      <c r="B2443" s="20" t="s">
        <v>3257</v>
      </c>
      <c r="C2443" s="162">
        <v>1974</v>
      </c>
      <c r="D2443" s="273"/>
      <c r="E2443" s="200" t="s">
        <v>3529</v>
      </c>
      <c r="F2443" s="200">
        <v>5</v>
      </c>
      <c r="G2443" s="46">
        <v>3310.3</v>
      </c>
      <c r="H2443" s="48">
        <v>123</v>
      </c>
      <c r="I2443" s="273">
        <f>SUMIF('2020'!B:B,B2443,'2020'!C:C)+SUMIF('2021'!B:B,B2443,'2021'!C:C)+SUMIF('2022'!B:B,B2443,'2022'!C:C)</f>
        <v>248299.62</v>
      </c>
      <c r="J2443" s="59">
        <v>44925</v>
      </c>
      <c r="K2443" s="273" t="s">
        <v>3118</v>
      </c>
    </row>
    <row r="2444" spans="1:11" x14ac:dyDescent="0.3">
      <c r="A2444" s="259">
        <f>A2443+1</f>
        <v>2187</v>
      </c>
      <c r="B2444" s="20" t="s">
        <v>3258</v>
      </c>
      <c r="C2444" s="162">
        <v>1975</v>
      </c>
      <c r="D2444" s="273"/>
      <c r="E2444" s="200" t="s">
        <v>3529</v>
      </c>
      <c r="F2444" s="200">
        <v>5</v>
      </c>
      <c r="G2444" s="46">
        <v>3310.3</v>
      </c>
      <c r="H2444" s="48">
        <v>124</v>
      </c>
      <c r="I2444" s="273">
        <f>SUMIF('2020'!B:B,B2444,'2020'!C:C)+SUMIF('2021'!B:B,B2444,'2021'!C:C)+SUMIF('2022'!B:B,B2444,'2022'!C:C)</f>
        <v>304130.2</v>
      </c>
      <c r="J2444" s="59">
        <v>44925</v>
      </c>
      <c r="K2444" s="273" t="s">
        <v>3118</v>
      </c>
    </row>
    <row r="2445" spans="1:11" x14ac:dyDescent="0.3">
      <c r="A2445" s="302" t="s">
        <v>208</v>
      </c>
      <c r="B2445" s="302"/>
      <c r="C2445" s="273" t="s">
        <v>3558</v>
      </c>
      <c r="D2445" s="273" t="s">
        <v>3558</v>
      </c>
      <c r="E2445" s="273" t="s">
        <v>3558</v>
      </c>
      <c r="F2445" s="273" t="s">
        <v>3558</v>
      </c>
      <c r="G2445" s="273">
        <f>SUM(G2441:G2444)</f>
        <v>7942.0000000000009</v>
      </c>
      <c r="H2445" s="10">
        <f>SUM(H2441:H2444)</f>
        <v>281</v>
      </c>
      <c r="I2445" s="273">
        <f>SUM(I2441:I2444)</f>
        <v>760771.9</v>
      </c>
      <c r="J2445" s="273" t="s">
        <v>3558</v>
      </c>
      <c r="K2445" s="273" t="s">
        <v>3558</v>
      </c>
    </row>
    <row r="2446" spans="1:11" x14ac:dyDescent="0.3">
      <c r="A2446" s="301" t="s">
        <v>3259</v>
      </c>
      <c r="B2446" s="301"/>
      <c r="C2446" s="273"/>
      <c r="D2446" s="273"/>
      <c r="E2446" s="273"/>
      <c r="F2446" s="273"/>
      <c r="G2446" s="273"/>
      <c r="H2446" s="10"/>
      <c r="I2446" s="273"/>
      <c r="J2446" s="273"/>
      <c r="K2446" s="273"/>
    </row>
    <row r="2447" spans="1:11" x14ac:dyDescent="0.3">
      <c r="A2447" s="259">
        <f>A2444+1</f>
        <v>2188</v>
      </c>
      <c r="B2447" s="20" t="s">
        <v>3260</v>
      </c>
      <c r="C2447" s="162">
        <v>1971</v>
      </c>
      <c r="D2447" s="273"/>
      <c r="E2447" s="31" t="s">
        <v>3121</v>
      </c>
      <c r="F2447" s="273">
        <v>5</v>
      </c>
      <c r="G2447" s="31">
        <v>2584.3000000000002</v>
      </c>
      <c r="H2447" s="10">
        <v>114</v>
      </c>
      <c r="I2447" s="273">
        <f>SUMIF('2020'!B:B,B2447,'2020'!C:C)+SUMIF('2021'!B:B,B2447,'2021'!C:C)+SUMIF('2022'!B:B,B2447,'2022'!C:C)</f>
        <v>1476730.8</v>
      </c>
      <c r="J2447" s="59">
        <v>44925</v>
      </c>
      <c r="K2447" s="273" t="s">
        <v>3118</v>
      </c>
    </row>
    <row r="2448" spans="1:11" x14ac:dyDescent="0.3">
      <c r="A2448" s="302" t="s">
        <v>208</v>
      </c>
      <c r="B2448" s="302"/>
      <c r="C2448" s="273" t="s">
        <v>3558</v>
      </c>
      <c r="D2448" s="273" t="s">
        <v>3558</v>
      </c>
      <c r="E2448" s="273" t="s">
        <v>3558</v>
      </c>
      <c r="F2448" s="273" t="s">
        <v>3558</v>
      </c>
      <c r="G2448" s="273">
        <f>SUM(G2447)</f>
        <v>2584.3000000000002</v>
      </c>
      <c r="H2448" s="10">
        <f>SUM(H2447)</f>
        <v>114</v>
      </c>
      <c r="I2448" s="273">
        <f>SUM(I2447)</f>
        <v>1476730.8</v>
      </c>
      <c r="J2448" s="273" t="s">
        <v>3558</v>
      </c>
      <c r="K2448" s="273" t="s">
        <v>3558</v>
      </c>
    </row>
    <row r="2449" spans="1:11" x14ac:dyDescent="0.3">
      <c r="A2449" s="301" t="s">
        <v>3261</v>
      </c>
      <c r="B2449" s="301"/>
      <c r="C2449" s="162"/>
      <c r="D2449" s="273"/>
      <c r="E2449" s="31"/>
      <c r="F2449" s="273"/>
      <c r="G2449" s="31"/>
      <c r="H2449" s="10"/>
      <c r="I2449" s="273"/>
      <c r="J2449" s="273"/>
      <c r="K2449" s="273"/>
    </row>
    <row r="2450" spans="1:11" x14ac:dyDescent="0.3">
      <c r="A2450" s="259">
        <f>A2447+1</f>
        <v>2189</v>
      </c>
      <c r="B2450" s="20" t="s">
        <v>3262</v>
      </c>
      <c r="C2450" s="162">
        <v>1975</v>
      </c>
      <c r="D2450" s="273"/>
      <c r="E2450" s="32" t="s">
        <v>3123</v>
      </c>
      <c r="F2450" s="28" t="s">
        <v>3130</v>
      </c>
      <c r="G2450" s="46">
        <v>999.2</v>
      </c>
      <c r="H2450" s="174">
        <v>33</v>
      </c>
      <c r="I2450" s="273">
        <f>SUMIF('2020'!B:B,B2450,'2020'!C:C)+SUMIF('2021'!B:B,B2450,'2021'!C:C)+SUMIF('2022'!B:B,B2450,'2022'!C:C)</f>
        <v>1513023.6</v>
      </c>
      <c r="J2450" s="59">
        <v>44925</v>
      </c>
      <c r="K2450" s="273" t="s">
        <v>3118</v>
      </c>
    </row>
    <row r="2451" spans="1:11" x14ac:dyDescent="0.3">
      <c r="A2451" s="259">
        <f t="shared" ref="A2451:A2461" si="90">A2450+1</f>
        <v>2190</v>
      </c>
      <c r="B2451" s="20" t="s">
        <v>3263</v>
      </c>
      <c r="C2451" s="162">
        <v>1964</v>
      </c>
      <c r="D2451" s="273"/>
      <c r="E2451" s="32" t="s">
        <v>3123</v>
      </c>
      <c r="F2451" s="28" t="s">
        <v>3130</v>
      </c>
      <c r="G2451" s="46">
        <v>421.5</v>
      </c>
      <c r="H2451" s="174">
        <v>24</v>
      </c>
      <c r="I2451" s="273">
        <f>SUMIF('2020'!B:B,B2451,'2020'!C:C)+SUMIF('2021'!B:B,B2451,'2021'!C:C)+SUMIF('2022'!B:B,B2451,'2022'!C:C)</f>
        <v>942014.4</v>
      </c>
      <c r="J2451" s="59">
        <v>44925</v>
      </c>
      <c r="K2451" s="273" t="s">
        <v>3118</v>
      </c>
    </row>
    <row r="2452" spans="1:11" x14ac:dyDescent="0.3">
      <c r="A2452" s="259">
        <f t="shared" si="90"/>
        <v>2191</v>
      </c>
      <c r="B2452" s="20" t="s">
        <v>3264</v>
      </c>
      <c r="C2452" s="162">
        <v>1970</v>
      </c>
      <c r="D2452" s="273"/>
      <c r="E2452" s="32" t="s">
        <v>3123</v>
      </c>
      <c r="F2452" s="28" t="s">
        <v>3130</v>
      </c>
      <c r="G2452" s="46">
        <v>586.9</v>
      </c>
      <c r="H2452" s="174">
        <v>44</v>
      </c>
      <c r="I2452" s="273">
        <f>SUMIF('2020'!B:B,B2452,'2020'!C:C)+SUMIF('2021'!B:B,B2452,'2021'!C:C)+SUMIF('2022'!B:B,B2452,'2022'!C:C)</f>
        <v>1084203.6000000001</v>
      </c>
      <c r="J2452" s="59">
        <v>44925</v>
      </c>
      <c r="K2452" s="273" t="s">
        <v>3118</v>
      </c>
    </row>
    <row r="2453" spans="1:11" x14ac:dyDescent="0.3">
      <c r="A2453" s="259">
        <f t="shared" si="90"/>
        <v>2192</v>
      </c>
      <c r="B2453" s="20" t="s">
        <v>3265</v>
      </c>
      <c r="C2453" s="162">
        <v>1968</v>
      </c>
      <c r="D2453" s="273"/>
      <c r="E2453" s="32" t="s">
        <v>3123</v>
      </c>
      <c r="F2453" s="28" t="s">
        <v>3130</v>
      </c>
      <c r="G2453" s="46">
        <v>517.9</v>
      </c>
      <c r="H2453" s="174">
        <v>33</v>
      </c>
      <c r="I2453" s="273">
        <f>SUMIF('2020'!B:B,B2453,'2020'!C:C)+SUMIF('2021'!B:B,B2453,'2021'!C:C)+SUMIF('2022'!B:B,B2453,'2022'!C:C)</f>
        <v>1131913.2</v>
      </c>
      <c r="J2453" s="59">
        <v>44925</v>
      </c>
      <c r="K2453" s="273" t="s">
        <v>3118</v>
      </c>
    </row>
    <row r="2454" spans="1:11" x14ac:dyDescent="0.3">
      <c r="A2454" s="259">
        <f t="shared" si="90"/>
        <v>2193</v>
      </c>
      <c r="B2454" s="20" t="s">
        <v>3266</v>
      </c>
      <c r="C2454" s="162">
        <v>1970</v>
      </c>
      <c r="D2454" s="273"/>
      <c r="E2454" s="32" t="s">
        <v>3123</v>
      </c>
      <c r="F2454" s="28" t="s">
        <v>3130</v>
      </c>
      <c r="G2454" s="46">
        <v>587.1</v>
      </c>
      <c r="H2454" s="174">
        <v>29</v>
      </c>
      <c r="I2454" s="273">
        <f>SUMIF('2020'!B:B,B2454,'2020'!C:C)+SUMIF('2021'!B:B,B2454,'2021'!C:C)+SUMIF('2022'!B:B,B2454,'2022'!C:C)</f>
        <v>1077894</v>
      </c>
      <c r="J2454" s="59">
        <v>44925</v>
      </c>
      <c r="K2454" s="273" t="s">
        <v>3118</v>
      </c>
    </row>
    <row r="2455" spans="1:11" x14ac:dyDescent="0.3">
      <c r="A2455" s="259">
        <f t="shared" si="90"/>
        <v>2194</v>
      </c>
      <c r="B2455" s="20" t="s">
        <v>3267</v>
      </c>
      <c r="C2455" s="162">
        <v>1971</v>
      </c>
      <c r="D2455" s="273"/>
      <c r="E2455" s="32" t="s">
        <v>3123</v>
      </c>
      <c r="F2455" s="28" t="s">
        <v>3130</v>
      </c>
      <c r="G2455" s="46">
        <v>607</v>
      </c>
      <c r="H2455" s="174">
        <v>21</v>
      </c>
      <c r="I2455" s="273">
        <f>SUMIF('2020'!B:B,B2455,'2020'!C:C)+SUMIF('2021'!B:B,B2455,'2021'!C:C)+SUMIF('2022'!B:B,B2455,'2022'!C:C)</f>
        <v>1077912</v>
      </c>
      <c r="J2455" s="59">
        <v>44925</v>
      </c>
      <c r="K2455" s="273" t="s">
        <v>3118</v>
      </c>
    </row>
    <row r="2456" spans="1:11" x14ac:dyDescent="0.3">
      <c r="A2456" s="259">
        <f t="shared" si="90"/>
        <v>2195</v>
      </c>
      <c r="B2456" s="20" t="s">
        <v>3381</v>
      </c>
      <c r="C2456" s="162">
        <v>1968</v>
      </c>
      <c r="D2456" s="273"/>
      <c r="E2456" s="32" t="s">
        <v>3123</v>
      </c>
      <c r="F2456" s="28" t="s">
        <v>3130</v>
      </c>
      <c r="G2456" s="46">
        <v>541.79999999999995</v>
      </c>
      <c r="H2456" s="174">
        <v>27</v>
      </c>
      <c r="I2456" s="273">
        <f>SUMIF('2020'!B:B,B2456,'2020'!C:C)+SUMIF('2021'!B:B,B2456,'2021'!C:C)+SUMIF('2022'!B:B,B2456,'2022'!C:C)</f>
        <v>93514.93</v>
      </c>
      <c r="J2456" s="59">
        <v>44925</v>
      </c>
      <c r="K2456" s="273" t="s">
        <v>3118</v>
      </c>
    </row>
    <row r="2457" spans="1:11" x14ac:dyDescent="0.3">
      <c r="A2457" s="259">
        <f t="shared" si="90"/>
        <v>2196</v>
      </c>
      <c r="B2457" s="20" t="s">
        <v>3382</v>
      </c>
      <c r="C2457" s="162">
        <v>1987</v>
      </c>
      <c r="D2457" s="273"/>
      <c r="E2457" s="32" t="s">
        <v>3129</v>
      </c>
      <c r="F2457" s="28" t="s">
        <v>3131</v>
      </c>
      <c r="G2457" s="46">
        <v>3330.3</v>
      </c>
      <c r="H2457" s="174">
        <v>153</v>
      </c>
      <c r="I2457" s="273">
        <f>SUMIF('2020'!B:B,B2457,'2020'!C:C)+SUMIF('2021'!B:B,B2457,'2021'!C:C)+SUMIF('2022'!B:B,B2457,'2022'!C:C)</f>
        <v>3038780.4</v>
      </c>
      <c r="J2457" s="59">
        <v>44925</v>
      </c>
      <c r="K2457" s="273" t="s">
        <v>3118</v>
      </c>
    </row>
    <row r="2458" spans="1:11" x14ac:dyDescent="0.3">
      <c r="A2458" s="259">
        <f t="shared" si="90"/>
        <v>2197</v>
      </c>
      <c r="B2458" s="20" t="s">
        <v>3268</v>
      </c>
      <c r="C2458" s="162">
        <v>1989</v>
      </c>
      <c r="D2458" s="273"/>
      <c r="E2458" s="32" t="s">
        <v>3129</v>
      </c>
      <c r="F2458" s="28" t="s">
        <v>3144</v>
      </c>
      <c r="G2458" s="46">
        <v>5036.7</v>
      </c>
      <c r="H2458" s="174">
        <v>207</v>
      </c>
      <c r="I2458" s="273">
        <f>SUMIF('2020'!B:B,B2458,'2020'!C:C)+SUMIF('2021'!B:B,B2458,'2021'!C:C)+SUMIF('2022'!B:B,B2458,'2022'!C:C)</f>
        <v>22427671.199999999</v>
      </c>
      <c r="J2458" s="59">
        <v>44925</v>
      </c>
      <c r="K2458" s="273" t="s">
        <v>3118</v>
      </c>
    </row>
    <row r="2459" spans="1:11" x14ac:dyDescent="0.3">
      <c r="A2459" s="259">
        <f t="shared" si="90"/>
        <v>2198</v>
      </c>
      <c r="B2459" s="20" t="s">
        <v>3269</v>
      </c>
      <c r="C2459" s="162">
        <v>1961</v>
      </c>
      <c r="D2459" s="273"/>
      <c r="E2459" s="32" t="s">
        <v>3123</v>
      </c>
      <c r="F2459" s="28" t="s">
        <v>3130</v>
      </c>
      <c r="G2459" s="46">
        <v>290.2</v>
      </c>
      <c r="H2459" s="174">
        <v>17</v>
      </c>
      <c r="I2459" s="273">
        <f>SUMIF('2020'!B:B,B2459,'2020'!C:C)+SUMIF('2021'!B:B,B2459,'2021'!C:C)+SUMIF('2022'!B:B,B2459,'2022'!C:C)</f>
        <v>148816.88</v>
      </c>
      <c r="J2459" s="59">
        <v>44925</v>
      </c>
      <c r="K2459" s="273" t="s">
        <v>3118</v>
      </c>
    </row>
    <row r="2460" spans="1:11" x14ac:dyDescent="0.3">
      <c r="A2460" s="259">
        <f t="shared" si="90"/>
        <v>2199</v>
      </c>
      <c r="B2460" s="20" t="s">
        <v>3270</v>
      </c>
      <c r="C2460" s="162">
        <v>1978</v>
      </c>
      <c r="D2460" s="273"/>
      <c r="E2460" s="32" t="s">
        <v>3123</v>
      </c>
      <c r="F2460" s="28" t="s">
        <v>3146</v>
      </c>
      <c r="G2460" s="46">
        <v>963.6</v>
      </c>
      <c r="H2460" s="174">
        <v>37</v>
      </c>
      <c r="I2460" s="273">
        <f>SUMIF('2020'!B:B,B2460,'2020'!C:C)+SUMIF('2021'!B:B,B2460,'2021'!C:C)+SUMIF('2022'!B:B,B2460,'2022'!C:C)</f>
        <v>637102.15999999992</v>
      </c>
      <c r="J2460" s="59">
        <v>44925</v>
      </c>
      <c r="K2460" s="273" t="s">
        <v>3118</v>
      </c>
    </row>
    <row r="2461" spans="1:11" x14ac:dyDescent="0.3">
      <c r="A2461" s="259">
        <f t="shared" si="90"/>
        <v>2200</v>
      </c>
      <c r="B2461" s="20" t="s">
        <v>3271</v>
      </c>
      <c r="C2461" s="162">
        <v>1978</v>
      </c>
      <c r="D2461" s="273"/>
      <c r="E2461" s="32" t="s">
        <v>3123</v>
      </c>
      <c r="F2461" s="28" t="s">
        <v>3146</v>
      </c>
      <c r="G2461" s="46">
        <v>968.7</v>
      </c>
      <c r="H2461" s="174">
        <v>45</v>
      </c>
      <c r="I2461" s="273">
        <f>SUMIF('2020'!B:B,B2461,'2020'!C:C)+SUMIF('2021'!B:B,B2461,'2021'!C:C)+SUMIF('2022'!B:B,B2461,'2022'!C:C)</f>
        <v>1789148.92</v>
      </c>
      <c r="J2461" s="59">
        <v>44925</v>
      </c>
      <c r="K2461" s="273" t="s">
        <v>3118</v>
      </c>
    </row>
    <row r="2462" spans="1:11" x14ac:dyDescent="0.3">
      <c r="A2462" s="302" t="s">
        <v>208</v>
      </c>
      <c r="B2462" s="302"/>
      <c r="C2462" s="273" t="s">
        <v>3558</v>
      </c>
      <c r="D2462" s="273" t="s">
        <v>3558</v>
      </c>
      <c r="E2462" s="273" t="s">
        <v>3558</v>
      </c>
      <c r="F2462" s="273" t="s">
        <v>3558</v>
      </c>
      <c r="G2462" s="273">
        <f>SUM(G2450:G2461)</f>
        <v>14850.900000000001</v>
      </c>
      <c r="H2462" s="10">
        <f>SUM(H2450:H2461)</f>
        <v>670</v>
      </c>
      <c r="I2462" s="273">
        <f>SUM(I2450:I2461)</f>
        <v>34961995.289999999</v>
      </c>
      <c r="J2462" s="273" t="s">
        <v>3558</v>
      </c>
      <c r="K2462" s="273" t="s">
        <v>3558</v>
      </c>
    </row>
    <row r="2463" spans="1:11" x14ac:dyDescent="0.3">
      <c r="A2463" s="301" t="s">
        <v>3272</v>
      </c>
      <c r="B2463" s="301"/>
      <c r="C2463" s="273"/>
      <c r="D2463" s="273"/>
      <c r="E2463" s="273"/>
      <c r="F2463" s="273"/>
      <c r="G2463" s="273"/>
      <c r="H2463" s="10"/>
      <c r="I2463" s="273"/>
      <c r="J2463" s="273"/>
      <c r="K2463" s="273"/>
    </row>
    <row r="2464" spans="1:11" x14ac:dyDescent="0.3">
      <c r="A2464" s="259">
        <f>A2461+1</f>
        <v>2201</v>
      </c>
      <c r="B2464" s="20" t="s">
        <v>3273</v>
      </c>
      <c r="C2464" s="162">
        <v>1957</v>
      </c>
      <c r="D2464" s="273"/>
      <c r="E2464" s="162" t="s">
        <v>3530</v>
      </c>
      <c r="F2464" s="259">
        <v>2</v>
      </c>
      <c r="G2464" s="46">
        <v>737.2</v>
      </c>
      <c r="H2464" s="48">
        <v>17</v>
      </c>
      <c r="I2464" s="273">
        <f>SUMIF('2020'!B:B,B2464,'2020'!C:C)+SUMIF('2021'!B:B,B2464,'2021'!C:C)+SUMIF('2022'!B:B,B2464,'2022'!C:C)</f>
        <v>3782320.8</v>
      </c>
      <c r="J2464" s="59">
        <v>44925</v>
      </c>
      <c r="K2464" s="273" t="s">
        <v>3118</v>
      </c>
    </row>
    <row r="2465" spans="1:11" x14ac:dyDescent="0.3">
      <c r="A2465" s="302" t="s">
        <v>208</v>
      </c>
      <c r="B2465" s="302"/>
      <c r="C2465" s="273" t="s">
        <v>3558</v>
      </c>
      <c r="D2465" s="273" t="s">
        <v>3558</v>
      </c>
      <c r="E2465" s="273" t="s">
        <v>3558</v>
      </c>
      <c r="F2465" s="273" t="s">
        <v>3558</v>
      </c>
      <c r="G2465" s="273">
        <f>SUM(G2464)</f>
        <v>737.2</v>
      </c>
      <c r="H2465" s="10">
        <f>SUM(H2464)</f>
        <v>17</v>
      </c>
      <c r="I2465" s="273">
        <f>SUM(I2464)</f>
        <v>3782320.8</v>
      </c>
      <c r="J2465" s="273" t="s">
        <v>3558</v>
      </c>
      <c r="K2465" s="273" t="s">
        <v>3558</v>
      </c>
    </row>
    <row r="2466" spans="1:11" x14ac:dyDescent="0.3">
      <c r="A2466" s="301" t="s">
        <v>3274</v>
      </c>
      <c r="B2466" s="301"/>
      <c r="C2466" s="273"/>
      <c r="D2466" s="273"/>
      <c r="E2466" s="273"/>
      <c r="F2466" s="273"/>
      <c r="G2466" s="273"/>
      <c r="H2466" s="10"/>
      <c r="I2466" s="273"/>
      <c r="J2466" s="273"/>
      <c r="K2466" s="273"/>
    </row>
    <row r="2467" spans="1:11" x14ac:dyDescent="0.3">
      <c r="A2467" s="259">
        <f>A2464+1</f>
        <v>2202</v>
      </c>
      <c r="B2467" s="20" t="s">
        <v>3275</v>
      </c>
      <c r="C2467" s="162">
        <v>1966</v>
      </c>
      <c r="D2467" s="273"/>
      <c r="E2467" s="203" t="s">
        <v>3123</v>
      </c>
      <c r="F2467" s="203">
        <v>2</v>
      </c>
      <c r="G2467" s="32">
        <v>736.9</v>
      </c>
      <c r="H2467" s="204">
        <v>28</v>
      </c>
      <c r="I2467" s="273">
        <f>SUMIF('2020'!B:B,B2467,'2020'!C:C)+SUMIF('2021'!B:B,B2467,'2021'!C:C)+SUMIF('2022'!B:B,B2467,'2022'!C:C)</f>
        <v>8261124</v>
      </c>
      <c r="J2467" s="59">
        <v>44925</v>
      </c>
      <c r="K2467" s="273" t="s">
        <v>3118</v>
      </c>
    </row>
    <row r="2468" spans="1:11" x14ac:dyDescent="0.3">
      <c r="A2468" s="259">
        <f t="shared" ref="A2468:A2473" si="91">A2467+1</f>
        <v>2203</v>
      </c>
      <c r="B2468" s="20" t="s">
        <v>3276</v>
      </c>
      <c r="C2468" s="162">
        <v>1963</v>
      </c>
      <c r="D2468" s="273"/>
      <c r="E2468" s="203" t="s">
        <v>3123</v>
      </c>
      <c r="F2468" s="203">
        <v>2</v>
      </c>
      <c r="G2468" s="32">
        <v>421.1</v>
      </c>
      <c r="H2468" s="204">
        <v>17</v>
      </c>
      <c r="I2468" s="273">
        <f>SUMIF('2020'!B:B,B2468,'2020'!C:C)+SUMIF('2021'!B:B,B2468,'2021'!C:C)+SUMIF('2022'!B:B,B2468,'2022'!C:C)</f>
        <v>2525403.6</v>
      </c>
      <c r="J2468" s="59">
        <v>44925</v>
      </c>
      <c r="K2468" s="273" t="s">
        <v>3118</v>
      </c>
    </row>
    <row r="2469" spans="1:11" x14ac:dyDescent="0.3">
      <c r="A2469" s="259">
        <f t="shared" si="91"/>
        <v>2204</v>
      </c>
      <c r="B2469" s="20" t="s">
        <v>3277</v>
      </c>
      <c r="C2469" s="162">
        <v>1964</v>
      </c>
      <c r="D2469" s="273"/>
      <c r="E2469" s="203" t="s">
        <v>3123</v>
      </c>
      <c r="F2469" s="203">
        <v>2</v>
      </c>
      <c r="G2469" s="32">
        <v>508.6</v>
      </c>
      <c r="H2469" s="204">
        <v>12</v>
      </c>
      <c r="I2469" s="273">
        <f>SUMIF('2020'!B:B,B2469,'2020'!C:C)+SUMIF('2021'!B:B,B2469,'2021'!C:C)+SUMIF('2022'!B:B,B2469,'2022'!C:C)</f>
        <v>3028677.6</v>
      </c>
      <c r="J2469" s="59">
        <v>44925</v>
      </c>
      <c r="K2469" s="273" t="s">
        <v>3118</v>
      </c>
    </row>
    <row r="2470" spans="1:11" x14ac:dyDescent="0.3">
      <c r="A2470" s="259">
        <f t="shared" si="91"/>
        <v>2205</v>
      </c>
      <c r="B2470" s="20" t="s">
        <v>3278</v>
      </c>
      <c r="C2470" s="162">
        <v>1956</v>
      </c>
      <c r="D2470" s="273"/>
      <c r="E2470" s="203" t="s">
        <v>3123</v>
      </c>
      <c r="F2470" s="203">
        <v>2</v>
      </c>
      <c r="G2470" s="32">
        <v>509</v>
      </c>
      <c r="H2470" s="204">
        <v>26</v>
      </c>
      <c r="I2470" s="273">
        <f>SUMIF('2020'!B:B,B2470,'2020'!C:C)+SUMIF('2021'!B:B,B2470,'2021'!C:C)+SUMIF('2022'!B:B,B2470,'2022'!C:C)</f>
        <v>2820273.6</v>
      </c>
      <c r="J2470" s="59">
        <v>44925</v>
      </c>
      <c r="K2470" s="273" t="s">
        <v>3118</v>
      </c>
    </row>
    <row r="2471" spans="1:11" x14ac:dyDescent="0.3">
      <c r="A2471" s="259">
        <f t="shared" si="91"/>
        <v>2206</v>
      </c>
      <c r="B2471" s="20" t="s">
        <v>3383</v>
      </c>
      <c r="C2471" s="162">
        <v>1950</v>
      </c>
      <c r="D2471" s="273"/>
      <c r="E2471" s="203" t="s">
        <v>3123</v>
      </c>
      <c r="F2471" s="203">
        <v>2</v>
      </c>
      <c r="G2471" s="32">
        <v>528.6</v>
      </c>
      <c r="H2471" s="204">
        <v>24</v>
      </c>
      <c r="I2471" s="273">
        <f>SUMIF('2020'!B:B,B2471,'2020'!C:C)+SUMIF('2021'!B:B,B2471,'2021'!C:C)+SUMIF('2022'!B:B,B2471,'2022'!C:C)</f>
        <v>181959.67</v>
      </c>
      <c r="J2471" s="59">
        <v>44925</v>
      </c>
      <c r="K2471" s="273" t="s">
        <v>3118</v>
      </c>
    </row>
    <row r="2472" spans="1:11" x14ac:dyDescent="0.3">
      <c r="A2472" s="259">
        <f t="shared" si="91"/>
        <v>2207</v>
      </c>
      <c r="B2472" s="20" t="s">
        <v>3384</v>
      </c>
      <c r="C2472" s="162">
        <v>1952</v>
      </c>
      <c r="D2472" s="273"/>
      <c r="E2472" s="203" t="s">
        <v>3123</v>
      </c>
      <c r="F2472" s="203">
        <v>2</v>
      </c>
      <c r="G2472" s="32">
        <v>464.7</v>
      </c>
      <c r="H2472" s="204">
        <v>26</v>
      </c>
      <c r="I2472" s="273">
        <f>SUMIF('2020'!B:B,B2472,'2020'!C:C)+SUMIF('2021'!B:B,B2472,'2021'!C:C)+SUMIF('2022'!B:B,B2472,'2022'!C:C)</f>
        <v>169864.26</v>
      </c>
      <c r="J2472" s="59">
        <v>44925</v>
      </c>
      <c r="K2472" s="273" t="s">
        <v>3118</v>
      </c>
    </row>
    <row r="2473" spans="1:11" x14ac:dyDescent="0.3">
      <c r="A2473" s="259">
        <f t="shared" si="91"/>
        <v>2208</v>
      </c>
      <c r="B2473" s="20" t="s">
        <v>3413</v>
      </c>
      <c r="C2473" s="162">
        <v>1983</v>
      </c>
      <c r="D2473" s="273"/>
      <c r="E2473" s="203" t="s">
        <v>3531</v>
      </c>
      <c r="F2473" s="203">
        <v>3</v>
      </c>
      <c r="G2473" s="32">
        <v>2116.9</v>
      </c>
      <c r="H2473" s="204">
        <v>73</v>
      </c>
      <c r="I2473" s="273">
        <f>SUMIF('2020'!B:B,B2473,'2020'!C:C)+SUMIF('2021'!B:B,B2473,'2021'!C:C)+SUMIF('2022'!B:B,B2473,'2022'!C:C)</f>
        <v>6448930.7999999998</v>
      </c>
      <c r="J2473" s="59">
        <v>44925</v>
      </c>
      <c r="K2473" s="273" t="s">
        <v>3118</v>
      </c>
    </row>
    <row r="2474" spans="1:11" x14ac:dyDescent="0.3">
      <c r="A2474" s="302" t="s">
        <v>208</v>
      </c>
      <c r="B2474" s="302"/>
      <c r="C2474" s="273" t="s">
        <v>3558</v>
      </c>
      <c r="D2474" s="273" t="s">
        <v>3558</v>
      </c>
      <c r="E2474" s="273" t="s">
        <v>3558</v>
      </c>
      <c r="F2474" s="273" t="s">
        <v>3558</v>
      </c>
      <c r="G2474" s="273">
        <f>SUM(G2467:G2473)</f>
        <v>5285.7999999999993</v>
      </c>
      <c r="H2474" s="10">
        <f>SUM(H2467:H2473)</f>
        <v>206</v>
      </c>
      <c r="I2474" s="273">
        <f>SUM(I2467:I2473)</f>
        <v>23436233.530000001</v>
      </c>
      <c r="J2474" s="273" t="s">
        <v>3558</v>
      </c>
      <c r="K2474" s="273" t="s">
        <v>3558</v>
      </c>
    </row>
    <row r="2475" spans="1:11" x14ac:dyDescent="0.3">
      <c r="A2475" s="301" t="s">
        <v>3385</v>
      </c>
      <c r="B2475" s="301"/>
      <c r="C2475" s="273"/>
      <c r="D2475" s="273"/>
      <c r="E2475" s="273"/>
      <c r="F2475" s="273"/>
      <c r="G2475" s="273"/>
      <c r="H2475" s="10"/>
      <c r="I2475" s="273"/>
      <c r="J2475" s="273"/>
      <c r="K2475" s="273"/>
    </row>
    <row r="2476" spans="1:11" x14ac:dyDescent="0.3">
      <c r="A2476" s="259">
        <f>A2473+1</f>
        <v>2209</v>
      </c>
      <c r="B2476" s="20" t="s">
        <v>3414</v>
      </c>
      <c r="C2476" s="162">
        <v>1978</v>
      </c>
      <c r="D2476" s="273"/>
      <c r="E2476" s="273" t="s">
        <v>3119</v>
      </c>
      <c r="F2476" s="273">
        <v>5</v>
      </c>
      <c r="G2476" s="273">
        <v>6496.4</v>
      </c>
      <c r="H2476" s="10">
        <v>198</v>
      </c>
      <c r="I2476" s="273">
        <f>SUMIF('2020'!B:B,B2476,'2020'!C:C)+SUMIF('2021'!B:B,B2476,'2021'!C:C)+SUMIF('2022'!B:B,B2476,'2022'!C:C)</f>
        <v>31388754</v>
      </c>
      <c r="J2476" s="59">
        <v>44925</v>
      </c>
      <c r="K2476" s="273" t="s">
        <v>3118</v>
      </c>
    </row>
    <row r="2477" spans="1:11" x14ac:dyDescent="0.3">
      <c r="A2477" s="259">
        <f>A2476+1</f>
        <v>2210</v>
      </c>
      <c r="B2477" s="20" t="s">
        <v>3386</v>
      </c>
      <c r="C2477" s="162">
        <v>1962</v>
      </c>
      <c r="D2477" s="273"/>
      <c r="E2477" s="203" t="s">
        <v>3123</v>
      </c>
      <c r="F2477" s="273">
        <v>2</v>
      </c>
      <c r="G2477" s="273">
        <v>343.6</v>
      </c>
      <c r="H2477" s="10">
        <v>17</v>
      </c>
      <c r="I2477" s="273">
        <f>SUMIF('2020'!B:B,B2477,'2020'!C:C)+SUMIF('2021'!B:B,B2477,'2021'!C:C)+SUMIF('2022'!B:B,B2477,'2022'!C:C)</f>
        <v>114105.38</v>
      </c>
      <c r="J2477" s="59">
        <v>44925</v>
      </c>
      <c r="K2477" s="273" t="s">
        <v>3118</v>
      </c>
    </row>
    <row r="2478" spans="1:11" x14ac:dyDescent="0.3">
      <c r="A2478" s="259">
        <f>A2477+1</f>
        <v>2211</v>
      </c>
      <c r="B2478" s="20" t="s">
        <v>3387</v>
      </c>
      <c r="C2478" s="162">
        <v>1961</v>
      </c>
      <c r="D2478" s="273"/>
      <c r="E2478" s="203" t="s">
        <v>3123</v>
      </c>
      <c r="F2478" s="273">
        <v>2</v>
      </c>
      <c r="G2478" s="273">
        <v>342</v>
      </c>
      <c r="H2478" s="10">
        <v>12</v>
      </c>
      <c r="I2478" s="273">
        <f>SUMIF('2020'!B:B,B2478,'2020'!C:C)+SUMIF('2021'!B:B,B2478,'2021'!C:C)+SUMIF('2022'!B:B,B2478,'2022'!C:C)</f>
        <v>114105.38</v>
      </c>
      <c r="J2478" s="59">
        <v>44925</v>
      </c>
      <c r="K2478" s="273" t="s">
        <v>3118</v>
      </c>
    </row>
    <row r="2479" spans="1:11" x14ac:dyDescent="0.3">
      <c r="A2479" s="259">
        <f>A2478+1</f>
        <v>2212</v>
      </c>
      <c r="B2479" s="20" t="s">
        <v>3415</v>
      </c>
      <c r="C2479" s="162">
        <v>1969</v>
      </c>
      <c r="D2479" s="273"/>
      <c r="E2479" s="203" t="s">
        <v>3123</v>
      </c>
      <c r="F2479" s="273">
        <v>2</v>
      </c>
      <c r="G2479" s="273">
        <v>637.70000000000005</v>
      </c>
      <c r="H2479" s="10">
        <v>22</v>
      </c>
      <c r="I2479" s="273">
        <f>SUMIF('2020'!B:B,B2479,'2020'!C:C)+SUMIF('2021'!B:B,B2479,'2021'!C:C)+SUMIF('2022'!B:B,B2479,'2022'!C:C)</f>
        <v>4386566.4000000004</v>
      </c>
      <c r="J2479" s="59">
        <v>44925</v>
      </c>
      <c r="K2479" s="273" t="s">
        <v>3118</v>
      </c>
    </row>
    <row r="2480" spans="1:11" x14ac:dyDescent="0.3">
      <c r="A2480" s="302" t="s">
        <v>208</v>
      </c>
      <c r="B2480" s="302"/>
      <c r="C2480" s="273" t="s">
        <v>3558</v>
      </c>
      <c r="D2480" s="273" t="s">
        <v>3558</v>
      </c>
      <c r="E2480" s="273" t="s">
        <v>3558</v>
      </c>
      <c r="F2480" s="273" t="s">
        <v>3558</v>
      </c>
      <c r="G2480" s="273">
        <f>SUM(G2476:G2479)</f>
        <v>7819.7</v>
      </c>
      <c r="H2480" s="10">
        <f>SUM(H2476:H2479)</f>
        <v>249</v>
      </c>
      <c r="I2480" s="273">
        <f>SUM(I2476:I2479)</f>
        <v>36003531.159999996</v>
      </c>
      <c r="J2480" s="273" t="s">
        <v>3558</v>
      </c>
      <c r="K2480" s="273" t="s">
        <v>3558</v>
      </c>
    </row>
    <row r="2481" spans="1:13" x14ac:dyDescent="0.3">
      <c r="A2481" s="301" t="s">
        <v>3388</v>
      </c>
      <c r="B2481" s="301"/>
      <c r="C2481" s="273"/>
      <c r="D2481" s="273"/>
      <c r="E2481" s="273"/>
      <c r="F2481" s="273"/>
      <c r="G2481" s="273"/>
      <c r="H2481" s="10"/>
      <c r="I2481" s="273"/>
      <c r="J2481" s="273"/>
      <c r="K2481" s="273"/>
    </row>
    <row r="2482" spans="1:13" x14ac:dyDescent="0.3">
      <c r="A2482" s="259">
        <f>A2479+1</f>
        <v>2213</v>
      </c>
      <c r="B2482" s="20" t="s">
        <v>3389</v>
      </c>
      <c r="C2482" s="162">
        <v>1954</v>
      </c>
      <c r="D2482" s="162"/>
      <c r="E2482" s="273" t="s">
        <v>3035</v>
      </c>
      <c r="F2482" s="273">
        <v>2</v>
      </c>
      <c r="G2482" s="273">
        <v>645.9</v>
      </c>
      <c r="H2482" s="10">
        <v>10</v>
      </c>
      <c r="I2482" s="273">
        <f>SUMIF('2020'!B:B,B2482,'2020'!C:C)+SUMIF('2021'!B:B,B2482,'2021'!C:C)+SUMIF('2022'!B:B,B2482,'2022'!C:C)</f>
        <v>130000</v>
      </c>
      <c r="J2482" s="59">
        <v>44925</v>
      </c>
      <c r="K2482" s="273" t="s">
        <v>3118</v>
      </c>
    </row>
    <row r="2483" spans="1:13" x14ac:dyDescent="0.3">
      <c r="A2483" s="259">
        <f t="shared" ref="A2483:A2492" si="92">A2482+1</f>
        <v>2214</v>
      </c>
      <c r="B2483" s="20" t="s">
        <v>3390</v>
      </c>
      <c r="C2483" s="162">
        <v>1967</v>
      </c>
      <c r="D2483" s="162"/>
      <c r="E2483" s="273" t="s">
        <v>3035</v>
      </c>
      <c r="F2483" s="273">
        <v>2</v>
      </c>
      <c r="G2483" s="273">
        <v>673.1</v>
      </c>
      <c r="H2483" s="10">
        <v>11</v>
      </c>
      <c r="I2483" s="273">
        <f>SUMIF('2020'!B:B,B2483,'2020'!C:C)+SUMIF('2021'!B:B,B2483,'2021'!C:C)+SUMIF('2022'!B:B,B2483,'2022'!C:C)</f>
        <v>582867.61</v>
      </c>
      <c r="J2483" s="59">
        <v>44925</v>
      </c>
      <c r="K2483" s="273" t="s">
        <v>3118</v>
      </c>
    </row>
    <row r="2484" spans="1:13" x14ac:dyDescent="0.3">
      <c r="A2484" s="259">
        <f t="shared" si="92"/>
        <v>2215</v>
      </c>
      <c r="B2484" s="20" t="s">
        <v>3391</v>
      </c>
      <c r="C2484" s="162">
        <v>1971</v>
      </c>
      <c r="D2484" s="162"/>
      <c r="E2484" s="273" t="s">
        <v>3035</v>
      </c>
      <c r="F2484" s="273">
        <v>2</v>
      </c>
      <c r="G2484" s="273">
        <v>818.5</v>
      </c>
      <c r="H2484" s="10">
        <v>28</v>
      </c>
      <c r="I2484" s="273">
        <f>SUMIF('2020'!B:B,B2484,'2020'!C:C)+SUMIF('2021'!B:B,B2484,'2021'!C:C)+SUMIF('2022'!B:B,B2484,'2022'!C:C)</f>
        <v>734289.68</v>
      </c>
      <c r="J2484" s="59">
        <v>44925</v>
      </c>
      <c r="K2484" s="273" t="s">
        <v>3118</v>
      </c>
    </row>
    <row r="2485" spans="1:13" x14ac:dyDescent="0.3">
      <c r="A2485" s="259">
        <f t="shared" si="92"/>
        <v>2216</v>
      </c>
      <c r="B2485" s="20" t="s">
        <v>3392</v>
      </c>
      <c r="C2485" s="162">
        <v>1965</v>
      </c>
      <c r="D2485" s="162"/>
      <c r="E2485" s="273" t="s">
        <v>3035</v>
      </c>
      <c r="F2485" s="273">
        <v>2</v>
      </c>
      <c r="G2485" s="273">
        <v>626.29999999999995</v>
      </c>
      <c r="H2485" s="10">
        <v>38</v>
      </c>
      <c r="I2485" s="273">
        <f>SUMIF('2020'!B:B,B2485,'2020'!C:C)+SUMIF('2021'!B:B,B2485,'2021'!C:C)+SUMIF('2022'!B:B,B2485,'2022'!C:C)</f>
        <v>611656.67000000004</v>
      </c>
      <c r="J2485" s="59">
        <v>44925</v>
      </c>
      <c r="K2485" s="273" t="s">
        <v>3118</v>
      </c>
    </row>
    <row r="2486" spans="1:13" x14ac:dyDescent="0.3">
      <c r="A2486" s="259">
        <f t="shared" si="92"/>
        <v>2217</v>
      </c>
      <c r="B2486" s="20" t="s">
        <v>3393</v>
      </c>
      <c r="C2486" s="162">
        <v>1965</v>
      </c>
      <c r="D2486" s="162"/>
      <c r="E2486" s="273" t="s">
        <v>3035</v>
      </c>
      <c r="F2486" s="273">
        <v>2</v>
      </c>
      <c r="G2486" s="273">
        <v>619.9</v>
      </c>
      <c r="H2486" s="10">
        <v>62</v>
      </c>
      <c r="I2486" s="273">
        <f>SUMIF('2020'!B:B,B2486,'2020'!C:C)+SUMIF('2021'!B:B,B2486,'2021'!C:C)+SUMIF('2022'!B:B,B2486,'2022'!C:C)</f>
        <v>482793.07</v>
      </c>
      <c r="J2486" s="59">
        <v>44925</v>
      </c>
      <c r="K2486" s="273" t="s">
        <v>3118</v>
      </c>
    </row>
    <row r="2487" spans="1:13" x14ac:dyDescent="0.3">
      <c r="A2487" s="259">
        <f t="shared" si="92"/>
        <v>2218</v>
      </c>
      <c r="B2487" s="20" t="s">
        <v>3394</v>
      </c>
      <c r="C2487" s="162">
        <v>1965</v>
      </c>
      <c r="D2487" s="162"/>
      <c r="E2487" s="273" t="s">
        <v>3035</v>
      </c>
      <c r="F2487" s="273">
        <v>2</v>
      </c>
      <c r="G2487" s="273">
        <v>624.70000000000005</v>
      </c>
      <c r="H2487" s="10">
        <v>34</v>
      </c>
      <c r="I2487" s="273">
        <f>SUMIF('2020'!B:B,B2487,'2020'!C:C)+SUMIF('2021'!B:B,B2487,'2021'!C:C)+SUMIF('2022'!B:B,B2487,'2022'!C:C)</f>
        <v>613288.43000000005</v>
      </c>
      <c r="J2487" s="59">
        <v>44925</v>
      </c>
      <c r="K2487" s="273" t="s">
        <v>3118</v>
      </c>
    </row>
    <row r="2488" spans="1:13" x14ac:dyDescent="0.3">
      <c r="A2488" s="259">
        <f t="shared" si="92"/>
        <v>2219</v>
      </c>
      <c r="B2488" s="20" t="s">
        <v>3395</v>
      </c>
      <c r="C2488" s="162">
        <v>1970</v>
      </c>
      <c r="D2488" s="162"/>
      <c r="E2488" s="273" t="s">
        <v>3190</v>
      </c>
      <c r="F2488" s="273">
        <v>5</v>
      </c>
      <c r="G2488" s="273">
        <v>2675.2</v>
      </c>
      <c r="H2488" s="10">
        <v>139</v>
      </c>
      <c r="I2488" s="273">
        <f>SUMIF('2020'!B:B,B2488,'2020'!C:C)+SUMIF('2021'!B:B,B2488,'2021'!C:C)+SUMIF('2022'!B:B,B2488,'2022'!C:C)</f>
        <v>172165.25</v>
      </c>
      <c r="J2488" s="59">
        <v>44925</v>
      </c>
      <c r="K2488" s="273" t="s">
        <v>3118</v>
      </c>
    </row>
    <row r="2489" spans="1:13" x14ac:dyDescent="0.3">
      <c r="A2489" s="259">
        <f t="shared" si="92"/>
        <v>2220</v>
      </c>
      <c r="B2489" s="20" t="s">
        <v>3396</v>
      </c>
      <c r="C2489" s="162">
        <v>1971</v>
      </c>
      <c r="D2489" s="162"/>
      <c r="E2489" s="273" t="s">
        <v>3190</v>
      </c>
      <c r="F2489" s="273">
        <v>5</v>
      </c>
      <c r="G2489" s="273">
        <v>4263</v>
      </c>
      <c r="H2489" s="10">
        <v>132</v>
      </c>
      <c r="I2489" s="273">
        <f>SUMIF('2020'!B:B,B2489,'2020'!C:C)+SUMIF('2021'!B:B,B2489,'2021'!C:C)+SUMIF('2022'!B:B,B2489,'2022'!C:C)</f>
        <v>1739130.3</v>
      </c>
      <c r="J2489" s="59">
        <v>44925</v>
      </c>
      <c r="K2489" s="273" t="s">
        <v>3118</v>
      </c>
    </row>
    <row r="2490" spans="1:13" x14ac:dyDescent="0.3">
      <c r="A2490" s="259">
        <f t="shared" si="92"/>
        <v>2221</v>
      </c>
      <c r="B2490" s="20" t="s">
        <v>3397</v>
      </c>
      <c r="C2490" s="162">
        <v>1977</v>
      </c>
      <c r="D2490" s="162"/>
      <c r="E2490" s="273" t="s">
        <v>3190</v>
      </c>
      <c r="F2490" s="273">
        <v>5</v>
      </c>
      <c r="G2490" s="273">
        <v>3858.4</v>
      </c>
      <c r="H2490" s="10">
        <v>124</v>
      </c>
      <c r="I2490" s="273">
        <f>SUMIF('2020'!B:B,B2490,'2020'!C:C)+SUMIF('2021'!B:B,B2490,'2021'!C:C)+SUMIF('2022'!B:B,B2490,'2022'!C:C)</f>
        <v>210666.14</v>
      </c>
      <c r="J2490" s="59">
        <v>44925</v>
      </c>
      <c r="K2490" s="273" t="s">
        <v>3118</v>
      </c>
    </row>
    <row r="2491" spans="1:13" x14ac:dyDescent="0.3">
      <c r="A2491" s="259">
        <f t="shared" si="92"/>
        <v>2222</v>
      </c>
      <c r="B2491" s="20" t="s">
        <v>3398</v>
      </c>
      <c r="C2491" s="162">
        <v>1978</v>
      </c>
      <c r="D2491" s="162"/>
      <c r="E2491" s="273" t="s">
        <v>3190</v>
      </c>
      <c r="F2491" s="273">
        <v>5</v>
      </c>
      <c r="G2491" s="273">
        <v>3969.6</v>
      </c>
      <c r="H2491" s="10">
        <v>121</v>
      </c>
      <c r="I2491" s="273">
        <f>SUMIF('2020'!B:B,B2491,'2020'!C:C)+SUMIF('2021'!B:B,B2491,'2021'!C:C)+SUMIF('2022'!B:B,B2491,'2022'!C:C)</f>
        <v>1576538.24</v>
      </c>
      <c r="J2491" s="59">
        <v>44925</v>
      </c>
      <c r="K2491" s="273" t="s">
        <v>3118</v>
      </c>
    </row>
    <row r="2492" spans="1:13" x14ac:dyDescent="0.3">
      <c r="A2492" s="259">
        <f t="shared" si="92"/>
        <v>2223</v>
      </c>
      <c r="B2492" s="20" t="s">
        <v>3399</v>
      </c>
      <c r="C2492" s="162">
        <v>1967</v>
      </c>
      <c r="D2492" s="162"/>
      <c r="E2492" s="273" t="s">
        <v>3035</v>
      </c>
      <c r="F2492" s="273">
        <v>2</v>
      </c>
      <c r="G2492" s="273">
        <v>694.7</v>
      </c>
      <c r="H2492" s="10">
        <v>36</v>
      </c>
      <c r="I2492" s="273">
        <f>SUMIF('2020'!B:B,B2492,'2020'!C:C)+SUMIF('2021'!B:B,B2492,'2021'!C:C)+SUMIF('2022'!B:B,B2492,'2022'!C:C)</f>
        <v>710857.14</v>
      </c>
      <c r="J2492" s="59">
        <v>44925</v>
      </c>
      <c r="K2492" s="273" t="s">
        <v>3118</v>
      </c>
    </row>
    <row r="2493" spans="1:13" x14ac:dyDescent="0.3">
      <c r="A2493" s="302" t="s">
        <v>208</v>
      </c>
      <c r="B2493" s="302"/>
      <c r="C2493" s="273" t="s">
        <v>3558</v>
      </c>
      <c r="D2493" s="273" t="s">
        <v>3558</v>
      </c>
      <c r="E2493" s="273" t="s">
        <v>3558</v>
      </c>
      <c r="F2493" s="273" t="s">
        <v>3558</v>
      </c>
      <c r="G2493" s="273">
        <f>SUM(G2482:G2492)</f>
        <v>19469.3</v>
      </c>
      <c r="H2493" s="10">
        <f>SUM(H2482:H2492)</f>
        <v>735</v>
      </c>
      <c r="I2493" s="273">
        <f>SUM(I2482:I2492)</f>
        <v>7564252.5299999993</v>
      </c>
      <c r="J2493" s="273" t="s">
        <v>3558</v>
      </c>
      <c r="K2493" s="273" t="s">
        <v>3558</v>
      </c>
    </row>
    <row r="2494" spans="1:13" s="43" customFormat="1" x14ac:dyDescent="0.3">
      <c r="A2494" s="304" t="s">
        <v>3279</v>
      </c>
      <c r="B2494" s="304"/>
      <c r="C2494" s="251" t="s">
        <v>3558</v>
      </c>
      <c r="D2494" s="251" t="s">
        <v>3558</v>
      </c>
      <c r="E2494" s="251" t="s">
        <v>3558</v>
      </c>
      <c r="F2494" s="251" t="s">
        <v>3558</v>
      </c>
      <c r="G2494" s="251">
        <f>G2493+G2480+G2474+G2465+G2462+G2448+G2445+G2439+G2434+G2411+G2399+G2335+G2332+G2314+G2285</f>
        <v>339270.69999999995</v>
      </c>
      <c r="H2494" s="132">
        <f>H2493+H2480+H2474+H2465+H2462+H2448+H2445+H2439+H2434+H2411+H2399+H2335+H2332+H2314+H2285</f>
        <v>11307</v>
      </c>
      <c r="I2494" s="251">
        <f>I2493+I2480+I2474+I2465+I2462+I2448+I2445+I2439+I2434+I2411+I2399+I2335+I2332+I2314+I2285</f>
        <v>506257874.45000011</v>
      </c>
      <c r="J2494" s="251" t="s">
        <v>3558</v>
      </c>
      <c r="K2494" s="251" t="s">
        <v>3558</v>
      </c>
      <c r="L2494" s="196">
        <f>I2494-'2020'!C607-'2021'!C1785-'2022'!C764</f>
        <v>0</v>
      </c>
      <c r="M2494" s="198"/>
    </row>
    <row r="2495" spans="1:13" s="43" customFormat="1" x14ac:dyDescent="0.3">
      <c r="A2495" s="303" t="s">
        <v>2191</v>
      </c>
      <c r="B2495" s="303"/>
      <c r="C2495" s="303"/>
      <c r="D2495" s="303"/>
      <c r="E2495" s="303"/>
      <c r="F2495" s="303"/>
      <c r="G2495" s="303"/>
      <c r="H2495" s="303"/>
      <c r="I2495" s="303"/>
      <c r="J2495" s="303"/>
      <c r="K2495" s="303"/>
      <c r="L2495" s="198"/>
      <c r="M2495" s="198"/>
    </row>
    <row r="2496" spans="1:13" x14ac:dyDescent="0.3">
      <c r="A2496" s="301" t="s">
        <v>2192</v>
      </c>
      <c r="B2496" s="301"/>
      <c r="C2496" s="251"/>
      <c r="D2496" s="251"/>
      <c r="E2496" s="251"/>
      <c r="F2496" s="251"/>
      <c r="G2496" s="251"/>
      <c r="H2496" s="132"/>
      <c r="I2496" s="251"/>
      <c r="J2496" s="251"/>
      <c r="K2496" s="251"/>
    </row>
    <row r="2497" spans="1:11" x14ac:dyDescent="0.3">
      <c r="A2497" s="259">
        <f>A2492+1</f>
        <v>2224</v>
      </c>
      <c r="B2497" s="20" t="s">
        <v>2193</v>
      </c>
      <c r="C2497" s="162">
        <v>1988</v>
      </c>
      <c r="D2497" s="234"/>
      <c r="E2497" s="162" t="s">
        <v>3121</v>
      </c>
      <c r="F2497" s="50">
        <v>5</v>
      </c>
      <c r="G2497" s="46">
        <v>8744.9</v>
      </c>
      <c r="H2497" s="48">
        <v>347</v>
      </c>
      <c r="I2497" s="273">
        <f>SUMIF('2020'!B:B,B2497,'2020'!C:C)+SUMIF('2021'!B:B,B2497,'2021'!C:C)+SUMIF('2022'!B:B,B2497,'2022'!C:C)</f>
        <v>31505929.199999999</v>
      </c>
      <c r="J2497" s="59">
        <v>44925</v>
      </c>
      <c r="K2497" s="273" t="s">
        <v>3118</v>
      </c>
    </row>
    <row r="2498" spans="1:11" x14ac:dyDescent="0.3">
      <c r="A2498" s="259">
        <f>A2497+1</f>
        <v>2225</v>
      </c>
      <c r="B2498" s="20" t="s">
        <v>2194</v>
      </c>
      <c r="C2498" s="162">
        <v>1978</v>
      </c>
      <c r="D2498" s="234"/>
      <c r="E2498" s="162" t="s">
        <v>3123</v>
      </c>
      <c r="F2498" s="50">
        <v>4</v>
      </c>
      <c r="G2498" s="46">
        <v>940.9</v>
      </c>
      <c r="H2498" s="48">
        <v>32</v>
      </c>
      <c r="I2498" s="273">
        <f>SUMIF('2020'!B:B,B2498,'2020'!C:C)+SUMIF('2021'!B:B,B2498,'2021'!C:C)+SUMIF('2022'!B:B,B2498,'2022'!C:C)</f>
        <v>3759972</v>
      </c>
      <c r="J2498" s="59">
        <v>44925</v>
      </c>
      <c r="K2498" s="273" t="s">
        <v>3118</v>
      </c>
    </row>
    <row r="2499" spans="1:11" x14ac:dyDescent="0.3">
      <c r="A2499" s="259">
        <f>A2498+1</f>
        <v>2226</v>
      </c>
      <c r="B2499" s="20" t="s">
        <v>2195</v>
      </c>
      <c r="C2499" s="162">
        <v>1969</v>
      </c>
      <c r="D2499" s="234"/>
      <c r="E2499" s="162" t="s">
        <v>3123</v>
      </c>
      <c r="F2499" s="50">
        <v>5</v>
      </c>
      <c r="G2499" s="46">
        <v>3189.5</v>
      </c>
      <c r="H2499" s="10">
        <v>138</v>
      </c>
      <c r="I2499" s="273">
        <f>SUMIF('2020'!B:B,B2499,'2020'!C:C)+SUMIF('2021'!B:B,B2499,'2021'!C:C)+SUMIF('2022'!B:B,B2499,'2022'!C:C)</f>
        <v>13913815.98</v>
      </c>
      <c r="J2499" s="59">
        <v>44925</v>
      </c>
      <c r="K2499" s="273" t="s">
        <v>3118</v>
      </c>
    </row>
    <row r="2500" spans="1:11" x14ac:dyDescent="0.3">
      <c r="A2500" s="259">
        <f>A2499+1</f>
        <v>2227</v>
      </c>
      <c r="B2500" s="20" t="s">
        <v>2196</v>
      </c>
      <c r="C2500" s="162">
        <v>1975</v>
      </c>
      <c r="D2500" s="234"/>
      <c r="E2500" s="162" t="s">
        <v>3123</v>
      </c>
      <c r="F2500" s="50">
        <v>5</v>
      </c>
      <c r="G2500" s="46">
        <v>3707</v>
      </c>
      <c r="H2500" s="10">
        <v>143</v>
      </c>
      <c r="I2500" s="273">
        <f>SUMIF('2020'!B:B,B2500,'2020'!C:C)+SUMIF('2021'!B:B,B2500,'2021'!C:C)+SUMIF('2022'!B:B,B2500,'2022'!C:C)</f>
        <v>16091458.420000002</v>
      </c>
      <c r="J2500" s="59">
        <v>44925</v>
      </c>
      <c r="K2500" s="273" t="s">
        <v>3118</v>
      </c>
    </row>
    <row r="2501" spans="1:11" x14ac:dyDescent="0.3">
      <c r="A2501" s="259">
        <f>A2500+1</f>
        <v>2228</v>
      </c>
      <c r="B2501" s="20" t="s">
        <v>2197</v>
      </c>
      <c r="C2501" s="162">
        <v>1993</v>
      </c>
      <c r="D2501" s="234"/>
      <c r="E2501" s="162" t="s">
        <v>3121</v>
      </c>
      <c r="F2501" s="50">
        <v>5</v>
      </c>
      <c r="G2501" s="46">
        <v>4048.8</v>
      </c>
      <c r="H2501" s="10">
        <v>156</v>
      </c>
      <c r="I2501" s="273">
        <f>SUMIF('2020'!B:B,B2501,'2020'!C:C)+SUMIF('2021'!B:B,B2501,'2021'!C:C)+SUMIF('2022'!B:B,B2501,'2022'!C:C)</f>
        <v>17756714.760000002</v>
      </c>
      <c r="J2501" s="59">
        <v>44925</v>
      </c>
      <c r="K2501" s="273" t="s">
        <v>3118</v>
      </c>
    </row>
    <row r="2502" spans="1:11" x14ac:dyDescent="0.3">
      <c r="A2502" s="302" t="s">
        <v>208</v>
      </c>
      <c r="B2502" s="302"/>
      <c r="C2502" s="273" t="s">
        <v>3558</v>
      </c>
      <c r="D2502" s="273" t="s">
        <v>3558</v>
      </c>
      <c r="E2502" s="273" t="s">
        <v>3558</v>
      </c>
      <c r="F2502" s="273" t="s">
        <v>3558</v>
      </c>
      <c r="G2502" s="273">
        <f>SUM(G2497:G2501)</f>
        <v>20631.099999999999</v>
      </c>
      <c r="H2502" s="10">
        <f>SUM(H2497:H2501)</f>
        <v>816</v>
      </c>
      <c r="I2502" s="273">
        <f>SUM(I2497:I2501)</f>
        <v>83027890.360000014</v>
      </c>
      <c r="J2502" s="273" t="s">
        <v>3558</v>
      </c>
      <c r="K2502" s="273" t="s">
        <v>3558</v>
      </c>
    </row>
    <row r="2503" spans="1:11" x14ac:dyDescent="0.3">
      <c r="A2503" s="301" t="s">
        <v>2198</v>
      </c>
      <c r="B2503" s="301"/>
      <c r="C2503" s="273"/>
      <c r="D2503" s="234"/>
      <c r="E2503" s="234"/>
      <c r="F2503" s="234"/>
      <c r="G2503" s="234"/>
      <c r="H2503" s="10"/>
      <c r="I2503" s="273"/>
      <c r="J2503" s="273"/>
      <c r="K2503" s="273"/>
    </row>
    <row r="2504" spans="1:11" x14ac:dyDescent="0.3">
      <c r="A2504" s="259">
        <f>A2501+1</f>
        <v>2229</v>
      </c>
      <c r="B2504" s="20" t="s">
        <v>2199</v>
      </c>
      <c r="C2504" s="162">
        <v>1956</v>
      </c>
      <c r="D2504" s="234"/>
      <c r="E2504" s="234" t="s">
        <v>3437</v>
      </c>
      <c r="F2504" s="10">
        <v>2</v>
      </c>
      <c r="G2504" s="234">
        <v>266.39999999999998</v>
      </c>
      <c r="H2504" s="10">
        <v>11</v>
      </c>
      <c r="I2504" s="273">
        <f>SUMIF('2020'!B:B,B2504,'2020'!C:C)+SUMIF('2021'!B:B,B2504,'2021'!C:C)+SUMIF('2022'!B:B,B2504,'2022'!C:C)</f>
        <v>130000</v>
      </c>
      <c r="J2504" s="59">
        <v>44925</v>
      </c>
      <c r="K2504" s="273" t="s">
        <v>3118</v>
      </c>
    </row>
    <row r="2505" spans="1:11" x14ac:dyDescent="0.3">
      <c r="A2505" s="259">
        <f>A2504+1</f>
        <v>2230</v>
      </c>
      <c r="B2505" s="20" t="s">
        <v>2200</v>
      </c>
      <c r="C2505" s="162">
        <v>1974</v>
      </c>
      <c r="D2505" s="234"/>
      <c r="E2505" s="234" t="s">
        <v>3437</v>
      </c>
      <c r="F2505" s="10">
        <v>2</v>
      </c>
      <c r="G2505" s="234">
        <v>546.6</v>
      </c>
      <c r="H2505" s="10">
        <v>19</v>
      </c>
      <c r="I2505" s="273">
        <f>SUMIF('2020'!B:B,B2505,'2020'!C:C)+SUMIF('2021'!B:B,B2505,'2021'!C:C)+SUMIF('2022'!B:B,B2505,'2022'!C:C)</f>
        <v>567682.4</v>
      </c>
      <c r="J2505" s="59">
        <v>44925</v>
      </c>
      <c r="K2505" s="273" t="s">
        <v>3118</v>
      </c>
    </row>
    <row r="2506" spans="1:11" x14ac:dyDescent="0.3">
      <c r="A2506" s="259">
        <f>A2505+1</f>
        <v>2231</v>
      </c>
      <c r="B2506" s="20" t="s">
        <v>2201</v>
      </c>
      <c r="C2506" s="162">
        <v>1975</v>
      </c>
      <c r="D2506" s="234"/>
      <c r="E2506" s="234" t="s">
        <v>3437</v>
      </c>
      <c r="F2506" s="10">
        <v>2</v>
      </c>
      <c r="G2506" s="234">
        <v>541</v>
      </c>
      <c r="H2506" s="10">
        <v>20</v>
      </c>
      <c r="I2506" s="273">
        <f>SUMIF('2020'!B:B,B2506,'2020'!C:C)+SUMIF('2021'!B:B,B2506,'2021'!C:C)+SUMIF('2022'!B:B,B2506,'2022'!C:C)</f>
        <v>355377.7</v>
      </c>
      <c r="J2506" s="59">
        <v>44925</v>
      </c>
      <c r="K2506" s="273" t="s">
        <v>3118</v>
      </c>
    </row>
    <row r="2507" spans="1:11" x14ac:dyDescent="0.3">
      <c r="A2507" s="259">
        <f>A2506+1</f>
        <v>2232</v>
      </c>
      <c r="B2507" s="20" t="s">
        <v>2202</v>
      </c>
      <c r="C2507" s="162">
        <v>1975</v>
      </c>
      <c r="D2507" s="234"/>
      <c r="E2507" s="234" t="s">
        <v>3437</v>
      </c>
      <c r="F2507" s="10">
        <v>2</v>
      </c>
      <c r="G2507" s="234">
        <v>328.7</v>
      </c>
      <c r="H2507" s="10">
        <v>22</v>
      </c>
      <c r="I2507" s="273">
        <f>SUMIF('2020'!B:B,B2507,'2020'!C:C)+SUMIF('2021'!B:B,B2507,'2021'!C:C)+SUMIF('2022'!B:B,B2507,'2022'!C:C)</f>
        <v>692338.3</v>
      </c>
      <c r="J2507" s="59">
        <v>44925</v>
      </c>
      <c r="K2507" s="273" t="s">
        <v>3118</v>
      </c>
    </row>
    <row r="2508" spans="1:11" x14ac:dyDescent="0.3">
      <c r="A2508" s="259">
        <f>A2507+1</f>
        <v>2233</v>
      </c>
      <c r="B2508" s="20" t="s">
        <v>2203</v>
      </c>
      <c r="C2508" s="162">
        <v>1988</v>
      </c>
      <c r="D2508" s="234"/>
      <c r="E2508" s="234" t="s">
        <v>3129</v>
      </c>
      <c r="F2508" s="10">
        <v>3</v>
      </c>
      <c r="G2508" s="234">
        <v>1466.7</v>
      </c>
      <c r="H2508" s="10">
        <v>63</v>
      </c>
      <c r="I2508" s="273">
        <f>SUMIF('2020'!B:B,B2508,'2020'!C:C)+SUMIF('2021'!B:B,B2508,'2021'!C:C)+SUMIF('2022'!B:B,B2508,'2022'!C:C)</f>
        <v>1454900</v>
      </c>
      <c r="J2508" s="59">
        <v>44925</v>
      </c>
      <c r="K2508" s="273" t="s">
        <v>3118</v>
      </c>
    </row>
    <row r="2509" spans="1:11" x14ac:dyDescent="0.3">
      <c r="A2509" s="302" t="s">
        <v>208</v>
      </c>
      <c r="B2509" s="302"/>
      <c r="C2509" s="273" t="s">
        <v>3558</v>
      </c>
      <c r="D2509" s="273" t="s">
        <v>3558</v>
      </c>
      <c r="E2509" s="273" t="s">
        <v>3558</v>
      </c>
      <c r="F2509" s="273" t="s">
        <v>3558</v>
      </c>
      <c r="G2509" s="273">
        <f>SUM(G2504:G2508)</f>
        <v>3149.4</v>
      </c>
      <c r="H2509" s="10">
        <f>SUM(H2504:H2508)</f>
        <v>135</v>
      </c>
      <c r="I2509" s="273">
        <f>SUM(I2504:I2508)</f>
        <v>3200298.4000000004</v>
      </c>
      <c r="J2509" s="59" t="s">
        <v>3558</v>
      </c>
      <c r="K2509" s="273" t="s">
        <v>3558</v>
      </c>
    </row>
    <row r="2510" spans="1:11" x14ac:dyDescent="0.3">
      <c r="A2510" s="301" t="s">
        <v>2204</v>
      </c>
      <c r="B2510" s="301"/>
      <c r="C2510" s="273"/>
      <c r="D2510" s="234"/>
      <c r="E2510" s="234"/>
      <c r="F2510" s="234"/>
      <c r="G2510" s="234"/>
      <c r="H2510" s="10"/>
      <c r="I2510" s="273"/>
      <c r="J2510" s="273"/>
      <c r="K2510" s="273"/>
    </row>
    <row r="2511" spans="1:11" x14ac:dyDescent="0.3">
      <c r="A2511" s="259">
        <f>A2508+1</f>
        <v>2234</v>
      </c>
      <c r="B2511" s="20" t="s">
        <v>2205</v>
      </c>
      <c r="C2511" s="162">
        <v>1967</v>
      </c>
      <c r="D2511" s="234"/>
      <c r="E2511" s="234" t="s">
        <v>3123</v>
      </c>
      <c r="F2511" s="10">
        <v>2</v>
      </c>
      <c r="G2511" s="234">
        <v>531.4</v>
      </c>
      <c r="H2511" s="10">
        <v>22</v>
      </c>
      <c r="I2511" s="273">
        <f>SUMIF('2020'!B:B,B2511,'2020'!C:C)+SUMIF('2021'!B:B,B2511,'2021'!C:C)+SUMIF('2022'!B:B,B2511,'2022'!C:C)</f>
        <v>130000</v>
      </c>
      <c r="J2511" s="59">
        <v>44925</v>
      </c>
      <c r="K2511" s="273" t="s">
        <v>3118</v>
      </c>
    </row>
    <row r="2512" spans="1:11" x14ac:dyDescent="0.3">
      <c r="A2512" s="259">
        <f>A2511+1</f>
        <v>2235</v>
      </c>
      <c r="B2512" s="20" t="s">
        <v>2206</v>
      </c>
      <c r="C2512" s="162">
        <v>1968</v>
      </c>
      <c r="D2512" s="234"/>
      <c r="E2512" s="234" t="s">
        <v>3123</v>
      </c>
      <c r="F2512" s="10">
        <v>2</v>
      </c>
      <c r="G2512" s="234">
        <v>513.29999999999995</v>
      </c>
      <c r="H2512" s="10">
        <v>26</v>
      </c>
      <c r="I2512" s="273">
        <f>SUMIF('2020'!B:B,B2512,'2020'!C:C)+SUMIF('2021'!B:B,B2512,'2021'!C:C)+SUMIF('2022'!B:B,B2512,'2022'!C:C)</f>
        <v>130000</v>
      </c>
      <c r="J2512" s="59">
        <v>44925</v>
      </c>
      <c r="K2512" s="273" t="s">
        <v>3118</v>
      </c>
    </row>
    <row r="2513" spans="1:13" x14ac:dyDescent="0.3">
      <c r="A2513" s="259">
        <f>A2512+1</f>
        <v>2236</v>
      </c>
      <c r="B2513" s="20" t="s">
        <v>2207</v>
      </c>
      <c r="C2513" s="162">
        <v>1975</v>
      </c>
      <c r="D2513" s="234"/>
      <c r="E2513" s="234" t="s">
        <v>3123</v>
      </c>
      <c r="F2513" s="10">
        <v>5</v>
      </c>
      <c r="G2513" s="234">
        <v>4155</v>
      </c>
      <c r="H2513" s="10">
        <v>130</v>
      </c>
      <c r="I2513" s="273">
        <f>SUMIF('2020'!B:B,B2513,'2020'!C:C)+SUMIF('2021'!B:B,B2513,'2021'!C:C)+SUMIF('2022'!B:B,B2513,'2022'!C:C)</f>
        <v>677022.62</v>
      </c>
      <c r="J2513" s="59">
        <v>44925</v>
      </c>
      <c r="K2513" s="273" t="s">
        <v>3118</v>
      </c>
    </row>
    <row r="2514" spans="1:13" x14ac:dyDescent="0.3">
      <c r="A2514" s="259">
        <f>A2513+1</f>
        <v>2237</v>
      </c>
      <c r="B2514" s="20" t="s">
        <v>2208</v>
      </c>
      <c r="C2514" s="162">
        <v>1977</v>
      </c>
      <c r="D2514" s="234"/>
      <c r="E2514" s="234" t="s">
        <v>3123</v>
      </c>
      <c r="F2514" s="10">
        <v>5</v>
      </c>
      <c r="G2514" s="234">
        <v>4011.2</v>
      </c>
      <c r="H2514" s="10">
        <v>135</v>
      </c>
      <c r="I2514" s="273">
        <f>SUMIF('2020'!B:B,B2514,'2020'!C:C)+SUMIF('2021'!B:B,B2514,'2021'!C:C)+SUMIF('2022'!B:B,B2514,'2022'!C:C)</f>
        <v>23017783.18</v>
      </c>
      <c r="J2514" s="59">
        <v>44925</v>
      </c>
      <c r="K2514" s="273" t="s">
        <v>3118</v>
      </c>
    </row>
    <row r="2515" spans="1:13" x14ac:dyDescent="0.3">
      <c r="A2515" s="302" t="s">
        <v>208</v>
      </c>
      <c r="B2515" s="302"/>
      <c r="C2515" s="273" t="s">
        <v>3558</v>
      </c>
      <c r="D2515" s="273" t="s">
        <v>3558</v>
      </c>
      <c r="E2515" s="273" t="s">
        <v>3558</v>
      </c>
      <c r="F2515" s="273" t="s">
        <v>3558</v>
      </c>
      <c r="G2515" s="273">
        <f>SUM(G2511:G2514)</f>
        <v>9210.9</v>
      </c>
      <c r="H2515" s="10">
        <f>SUM(H2511:H2514)</f>
        <v>313</v>
      </c>
      <c r="I2515" s="273">
        <f>SUM(I2511:I2514)</f>
        <v>23954805.800000001</v>
      </c>
      <c r="J2515" s="273" t="s">
        <v>3558</v>
      </c>
      <c r="K2515" s="273" t="s">
        <v>3558</v>
      </c>
    </row>
    <row r="2516" spans="1:13" x14ac:dyDescent="0.3">
      <c r="A2516" s="301" t="s">
        <v>2209</v>
      </c>
      <c r="B2516" s="301"/>
      <c r="C2516" s="273"/>
      <c r="D2516" s="234"/>
      <c r="E2516" s="234"/>
      <c r="F2516" s="234"/>
      <c r="G2516" s="234"/>
      <c r="H2516" s="10"/>
      <c r="I2516" s="273"/>
      <c r="J2516" s="273"/>
      <c r="K2516" s="273"/>
    </row>
    <row r="2517" spans="1:13" x14ac:dyDescent="0.3">
      <c r="A2517" s="259">
        <f>A2514+1</f>
        <v>2238</v>
      </c>
      <c r="B2517" s="20" t="s">
        <v>2210</v>
      </c>
      <c r="C2517" s="162">
        <v>1958</v>
      </c>
      <c r="D2517" s="234"/>
      <c r="E2517" s="234" t="s">
        <v>3123</v>
      </c>
      <c r="F2517" s="50">
        <v>2</v>
      </c>
      <c r="G2517" s="234">
        <v>1089.3</v>
      </c>
      <c r="H2517" s="10">
        <v>60</v>
      </c>
      <c r="I2517" s="273">
        <f>SUMIF('2020'!B:B,B2517,'2020'!C:C)+SUMIF('2021'!B:B,B2517,'2021'!C:C)+SUMIF('2022'!B:B,B2517,'2022'!C:C)</f>
        <v>264679.79000000004</v>
      </c>
      <c r="J2517" s="59">
        <v>44925</v>
      </c>
      <c r="K2517" s="273" t="s">
        <v>3118</v>
      </c>
    </row>
    <row r="2518" spans="1:13" x14ac:dyDescent="0.3">
      <c r="A2518" s="259">
        <f t="shared" ref="A2518:A2525" si="93">A2517+1</f>
        <v>2239</v>
      </c>
      <c r="B2518" s="124" t="s">
        <v>3535</v>
      </c>
      <c r="C2518" s="162">
        <v>1987</v>
      </c>
      <c r="D2518" s="234"/>
      <c r="E2518" s="234" t="s">
        <v>3129</v>
      </c>
      <c r="F2518" s="50">
        <v>5</v>
      </c>
      <c r="G2518" s="234">
        <v>5262.7</v>
      </c>
      <c r="H2518" s="10">
        <v>203</v>
      </c>
      <c r="I2518" s="273">
        <f>SUMIF('2020'!B:B,B2518,'2020'!C:C)+SUMIF('2021'!B:B,B2518,'2021'!C:C)+SUMIF('2022'!B:B,B2518,'2022'!C:C)</f>
        <v>41064038.629999995</v>
      </c>
      <c r="J2518" s="59">
        <v>44925</v>
      </c>
      <c r="K2518" s="273" t="s">
        <v>3118</v>
      </c>
    </row>
    <row r="2519" spans="1:13" x14ac:dyDescent="0.3">
      <c r="A2519" s="259">
        <f t="shared" si="93"/>
        <v>2240</v>
      </c>
      <c r="B2519" s="124" t="s">
        <v>3537</v>
      </c>
      <c r="C2519" s="162">
        <v>1969</v>
      </c>
      <c r="D2519" s="234"/>
      <c r="E2519" s="234" t="s">
        <v>3123</v>
      </c>
      <c r="F2519" s="50">
        <v>5</v>
      </c>
      <c r="G2519" s="234">
        <v>5957.6</v>
      </c>
      <c r="H2519" s="10">
        <v>230</v>
      </c>
      <c r="I2519" s="273">
        <f>SUMIF('2020'!B:B,B2519,'2020'!C:C)+SUMIF('2021'!B:B,B2519,'2021'!C:C)+SUMIF('2022'!B:B,B2519,'2022'!C:C)</f>
        <v>15257654.119999999</v>
      </c>
      <c r="J2519" s="59">
        <v>44925</v>
      </c>
      <c r="K2519" s="273" t="s">
        <v>3118</v>
      </c>
    </row>
    <row r="2520" spans="1:13" x14ac:dyDescent="0.3">
      <c r="A2520" s="259">
        <f t="shared" si="93"/>
        <v>2241</v>
      </c>
      <c r="B2520" s="124" t="s">
        <v>3536</v>
      </c>
      <c r="C2520" s="162">
        <v>1985</v>
      </c>
      <c r="D2520" s="234"/>
      <c r="E2520" s="234" t="s">
        <v>3129</v>
      </c>
      <c r="F2520" s="50">
        <v>5</v>
      </c>
      <c r="G2520" s="234">
        <v>3063.2</v>
      </c>
      <c r="H2520" s="10">
        <v>101</v>
      </c>
      <c r="I2520" s="273">
        <f>SUMIF('2020'!B:B,B2520,'2020'!C:C)+SUMIF('2021'!B:B,B2520,'2021'!C:C)+SUMIF('2022'!B:B,B2520,'2022'!C:C)</f>
        <v>25595282.560000002</v>
      </c>
      <c r="J2520" s="59">
        <v>44925</v>
      </c>
      <c r="K2520" s="273" t="s">
        <v>3118</v>
      </c>
    </row>
    <row r="2521" spans="1:13" x14ac:dyDescent="0.3">
      <c r="A2521" s="259">
        <f t="shared" si="93"/>
        <v>2242</v>
      </c>
      <c r="B2521" s="20" t="s">
        <v>2211</v>
      </c>
      <c r="C2521" s="162">
        <v>2003</v>
      </c>
      <c r="D2521" s="234"/>
      <c r="E2521" s="234" t="s">
        <v>3129</v>
      </c>
      <c r="F2521" s="50">
        <v>9</v>
      </c>
      <c r="G2521" s="234">
        <v>6624</v>
      </c>
      <c r="H2521" s="10">
        <v>192</v>
      </c>
      <c r="I2521" s="273">
        <f>SUMIF('2020'!B:B,B2521,'2020'!C:C)+SUMIF('2021'!B:B,B2521,'2021'!C:C)+SUMIF('2022'!B:B,B2521,'2022'!C:C)</f>
        <v>23205600.34</v>
      </c>
      <c r="J2521" s="59">
        <v>44925</v>
      </c>
      <c r="K2521" s="273" t="s">
        <v>3118</v>
      </c>
    </row>
    <row r="2522" spans="1:13" x14ac:dyDescent="0.3">
      <c r="A2522" s="259">
        <f t="shared" si="93"/>
        <v>2243</v>
      </c>
      <c r="B2522" s="20" t="s">
        <v>2212</v>
      </c>
      <c r="C2522" s="162">
        <v>1980</v>
      </c>
      <c r="D2522" s="234"/>
      <c r="E2522" s="234" t="s">
        <v>3129</v>
      </c>
      <c r="F2522" s="50">
        <v>5</v>
      </c>
      <c r="G2522" s="234">
        <v>3289.5</v>
      </c>
      <c r="H2522" s="10">
        <v>126</v>
      </c>
      <c r="I2522" s="273">
        <f>SUMIF('2020'!B:B,B2522,'2020'!C:C)+SUMIF('2021'!B:B,B2522,'2021'!C:C)+SUMIF('2022'!B:B,B2522,'2022'!C:C)</f>
        <v>14759862</v>
      </c>
      <c r="J2522" s="59">
        <v>44925</v>
      </c>
      <c r="K2522" s="273" t="s">
        <v>3118</v>
      </c>
    </row>
    <row r="2523" spans="1:13" x14ac:dyDescent="0.3">
      <c r="A2523" s="259">
        <f t="shared" si="93"/>
        <v>2244</v>
      </c>
      <c r="B2523" s="20" t="s">
        <v>2213</v>
      </c>
      <c r="C2523" s="162">
        <v>1957</v>
      </c>
      <c r="D2523" s="234"/>
      <c r="E2523" s="234" t="s">
        <v>3123</v>
      </c>
      <c r="F2523" s="50">
        <v>2</v>
      </c>
      <c r="G2523" s="234">
        <v>685.5</v>
      </c>
      <c r="H2523" s="10">
        <v>29</v>
      </c>
      <c r="I2523" s="273">
        <f>SUMIF('2020'!B:B,B2523,'2020'!C:C)+SUMIF('2021'!B:B,B2523,'2021'!C:C)+SUMIF('2022'!B:B,B2523,'2022'!C:C)</f>
        <v>105577.22</v>
      </c>
      <c r="J2523" s="59">
        <v>44925</v>
      </c>
      <c r="K2523" s="273" t="s">
        <v>3118</v>
      </c>
    </row>
    <row r="2524" spans="1:13" x14ac:dyDescent="0.3">
      <c r="A2524" s="259">
        <f t="shared" si="93"/>
        <v>2245</v>
      </c>
      <c r="B2524" s="20" t="s">
        <v>2214</v>
      </c>
      <c r="C2524" s="162">
        <v>1995</v>
      </c>
      <c r="D2524" s="234"/>
      <c r="E2524" s="234" t="s">
        <v>3129</v>
      </c>
      <c r="F2524" s="50">
        <v>9</v>
      </c>
      <c r="G2524" s="234">
        <v>4294.5</v>
      </c>
      <c r="H2524" s="10">
        <v>154</v>
      </c>
      <c r="I2524" s="273">
        <f>SUMIF('2020'!B:B,B2524,'2020'!C:C)+SUMIF('2021'!B:B,B2524,'2021'!C:C)+SUMIF('2022'!B:B,B2524,'2022'!C:C)</f>
        <v>18300116.140000001</v>
      </c>
      <c r="J2524" s="59">
        <v>44925</v>
      </c>
      <c r="K2524" s="273" t="s">
        <v>3118</v>
      </c>
    </row>
    <row r="2525" spans="1:13" x14ac:dyDescent="0.3">
      <c r="A2525" s="259">
        <f t="shared" si="93"/>
        <v>2246</v>
      </c>
      <c r="B2525" s="20" t="s">
        <v>2215</v>
      </c>
      <c r="C2525" s="162">
        <v>1991</v>
      </c>
      <c r="D2525" s="234"/>
      <c r="E2525" s="234" t="s">
        <v>3129</v>
      </c>
      <c r="F2525" s="50">
        <v>5</v>
      </c>
      <c r="G2525" s="234">
        <v>4831.7</v>
      </c>
      <c r="H2525" s="10">
        <v>171</v>
      </c>
      <c r="I2525" s="273">
        <f>SUMIF('2020'!B:B,B2525,'2020'!C:C)+SUMIF('2021'!B:B,B2525,'2021'!C:C)+SUMIF('2022'!B:B,B2525,'2022'!C:C)</f>
        <v>678887</v>
      </c>
      <c r="J2525" s="59">
        <v>44925</v>
      </c>
      <c r="K2525" s="273" t="s">
        <v>3118</v>
      </c>
    </row>
    <row r="2526" spans="1:13" x14ac:dyDescent="0.3">
      <c r="A2526" s="302" t="s">
        <v>208</v>
      </c>
      <c r="B2526" s="302"/>
      <c r="C2526" s="273" t="s">
        <v>3558</v>
      </c>
      <c r="D2526" s="273" t="s">
        <v>3558</v>
      </c>
      <c r="E2526" s="273" t="s">
        <v>3558</v>
      </c>
      <c r="F2526" s="273" t="s">
        <v>3558</v>
      </c>
      <c r="G2526" s="273">
        <f>SUM(G2517:G2525)</f>
        <v>35098</v>
      </c>
      <c r="H2526" s="10">
        <f>SUM(H2517:H2525)</f>
        <v>1266</v>
      </c>
      <c r="I2526" s="273">
        <f>SUM(I2517:I2525)</f>
        <v>139231697.80000001</v>
      </c>
      <c r="J2526" s="273" t="s">
        <v>3558</v>
      </c>
      <c r="K2526" s="273" t="s">
        <v>3558</v>
      </c>
    </row>
    <row r="2527" spans="1:13" s="43" customFormat="1" x14ac:dyDescent="0.3">
      <c r="A2527" s="304" t="s">
        <v>2216</v>
      </c>
      <c r="B2527" s="304"/>
      <c r="C2527" s="251" t="s">
        <v>3558</v>
      </c>
      <c r="D2527" s="251" t="s">
        <v>3558</v>
      </c>
      <c r="E2527" s="251" t="s">
        <v>3558</v>
      </c>
      <c r="F2527" s="251" t="s">
        <v>3558</v>
      </c>
      <c r="G2527" s="251">
        <f>G2526+G2515+G2509+G2502</f>
        <v>68089.399999999994</v>
      </c>
      <c r="H2527" s="132">
        <f>H2526+H2515+H2509+H2502</f>
        <v>2530</v>
      </c>
      <c r="I2527" s="251">
        <f>I2526+I2515+I2509+I2502</f>
        <v>249414692.36000004</v>
      </c>
      <c r="J2527" s="251" t="s">
        <v>3558</v>
      </c>
      <c r="K2527" s="251" t="s">
        <v>3558</v>
      </c>
      <c r="L2527" s="196">
        <f>I2527-'2020'!C621-'2021'!C1805-'2022'!C787</f>
        <v>0</v>
      </c>
      <c r="M2527" s="198"/>
    </row>
    <row r="2528" spans="1:13" s="43" customFormat="1" x14ac:dyDescent="0.3">
      <c r="A2528" s="303" t="s">
        <v>2219</v>
      </c>
      <c r="B2528" s="303"/>
      <c r="C2528" s="303"/>
      <c r="D2528" s="303"/>
      <c r="E2528" s="303"/>
      <c r="F2528" s="303"/>
      <c r="G2528" s="303"/>
      <c r="H2528" s="303"/>
      <c r="I2528" s="303"/>
      <c r="J2528" s="303"/>
      <c r="K2528" s="303"/>
      <c r="L2528" s="198"/>
      <c r="M2528" s="198"/>
    </row>
    <row r="2529" spans="1:13" x14ac:dyDescent="0.3">
      <c r="A2529" s="301" t="s">
        <v>2220</v>
      </c>
      <c r="B2529" s="301"/>
      <c r="C2529" s="251"/>
      <c r="D2529" s="251"/>
      <c r="E2529" s="251"/>
      <c r="F2529" s="251"/>
      <c r="G2529" s="251"/>
      <c r="H2529" s="132"/>
      <c r="I2529" s="251"/>
      <c r="J2529" s="251"/>
      <c r="K2529" s="251"/>
    </row>
    <row r="2530" spans="1:13" x14ac:dyDescent="0.3">
      <c r="A2530" s="50">
        <f>A2525+1</f>
        <v>2247</v>
      </c>
      <c r="B2530" s="20" t="s">
        <v>3567</v>
      </c>
      <c r="C2530" s="5">
        <v>1972</v>
      </c>
      <c r="D2530" s="273"/>
      <c r="E2530" s="273" t="s">
        <v>3123</v>
      </c>
      <c r="F2530" s="273">
        <v>2</v>
      </c>
      <c r="G2530" s="273">
        <v>938.2</v>
      </c>
      <c r="H2530" s="10">
        <v>25</v>
      </c>
      <c r="I2530" s="273">
        <f>'2022'!C793</f>
        <v>185713.22</v>
      </c>
      <c r="J2530" s="59">
        <v>44925</v>
      </c>
      <c r="K2530" s="273" t="s">
        <v>3118</v>
      </c>
    </row>
    <row r="2531" spans="1:13" x14ac:dyDescent="0.3">
      <c r="A2531" s="50">
        <f t="shared" ref="A2531:A2536" si="94">A2530+1</f>
        <v>2248</v>
      </c>
      <c r="B2531" s="20" t="s">
        <v>3566</v>
      </c>
      <c r="C2531" s="5">
        <v>1989</v>
      </c>
      <c r="D2531" s="273"/>
      <c r="E2531" s="273" t="s">
        <v>3119</v>
      </c>
      <c r="F2531" s="273">
        <v>3</v>
      </c>
      <c r="G2531" s="273">
        <v>2225.87</v>
      </c>
      <c r="H2531" s="10">
        <v>67</v>
      </c>
      <c r="I2531" s="273">
        <f>'2022'!C795</f>
        <v>196777.60000000001</v>
      </c>
      <c r="J2531" s="59">
        <v>44925</v>
      </c>
      <c r="K2531" s="273" t="s">
        <v>3118</v>
      </c>
    </row>
    <row r="2532" spans="1:13" x14ac:dyDescent="0.3">
      <c r="A2532" s="50">
        <f t="shared" si="94"/>
        <v>2249</v>
      </c>
      <c r="B2532" s="20" t="s">
        <v>3565</v>
      </c>
      <c r="C2532" s="5">
        <v>1988</v>
      </c>
      <c r="D2532" s="273"/>
      <c r="E2532" s="273" t="s">
        <v>3119</v>
      </c>
      <c r="F2532" s="273">
        <v>3</v>
      </c>
      <c r="G2532" s="273">
        <v>2225.1999999999998</v>
      </c>
      <c r="H2532" s="10">
        <v>74</v>
      </c>
      <c r="I2532" s="273">
        <f>'2022'!C794</f>
        <v>224749.64</v>
      </c>
      <c r="J2532" s="59">
        <v>44925</v>
      </c>
      <c r="K2532" s="273" t="s">
        <v>3118</v>
      </c>
    </row>
    <row r="2533" spans="1:13" x14ac:dyDescent="0.3">
      <c r="A2533" s="50">
        <f t="shared" si="94"/>
        <v>2250</v>
      </c>
      <c r="B2533" s="20" t="s">
        <v>2221</v>
      </c>
      <c r="C2533" s="47">
        <v>1972</v>
      </c>
      <c r="D2533" s="234"/>
      <c r="E2533" s="273" t="s">
        <v>3123</v>
      </c>
      <c r="F2533" s="10">
        <v>2</v>
      </c>
      <c r="G2533" s="273">
        <v>976.98</v>
      </c>
      <c r="H2533" s="10">
        <v>32</v>
      </c>
      <c r="I2533" s="273">
        <f>SUMIF('2020'!B:B,B2533,'2020'!C:C)+SUMIF('2021'!B:B,B2533,'2021'!C:C)+SUMIF('2022'!B:B,B2533,'2022'!C:C)</f>
        <v>965106.95</v>
      </c>
      <c r="J2533" s="59">
        <v>44925</v>
      </c>
      <c r="K2533" s="273" t="s">
        <v>3118</v>
      </c>
    </row>
    <row r="2534" spans="1:13" x14ac:dyDescent="0.3">
      <c r="A2534" s="50">
        <f t="shared" si="94"/>
        <v>2251</v>
      </c>
      <c r="B2534" s="20" t="s">
        <v>2222</v>
      </c>
      <c r="C2534" s="47">
        <v>1972</v>
      </c>
      <c r="D2534" s="234"/>
      <c r="E2534" s="273" t="s">
        <v>3123</v>
      </c>
      <c r="F2534" s="10">
        <v>2</v>
      </c>
      <c r="G2534" s="273">
        <v>987.62</v>
      </c>
      <c r="H2534" s="10">
        <v>41</v>
      </c>
      <c r="I2534" s="273">
        <f>SUMIF('2020'!B:B,B2534,'2020'!C:C)+SUMIF('2021'!B:B,B2534,'2021'!C:C)+SUMIF('2022'!B:B,B2534,'2022'!C:C)</f>
        <v>973375.73</v>
      </c>
      <c r="J2534" s="59">
        <v>44925</v>
      </c>
      <c r="K2534" s="273" t="s">
        <v>3118</v>
      </c>
    </row>
    <row r="2535" spans="1:13" x14ac:dyDescent="0.3">
      <c r="A2535" s="50">
        <f t="shared" si="94"/>
        <v>2252</v>
      </c>
      <c r="B2535" s="20" t="s">
        <v>2223</v>
      </c>
      <c r="C2535" s="162">
        <v>1975</v>
      </c>
      <c r="D2535" s="234"/>
      <c r="E2535" s="273" t="s">
        <v>3119</v>
      </c>
      <c r="F2535" s="10">
        <v>5</v>
      </c>
      <c r="G2535" s="273">
        <v>3447.8</v>
      </c>
      <c r="H2535" s="10">
        <v>105</v>
      </c>
      <c r="I2535" s="273">
        <f>SUMIF('2020'!B:B,B2535,'2020'!C:C)+SUMIF('2021'!B:B,B2535,'2021'!C:C)+SUMIF('2022'!B:B,B2535,'2022'!C:C)</f>
        <v>879498.7</v>
      </c>
      <c r="J2535" s="59">
        <v>44925</v>
      </c>
      <c r="K2535" s="273" t="s">
        <v>3118</v>
      </c>
    </row>
    <row r="2536" spans="1:13" x14ac:dyDescent="0.3">
      <c r="A2536" s="50">
        <f t="shared" si="94"/>
        <v>2253</v>
      </c>
      <c r="B2536" s="20" t="s">
        <v>2224</v>
      </c>
      <c r="C2536" s="162">
        <v>1960</v>
      </c>
      <c r="D2536" s="234"/>
      <c r="E2536" s="273" t="s">
        <v>3437</v>
      </c>
      <c r="F2536" s="10">
        <v>2</v>
      </c>
      <c r="G2536" s="273">
        <v>233.7</v>
      </c>
      <c r="H2536" s="10">
        <v>17</v>
      </c>
      <c r="I2536" s="273">
        <f>SUMIF('2020'!B:B,B2536,'2020'!C:C)+SUMIF('2021'!B:B,B2536,'2021'!C:C)+SUMIF('2022'!B:B,B2536,'2022'!C:C)</f>
        <v>485309.81000000006</v>
      </c>
      <c r="J2536" s="59">
        <v>44925</v>
      </c>
      <c r="K2536" s="273" t="s">
        <v>3118</v>
      </c>
    </row>
    <row r="2537" spans="1:13" x14ac:dyDescent="0.3">
      <c r="A2537" s="302" t="s">
        <v>208</v>
      </c>
      <c r="B2537" s="302"/>
      <c r="C2537" s="273" t="s">
        <v>3558</v>
      </c>
      <c r="D2537" s="273" t="s">
        <v>3558</v>
      </c>
      <c r="E2537" s="273" t="s">
        <v>3558</v>
      </c>
      <c r="F2537" s="273" t="s">
        <v>3558</v>
      </c>
      <c r="G2537" s="273">
        <f>SUM(G2530:G2536)</f>
        <v>11035.37</v>
      </c>
      <c r="H2537" s="50">
        <f>SUM(H2530:H2536)</f>
        <v>361</v>
      </c>
      <c r="I2537" s="273">
        <f>SUM(I2530:I2536)</f>
        <v>3910531.65</v>
      </c>
      <c r="J2537" s="273" t="s">
        <v>3558</v>
      </c>
      <c r="K2537" s="273" t="s">
        <v>3558</v>
      </c>
      <c r="L2537" s="197" t="e">
        <f>#REF!-'2022'!C797</f>
        <v>#REF!</v>
      </c>
      <c r="M2537" s="197"/>
    </row>
    <row r="2538" spans="1:13" x14ac:dyDescent="0.3">
      <c r="A2538" s="313" t="s">
        <v>3280</v>
      </c>
      <c r="B2538" s="313"/>
      <c r="C2538" s="273"/>
      <c r="D2538" s="273"/>
      <c r="E2538" s="273"/>
      <c r="F2538" s="273"/>
      <c r="G2538" s="273"/>
      <c r="H2538" s="10"/>
      <c r="I2538" s="273"/>
      <c r="J2538" s="273"/>
      <c r="K2538" s="273"/>
    </row>
    <row r="2539" spans="1:13" x14ac:dyDescent="0.3">
      <c r="A2539" s="50">
        <f>A2536+1</f>
        <v>2254</v>
      </c>
      <c r="B2539" s="20" t="s">
        <v>3281</v>
      </c>
      <c r="C2539" s="273"/>
      <c r="D2539" s="273"/>
      <c r="E2539" s="273"/>
      <c r="F2539" s="273"/>
      <c r="G2539" s="273"/>
      <c r="H2539" s="10"/>
      <c r="I2539" s="273">
        <f>SUMIF('2020'!B:B,B2539,'2020'!C:C)+SUMIF('2021'!B:B,B2539,'2021'!C:C)+SUMIF('2022'!B:B,B2539,'2022'!C:C)</f>
        <v>276676.45999999996</v>
      </c>
      <c r="J2539" s="59">
        <v>44925</v>
      </c>
      <c r="K2539" s="273" t="s">
        <v>3118</v>
      </c>
    </row>
    <row r="2540" spans="1:13" x14ac:dyDescent="0.3">
      <c r="A2540" s="302" t="s">
        <v>208</v>
      </c>
      <c r="B2540" s="302"/>
      <c r="C2540" s="273" t="s">
        <v>3558</v>
      </c>
      <c r="D2540" s="273" t="s">
        <v>3558</v>
      </c>
      <c r="E2540" s="273" t="s">
        <v>3558</v>
      </c>
      <c r="F2540" s="273" t="s">
        <v>3558</v>
      </c>
      <c r="G2540" s="273">
        <f>SUM(G2539:G2539)</f>
        <v>0</v>
      </c>
      <c r="H2540" s="273">
        <f>SUM(H2539:H2539)</f>
        <v>0</v>
      </c>
      <c r="I2540" s="273">
        <f>SUM(I2539:I2539)</f>
        <v>276676.45999999996</v>
      </c>
      <c r="J2540" s="273" t="s">
        <v>3558</v>
      </c>
      <c r="K2540" s="273" t="s">
        <v>3558</v>
      </c>
      <c r="L2540" s="197" t="e">
        <f>#REF!-'2020'!C625-'2021'!C1809-'2022'!#REF!</f>
        <v>#REF!</v>
      </c>
      <c r="M2540" s="197"/>
    </row>
    <row r="2541" spans="1:13" x14ac:dyDescent="0.3">
      <c r="A2541" s="301" t="s">
        <v>2225</v>
      </c>
      <c r="B2541" s="301"/>
      <c r="C2541" s="273"/>
      <c r="D2541" s="234"/>
      <c r="E2541" s="273"/>
      <c r="F2541" s="273"/>
      <c r="G2541" s="273"/>
      <c r="H2541" s="10"/>
      <c r="I2541" s="273"/>
      <c r="J2541" s="273"/>
      <c r="K2541" s="273"/>
    </row>
    <row r="2542" spans="1:13" x14ac:dyDescent="0.3">
      <c r="A2542" s="50">
        <f>A2539+1</f>
        <v>2255</v>
      </c>
      <c r="B2542" s="20" t="s">
        <v>2226</v>
      </c>
      <c r="C2542" s="162">
        <v>1969</v>
      </c>
      <c r="D2542" s="234"/>
      <c r="E2542" s="273" t="s">
        <v>3123</v>
      </c>
      <c r="F2542" s="50">
        <v>2</v>
      </c>
      <c r="G2542" s="273">
        <v>546.1</v>
      </c>
      <c r="H2542" s="10">
        <v>23</v>
      </c>
      <c r="I2542" s="273">
        <f>SUMIF('2020'!B:B,B2542,'2020'!C:C)+SUMIF('2021'!B:B,B2542,'2021'!C:C)+SUMIF('2022'!B:B,B2542,'2022'!C:C)</f>
        <v>114612.96</v>
      </c>
      <c r="J2542" s="59">
        <v>44925</v>
      </c>
      <c r="K2542" s="273" t="s">
        <v>3118</v>
      </c>
    </row>
    <row r="2543" spans="1:13" x14ac:dyDescent="0.3">
      <c r="A2543" s="259">
        <f>A2542+1</f>
        <v>2256</v>
      </c>
      <c r="B2543" s="20" t="s">
        <v>2227</v>
      </c>
      <c r="C2543" s="162">
        <v>1967</v>
      </c>
      <c r="D2543" s="234"/>
      <c r="E2543" s="273" t="s">
        <v>3123</v>
      </c>
      <c r="F2543" s="50">
        <v>2</v>
      </c>
      <c r="G2543" s="273">
        <v>596.5</v>
      </c>
      <c r="H2543" s="10">
        <v>41</v>
      </c>
      <c r="I2543" s="273">
        <f>SUMIF('2020'!B:B,B2543,'2020'!C:C)+SUMIF('2021'!B:B,B2543,'2021'!C:C)+SUMIF('2022'!B:B,B2543,'2022'!C:C)</f>
        <v>334996.51</v>
      </c>
      <c r="J2543" s="59">
        <v>44925</v>
      </c>
      <c r="K2543" s="273" t="s">
        <v>3118</v>
      </c>
    </row>
    <row r="2544" spans="1:13" x14ac:dyDescent="0.3">
      <c r="A2544" s="259">
        <f>A2543+1</f>
        <v>2257</v>
      </c>
      <c r="B2544" s="20" t="s">
        <v>2228</v>
      </c>
      <c r="C2544" s="162">
        <v>1967</v>
      </c>
      <c r="D2544" s="234"/>
      <c r="E2544" s="273" t="s">
        <v>3123</v>
      </c>
      <c r="F2544" s="50">
        <v>2</v>
      </c>
      <c r="G2544" s="273">
        <v>566.70000000000005</v>
      </c>
      <c r="H2544" s="10">
        <v>26</v>
      </c>
      <c r="I2544" s="273">
        <f>SUMIF('2020'!B:B,B2544,'2020'!C:C)+SUMIF('2021'!B:B,B2544,'2021'!C:C)+SUMIF('2022'!B:B,B2544,'2022'!C:C)</f>
        <v>437626.4</v>
      </c>
      <c r="J2544" s="59">
        <v>44925</v>
      </c>
      <c r="K2544" s="273" t="s">
        <v>3118</v>
      </c>
    </row>
    <row r="2545" spans="1:13" x14ac:dyDescent="0.3">
      <c r="A2545" s="302" t="s">
        <v>208</v>
      </c>
      <c r="B2545" s="302"/>
      <c r="C2545" s="273" t="s">
        <v>3558</v>
      </c>
      <c r="D2545" s="273" t="s">
        <v>3558</v>
      </c>
      <c r="E2545" s="273" t="s">
        <v>3558</v>
      </c>
      <c r="F2545" s="273" t="s">
        <v>3558</v>
      </c>
      <c r="G2545" s="273">
        <f>SUM(G2542:G2544)</f>
        <v>1709.3</v>
      </c>
      <c r="H2545" s="10">
        <f>SUM(H2542:H2544)</f>
        <v>90</v>
      </c>
      <c r="I2545" s="273">
        <f>SUM(I2542:I2544)</f>
        <v>887235.87000000011</v>
      </c>
      <c r="J2545" s="273" t="s">
        <v>3558</v>
      </c>
      <c r="K2545" s="273" t="s">
        <v>3558</v>
      </c>
      <c r="L2545" s="197" t="e">
        <f>#REF!-'2022'!C802</f>
        <v>#REF!</v>
      </c>
      <c r="M2545" s="197"/>
    </row>
    <row r="2546" spans="1:13" x14ac:dyDescent="0.3">
      <c r="A2546" s="301" t="s">
        <v>2229</v>
      </c>
      <c r="B2546" s="301"/>
      <c r="C2546" s="273"/>
      <c r="D2546" s="234"/>
      <c r="E2546" s="273"/>
      <c r="F2546" s="273"/>
      <c r="G2546" s="273"/>
      <c r="H2546" s="10"/>
      <c r="I2546" s="273"/>
      <c r="J2546" s="273"/>
      <c r="K2546" s="273"/>
    </row>
    <row r="2547" spans="1:13" x14ac:dyDescent="0.3">
      <c r="A2547" s="259">
        <f>A2544+1</f>
        <v>2258</v>
      </c>
      <c r="B2547" s="20" t="s">
        <v>2230</v>
      </c>
      <c r="C2547" s="162">
        <v>1975</v>
      </c>
      <c r="D2547" s="234"/>
      <c r="E2547" s="273" t="s">
        <v>3119</v>
      </c>
      <c r="F2547" s="50">
        <v>2</v>
      </c>
      <c r="G2547" s="273">
        <v>582.61</v>
      </c>
      <c r="H2547" s="10">
        <v>24</v>
      </c>
      <c r="I2547" s="273">
        <f>SUMIF('2020'!B:B,B2547,'2020'!C:C)+SUMIF('2021'!B:B,B2547,'2021'!C:C)+SUMIF('2022'!B:B,B2547,'2022'!C:C)</f>
        <v>130000</v>
      </c>
      <c r="J2547" s="59">
        <v>44925</v>
      </c>
      <c r="K2547" s="273" t="s">
        <v>3118</v>
      </c>
    </row>
    <row r="2548" spans="1:13" x14ac:dyDescent="0.3">
      <c r="A2548" s="259">
        <f>A2547+1</f>
        <v>2259</v>
      </c>
      <c r="B2548" s="20" t="s">
        <v>2231</v>
      </c>
      <c r="C2548" s="162">
        <v>1983</v>
      </c>
      <c r="D2548" s="234"/>
      <c r="E2548" s="273" t="s">
        <v>3119</v>
      </c>
      <c r="F2548" s="50">
        <v>4</v>
      </c>
      <c r="G2548" s="273">
        <v>5140.7</v>
      </c>
      <c r="H2548" s="10">
        <v>112</v>
      </c>
      <c r="I2548" s="273">
        <f>SUMIF('2020'!B:B,B2548,'2020'!C:C)+SUMIF('2021'!B:B,B2548,'2021'!C:C)+SUMIF('2022'!B:B,B2548,'2022'!C:C)</f>
        <v>130000</v>
      </c>
      <c r="J2548" s="59">
        <v>44925</v>
      </c>
      <c r="K2548" s="273" t="s">
        <v>3118</v>
      </c>
    </row>
    <row r="2549" spans="1:13" x14ac:dyDescent="0.3">
      <c r="A2549" s="259">
        <f>A2548+1</f>
        <v>2260</v>
      </c>
      <c r="B2549" s="20" t="s">
        <v>2232</v>
      </c>
      <c r="C2549" s="162">
        <v>1971</v>
      </c>
      <c r="D2549" s="234"/>
      <c r="E2549" s="273" t="s">
        <v>3123</v>
      </c>
      <c r="F2549" s="50">
        <v>2</v>
      </c>
      <c r="G2549" s="273">
        <v>1273</v>
      </c>
      <c r="H2549" s="10">
        <v>25</v>
      </c>
      <c r="I2549" s="273">
        <f>SUMIF('2020'!B:B,B2549,'2020'!C:C)+SUMIF('2021'!B:B,B2549,'2021'!C:C)+SUMIF('2022'!B:B,B2549,'2022'!C:C)</f>
        <v>2377029.6</v>
      </c>
      <c r="J2549" s="59">
        <v>44925</v>
      </c>
      <c r="K2549" s="273" t="s">
        <v>3118</v>
      </c>
    </row>
    <row r="2550" spans="1:13" x14ac:dyDescent="0.3">
      <c r="A2550" s="259">
        <f>A2549+1</f>
        <v>2261</v>
      </c>
      <c r="B2550" s="20" t="s">
        <v>3570</v>
      </c>
      <c r="C2550" s="162"/>
      <c r="D2550" s="234"/>
      <c r="E2550" s="273"/>
      <c r="F2550" s="50"/>
      <c r="G2550" s="273"/>
      <c r="H2550" s="10"/>
      <c r="I2550" s="273">
        <f>SUMIF('2020'!B:B,B2550,'2020'!C:C)+SUMIF('2021'!B:B,B2550,'2021'!C:C)+SUMIF('2022'!B:B,B2550,'2022'!C:C)</f>
        <v>169656.07</v>
      </c>
      <c r="J2550" s="59">
        <v>44925</v>
      </c>
      <c r="K2550" s="273" t="s">
        <v>3118</v>
      </c>
    </row>
    <row r="2551" spans="1:13" x14ac:dyDescent="0.3">
      <c r="A2551" s="259">
        <f>A2550+1</f>
        <v>2262</v>
      </c>
      <c r="B2551" s="20" t="s">
        <v>2233</v>
      </c>
      <c r="C2551" s="162">
        <v>1989</v>
      </c>
      <c r="D2551" s="234"/>
      <c r="E2551" s="273" t="s">
        <v>3437</v>
      </c>
      <c r="F2551" s="50">
        <v>2</v>
      </c>
      <c r="G2551" s="273">
        <v>499.7</v>
      </c>
      <c r="H2551" s="10">
        <v>17</v>
      </c>
      <c r="I2551" s="273">
        <f>SUMIF('2020'!B:B,B2551,'2020'!C:C)+SUMIF('2021'!B:B,B2551,'2021'!C:C)+SUMIF('2022'!B:B,B2551,'2022'!C:C)</f>
        <v>510893.2</v>
      </c>
      <c r="J2551" s="59">
        <v>44925</v>
      </c>
      <c r="K2551" s="273" t="s">
        <v>3118</v>
      </c>
    </row>
    <row r="2552" spans="1:13" x14ac:dyDescent="0.3">
      <c r="A2552" s="259">
        <f>A2551+1</f>
        <v>2263</v>
      </c>
      <c r="B2552" s="20" t="s">
        <v>3571</v>
      </c>
      <c r="C2552" s="162"/>
      <c r="D2552" s="234"/>
      <c r="E2552" s="273"/>
      <c r="F2552" s="50"/>
      <c r="G2552" s="273"/>
      <c r="H2552" s="10"/>
      <c r="I2552" s="273">
        <f>SUMIF('2020'!B:B,B2552,'2020'!C:C)+SUMIF('2021'!B:B,B2552,'2021'!C:C)+SUMIF('2022'!B:B,B2552,'2022'!C:C)</f>
        <v>205794.67</v>
      </c>
      <c r="J2552" s="59">
        <v>44925</v>
      </c>
      <c r="K2552" s="273" t="s">
        <v>3118</v>
      </c>
    </row>
    <row r="2553" spans="1:13" x14ac:dyDescent="0.3">
      <c r="A2553" s="302" t="s">
        <v>208</v>
      </c>
      <c r="B2553" s="302"/>
      <c r="C2553" s="273" t="s">
        <v>3558</v>
      </c>
      <c r="D2553" s="273" t="s">
        <v>3558</v>
      </c>
      <c r="E2553" s="273" t="s">
        <v>3558</v>
      </c>
      <c r="F2553" s="273" t="s">
        <v>3558</v>
      </c>
      <c r="G2553" s="273">
        <f>SUM(G2547:G2551)</f>
        <v>7496.0099999999993</v>
      </c>
      <c r="H2553" s="10">
        <f>SUM(H2547:H2551)</f>
        <v>178</v>
      </c>
      <c r="I2553" s="273">
        <f>SUM(I2547:I2552)</f>
        <v>3523373.54</v>
      </c>
      <c r="J2553" s="273" t="s">
        <v>3558</v>
      </c>
      <c r="K2553" s="273" t="s">
        <v>3558</v>
      </c>
      <c r="L2553" s="197" t="e">
        <f>#REF!-'2020'!C629-'2021'!C1812-'2022'!C808</f>
        <v>#REF!</v>
      </c>
      <c r="M2553" s="197"/>
    </row>
    <row r="2554" spans="1:13" x14ac:dyDescent="0.3">
      <c r="A2554" s="301" t="s">
        <v>2234</v>
      </c>
      <c r="B2554" s="301"/>
      <c r="C2554" s="273"/>
      <c r="D2554" s="234"/>
      <c r="E2554" s="273"/>
      <c r="F2554" s="273"/>
      <c r="G2554" s="273"/>
      <c r="H2554" s="10"/>
      <c r="I2554" s="273"/>
      <c r="J2554" s="273"/>
      <c r="K2554" s="273"/>
    </row>
    <row r="2555" spans="1:13" x14ac:dyDescent="0.3">
      <c r="A2555" s="259">
        <f>A2552+1</f>
        <v>2264</v>
      </c>
      <c r="B2555" s="140" t="s">
        <v>3568</v>
      </c>
      <c r="C2555" s="5">
        <v>1987</v>
      </c>
      <c r="D2555" s="234"/>
      <c r="E2555" s="273" t="s">
        <v>3119</v>
      </c>
      <c r="F2555" s="273">
        <v>3</v>
      </c>
      <c r="G2555" s="273">
        <v>2201.9</v>
      </c>
      <c r="H2555" s="10">
        <v>79</v>
      </c>
      <c r="I2555" s="273">
        <f>SUMIF('2020'!B:B,B2555,'2020'!C:C)+SUMIF('2021'!B:B,B2555,'2021'!C:C)+SUMIF('2022'!B:B,B2555,'2022'!C:C)</f>
        <v>210182.66</v>
      </c>
      <c r="J2555" s="59">
        <v>44925</v>
      </c>
      <c r="K2555" s="273" t="s">
        <v>3118</v>
      </c>
    </row>
    <row r="2556" spans="1:13" x14ac:dyDescent="0.3">
      <c r="A2556" s="259">
        <f>A2555+1</f>
        <v>2265</v>
      </c>
      <c r="B2556" s="140" t="s">
        <v>3569</v>
      </c>
      <c r="C2556" s="5">
        <v>1989</v>
      </c>
      <c r="D2556" s="234"/>
      <c r="E2556" s="273" t="s">
        <v>3119</v>
      </c>
      <c r="F2556" s="273">
        <v>3</v>
      </c>
      <c r="G2556" s="273">
        <v>2177.8000000000002</v>
      </c>
      <c r="H2556" s="10">
        <v>66</v>
      </c>
      <c r="I2556" s="273">
        <f>SUMIF('2020'!B:B,B2556,'2020'!C:C)+SUMIF('2021'!B:B,B2556,'2021'!C:C)+SUMIF('2022'!B:B,B2556,'2022'!C:C)</f>
        <v>210182.66</v>
      </c>
      <c r="J2556" s="59">
        <v>44925</v>
      </c>
      <c r="K2556" s="273" t="s">
        <v>3118</v>
      </c>
    </row>
    <row r="2557" spans="1:13" x14ac:dyDescent="0.3">
      <c r="A2557" s="259">
        <f>A2556+1</f>
        <v>2266</v>
      </c>
      <c r="B2557" s="20" t="s">
        <v>2235</v>
      </c>
      <c r="C2557" s="162">
        <v>1950</v>
      </c>
      <c r="D2557" s="234"/>
      <c r="E2557" s="273" t="s">
        <v>3437</v>
      </c>
      <c r="F2557" s="50">
        <v>2</v>
      </c>
      <c r="G2557" s="273">
        <v>408.2</v>
      </c>
      <c r="H2557" s="10">
        <v>11</v>
      </c>
      <c r="I2557" s="273">
        <f>SUMIF('2020'!B:B,B2557,'2020'!C:C)+SUMIF('2021'!B:B,B2557,'2021'!C:C)+SUMIF('2022'!B:B,B2557,'2022'!C:C)</f>
        <v>534602.82000000007</v>
      </c>
      <c r="J2557" s="59">
        <v>44925</v>
      </c>
      <c r="K2557" s="273" t="s">
        <v>3118</v>
      </c>
    </row>
    <row r="2558" spans="1:13" x14ac:dyDescent="0.3">
      <c r="A2558" s="259">
        <f>A2557+1</f>
        <v>2267</v>
      </c>
      <c r="B2558" s="20" t="s">
        <v>2236</v>
      </c>
      <c r="C2558" s="162">
        <v>1940</v>
      </c>
      <c r="D2558" s="234"/>
      <c r="E2558" s="273" t="s">
        <v>3123</v>
      </c>
      <c r="F2558" s="50">
        <v>2</v>
      </c>
      <c r="G2558" s="273">
        <v>265.10000000000002</v>
      </c>
      <c r="H2558" s="10">
        <v>12</v>
      </c>
      <c r="I2558" s="273">
        <f>SUMIF('2020'!B:B,B2558,'2020'!C:C)+SUMIF('2021'!B:B,B2558,'2021'!C:C)+SUMIF('2022'!B:B,B2558,'2022'!C:C)</f>
        <v>1449226.79</v>
      </c>
      <c r="J2558" s="59">
        <v>44925</v>
      </c>
      <c r="K2558" s="273" t="s">
        <v>3118</v>
      </c>
    </row>
    <row r="2559" spans="1:13" x14ac:dyDescent="0.3">
      <c r="A2559" s="259">
        <f>A2558+1</f>
        <v>2268</v>
      </c>
      <c r="B2559" s="20" t="s">
        <v>2237</v>
      </c>
      <c r="C2559" s="162">
        <v>1940</v>
      </c>
      <c r="D2559" s="234"/>
      <c r="E2559" s="273" t="s">
        <v>3123</v>
      </c>
      <c r="F2559" s="50">
        <v>2</v>
      </c>
      <c r="G2559" s="273">
        <v>635</v>
      </c>
      <c r="H2559" s="10">
        <v>14</v>
      </c>
      <c r="I2559" s="273">
        <f>SUMIF('2020'!B:B,B2559,'2020'!C:C)+SUMIF('2021'!B:B,B2559,'2021'!C:C)+SUMIF('2022'!B:B,B2559,'2022'!C:C)</f>
        <v>1252659.32</v>
      </c>
      <c r="J2559" s="59">
        <v>44925</v>
      </c>
      <c r="K2559" s="273" t="s">
        <v>3118</v>
      </c>
    </row>
    <row r="2560" spans="1:13" x14ac:dyDescent="0.3">
      <c r="A2560" s="302" t="s">
        <v>208</v>
      </c>
      <c r="B2560" s="302"/>
      <c r="C2560" s="273" t="s">
        <v>3558</v>
      </c>
      <c r="D2560" s="273" t="s">
        <v>3558</v>
      </c>
      <c r="E2560" s="273" t="s">
        <v>3558</v>
      </c>
      <c r="F2560" s="273" t="s">
        <v>3558</v>
      </c>
      <c r="G2560" s="273">
        <f>SUM(G2557:G2559)</f>
        <v>1308.3</v>
      </c>
      <c r="H2560" s="10">
        <f>SUM(H2557:H2559)</f>
        <v>37</v>
      </c>
      <c r="I2560" s="273">
        <f>SUM(I2555:I2559)</f>
        <v>3656854.25</v>
      </c>
      <c r="J2560" s="273" t="s">
        <v>3558</v>
      </c>
      <c r="K2560" s="273" t="s">
        <v>3558</v>
      </c>
      <c r="L2560" s="197" t="e">
        <f>#REF!-'2022'!C815</f>
        <v>#REF!</v>
      </c>
      <c r="M2560" s="197"/>
    </row>
    <row r="2561" spans="1:13" x14ac:dyDescent="0.3">
      <c r="A2561" s="301" t="s">
        <v>2238</v>
      </c>
      <c r="B2561" s="301"/>
      <c r="C2561" s="273"/>
      <c r="D2561" s="234"/>
      <c r="E2561" s="273"/>
      <c r="F2561" s="273"/>
      <c r="G2561" s="273"/>
      <c r="H2561" s="10"/>
      <c r="I2561" s="273"/>
      <c r="J2561" s="273"/>
      <c r="K2561" s="273"/>
    </row>
    <row r="2562" spans="1:13" x14ac:dyDescent="0.3">
      <c r="A2562" s="259">
        <f>A2559+1</f>
        <v>2269</v>
      </c>
      <c r="B2562" s="20" t="s">
        <v>2239</v>
      </c>
      <c r="C2562" s="162">
        <v>1971</v>
      </c>
      <c r="D2562" s="234"/>
      <c r="E2562" s="273" t="s">
        <v>3123</v>
      </c>
      <c r="F2562" s="50">
        <v>2</v>
      </c>
      <c r="G2562" s="273">
        <v>882</v>
      </c>
      <c r="H2562" s="10">
        <v>45</v>
      </c>
      <c r="I2562" s="273">
        <f>SUMIF('2020'!B:B,B2562,'2020'!C:C)+SUMIF('2021'!B:B,B2562,'2021'!C:C)+SUMIF('2022'!B:B,B2562,'2022'!C:C)</f>
        <v>91894.28</v>
      </c>
      <c r="J2562" s="59">
        <v>44925</v>
      </c>
      <c r="K2562" s="273" t="s">
        <v>3118</v>
      </c>
    </row>
    <row r="2563" spans="1:13" x14ac:dyDescent="0.3">
      <c r="A2563" s="259">
        <f t="shared" ref="A2563:A2572" si="95">A2562+1</f>
        <v>2270</v>
      </c>
      <c r="B2563" s="20" t="s">
        <v>2240</v>
      </c>
      <c r="C2563" s="162">
        <v>1970</v>
      </c>
      <c r="D2563" s="234"/>
      <c r="E2563" s="273" t="s">
        <v>3123</v>
      </c>
      <c r="F2563" s="50">
        <v>2</v>
      </c>
      <c r="G2563" s="273">
        <v>862</v>
      </c>
      <c r="H2563" s="10">
        <v>29</v>
      </c>
      <c r="I2563" s="273">
        <f>SUMIF('2020'!B:B,B2563,'2020'!C:C)+SUMIF('2021'!B:B,B2563,'2021'!C:C)+SUMIF('2022'!B:B,B2563,'2022'!C:C)</f>
        <v>315941.87</v>
      </c>
      <c r="J2563" s="59">
        <v>44925</v>
      </c>
      <c r="K2563" s="273" t="s">
        <v>3118</v>
      </c>
    </row>
    <row r="2564" spans="1:13" x14ac:dyDescent="0.3">
      <c r="A2564" s="259">
        <f t="shared" si="95"/>
        <v>2271</v>
      </c>
      <c r="B2564" s="20" t="s">
        <v>2241</v>
      </c>
      <c r="C2564" s="162">
        <v>1971</v>
      </c>
      <c r="D2564" s="234"/>
      <c r="E2564" s="273" t="s">
        <v>3123</v>
      </c>
      <c r="F2564" s="50">
        <v>2</v>
      </c>
      <c r="G2564" s="273">
        <v>885</v>
      </c>
      <c r="H2564" s="10">
        <v>30</v>
      </c>
      <c r="I2564" s="273">
        <f>SUMIF('2020'!B:B,B2564,'2020'!C:C)+SUMIF('2021'!B:B,B2564,'2021'!C:C)+SUMIF('2022'!B:B,B2564,'2022'!C:C)</f>
        <v>116184.34</v>
      </c>
      <c r="J2564" s="59">
        <v>44925</v>
      </c>
      <c r="K2564" s="273" t="s">
        <v>3118</v>
      </c>
    </row>
    <row r="2565" spans="1:13" x14ac:dyDescent="0.3">
      <c r="A2565" s="259">
        <f t="shared" si="95"/>
        <v>2272</v>
      </c>
      <c r="B2565" s="20" t="s">
        <v>2242</v>
      </c>
      <c r="C2565" s="162">
        <v>1971</v>
      </c>
      <c r="D2565" s="234"/>
      <c r="E2565" s="273" t="s">
        <v>3123</v>
      </c>
      <c r="F2565" s="50">
        <v>2</v>
      </c>
      <c r="G2565" s="273">
        <v>734</v>
      </c>
      <c r="H2565" s="10">
        <v>22</v>
      </c>
      <c r="I2565" s="273">
        <f>SUMIF('2020'!B:B,B2565,'2020'!C:C)+SUMIF('2021'!B:B,B2565,'2021'!C:C)+SUMIF('2022'!B:B,B2565,'2022'!C:C)</f>
        <v>307214.63</v>
      </c>
      <c r="J2565" s="59">
        <v>44925</v>
      </c>
      <c r="K2565" s="273" t="s">
        <v>3118</v>
      </c>
    </row>
    <row r="2566" spans="1:13" x14ac:dyDescent="0.3">
      <c r="A2566" s="259">
        <f t="shared" si="95"/>
        <v>2273</v>
      </c>
      <c r="B2566" s="20" t="s">
        <v>2243</v>
      </c>
      <c r="C2566" s="162">
        <v>1970</v>
      </c>
      <c r="D2566" s="234"/>
      <c r="E2566" s="273" t="s">
        <v>3123</v>
      </c>
      <c r="F2566" s="50">
        <v>2</v>
      </c>
      <c r="G2566" s="273">
        <v>736</v>
      </c>
      <c r="H2566" s="10">
        <v>31</v>
      </c>
      <c r="I2566" s="273">
        <f>SUMIF('2020'!B:B,B2566,'2020'!C:C)+SUMIF('2021'!B:B,B2566,'2021'!C:C)+SUMIF('2022'!B:B,B2566,'2022'!C:C)</f>
        <v>309273.20999999996</v>
      </c>
      <c r="J2566" s="59">
        <v>44925</v>
      </c>
      <c r="K2566" s="273" t="s">
        <v>3118</v>
      </c>
    </row>
    <row r="2567" spans="1:13" x14ac:dyDescent="0.3">
      <c r="A2567" s="259">
        <f t="shared" si="95"/>
        <v>2274</v>
      </c>
      <c r="B2567" s="20" t="s">
        <v>2244</v>
      </c>
      <c r="C2567" s="162">
        <v>1970</v>
      </c>
      <c r="D2567" s="234"/>
      <c r="E2567" s="273" t="s">
        <v>3123</v>
      </c>
      <c r="F2567" s="50">
        <v>2</v>
      </c>
      <c r="G2567" s="273">
        <v>739</v>
      </c>
      <c r="H2567" s="10">
        <v>29</v>
      </c>
      <c r="I2567" s="273">
        <f>SUMIF('2020'!B:B,B2567,'2020'!C:C)+SUMIF('2021'!B:B,B2567,'2021'!C:C)+SUMIF('2022'!B:B,B2567,'2022'!C:C)</f>
        <v>306226</v>
      </c>
      <c r="J2567" s="59">
        <v>44925</v>
      </c>
      <c r="K2567" s="273" t="s">
        <v>3118</v>
      </c>
    </row>
    <row r="2568" spans="1:13" x14ac:dyDescent="0.3">
      <c r="A2568" s="259">
        <f t="shared" si="95"/>
        <v>2275</v>
      </c>
      <c r="B2568" s="20" t="s">
        <v>2245</v>
      </c>
      <c r="C2568" s="162">
        <v>1975</v>
      </c>
      <c r="D2568" s="234"/>
      <c r="E2568" s="273" t="s">
        <v>3119</v>
      </c>
      <c r="F2568" s="50">
        <v>5</v>
      </c>
      <c r="G2568" s="273">
        <v>4423</v>
      </c>
      <c r="H2568" s="10">
        <v>224</v>
      </c>
      <c r="I2568" s="273">
        <f>SUMIF('2020'!B:B,B2568,'2020'!C:C)+SUMIF('2021'!B:B,B2568,'2021'!C:C)+SUMIF('2022'!B:B,B2568,'2022'!C:C)</f>
        <v>1230127.02</v>
      </c>
      <c r="J2568" s="59">
        <v>44925</v>
      </c>
      <c r="K2568" s="273" t="s">
        <v>3118</v>
      </c>
    </row>
    <row r="2569" spans="1:13" x14ac:dyDescent="0.3">
      <c r="A2569" s="259">
        <f t="shared" si="95"/>
        <v>2276</v>
      </c>
      <c r="B2569" s="20" t="s">
        <v>2246</v>
      </c>
      <c r="C2569" s="162">
        <v>1978</v>
      </c>
      <c r="D2569" s="234"/>
      <c r="E2569" s="273" t="s">
        <v>3123</v>
      </c>
      <c r="F2569" s="50">
        <v>3</v>
      </c>
      <c r="G2569" s="273">
        <v>1330</v>
      </c>
      <c r="H2569" s="10">
        <v>63</v>
      </c>
      <c r="I2569" s="273">
        <f>SUMIF('2020'!B:B,B2569,'2020'!C:C)+SUMIF('2021'!B:B,B2569,'2021'!C:C)+SUMIF('2022'!B:B,B2569,'2022'!C:C)</f>
        <v>617906.37</v>
      </c>
      <c r="J2569" s="59">
        <v>44925</v>
      </c>
      <c r="K2569" s="273" t="s">
        <v>3118</v>
      </c>
    </row>
    <row r="2570" spans="1:13" x14ac:dyDescent="0.3">
      <c r="A2570" s="259">
        <f t="shared" si="95"/>
        <v>2277</v>
      </c>
      <c r="B2570" s="20" t="s">
        <v>2247</v>
      </c>
      <c r="C2570" s="162">
        <v>1964</v>
      </c>
      <c r="D2570" s="234"/>
      <c r="E2570" s="273" t="s">
        <v>3458</v>
      </c>
      <c r="F2570" s="50">
        <v>2</v>
      </c>
      <c r="G2570" s="273">
        <v>589.5</v>
      </c>
      <c r="H2570" s="10">
        <v>29</v>
      </c>
      <c r="I2570" s="273">
        <f>SUMIF('2020'!B:B,B2570,'2020'!C:C)+SUMIF('2021'!B:B,B2570,'2021'!C:C)+SUMIF('2022'!B:B,B2570,'2022'!C:C)</f>
        <v>737712</v>
      </c>
      <c r="J2570" s="59">
        <v>44925</v>
      </c>
      <c r="K2570" s="273" t="s">
        <v>3118</v>
      </c>
    </row>
    <row r="2571" spans="1:13" x14ac:dyDescent="0.3">
      <c r="A2571" s="259">
        <f t="shared" si="95"/>
        <v>2278</v>
      </c>
      <c r="B2571" s="20" t="s">
        <v>2248</v>
      </c>
      <c r="C2571" s="162">
        <v>1962</v>
      </c>
      <c r="D2571" s="234"/>
      <c r="E2571" s="273" t="s">
        <v>3458</v>
      </c>
      <c r="F2571" s="50">
        <v>2</v>
      </c>
      <c r="G2571" s="273">
        <v>406.2</v>
      </c>
      <c r="H2571" s="10">
        <v>29</v>
      </c>
      <c r="I2571" s="273">
        <f>SUMIF('2020'!B:B,B2571,'2020'!C:C)+SUMIF('2021'!B:B,B2571,'2021'!C:C)+SUMIF('2022'!B:B,B2571,'2022'!C:C)</f>
        <v>364813.2</v>
      </c>
      <c r="J2571" s="59">
        <v>44925</v>
      </c>
      <c r="K2571" s="273" t="s">
        <v>3118</v>
      </c>
    </row>
    <row r="2572" spans="1:13" x14ac:dyDescent="0.3">
      <c r="A2572" s="259">
        <f t="shared" si="95"/>
        <v>2279</v>
      </c>
      <c r="B2572" s="20" t="s">
        <v>2249</v>
      </c>
      <c r="C2572" s="162">
        <v>1940</v>
      </c>
      <c r="D2572" s="234"/>
      <c r="E2572" s="273" t="s">
        <v>3458</v>
      </c>
      <c r="F2572" s="50">
        <v>2</v>
      </c>
      <c r="G2572" s="273">
        <v>324</v>
      </c>
      <c r="H2572" s="10">
        <v>14</v>
      </c>
      <c r="I2572" s="273">
        <f>SUMIF('2020'!B:B,B2572,'2020'!C:C)+SUMIF('2021'!B:B,B2572,'2021'!C:C)+SUMIF('2022'!B:B,B2572,'2022'!C:C)</f>
        <v>204020.46</v>
      </c>
      <c r="J2572" s="59">
        <v>44925</v>
      </c>
      <c r="K2572" s="273" t="s">
        <v>3118</v>
      </c>
    </row>
    <row r="2573" spans="1:13" x14ac:dyDescent="0.3">
      <c r="A2573" s="302" t="s">
        <v>208</v>
      </c>
      <c r="B2573" s="302"/>
      <c r="C2573" s="273" t="s">
        <v>3558</v>
      </c>
      <c r="D2573" s="273" t="s">
        <v>3558</v>
      </c>
      <c r="E2573" s="273" t="s">
        <v>3558</v>
      </c>
      <c r="F2573" s="273" t="s">
        <v>3558</v>
      </c>
      <c r="G2573" s="273">
        <f>SUM(G2562:G2572)</f>
        <v>11910.7</v>
      </c>
      <c r="H2573" s="10">
        <f>SUM(H2562:H2572)</f>
        <v>545</v>
      </c>
      <c r="I2573" s="273">
        <f>SUM(I2562:I2572)</f>
        <v>4601313.38</v>
      </c>
      <c r="J2573" s="273" t="s">
        <v>3558</v>
      </c>
      <c r="K2573" s="273" t="s">
        <v>3558</v>
      </c>
      <c r="L2573" s="197" t="e">
        <f>#REF!-'2020'!C633-'2022'!C826</f>
        <v>#REF!</v>
      </c>
      <c r="M2573" s="197"/>
    </row>
    <row r="2574" spans="1:13" x14ac:dyDescent="0.3">
      <c r="A2574" s="131" t="s">
        <v>3551</v>
      </c>
      <c r="B2574" s="250"/>
      <c r="C2574" s="273"/>
      <c r="D2574" s="273"/>
      <c r="E2574" s="273"/>
      <c r="F2574" s="273"/>
      <c r="G2574" s="273"/>
      <c r="H2574" s="10"/>
      <c r="I2574" s="273"/>
      <c r="J2574" s="273"/>
      <c r="K2574" s="273"/>
    </row>
    <row r="2575" spans="1:13" x14ac:dyDescent="0.3">
      <c r="A2575" s="259">
        <f>A2572+1</f>
        <v>2280</v>
      </c>
      <c r="B2575" s="122" t="s">
        <v>3552</v>
      </c>
      <c r="C2575" s="5">
        <v>1968</v>
      </c>
      <c r="D2575" s="273"/>
      <c r="E2575" s="273" t="s">
        <v>3123</v>
      </c>
      <c r="F2575" s="5">
        <v>2</v>
      </c>
      <c r="G2575" s="273">
        <v>857.42</v>
      </c>
      <c r="H2575" s="10">
        <v>49</v>
      </c>
      <c r="I2575" s="273">
        <f>SUMIF('2020'!B:B,B2575,'2020'!C:C)+SUMIF('2021'!B:B,B2575,'2021'!C:C)+SUMIF('2022'!B:B,B2575,'2022'!C:C)</f>
        <v>12752862.380000001</v>
      </c>
      <c r="J2575" s="59">
        <v>44925</v>
      </c>
      <c r="K2575" s="273" t="s">
        <v>3118</v>
      </c>
    </row>
    <row r="2576" spans="1:13" x14ac:dyDescent="0.3">
      <c r="A2576" s="259">
        <f>A2575+1</f>
        <v>2281</v>
      </c>
      <c r="B2576" s="122" t="s">
        <v>3553</v>
      </c>
      <c r="C2576" s="5">
        <v>1972</v>
      </c>
      <c r="D2576" s="273"/>
      <c r="E2576" s="273" t="s">
        <v>3119</v>
      </c>
      <c r="F2576" s="5">
        <v>2</v>
      </c>
      <c r="G2576" s="273">
        <v>779.26</v>
      </c>
      <c r="H2576" s="10">
        <v>48</v>
      </c>
      <c r="I2576" s="273">
        <f>SUMIF('2020'!B:B,B2576,'2020'!C:C)+SUMIF('2021'!B:B,B2576,'2021'!C:C)+SUMIF('2022'!B:B,B2576,'2022'!C:C)</f>
        <v>9452255.3699999992</v>
      </c>
      <c r="J2576" s="59">
        <v>44925</v>
      </c>
      <c r="K2576" s="273" t="s">
        <v>3118</v>
      </c>
    </row>
    <row r="2577" spans="1:13" x14ac:dyDescent="0.3">
      <c r="A2577" s="259">
        <f>A2576+1</f>
        <v>2282</v>
      </c>
      <c r="B2577" s="122" t="s">
        <v>3554</v>
      </c>
      <c r="C2577" s="5">
        <v>1972</v>
      </c>
      <c r="D2577" s="273"/>
      <c r="E2577" s="273" t="s">
        <v>3119</v>
      </c>
      <c r="F2577" s="5">
        <v>2</v>
      </c>
      <c r="G2577" s="273">
        <v>771.52</v>
      </c>
      <c r="H2577" s="10">
        <v>46</v>
      </c>
      <c r="I2577" s="273">
        <f>SUMIF('2020'!B:B,B2577,'2020'!C:C)+SUMIF('2021'!B:B,B2577,'2021'!C:C)+SUMIF('2022'!B:B,B2577,'2022'!C:C)</f>
        <v>9407018.2200000007</v>
      </c>
      <c r="J2577" s="59">
        <v>44925</v>
      </c>
      <c r="K2577" s="273" t="s">
        <v>3118</v>
      </c>
    </row>
    <row r="2578" spans="1:13" x14ac:dyDescent="0.3">
      <c r="A2578" s="259">
        <f>A2577+1</f>
        <v>2283</v>
      </c>
      <c r="B2578" s="122" t="s">
        <v>3555</v>
      </c>
      <c r="C2578" s="5">
        <v>1978</v>
      </c>
      <c r="D2578" s="273"/>
      <c r="E2578" s="273" t="s">
        <v>3119</v>
      </c>
      <c r="F2578" s="5">
        <v>3</v>
      </c>
      <c r="G2578" s="273">
        <v>1443.9</v>
      </c>
      <c r="H2578" s="10">
        <v>67</v>
      </c>
      <c r="I2578" s="273">
        <f>SUMIF('2020'!B:B,B2578,'2020'!C:C)+SUMIF('2021'!B:B,B2578,'2021'!C:C)+SUMIF('2022'!B:B,B2578,'2022'!C:C)</f>
        <v>14164898.33</v>
      </c>
      <c r="J2578" s="59">
        <v>44925</v>
      </c>
      <c r="K2578" s="273" t="s">
        <v>3118</v>
      </c>
    </row>
    <row r="2579" spans="1:13" x14ac:dyDescent="0.3">
      <c r="A2579" s="302" t="s">
        <v>208</v>
      </c>
      <c r="B2579" s="302"/>
      <c r="C2579" s="273" t="s">
        <v>3558</v>
      </c>
      <c r="D2579" s="273" t="s">
        <v>3558</v>
      </c>
      <c r="E2579" s="273" t="s">
        <v>3558</v>
      </c>
      <c r="F2579" s="273" t="s">
        <v>3558</v>
      </c>
      <c r="G2579" s="273">
        <f>SUM(G2575:G2578)</f>
        <v>3852.1</v>
      </c>
      <c r="H2579" s="273">
        <f>SUM(H2575:H2578)</f>
        <v>210</v>
      </c>
      <c r="I2579" s="273">
        <f>SUM(I2575:I2578)</f>
        <v>45777034.299999997</v>
      </c>
      <c r="J2579" s="273" t="s">
        <v>3558</v>
      </c>
      <c r="K2579" s="273" t="s">
        <v>3558</v>
      </c>
      <c r="L2579" s="197" t="e">
        <f>#REF!-'2021'!C1818-'2022'!C832</f>
        <v>#REF!</v>
      </c>
      <c r="M2579" s="197"/>
    </row>
    <row r="2580" spans="1:13" x14ac:dyDescent="0.3">
      <c r="A2580" s="301" t="s">
        <v>2250</v>
      </c>
      <c r="B2580" s="301"/>
      <c r="C2580" s="273"/>
      <c r="D2580" s="234"/>
      <c r="E2580" s="273"/>
      <c r="F2580" s="273"/>
      <c r="G2580" s="273"/>
      <c r="H2580" s="10"/>
      <c r="I2580" s="273"/>
      <c r="J2580" s="273"/>
      <c r="K2580" s="273"/>
    </row>
    <row r="2581" spans="1:13" x14ac:dyDescent="0.3">
      <c r="A2581" s="259">
        <f>A2578+1</f>
        <v>2284</v>
      </c>
      <c r="B2581" s="20" t="s">
        <v>2251</v>
      </c>
      <c r="C2581" s="162">
        <v>1952</v>
      </c>
      <c r="D2581" s="234"/>
      <c r="E2581" s="273" t="s">
        <v>3123</v>
      </c>
      <c r="F2581" s="50">
        <v>3</v>
      </c>
      <c r="G2581" s="273">
        <v>1478.71</v>
      </c>
      <c r="H2581" s="10">
        <v>52</v>
      </c>
      <c r="I2581" s="273">
        <f>SUMIF('2020'!B:B,B2581,'2020'!C:C)+SUMIF('2021'!B:B,B2581,'2021'!C:C)+SUMIF('2022'!B:B,B2581,'2022'!C:C)</f>
        <v>401448.62</v>
      </c>
      <c r="J2581" s="59">
        <v>44925</v>
      </c>
      <c r="K2581" s="273" t="s">
        <v>3118</v>
      </c>
    </row>
    <row r="2582" spans="1:13" x14ac:dyDescent="0.3">
      <c r="A2582" s="259">
        <f t="shared" ref="A2582:A2602" si="96">A2581+1</f>
        <v>2285</v>
      </c>
      <c r="B2582" s="20" t="s">
        <v>2252</v>
      </c>
      <c r="C2582" s="162">
        <v>1940</v>
      </c>
      <c r="D2582" s="234"/>
      <c r="E2582" s="273" t="s">
        <v>3437</v>
      </c>
      <c r="F2582" s="50">
        <v>2</v>
      </c>
      <c r="G2582" s="273">
        <v>116.8</v>
      </c>
      <c r="H2582" s="10">
        <v>9</v>
      </c>
      <c r="I2582" s="273">
        <f>SUMIF('2020'!B:B,B2582,'2020'!C:C)+SUMIF('2021'!B:B,B2582,'2021'!C:C)+SUMIF('2022'!B:B,B2582,'2022'!C:C)</f>
        <v>93641.59</v>
      </c>
      <c r="J2582" s="59">
        <v>44925</v>
      </c>
      <c r="K2582" s="273" t="s">
        <v>3118</v>
      </c>
    </row>
    <row r="2583" spans="1:13" x14ac:dyDescent="0.3">
      <c r="A2583" s="259">
        <f t="shared" si="96"/>
        <v>2286</v>
      </c>
      <c r="B2583" s="20" t="s">
        <v>2253</v>
      </c>
      <c r="C2583" s="162">
        <v>1952</v>
      </c>
      <c r="D2583" s="234"/>
      <c r="E2583" s="273" t="s">
        <v>3123</v>
      </c>
      <c r="F2583" s="50">
        <v>2</v>
      </c>
      <c r="G2583" s="273">
        <v>378.1</v>
      </c>
      <c r="H2583" s="10">
        <v>22</v>
      </c>
      <c r="I2583" s="273">
        <f>SUMIF('2020'!B:B,B2583,'2020'!C:C)+SUMIF('2021'!B:B,B2583,'2021'!C:C)+SUMIF('2022'!B:B,B2583,'2022'!C:C)</f>
        <v>189626.27</v>
      </c>
      <c r="J2583" s="59">
        <v>44925</v>
      </c>
      <c r="K2583" s="273" t="s">
        <v>3118</v>
      </c>
    </row>
    <row r="2584" spans="1:13" x14ac:dyDescent="0.3">
      <c r="A2584" s="259">
        <f t="shared" si="96"/>
        <v>2287</v>
      </c>
      <c r="B2584" s="20" t="s">
        <v>2254</v>
      </c>
      <c r="C2584" s="162">
        <v>1952</v>
      </c>
      <c r="D2584" s="234"/>
      <c r="E2584" s="273" t="s">
        <v>3123</v>
      </c>
      <c r="F2584" s="50">
        <v>2</v>
      </c>
      <c r="G2584" s="273">
        <v>519.49</v>
      </c>
      <c r="H2584" s="10">
        <v>16</v>
      </c>
      <c r="I2584" s="273">
        <f>SUMIF('2020'!B:B,B2584,'2020'!C:C)+SUMIF('2021'!B:B,B2584,'2021'!C:C)+SUMIF('2022'!B:B,B2584,'2022'!C:C)</f>
        <v>368356.44</v>
      </c>
      <c r="J2584" s="59">
        <v>44925</v>
      </c>
      <c r="K2584" s="273" t="s">
        <v>3118</v>
      </c>
    </row>
    <row r="2585" spans="1:13" x14ac:dyDescent="0.3">
      <c r="A2585" s="259">
        <f t="shared" si="96"/>
        <v>2288</v>
      </c>
      <c r="B2585" s="20" t="s">
        <v>2255</v>
      </c>
      <c r="C2585" s="162">
        <v>1952</v>
      </c>
      <c r="D2585" s="234"/>
      <c r="E2585" s="273" t="s">
        <v>3123</v>
      </c>
      <c r="F2585" s="50">
        <v>2</v>
      </c>
      <c r="G2585" s="273">
        <v>510.35</v>
      </c>
      <c r="H2585" s="10">
        <v>23</v>
      </c>
      <c r="I2585" s="273">
        <f>SUMIF('2020'!B:B,B2585,'2020'!C:C)+SUMIF('2021'!B:B,B2585,'2021'!C:C)+SUMIF('2022'!B:B,B2585,'2022'!C:C)</f>
        <v>190550.5</v>
      </c>
      <c r="J2585" s="59">
        <v>44925</v>
      </c>
      <c r="K2585" s="273" t="s">
        <v>3118</v>
      </c>
    </row>
    <row r="2586" spans="1:13" x14ac:dyDescent="0.3">
      <c r="A2586" s="259">
        <f t="shared" si="96"/>
        <v>2289</v>
      </c>
      <c r="B2586" s="20" t="s">
        <v>2256</v>
      </c>
      <c r="C2586" s="162">
        <v>1952</v>
      </c>
      <c r="D2586" s="234"/>
      <c r="E2586" s="273" t="s">
        <v>3123</v>
      </c>
      <c r="F2586" s="50">
        <v>2</v>
      </c>
      <c r="G2586" s="273">
        <v>375.2</v>
      </c>
      <c r="H2586" s="10">
        <v>18</v>
      </c>
      <c r="I2586" s="273">
        <f>SUMIF('2020'!B:B,B2586,'2020'!C:C)+SUMIF('2021'!B:B,B2586,'2021'!C:C)+SUMIF('2022'!B:B,B2586,'2022'!C:C)</f>
        <v>374534.99</v>
      </c>
      <c r="J2586" s="59">
        <v>44925</v>
      </c>
      <c r="K2586" s="273" t="s">
        <v>3118</v>
      </c>
    </row>
    <row r="2587" spans="1:13" x14ac:dyDescent="0.3">
      <c r="A2587" s="259">
        <f t="shared" si="96"/>
        <v>2290</v>
      </c>
      <c r="B2587" s="20" t="s">
        <v>2257</v>
      </c>
      <c r="C2587" s="162">
        <v>1952</v>
      </c>
      <c r="D2587" s="234"/>
      <c r="E2587" s="273" t="s">
        <v>3123</v>
      </c>
      <c r="F2587" s="50">
        <v>2</v>
      </c>
      <c r="G2587" s="273">
        <v>559.5</v>
      </c>
      <c r="H2587" s="10">
        <v>31</v>
      </c>
      <c r="I2587" s="273">
        <f>SUMIF('2020'!B:B,B2587,'2020'!C:C)+SUMIF('2021'!B:B,B2587,'2021'!C:C)+SUMIF('2022'!B:B,B2587,'2022'!C:C)</f>
        <v>187750.85</v>
      </c>
      <c r="J2587" s="59">
        <v>44925</v>
      </c>
      <c r="K2587" s="273" t="s">
        <v>3118</v>
      </c>
    </row>
    <row r="2588" spans="1:13" x14ac:dyDescent="0.3">
      <c r="A2588" s="259">
        <f t="shared" si="96"/>
        <v>2291</v>
      </c>
      <c r="B2588" s="20" t="s">
        <v>2258</v>
      </c>
      <c r="C2588" s="162">
        <v>1940</v>
      </c>
      <c r="D2588" s="234"/>
      <c r="E2588" s="273" t="s">
        <v>3036</v>
      </c>
      <c r="F2588" s="50">
        <v>2</v>
      </c>
      <c r="G2588" s="273">
        <v>297.88</v>
      </c>
      <c r="H2588" s="10">
        <v>15</v>
      </c>
      <c r="I2588" s="273">
        <f>SUMIF('2020'!B:B,B2588,'2020'!C:C)+SUMIF('2021'!B:B,B2588,'2021'!C:C)+SUMIF('2022'!B:B,B2588,'2022'!C:C)</f>
        <v>153966.20000000001</v>
      </c>
      <c r="J2588" s="59">
        <v>44925</v>
      </c>
      <c r="K2588" s="273" t="s">
        <v>3118</v>
      </c>
    </row>
    <row r="2589" spans="1:13" x14ac:dyDescent="0.3">
      <c r="A2589" s="259">
        <f t="shared" si="96"/>
        <v>2292</v>
      </c>
      <c r="B2589" s="20" t="s">
        <v>2259</v>
      </c>
      <c r="C2589" s="162">
        <v>1952</v>
      </c>
      <c r="D2589" s="234"/>
      <c r="E2589" s="273" t="s">
        <v>3123</v>
      </c>
      <c r="F2589" s="50">
        <v>2</v>
      </c>
      <c r="G2589" s="273">
        <v>372.57</v>
      </c>
      <c r="H2589" s="10">
        <v>28</v>
      </c>
      <c r="I2589" s="273">
        <f>SUMIF('2020'!B:B,B2589,'2020'!C:C)+SUMIF('2021'!B:B,B2589,'2021'!C:C)+SUMIF('2022'!B:B,B2589,'2022'!C:C)</f>
        <v>199253.71</v>
      </c>
      <c r="J2589" s="59">
        <v>44925</v>
      </c>
      <c r="K2589" s="273" t="s">
        <v>3118</v>
      </c>
    </row>
    <row r="2590" spans="1:13" x14ac:dyDescent="0.3">
      <c r="A2590" s="259">
        <f t="shared" si="96"/>
        <v>2293</v>
      </c>
      <c r="B2590" s="20" t="s">
        <v>2260</v>
      </c>
      <c r="C2590" s="162">
        <v>1952</v>
      </c>
      <c r="D2590" s="234"/>
      <c r="E2590" s="273" t="s">
        <v>3123</v>
      </c>
      <c r="F2590" s="50">
        <v>2</v>
      </c>
      <c r="G2590" s="273">
        <v>509.29</v>
      </c>
      <c r="H2590" s="10">
        <v>23</v>
      </c>
      <c r="I2590" s="273">
        <f>SUMIF('2020'!B:B,B2590,'2020'!C:C)+SUMIF('2021'!B:B,B2590,'2021'!C:C)+SUMIF('2022'!B:B,B2590,'2022'!C:C)</f>
        <v>186680.46</v>
      </c>
      <c r="J2590" s="59">
        <v>44925</v>
      </c>
      <c r="K2590" s="273" t="s">
        <v>3118</v>
      </c>
    </row>
    <row r="2591" spans="1:13" x14ac:dyDescent="0.3">
      <c r="A2591" s="259">
        <f t="shared" si="96"/>
        <v>2294</v>
      </c>
      <c r="B2591" s="20" t="s">
        <v>2261</v>
      </c>
      <c r="C2591" s="162">
        <v>1952</v>
      </c>
      <c r="D2591" s="234"/>
      <c r="E2591" s="273" t="s">
        <v>3123</v>
      </c>
      <c r="F2591" s="50">
        <v>2</v>
      </c>
      <c r="G2591" s="273">
        <v>575.79999999999995</v>
      </c>
      <c r="H2591" s="10">
        <v>28</v>
      </c>
      <c r="I2591" s="273">
        <f>SUMIF('2020'!B:B,B2591,'2020'!C:C)+SUMIF('2021'!B:B,B2591,'2021'!C:C)+SUMIF('2022'!B:B,B2591,'2022'!C:C)</f>
        <v>196212.08</v>
      </c>
      <c r="J2591" s="59">
        <v>44925</v>
      </c>
      <c r="K2591" s="273" t="s">
        <v>3118</v>
      </c>
    </row>
    <row r="2592" spans="1:13" x14ac:dyDescent="0.3">
      <c r="A2592" s="259">
        <f t="shared" si="96"/>
        <v>2295</v>
      </c>
      <c r="B2592" s="20" t="s">
        <v>3580</v>
      </c>
      <c r="C2592" s="162">
        <v>1952</v>
      </c>
      <c r="D2592" s="234"/>
      <c r="E2592" s="273" t="s">
        <v>3123</v>
      </c>
      <c r="F2592" s="50">
        <v>2</v>
      </c>
      <c r="G2592" s="273">
        <v>503.44</v>
      </c>
      <c r="H2592" s="10">
        <v>26</v>
      </c>
      <c r="I2592" s="273">
        <f>SUMIF('2020'!B:B,B2592,'2020'!C:C)+SUMIF('2021'!B:B,B2592,'2021'!C:C)+SUMIF('2022'!B:B,B2592,'2022'!C:C)</f>
        <v>183520.24</v>
      </c>
      <c r="J2592" s="59">
        <v>44925</v>
      </c>
      <c r="K2592" s="273" t="s">
        <v>3118</v>
      </c>
      <c r="L2592" s="199"/>
      <c r="M2592" s="271"/>
    </row>
    <row r="2593" spans="1:13" x14ac:dyDescent="0.3">
      <c r="A2593" s="259">
        <f t="shared" si="96"/>
        <v>2296</v>
      </c>
      <c r="B2593" s="20" t="s">
        <v>3579</v>
      </c>
      <c r="C2593" s="162">
        <v>1952</v>
      </c>
      <c r="D2593" s="234"/>
      <c r="E2593" s="273" t="s">
        <v>3036</v>
      </c>
      <c r="F2593" s="50">
        <v>2</v>
      </c>
      <c r="G2593" s="273">
        <v>595.84</v>
      </c>
      <c r="H2593" s="10">
        <v>20</v>
      </c>
      <c r="I2593" s="273">
        <f>SUMIF('2020'!B:B,B2593,'2020'!C:C)+SUMIF('2021'!B:B,B2593,'2021'!C:C)+SUMIF('2022'!B:B,B2593,'2022'!C:C)</f>
        <v>195294.59</v>
      </c>
      <c r="J2593" s="59">
        <v>44925</v>
      </c>
      <c r="K2593" s="273" t="s">
        <v>3118</v>
      </c>
      <c r="L2593" s="199"/>
      <c r="M2593" s="271"/>
    </row>
    <row r="2594" spans="1:13" x14ac:dyDescent="0.3">
      <c r="A2594" s="259">
        <f t="shared" si="96"/>
        <v>2297</v>
      </c>
      <c r="B2594" s="20" t="s">
        <v>2262</v>
      </c>
      <c r="C2594" s="162">
        <v>1948</v>
      </c>
      <c r="D2594" s="234"/>
      <c r="E2594" s="273" t="s">
        <v>3036</v>
      </c>
      <c r="F2594" s="50">
        <v>2</v>
      </c>
      <c r="G2594" s="273">
        <v>428.55</v>
      </c>
      <c r="H2594" s="10">
        <v>14</v>
      </c>
      <c r="I2594" s="273">
        <f>SUMIF('2020'!B:B,B2594,'2020'!C:C)+SUMIF('2021'!B:B,B2594,'2021'!C:C)+SUMIF('2022'!B:B,B2594,'2022'!C:C)</f>
        <v>190781.56</v>
      </c>
      <c r="J2594" s="59">
        <v>44925</v>
      </c>
      <c r="K2594" s="273" t="s">
        <v>3118</v>
      </c>
    </row>
    <row r="2595" spans="1:13" x14ac:dyDescent="0.3">
      <c r="A2595" s="259">
        <f t="shared" si="96"/>
        <v>2298</v>
      </c>
      <c r="B2595" s="20" t="s">
        <v>2263</v>
      </c>
      <c r="C2595" s="162">
        <v>1950</v>
      </c>
      <c r="D2595" s="234"/>
      <c r="E2595" s="273" t="s">
        <v>3036</v>
      </c>
      <c r="F2595" s="50">
        <v>2</v>
      </c>
      <c r="G2595" s="273">
        <v>402.93</v>
      </c>
      <c r="H2595" s="10">
        <v>20</v>
      </c>
      <c r="I2595" s="273">
        <f>SUMIF('2020'!B:B,B2595,'2020'!C:C)+SUMIF('2021'!B:B,B2595,'2021'!C:C)+SUMIF('2022'!B:B,B2595,'2022'!C:C)</f>
        <v>192475.99</v>
      </c>
      <c r="J2595" s="59">
        <v>44925</v>
      </c>
      <c r="K2595" s="273" t="s">
        <v>3118</v>
      </c>
    </row>
    <row r="2596" spans="1:13" x14ac:dyDescent="0.3">
      <c r="A2596" s="259">
        <f t="shared" si="96"/>
        <v>2299</v>
      </c>
      <c r="B2596" s="20" t="s">
        <v>2264</v>
      </c>
      <c r="C2596" s="162">
        <v>1949</v>
      </c>
      <c r="D2596" s="234"/>
      <c r="E2596" s="273" t="s">
        <v>3036</v>
      </c>
      <c r="F2596" s="50">
        <v>2</v>
      </c>
      <c r="G2596" s="273">
        <v>373.4</v>
      </c>
      <c r="H2596" s="10">
        <v>25</v>
      </c>
      <c r="I2596" s="273">
        <f>SUMIF('2020'!B:B,B2596,'2020'!C:C)+SUMIF('2021'!B:B,B2596,'2021'!C:C)+SUMIF('2022'!B:B,B2596,'2022'!C:C)</f>
        <v>192475.99</v>
      </c>
      <c r="J2596" s="59">
        <v>44925</v>
      </c>
      <c r="K2596" s="273" t="s">
        <v>3118</v>
      </c>
    </row>
    <row r="2597" spans="1:13" x14ac:dyDescent="0.3">
      <c r="A2597" s="259">
        <f t="shared" si="96"/>
        <v>2300</v>
      </c>
      <c r="B2597" s="20" t="s">
        <v>2265</v>
      </c>
      <c r="C2597" s="162">
        <v>1949</v>
      </c>
      <c r="D2597" s="234"/>
      <c r="E2597" s="273" t="s">
        <v>3036</v>
      </c>
      <c r="F2597" s="50">
        <v>2</v>
      </c>
      <c r="G2597" s="273">
        <v>418.63</v>
      </c>
      <c r="H2597" s="10">
        <v>21</v>
      </c>
      <c r="I2597" s="273">
        <f>SUMIF('2020'!B:B,B2597,'2020'!C:C)+SUMIF('2021'!B:B,B2597,'2021'!C:C)+SUMIF('2022'!B:B,B2597,'2022'!C:C)</f>
        <v>190550.5</v>
      </c>
      <c r="J2597" s="59">
        <v>44925</v>
      </c>
      <c r="K2597" s="273" t="s">
        <v>3118</v>
      </c>
    </row>
    <row r="2598" spans="1:13" x14ac:dyDescent="0.3">
      <c r="A2598" s="259">
        <f t="shared" si="96"/>
        <v>2301</v>
      </c>
      <c r="B2598" s="20" t="s">
        <v>2266</v>
      </c>
      <c r="C2598" s="162">
        <v>1949</v>
      </c>
      <c r="D2598" s="234"/>
      <c r="E2598" s="273" t="s">
        <v>3036</v>
      </c>
      <c r="F2598" s="50">
        <v>2</v>
      </c>
      <c r="G2598" s="273">
        <v>404.21</v>
      </c>
      <c r="H2598" s="10">
        <v>21</v>
      </c>
      <c r="I2598" s="273">
        <f>SUMIF('2020'!B:B,B2598,'2020'!C:C)+SUMIF('2021'!B:B,B2598,'2021'!C:C)+SUMIF('2022'!B:B,B2598,'2022'!C:C)</f>
        <v>191397.72</v>
      </c>
      <c r="J2598" s="59">
        <v>44925</v>
      </c>
      <c r="K2598" s="273" t="s">
        <v>3118</v>
      </c>
    </row>
    <row r="2599" spans="1:13" x14ac:dyDescent="0.3">
      <c r="A2599" s="259">
        <f t="shared" si="96"/>
        <v>2302</v>
      </c>
      <c r="B2599" s="20" t="s">
        <v>2267</v>
      </c>
      <c r="C2599" s="162">
        <v>1949</v>
      </c>
      <c r="D2599" s="234"/>
      <c r="E2599" s="273" t="s">
        <v>3123</v>
      </c>
      <c r="F2599" s="50">
        <v>2</v>
      </c>
      <c r="G2599" s="273">
        <v>419.38</v>
      </c>
      <c r="H2599" s="10">
        <v>19</v>
      </c>
      <c r="I2599" s="273">
        <f>SUMIF('2020'!B:B,B2599,'2020'!C:C)+SUMIF('2021'!B:B,B2599,'2021'!C:C)+SUMIF('2022'!B:B,B2599,'2022'!C:C)</f>
        <v>344149.42</v>
      </c>
      <c r="J2599" s="59">
        <v>44925</v>
      </c>
      <c r="K2599" s="273" t="s">
        <v>3118</v>
      </c>
    </row>
    <row r="2600" spans="1:13" x14ac:dyDescent="0.3">
      <c r="A2600" s="259">
        <f t="shared" si="96"/>
        <v>2303</v>
      </c>
      <c r="B2600" s="20" t="s">
        <v>2268</v>
      </c>
      <c r="C2600" s="162">
        <v>1949</v>
      </c>
      <c r="D2600" s="234"/>
      <c r="E2600" s="273" t="s">
        <v>3123</v>
      </c>
      <c r="F2600" s="50">
        <v>2</v>
      </c>
      <c r="G2600" s="273">
        <v>235.61</v>
      </c>
      <c r="H2600" s="10">
        <v>14</v>
      </c>
      <c r="I2600" s="273">
        <f>SUMIF('2020'!B:B,B2600,'2020'!C:C)+SUMIF('2021'!B:B,B2600,'2021'!C:C)+SUMIF('2022'!B:B,B2600,'2022'!C:C)</f>
        <v>140872.87</v>
      </c>
      <c r="J2600" s="59">
        <v>44925</v>
      </c>
      <c r="K2600" s="273" t="s">
        <v>3118</v>
      </c>
    </row>
    <row r="2601" spans="1:13" x14ac:dyDescent="0.3">
      <c r="A2601" s="259">
        <f t="shared" si="96"/>
        <v>2304</v>
      </c>
      <c r="B2601" s="20" t="s">
        <v>2269</v>
      </c>
      <c r="C2601" s="162">
        <v>1949</v>
      </c>
      <c r="D2601" s="234"/>
      <c r="E2601" s="273" t="s">
        <v>3123</v>
      </c>
      <c r="F2601" s="50">
        <v>2</v>
      </c>
      <c r="G2601" s="273">
        <v>225.55</v>
      </c>
      <c r="H2601" s="10">
        <v>10</v>
      </c>
      <c r="I2601" s="273">
        <f>SUMIF('2020'!B:B,B2601,'2020'!C:C)+SUMIF('2021'!B:B,B2601,'2021'!C:C)+SUMIF('2022'!B:B,B2601,'2022'!C:C)</f>
        <v>144338.74</v>
      </c>
      <c r="J2601" s="59">
        <v>44925</v>
      </c>
      <c r="K2601" s="273" t="s">
        <v>3118</v>
      </c>
    </row>
    <row r="2602" spans="1:13" x14ac:dyDescent="0.3">
      <c r="A2602" s="259">
        <f t="shared" si="96"/>
        <v>2305</v>
      </c>
      <c r="B2602" s="20" t="s">
        <v>2270</v>
      </c>
      <c r="C2602" s="162">
        <v>1940</v>
      </c>
      <c r="D2602" s="234"/>
      <c r="E2602" s="273" t="s">
        <v>3437</v>
      </c>
      <c r="F2602" s="50">
        <v>2</v>
      </c>
      <c r="G2602" s="273">
        <v>200.3</v>
      </c>
      <c r="H2602" s="10">
        <v>13</v>
      </c>
      <c r="I2602" s="273">
        <f>SUMIF('2020'!B:B,B2602,'2020'!C:C)+SUMIF('2021'!B:B,B2602,'2021'!C:C)+SUMIF('2022'!B:B,B2602,'2022'!C:C)</f>
        <v>141375.89000000001</v>
      </c>
      <c r="J2602" s="59">
        <v>44925</v>
      </c>
      <c r="K2602" s="273" t="s">
        <v>3118</v>
      </c>
    </row>
    <row r="2603" spans="1:13" x14ac:dyDescent="0.3">
      <c r="A2603" s="302" t="s">
        <v>208</v>
      </c>
      <c r="B2603" s="302"/>
      <c r="C2603" s="273" t="s">
        <v>3558</v>
      </c>
      <c r="D2603" s="273" t="s">
        <v>3558</v>
      </c>
      <c r="E2603" s="273" t="s">
        <v>3558</v>
      </c>
      <c r="F2603" s="273" t="s">
        <v>3558</v>
      </c>
      <c r="G2603" s="273">
        <f>SUM(G2581:G2602)</f>
        <v>9901.529999999997</v>
      </c>
      <c r="H2603" s="10">
        <f>SUM(H2581:H2602)</f>
        <v>468</v>
      </c>
      <c r="I2603" s="273">
        <f>SUM(I2581:I2602)</f>
        <v>4649255.2200000007</v>
      </c>
      <c r="J2603" s="273" t="s">
        <v>3558</v>
      </c>
      <c r="K2603" s="273" t="s">
        <v>3558</v>
      </c>
      <c r="L2603" s="197" t="e">
        <f>#REF!-'2021'!C1842</f>
        <v>#REF!</v>
      </c>
      <c r="M2603" s="197"/>
    </row>
    <row r="2604" spans="1:13" x14ac:dyDescent="0.3">
      <c r="A2604" s="301" t="s">
        <v>2271</v>
      </c>
      <c r="B2604" s="301"/>
      <c r="C2604" s="273"/>
      <c r="D2604" s="234"/>
      <c r="E2604" s="273"/>
      <c r="F2604" s="273"/>
      <c r="G2604" s="273"/>
      <c r="H2604" s="10"/>
      <c r="I2604" s="273"/>
      <c r="J2604" s="273"/>
      <c r="K2604" s="273"/>
    </row>
    <row r="2605" spans="1:13" x14ac:dyDescent="0.3">
      <c r="A2605" s="259">
        <f>A2602+1</f>
        <v>2306</v>
      </c>
      <c r="B2605" s="20" t="s">
        <v>2272</v>
      </c>
      <c r="C2605" s="162">
        <v>1962</v>
      </c>
      <c r="D2605" s="234"/>
      <c r="E2605" s="273" t="s">
        <v>3123</v>
      </c>
      <c r="F2605" s="50">
        <v>2</v>
      </c>
      <c r="G2605" s="273">
        <v>449</v>
      </c>
      <c r="H2605" s="10">
        <v>21</v>
      </c>
      <c r="I2605" s="273">
        <f>SUMIF('2020'!B:B,B2605,'2020'!C:C)+SUMIF('2021'!B:B,B2605,'2021'!C:C)+SUMIF('2022'!B:B,B2605,'2022'!C:C)</f>
        <v>264084.49</v>
      </c>
      <c r="J2605" s="59">
        <v>44925</v>
      </c>
      <c r="K2605" s="273" t="s">
        <v>3118</v>
      </c>
    </row>
    <row r="2606" spans="1:13" x14ac:dyDescent="0.3">
      <c r="A2606" s="259">
        <f t="shared" ref="A2606:A2613" si="97">A2605+1</f>
        <v>2307</v>
      </c>
      <c r="B2606" s="20" t="s">
        <v>2273</v>
      </c>
      <c r="C2606" s="162">
        <v>1970</v>
      </c>
      <c r="D2606" s="234"/>
      <c r="E2606" s="273" t="s">
        <v>3123</v>
      </c>
      <c r="F2606" s="50">
        <v>2</v>
      </c>
      <c r="G2606" s="273">
        <v>630.4</v>
      </c>
      <c r="H2606" s="10">
        <v>36</v>
      </c>
      <c r="I2606" s="273">
        <f>SUMIF('2020'!B:B,B2606,'2020'!C:C)+SUMIF('2021'!B:B,B2606,'2021'!C:C)+SUMIF('2022'!B:B,B2606,'2022'!C:C)</f>
        <v>104973.91</v>
      </c>
      <c r="J2606" s="59">
        <v>44925</v>
      </c>
      <c r="K2606" s="273" t="s">
        <v>3118</v>
      </c>
    </row>
    <row r="2607" spans="1:13" x14ac:dyDescent="0.3">
      <c r="A2607" s="259">
        <f t="shared" si="97"/>
        <v>2308</v>
      </c>
      <c r="B2607" s="20" t="s">
        <v>2274</v>
      </c>
      <c r="C2607" s="162">
        <v>1973</v>
      </c>
      <c r="D2607" s="234"/>
      <c r="E2607" s="273" t="s">
        <v>3123</v>
      </c>
      <c r="F2607" s="50">
        <v>2</v>
      </c>
      <c r="G2607" s="273">
        <v>737.3</v>
      </c>
      <c r="H2607" s="10">
        <v>39</v>
      </c>
      <c r="I2607" s="273">
        <f>SUMIF('2020'!B:B,B2607,'2020'!C:C)+SUMIF('2021'!B:B,B2607,'2021'!C:C)+SUMIF('2022'!B:B,B2607,'2022'!C:C)</f>
        <v>108192.56</v>
      </c>
      <c r="J2607" s="59">
        <v>44925</v>
      </c>
      <c r="K2607" s="273" t="s">
        <v>3118</v>
      </c>
    </row>
    <row r="2608" spans="1:13" x14ac:dyDescent="0.3">
      <c r="A2608" s="259">
        <f t="shared" si="97"/>
        <v>2309</v>
      </c>
      <c r="B2608" s="20" t="s">
        <v>2275</v>
      </c>
      <c r="C2608" s="162">
        <v>1964</v>
      </c>
      <c r="D2608" s="234"/>
      <c r="E2608" s="273" t="s">
        <v>3123</v>
      </c>
      <c r="F2608" s="50">
        <v>2</v>
      </c>
      <c r="G2608" s="273">
        <v>611.20000000000005</v>
      </c>
      <c r="H2608" s="10">
        <v>30</v>
      </c>
      <c r="I2608" s="273">
        <f>SUMIF('2020'!B:B,B2608,'2020'!C:C)+SUMIF('2021'!B:B,B2608,'2021'!C:C)+SUMIF('2022'!B:B,B2608,'2022'!C:C)</f>
        <v>229182.69</v>
      </c>
      <c r="J2608" s="59">
        <v>44925</v>
      </c>
      <c r="K2608" s="273" t="s">
        <v>3118</v>
      </c>
    </row>
    <row r="2609" spans="1:13" x14ac:dyDescent="0.3">
      <c r="A2609" s="259">
        <f t="shared" si="97"/>
        <v>2310</v>
      </c>
      <c r="B2609" s="20" t="s">
        <v>2276</v>
      </c>
      <c r="C2609" s="162">
        <v>1967</v>
      </c>
      <c r="D2609" s="234"/>
      <c r="E2609" s="273" t="s">
        <v>3123</v>
      </c>
      <c r="F2609" s="50">
        <v>2</v>
      </c>
      <c r="G2609" s="273">
        <v>622.20000000000005</v>
      </c>
      <c r="H2609" s="10">
        <v>32</v>
      </c>
      <c r="I2609" s="273">
        <f>SUMIF('2020'!B:B,B2609,'2020'!C:C)+SUMIF('2021'!B:B,B2609,'2021'!C:C)+SUMIF('2022'!B:B,B2609,'2022'!C:C)</f>
        <v>710360.68</v>
      </c>
      <c r="J2609" s="59">
        <v>44925</v>
      </c>
      <c r="K2609" s="273" t="s">
        <v>3118</v>
      </c>
    </row>
    <row r="2610" spans="1:13" x14ac:dyDescent="0.3">
      <c r="A2610" s="259">
        <f t="shared" si="97"/>
        <v>2311</v>
      </c>
      <c r="B2610" s="20" t="s">
        <v>2277</v>
      </c>
      <c r="C2610" s="162">
        <v>1968</v>
      </c>
      <c r="D2610" s="234"/>
      <c r="E2610" s="273" t="s">
        <v>3123</v>
      </c>
      <c r="F2610" s="50">
        <v>2</v>
      </c>
      <c r="G2610" s="273">
        <v>629.6</v>
      </c>
      <c r="H2610" s="10">
        <v>32</v>
      </c>
      <c r="I2610" s="273">
        <f>SUMIF('2020'!B:B,B2610,'2020'!C:C)+SUMIF('2021'!B:B,B2610,'2021'!C:C)+SUMIF('2022'!B:B,B2610,'2022'!C:C)</f>
        <v>720335.39</v>
      </c>
      <c r="J2610" s="59">
        <v>44925</v>
      </c>
      <c r="K2610" s="273" t="s">
        <v>3118</v>
      </c>
    </row>
    <row r="2611" spans="1:13" x14ac:dyDescent="0.3">
      <c r="A2611" s="259">
        <f t="shared" si="97"/>
        <v>2312</v>
      </c>
      <c r="B2611" s="20" t="s">
        <v>2278</v>
      </c>
      <c r="C2611" s="162">
        <v>1970</v>
      </c>
      <c r="D2611" s="234"/>
      <c r="E2611" s="273" t="s">
        <v>3123</v>
      </c>
      <c r="F2611" s="50">
        <v>2</v>
      </c>
      <c r="G2611" s="273">
        <v>629.29999999999995</v>
      </c>
      <c r="H2611" s="10">
        <v>28</v>
      </c>
      <c r="I2611" s="273">
        <f>SUMIF('2020'!B:B,B2611,'2020'!C:C)+SUMIF('2021'!B:B,B2611,'2021'!C:C)+SUMIF('2022'!B:B,B2611,'2022'!C:C)</f>
        <v>107819.42</v>
      </c>
      <c r="J2611" s="59">
        <v>44925</v>
      </c>
      <c r="K2611" s="273" t="s">
        <v>3118</v>
      </c>
    </row>
    <row r="2612" spans="1:13" x14ac:dyDescent="0.3">
      <c r="A2612" s="259">
        <f t="shared" si="97"/>
        <v>2313</v>
      </c>
      <c r="B2612" s="20" t="s">
        <v>2279</v>
      </c>
      <c r="C2612" s="162">
        <v>1969</v>
      </c>
      <c r="D2612" s="234"/>
      <c r="E2612" s="273" t="s">
        <v>3123</v>
      </c>
      <c r="F2612" s="50">
        <v>2</v>
      </c>
      <c r="G2612" s="273">
        <v>608.4</v>
      </c>
      <c r="H2612" s="10">
        <v>32</v>
      </c>
      <c r="I2612" s="273">
        <f>SUMIF('2020'!B:B,B2612,'2020'!C:C)+SUMIF('2021'!B:B,B2612,'2021'!C:C)+SUMIF('2022'!B:B,B2612,'2022'!C:C)</f>
        <v>102963.85</v>
      </c>
      <c r="J2612" s="59">
        <v>44925</v>
      </c>
      <c r="K2612" s="273" t="s">
        <v>3118</v>
      </c>
    </row>
    <row r="2613" spans="1:13" x14ac:dyDescent="0.3">
      <c r="A2613" s="259">
        <f t="shared" si="97"/>
        <v>2314</v>
      </c>
      <c r="B2613" s="20" t="s">
        <v>2280</v>
      </c>
      <c r="C2613" s="162">
        <v>1973</v>
      </c>
      <c r="D2613" s="234"/>
      <c r="E2613" s="273" t="s">
        <v>3121</v>
      </c>
      <c r="F2613" s="50">
        <v>5</v>
      </c>
      <c r="G2613" s="273">
        <v>2734.7</v>
      </c>
      <c r="H2613" s="10">
        <v>144</v>
      </c>
      <c r="I2613" s="273">
        <f>SUMIF('2020'!B:B,B2613,'2020'!C:C)+SUMIF('2021'!B:B,B2613,'2021'!C:C)+SUMIF('2022'!B:B,B2613,'2022'!C:C)</f>
        <v>169855.3</v>
      </c>
      <c r="J2613" s="59">
        <v>44925</v>
      </c>
      <c r="K2613" s="273" t="s">
        <v>3118</v>
      </c>
    </row>
    <row r="2614" spans="1:13" x14ac:dyDescent="0.3">
      <c r="A2614" s="302" t="s">
        <v>208</v>
      </c>
      <c r="B2614" s="302"/>
      <c r="C2614" s="273" t="s">
        <v>3558</v>
      </c>
      <c r="D2614" s="273" t="s">
        <v>3558</v>
      </c>
      <c r="E2614" s="273" t="s">
        <v>3558</v>
      </c>
      <c r="F2614" s="273" t="s">
        <v>3558</v>
      </c>
      <c r="G2614" s="273">
        <f>SUM(G2605:G2613)</f>
        <v>7652.0999999999995</v>
      </c>
      <c r="H2614" s="10">
        <f>SUM(H2605:H2613)</f>
        <v>394</v>
      </c>
      <c r="I2614" s="273">
        <f>SUM(I2605:I2613)</f>
        <v>2517768.29</v>
      </c>
      <c r="J2614" s="273" t="s">
        <v>3558</v>
      </c>
      <c r="K2614" s="273" t="s">
        <v>3558</v>
      </c>
      <c r="L2614" s="197" t="e">
        <f>#REF!-'2020'!C637-'2021'!C1853</f>
        <v>#REF!</v>
      </c>
      <c r="M2614" s="197"/>
    </row>
    <row r="2615" spans="1:13" x14ac:dyDescent="0.3">
      <c r="A2615" s="301" t="s">
        <v>2281</v>
      </c>
      <c r="B2615" s="301"/>
      <c r="C2615" s="273"/>
      <c r="D2615" s="234"/>
      <c r="E2615" s="273"/>
      <c r="F2615" s="273"/>
      <c r="G2615" s="273"/>
      <c r="H2615" s="10"/>
      <c r="I2615" s="273"/>
      <c r="J2615" s="273"/>
      <c r="K2615" s="273"/>
    </row>
    <row r="2616" spans="1:13" x14ac:dyDescent="0.3">
      <c r="A2616" s="259">
        <f>A2613+1</f>
        <v>2315</v>
      </c>
      <c r="B2616" s="20" t="s">
        <v>2282</v>
      </c>
      <c r="C2616" s="162">
        <v>1965</v>
      </c>
      <c r="D2616" s="234"/>
      <c r="E2616" s="273" t="s">
        <v>3123</v>
      </c>
      <c r="F2616" s="50">
        <v>2</v>
      </c>
      <c r="G2616" s="273">
        <v>632.20000000000005</v>
      </c>
      <c r="H2616" s="10">
        <v>41</v>
      </c>
      <c r="I2616" s="273">
        <f>SUMIF('2020'!B:B,B2616,'2020'!C:C)+SUMIF('2021'!B:B,B2616,'2021'!C:C)+SUMIF('2022'!B:B,B2616,'2022'!C:C)</f>
        <v>2096895.6</v>
      </c>
      <c r="J2616" s="59">
        <v>44925</v>
      </c>
      <c r="K2616" s="273" t="s">
        <v>3118</v>
      </c>
    </row>
    <row r="2617" spans="1:13" x14ac:dyDescent="0.3">
      <c r="A2617" s="259">
        <f t="shared" ref="A2617:A2639" si="98">A2616+1</f>
        <v>2316</v>
      </c>
      <c r="B2617" s="20" t="s">
        <v>2283</v>
      </c>
      <c r="C2617" s="162">
        <v>1967</v>
      </c>
      <c r="D2617" s="234"/>
      <c r="E2617" s="273" t="s">
        <v>3123</v>
      </c>
      <c r="F2617" s="50">
        <v>2</v>
      </c>
      <c r="G2617" s="273">
        <v>731.3</v>
      </c>
      <c r="H2617" s="10">
        <v>40</v>
      </c>
      <c r="I2617" s="273">
        <f>SUMIF('2020'!B:B,B2617,'2020'!C:C)+SUMIF('2021'!B:B,B2617,'2021'!C:C)+SUMIF('2022'!B:B,B2617,'2022'!C:C)</f>
        <v>2096895.6</v>
      </c>
      <c r="J2617" s="59">
        <v>44925</v>
      </c>
      <c r="K2617" s="273" t="s">
        <v>3118</v>
      </c>
    </row>
    <row r="2618" spans="1:13" x14ac:dyDescent="0.3">
      <c r="A2618" s="259">
        <f t="shared" si="98"/>
        <v>2317</v>
      </c>
      <c r="B2618" s="20" t="s">
        <v>2284</v>
      </c>
      <c r="C2618" s="162">
        <v>1974</v>
      </c>
      <c r="D2618" s="234"/>
      <c r="E2618" s="273" t="s">
        <v>3123</v>
      </c>
      <c r="F2618" s="50">
        <v>2</v>
      </c>
      <c r="G2618" s="273">
        <v>866.6</v>
      </c>
      <c r="H2618" s="10">
        <v>44</v>
      </c>
      <c r="I2618" s="273">
        <f>SUMIF('2020'!B:B,B2618,'2020'!C:C)+SUMIF('2021'!B:B,B2618,'2021'!C:C)+SUMIF('2022'!B:B,B2618,'2022'!C:C)</f>
        <v>203212.37</v>
      </c>
      <c r="J2618" s="59">
        <v>44925</v>
      </c>
      <c r="K2618" s="273" t="s">
        <v>3118</v>
      </c>
    </row>
    <row r="2619" spans="1:13" x14ac:dyDescent="0.3">
      <c r="A2619" s="259">
        <f t="shared" si="98"/>
        <v>2318</v>
      </c>
      <c r="B2619" s="20" t="s">
        <v>2285</v>
      </c>
      <c r="C2619" s="162">
        <v>1976</v>
      </c>
      <c r="D2619" s="234"/>
      <c r="E2619" s="273" t="s">
        <v>3123</v>
      </c>
      <c r="F2619" s="50">
        <v>2</v>
      </c>
      <c r="G2619" s="273">
        <v>865.3</v>
      </c>
      <c r="H2619" s="10">
        <v>23</v>
      </c>
      <c r="I2619" s="273">
        <f>SUMIF('2020'!B:B,B2619,'2020'!C:C)+SUMIF('2021'!B:B,B2619,'2021'!C:C)+SUMIF('2022'!B:B,B2619,'2022'!C:C)</f>
        <v>194213.21</v>
      </c>
      <c r="J2619" s="59">
        <v>44925</v>
      </c>
      <c r="K2619" s="273" t="s">
        <v>3118</v>
      </c>
    </row>
    <row r="2620" spans="1:13" x14ac:dyDescent="0.3">
      <c r="A2620" s="259">
        <f t="shared" si="98"/>
        <v>2319</v>
      </c>
      <c r="B2620" s="20" t="s">
        <v>2286</v>
      </c>
      <c r="C2620" s="162">
        <v>1970</v>
      </c>
      <c r="D2620" s="234"/>
      <c r="E2620" s="273" t="s">
        <v>3123</v>
      </c>
      <c r="F2620" s="50">
        <v>2</v>
      </c>
      <c r="G2620" s="273">
        <v>749.6</v>
      </c>
      <c r="H2620" s="10">
        <v>23</v>
      </c>
      <c r="I2620" s="273">
        <f>SUMIF('2020'!B:B,B2620,'2020'!C:C)+SUMIF('2021'!B:B,B2620,'2021'!C:C)+SUMIF('2022'!B:B,B2620,'2022'!C:C)</f>
        <v>2284238.6800000002</v>
      </c>
      <c r="J2620" s="59">
        <v>44925</v>
      </c>
      <c r="K2620" s="273" t="s">
        <v>3118</v>
      </c>
    </row>
    <row r="2621" spans="1:13" x14ac:dyDescent="0.3">
      <c r="A2621" s="259">
        <f t="shared" si="98"/>
        <v>2320</v>
      </c>
      <c r="B2621" s="20" t="s">
        <v>2287</v>
      </c>
      <c r="C2621" s="162">
        <v>1973</v>
      </c>
      <c r="D2621" s="234"/>
      <c r="E2621" s="273" t="s">
        <v>3121</v>
      </c>
      <c r="F2621" s="50">
        <v>2</v>
      </c>
      <c r="G2621" s="273">
        <v>773.7</v>
      </c>
      <c r="H2621" s="10">
        <v>44</v>
      </c>
      <c r="I2621" s="273">
        <f>SUMIF('2020'!B:B,B2621,'2020'!C:C)+SUMIF('2021'!B:B,B2621,'2021'!C:C)+SUMIF('2022'!B:B,B2621,'2022'!C:C)</f>
        <v>91100.87</v>
      </c>
      <c r="J2621" s="59">
        <v>44925</v>
      </c>
      <c r="K2621" s="273" t="s">
        <v>3118</v>
      </c>
    </row>
    <row r="2622" spans="1:13" x14ac:dyDescent="0.3">
      <c r="A2622" s="259">
        <f t="shared" si="98"/>
        <v>2321</v>
      </c>
      <c r="B2622" s="20" t="s">
        <v>2288</v>
      </c>
      <c r="C2622" s="162">
        <v>1974</v>
      </c>
      <c r="D2622" s="234"/>
      <c r="E2622" s="273" t="s">
        <v>3121</v>
      </c>
      <c r="F2622" s="50">
        <v>2</v>
      </c>
      <c r="G2622" s="273">
        <v>778.9</v>
      </c>
      <c r="H2622" s="10">
        <v>16</v>
      </c>
      <c r="I2622" s="273">
        <f>SUMIF('2020'!B:B,B2622,'2020'!C:C)+SUMIF('2021'!B:B,B2622,'2021'!C:C)+SUMIF('2022'!B:B,B2622,'2022'!C:C)</f>
        <v>91100.87</v>
      </c>
      <c r="J2622" s="59">
        <v>44925</v>
      </c>
      <c r="K2622" s="273" t="s">
        <v>3118</v>
      </c>
    </row>
    <row r="2623" spans="1:13" x14ac:dyDescent="0.3">
      <c r="A2623" s="259">
        <f t="shared" si="98"/>
        <v>2322</v>
      </c>
      <c r="B2623" s="20" t="s">
        <v>2289</v>
      </c>
      <c r="C2623" s="162">
        <v>1973</v>
      </c>
      <c r="D2623" s="234"/>
      <c r="E2623" s="273" t="s">
        <v>3121</v>
      </c>
      <c r="F2623" s="50">
        <v>2</v>
      </c>
      <c r="G2623" s="273">
        <v>776.9</v>
      </c>
      <c r="H2623" s="10">
        <v>20</v>
      </c>
      <c r="I2623" s="273">
        <f>SUMIF('2020'!B:B,B2623,'2020'!C:C)+SUMIF('2021'!B:B,B2623,'2021'!C:C)+SUMIF('2022'!B:B,B2623,'2022'!C:C)</f>
        <v>407315.01</v>
      </c>
      <c r="J2623" s="59">
        <v>44925</v>
      </c>
      <c r="K2623" s="273" t="s">
        <v>3118</v>
      </c>
    </row>
    <row r="2624" spans="1:13" x14ac:dyDescent="0.3">
      <c r="A2624" s="259">
        <f t="shared" si="98"/>
        <v>2323</v>
      </c>
      <c r="B2624" s="20" t="s">
        <v>2290</v>
      </c>
      <c r="C2624" s="162">
        <v>1978</v>
      </c>
      <c r="D2624" s="234"/>
      <c r="E2624" s="273" t="s">
        <v>3121</v>
      </c>
      <c r="F2624" s="50">
        <v>2</v>
      </c>
      <c r="G2624" s="273">
        <v>1444.2</v>
      </c>
      <c r="H2624" s="10">
        <v>34</v>
      </c>
      <c r="I2624" s="273">
        <f>SUMIF('2020'!B:B,B2624,'2020'!C:C)+SUMIF('2021'!B:B,B2624,'2021'!C:C)+SUMIF('2022'!B:B,B2624,'2022'!C:C)</f>
        <v>184464.44</v>
      </c>
      <c r="J2624" s="59">
        <v>44925</v>
      </c>
      <c r="K2624" s="273" t="s">
        <v>3118</v>
      </c>
    </row>
    <row r="2625" spans="1:13" x14ac:dyDescent="0.3">
      <c r="A2625" s="259">
        <f t="shared" si="98"/>
        <v>2324</v>
      </c>
      <c r="B2625" s="20" t="s">
        <v>2291</v>
      </c>
      <c r="C2625" s="162">
        <v>1960</v>
      </c>
      <c r="D2625" s="234"/>
      <c r="E2625" s="273" t="s">
        <v>3123</v>
      </c>
      <c r="F2625" s="50">
        <v>2</v>
      </c>
      <c r="G2625" s="273">
        <v>636.4</v>
      </c>
      <c r="H2625" s="10">
        <v>29</v>
      </c>
      <c r="I2625" s="273">
        <f>SUMIF('2020'!B:B,B2625,'2020'!C:C)+SUMIF('2021'!B:B,B2625,'2021'!C:C)+SUMIF('2022'!B:B,B2625,'2022'!C:C)</f>
        <v>346673.63</v>
      </c>
      <c r="J2625" s="59">
        <v>44925</v>
      </c>
      <c r="K2625" s="273" t="s">
        <v>3118</v>
      </c>
    </row>
    <row r="2626" spans="1:13" x14ac:dyDescent="0.3">
      <c r="A2626" s="259">
        <f t="shared" si="98"/>
        <v>2325</v>
      </c>
      <c r="B2626" s="20" t="s">
        <v>2292</v>
      </c>
      <c r="C2626" s="162">
        <v>1966</v>
      </c>
      <c r="D2626" s="234"/>
      <c r="E2626" s="273" t="s">
        <v>3123</v>
      </c>
      <c r="F2626" s="50">
        <v>3</v>
      </c>
      <c r="G2626" s="273">
        <v>1490.6</v>
      </c>
      <c r="H2626" s="10">
        <v>51</v>
      </c>
      <c r="I2626" s="273">
        <f>SUMIF('2020'!B:B,B2626,'2020'!C:C)+SUMIF('2021'!B:B,B2626,'2021'!C:C)+SUMIF('2022'!B:B,B2626,'2022'!C:C)</f>
        <v>200521.82</v>
      </c>
      <c r="J2626" s="59">
        <v>44925</v>
      </c>
      <c r="K2626" s="273" t="s">
        <v>3118</v>
      </c>
    </row>
    <row r="2627" spans="1:13" x14ac:dyDescent="0.3">
      <c r="A2627" s="259">
        <f t="shared" si="98"/>
        <v>2326</v>
      </c>
      <c r="B2627" s="20" t="s">
        <v>2293</v>
      </c>
      <c r="C2627" s="162">
        <v>1960</v>
      </c>
      <c r="D2627" s="234"/>
      <c r="E2627" s="273" t="s">
        <v>3123</v>
      </c>
      <c r="F2627" s="50">
        <v>2</v>
      </c>
      <c r="G2627" s="273">
        <v>647.29999999999995</v>
      </c>
      <c r="H2627" s="10">
        <v>33</v>
      </c>
      <c r="I2627" s="273">
        <f>SUMIF('2020'!B:B,B2627,'2020'!C:C)+SUMIF('2021'!B:B,B2627,'2021'!C:C)+SUMIF('2022'!B:B,B2627,'2022'!C:C)</f>
        <v>239492.8</v>
      </c>
      <c r="J2627" s="59">
        <v>44925</v>
      </c>
      <c r="K2627" s="273" t="s">
        <v>3118</v>
      </c>
    </row>
    <row r="2628" spans="1:13" x14ac:dyDescent="0.3">
      <c r="A2628" s="259">
        <f t="shared" si="98"/>
        <v>2327</v>
      </c>
      <c r="B2628" s="20" t="s">
        <v>2294</v>
      </c>
      <c r="C2628" s="162">
        <v>1960</v>
      </c>
      <c r="D2628" s="234"/>
      <c r="E2628" s="273" t="s">
        <v>3123</v>
      </c>
      <c r="F2628" s="50">
        <v>2</v>
      </c>
      <c r="G2628" s="273">
        <v>640.79999999999995</v>
      </c>
      <c r="H2628" s="10">
        <v>39</v>
      </c>
      <c r="I2628" s="273">
        <f>SUMIF('2020'!B:B,B2628,'2020'!C:C)+SUMIF('2021'!B:B,B2628,'2021'!C:C)+SUMIF('2022'!B:B,B2628,'2022'!C:C)</f>
        <v>239492.8</v>
      </c>
      <c r="J2628" s="59">
        <v>44925</v>
      </c>
      <c r="K2628" s="273" t="s">
        <v>3118</v>
      </c>
    </row>
    <row r="2629" spans="1:13" x14ac:dyDescent="0.3">
      <c r="A2629" s="259">
        <f t="shared" si="98"/>
        <v>2328</v>
      </c>
      <c r="B2629" s="20" t="s">
        <v>2295</v>
      </c>
      <c r="C2629" s="162">
        <v>1960</v>
      </c>
      <c r="D2629" s="234"/>
      <c r="E2629" s="273" t="s">
        <v>3123</v>
      </c>
      <c r="F2629" s="50">
        <v>2</v>
      </c>
      <c r="G2629" s="273">
        <v>634.79999999999995</v>
      </c>
      <c r="H2629" s="10">
        <v>39</v>
      </c>
      <c r="I2629" s="273">
        <f>SUMIF('2020'!B:B,B2629,'2020'!C:C)+SUMIF('2021'!B:B,B2629,'2021'!C:C)+SUMIF('2022'!B:B,B2629,'2022'!C:C)</f>
        <v>239492.8</v>
      </c>
      <c r="J2629" s="59">
        <v>44925</v>
      </c>
      <c r="K2629" s="273" t="s">
        <v>3118</v>
      </c>
    </row>
    <row r="2630" spans="1:13" x14ac:dyDescent="0.3">
      <c r="A2630" s="259">
        <f t="shared" si="98"/>
        <v>2329</v>
      </c>
      <c r="B2630" s="20" t="s">
        <v>2296</v>
      </c>
      <c r="C2630" s="162">
        <v>1960</v>
      </c>
      <c r="D2630" s="234"/>
      <c r="E2630" s="273" t="s">
        <v>3123</v>
      </c>
      <c r="F2630" s="50">
        <v>2</v>
      </c>
      <c r="G2630" s="273">
        <v>634.1</v>
      </c>
      <c r="H2630" s="10">
        <v>32</v>
      </c>
      <c r="I2630" s="273">
        <f>SUMIF('2020'!B:B,B2630,'2020'!C:C)+SUMIF('2021'!B:B,B2630,'2021'!C:C)+SUMIF('2022'!B:B,B2630,'2022'!C:C)</f>
        <v>239492.8</v>
      </c>
      <c r="J2630" s="59">
        <v>44925</v>
      </c>
      <c r="K2630" s="273" t="s">
        <v>3118</v>
      </c>
    </row>
    <row r="2631" spans="1:13" x14ac:dyDescent="0.3">
      <c r="A2631" s="259">
        <f t="shared" si="98"/>
        <v>2330</v>
      </c>
      <c r="B2631" s="20" t="s">
        <v>2297</v>
      </c>
      <c r="C2631" s="162">
        <v>1955</v>
      </c>
      <c r="D2631" s="234"/>
      <c r="E2631" s="273" t="s">
        <v>3123</v>
      </c>
      <c r="F2631" s="50">
        <v>2</v>
      </c>
      <c r="G2631" s="273">
        <v>634.1</v>
      </c>
      <c r="H2631" s="10">
        <v>33</v>
      </c>
      <c r="I2631" s="273">
        <f>SUMIF('2020'!B:B,B2631,'2020'!C:C)+SUMIF('2021'!B:B,B2631,'2021'!C:C)+SUMIF('2022'!B:B,B2631,'2022'!C:C)</f>
        <v>119753.21</v>
      </c>
      <c r="J2631" s="59">
        <v>44925</v>
      </c>
      <c r="K2631" s="273" t="s">
        <v>3118</v>
      </c>
    </row>
    <row r="2632" spans="1:13" x14ac:dyDescent="0.3">
      <c r="A2632" s="259">
        <f t="shared" si="98"/>
        <v>2331</v>
      </c>
      <c r="B2632" s="20" t="s">
        <v>2298</v>
      </c>
      <c r="C2632" s="162">
        <v>1955</v>
      </c>
      <c r="D2632" s="234"/>
      <c r="E2632" s="273" t="s">
        <v>3123</v>
      </c>
      <c r="F2632" s="50">
        <v>2</v>
      </c>
      <c r="G2632" s="273">
        <v>634.1</v>
      </c>
      <c r="H2632" s="10">
        <v>33</v>
      </c>
      <c r="I2632" s="273">
        <f>SUMIF('2020'!B:B,B2632,'2020'!C:C)+SUMIF('2021'!B:B,B2632,'2021'!C:C)+SUMIF('2022'!B:B,B2632,'2022'!C:C)</f>
        <v>385036.01</v>
      </c>
      <c r="J2632" s="59">
        <v>44925</v>
      </c>
      <c r="K2632" s="273" t="s">
        <v>3118</v>
      </c>
    </row>
    <row r="2633" spans="1:13" x14ac:dyDescent="0.3">
      <c r="A2633" s="259">
        <f t="shared" si="98"/>
        <v>2332</v>
      </c>
      <c r="B2633" s="20" t="s">
        <v>2299</v>
      </c>
      <c r="C2633" s="162">
        <v>1955</v>
      </c>
      <c r="D2633" s="234"/>
      <c r="E2633" s="273" t="s">
        <v>3123</v>
      </c>
      <c r="F2633" s="50">
        <v>2</v>
      </c>
      <c r="G2633" s="273">
        <v>385.7</v>
      </c>
      <c r="H2633" s="10">
        <v>9</v>
      </c>
      <c r="I2633" s="273">
        <f>SUMIF('2020'!B:B,B2633,'2020'!C:C)+SUMIF('2021'!B:B,B2633,'2021'!C:C)+SUMIF('2022'!B:B,B2633,'2022'!C:C)</f>
        <v>385036.01</v>
      </c>
      <c r="J2633" s="59">
        <v>44925</v>
      </c>
      <c r="K2633" s="273" t="s">
        <v>3118</v>
      </c>
    </row>
    <row r="2634" spans="1:13" x14ac:dyDescent="0.3">
      <c r="A2634" s="259">
        <f t="shared" si="98"/>
        <v>2333</v>
      </c>
      <c r="B2634" s="20" t="s">
        <v>2300</v>
      </c>
      <c r="C2634" s="162">
        <v>1955</v>
      </c>
      <c r="D2634" s="234"/>
      <c r="E2634" s="273" t="s">
        <v>3123</v>
      </c>
      <c r="F2634" s="50">
        <v>2</v>
      </c>
      <c r="G2634" s="273">
        <v>796.8</v>
      </c>
      <c r="H2634" s="10">
        <v>34</v>
      </c>
      <c r="I2634" s="273">
        <f>SUMIF('2020'!B:B,B2634,'2020'!C:C)+SUMIF('2021'!B:B,B2634,'2021'!C:C)+SUMIF('2022'!B:B,B2634,'2022'!C:C)</f>
        <v>258533.18</v>
      </c>
      <c r="J2634" s="59">
        <v>44925</v>
      </c>
      <c r="K2634" s="273" t="s">
        <v>3118</v>
      </c>
    </row>
    <row r="2635" spans="1:13" x14ac:dyDescent="0.3">
      <c r="A2635" s="259">
        <f t="shared" si="98"/>
        <v>2334</v>
      </c>
      <c r="B2635" s="20" t="s">
        <v>2301</v>
      </c>
      <c r="C2635" s="162">
        <v>1955</v>
      </c>
      <c r="D2635" s="234"/>
      <c r="E2635" s="273" t="s">
        <v>3123</v>
      </c>
      <c r="F2635" s="60">
        <v>2</v>
      </c>
      <c r="G2635" s="273">
        <v>842</v>
      </c>
      <c r="H2635" s="10">
        <v>28</v>
      </c>
      <c r="I2635" s="273">
        <f>SUMIF('2020'!B:B,B2635,'2020'!C:C)+SUMIF('2021'!B:B,B2635,'2021'!C:C)+SUMIF('2022'!B:B,B2635,'2022'!C:C)</f>
        <v>8234591.4199999999</v>
      </c>
      <c r="J2635" s="59">
        <v>44925</v>
      </c>
      <c r="K2635" s="273" t="s">
        <v>3118</v>
      </c>
    </row>
    <row r="2636" spans="1:13" x14ac:dyDescent="0.3">
      <c r="A2636" s="259">
        <f t="shared" si="98"/>
        <v>2335</v>
      </c>
      <c r="B2636" s="20" t="s">
        <v>2302</v>
      </c>
      <c r="C2636" s="162">
        <v>1955</v>
      </c>
      <c r="D2636" s="234"/>
      <c r="E2636" s="273" t="s">
        <v>3123</v>
      </c>
      <c r="F2636" s="60">
        <v>2</v>
      </c>
      <c r="G2636" s="273">
        <v>803.4</v>
      </c>
      <c r="H2636" s="10">
        <v>30</v>
      </c>
      <c r="I2636" s="273">
        <f>SUMIF('2020'!B:B,B2636,'2020'!C:C)+SUMIF('2021'!B:B,B2636,'2021'!C:C)+SUMIF('2022'!B:B,B2636,'2022'!C:C)</f>
        <v>140390.92000000001</v>
      </c>
      <c r="J2636" s="59">
        <v>44925</v>
      </c>
      <c r="K2636" s="273" t="s">
        <v>3118</v>
      </c>
    </row>
    <row r="2637" spans="1:13" x14ac:dyDescent="0.3">
      <c r="A2637" s="259">
        <f t="shared" si="98"/>
        <v>2336</v>
      </c>
      <c r="B2637" s="20" t="s">
        <v>2303</v>
      </c>
      <c r="C2637" s="162">
        <v>1955</v>
      </c>
      <c r="D2637" s="234"/>
      <c r="E2637" s="273" t="s">
        <v>3123</v>
      </c>
      <c r="F2637" s="60">
        <v>2</v>
      </c>
      <c r="G2637" s="273">
        <v>836.4</v>
      </c>
      <c r="H2637" s="10">
        <v>32</v>
      </c>
      <c r="I2637" s="273">
        <f>SUMIF('2020'!B:B,B2637,'2020'!C:C)+SUMIF('2021'!B:B,B2637,'2021'!C:C)+SUMIF('2022'!B:B,B2637,'2022'!C:C)</f>
        <v>7403280.5600000005</v>
      </c>
      <c r="J2637" s="59">
        <v>44925</v>
      </c>
      <c r="K2637" s="273" t="s">
        <v>3118</v>
      </c>
    </row>
    <row r="2638" spans="1:13" x14ac:dyDescent="0.3">
      <c r="A2638" s="259">
        <f t="shared" si="98"/>
        <v>2337</v>
      </c>
      <c r="B2638" s="20" t="s">
        <v>2304</v>
      </c>
      <c r="C2638" s="162">
        <v>1955</v>
      </c>
      <c r="D2638" s="234"/>
      <c r="E2638" s="273" t="s">
        <v>3123</v>
      </c>
      <c r="F2638" s="60">
        <v>2</v>
      </c>
      <c r="G2638" s="273">
        <v>752.9</v>
      </c>
      <c r="H2638" s="10">
        <v>28</v>
      </c>
      <c r="I2638" s="273">
        <f>SUMIF('2020'!B:B,B2638,'2020'!C:C)+SUMIF('2021'!B:B,B2638,'2021'!C:C)+SUMIF('2022'!B:B,B2638,'2022'!C:C)</f>
        <v>7735745.1400000006</v>
      </c>
      <c r="J2638" s="59">
        <v>44925</v>
      </c>
      <c r="K2638" s="273" t="s">
        <v>3118</v>
      </c>
    </row>
    <row r="2639" spans="1:13" x14ac:dyDescent="0.3">
      <c r="A2639" s="259">
        <f t="shared" si="98"/>
        <v>2338</v>
      </c>
      <c r="B2639" s="20" t="s">
        <v>2305</v>
      </c>
      <c r="C2639" s="162">
        <v>1955</v>
      </c>
      <c r="D2639" s="234"/>
      <c r="E2639" s="273" t="s">
        <v>3123</v>
      </c>
      <c r="F2639" s="60">
        <v>2</v>
      </c>
      <c r="G2639" s="56">
        <v>538</v>
      </c>
      <c r="H2639" s="10">
        <v>19</v>
      </c>
      <c r="I2639" s="273">
        <f>SUMIF('2020'!B:B,B2639,'2020'!C:C)+SUMIF('2021'!B:B,B2639,'2021'!C:C)+SUMIF('2022'!B:B,B2639,'2022'!C:C)</f>
        <v>5494347.2800000003</v>
      </c>
      <c r="J2639" s="59">
        <v>44925</v>
      </c>
      <c r="K2639" s="273" t="s">
        <v>3118</v>
      </c>
    </row>
    <row r="2640" spans="1:13" x14ac:dyDescent="0.3">
      <c r="A2640" s="302" t="s">
        <v>208</v>
      </c>
      <c r="B2640" s="302"/>
      <c r="C2640" s="273" t="s">
        <v>3558</v>
      </c>
      <c r="D2640" s="273" t="s">
        <v>3558</v>
      </c>
      <c r="E2640" s="273" t="s">
        <v>3558</v>
      </c>
      <c r="F2640" s="273" t="s">
        <v>3558</v>
      </c>
      <c r="G2640" s="273">
        <f>SUM(G2616:G2639)</f>
        <v>18526.100000000002</v>
      </c>
      <c r="H2640" s="10">
        <f>SUM(H2616:H2639)</f>
        <v>754</v>
      </c>
      <c r="I2640" s="273">
        <f>SUM(I2616:I2639)</f>
        <v>39311317.030000009</v>
      </c>
      <c r="J2640" s="273" t="s">
        <v>3558</v>
      </c>
      <c r="K2640" s="273" t="s">
        <v>3558</v>
      </c>
      <c r="L2640" s="197">
        <f>I2640-'2020'!C640-'2021'!C1876-'2022'!C837</f>
        <v>0</v>
      </c>
      <c r="M2640" s="197"/>
    </row>
    <row r="2641" spans="1:11" x14ac:dyDescent="0.3">
      <c r="A2641" s="301" t="s">
        <v>2306</v>
      </c>
      <c r="B2641" s="301"/>
      <c r="C2641" s="273"/>
      <c r="D2641" s="234"/>
      <c r="E2641" s="273"/>
      <c r="F2641" s="273"/>
      <c r="G2641" s="273"/>
      <c r="H2641" s="10"/>
      <c r="I2641" s="273"/>
      <c r="J2641" s="273"/>
      <c r="K2641" s="273"/>
    </row>
    <row r="2642" spans="1:11" x14ac:dyDescent="0.3">
      <c r="A2642" s="259">
        <f>A2639+1</f>
        <v>2339</v>
      </c>
      <c r="B2642" s="20" t="s">
        <v>2307</v>
      </c>
      <c r="C2642" s="162">
        <v>1976</v>
      </c>
      <c r="D2642" s="234"/>
      <c r="E2642" s="273" t="s">
        <v>3119</v>
      </c>
      <c r="F2642" s="50">
        <v>3</v>
      </c>
      <c r="G2642" s="273">
        <v>1461.2</v>
      </c>
      <c r="H2642" s="10">
        <v>94</v>
      </c>
      <c r="I2642" s="273">
        <f>SUMIF('2020'!B:B,B2642,'2020'!C:C)+SUMIF('2021'!B:B,B2642,'2021'!C:C)+SUMIF('2022'!B:B,B2642,'2022'!C:C)</f>
        <v>111665.21</v>
      </c>
      <c r="J2642" s="59">
        <v>44925</v>
      </c>
      <c r="K2642" s="273" t="s">
        <v>3118</v>
      </c>
    </row>
    <row r="2643" spans="1:11" x14ac:dyDescent="0.3">
      <c r="A2643" s="259">
        <f t="shared" ref="A2643:A2670" si="99">A2642+1</f>
        <v>2340</v>
      </c>
      <c r="B2643" s="20" t="s">
        <v>2308</v>
      </c>
      <c r="C2643" s="162">
        <v>1977</v>
      </c>
      <c r="D2643" s="234"/>
      <c r="E2643" s="273" t="s">
        <v>3119</v>
      </c>
      <c r="F2643" s="50">
        <v>3</v>
      </c>
      <c r="G2643" s="273">
        <v>1456.7</v>
      </c>
      <c r="H2643" s="10">
        <v>64</v>
      </c>
      <c r="I2643" s="273">
        <f>SUMIF('2020'!B:B,B2643,'2020'!C:C)+SUMIF('2021'!B:B,B2643,'2021'!C:C)+SUMIF('2022'!B:B,B2643,'2022'!C:C)</f>
        <v>224789.64</v>
      </c>
      <c r="J2643" s="59">
        <v>44925</v>
      </c>
      <c r="K2643" s="273" t="s">
        <v>3118</v>
      </c>
    </row>
    <row r="2644" spans="1:11" x14ac:dyDescent="0.3">
      <c r="A2644" s="259">
        <f t="shared" si="99"/>
        <v>2341</v>
      </c>
      <c r="B2644" s="20" t="s">
        <v>2309</v>
      </c>
      <c r="C2644" s="162">
        <v>1972</v>
      </c>
      <c r="D2644" s="234"/>
      <c r="E2644" s="273" t="s">
        <v>3119</v>
      </c>
      <c r="F2644" s="50">
        <v>2</v>
      </c>
      <c r="G2644" s="273">
        <v>776.8</v>
      </c>
      <c r="H2644" s="10">
        <v>60</v>
      </c>
      <c r="I2644" s="273">
        <f>SUMIF('2020'!B:B,B2644,'2020'!C:C)+SUMIF('2021'!B:B,B2644,'2021'!C:C)+SUMIF('2022'!B:B,B2644,'2022'!C:C)</f>
        <v>110613.71</v>
      </c>
      <c r="J2644" s="59">
        <v>44925</v>
      </c>
      <c r="K2644" s="273" t="s">
        <v>3118</v>
      </c>
    </row>
    <row r="2645" spans="1:11" x14ac:dyDescent="0.3">
      <c r="A2645" s="259">
        <f t="shared" si="99"/>
        <v>2342</v>
      </c>
      <c r="B2645" s="20" t="s">
        <v>2310</v>
      </c>
      <c r="C2645" s="162">
        <v>1973</v>
      </c>
      <c r="D2645" s="234"/>
      <c r="E2645" s="273" t="s">
        <v>3119</v>
      </c>
      <c r="F2645" s="50">
        <v>2</v>
      </c>
      <c r="G2645" s="273">
        <v>773.51</v>
      </c>
      <c r="H2645" s="10">
        <v>42</v>
      </c>
      <c r="I2645" s="273">
        <f>SUMIF('2020'!B:B,B2645,'2020'!C:C)+SUMIF('2021'!B:B,B2645,'2021'!C:C)+SUMIF('2022'!B:B,B2645,'2022'!C:C)</f>
        <v>110613.71</v>
      </c>
      <c r="J2645" s="59">
        <v>44925</v>
      </c>
      <c r="K2645" s="273" t="s">
        <v>3118</v>
      </c>
    </row>
    <row r="2646" spans="1:11" x14ac:dyDescent="0.3">
      <c r="A2646" s="259">
        <f t="shared" si="99"/>
        <v>2343</v>
      </c>
      <c r="B2646" s="20" t="s">
        <v>2311</v>
      </c>
      <c r="C2646" s="162">
        <v>1968</v>
      </c>
      <c r="D2646" s="234"/>
      <c r="E2646" s="273" t="s">
        <v>3123</v>
      </c>
      <c r="F2646" s="50">
        <v>2</v>
      </c>
      <c r="G2646" s="273">
        <v>722.8</v>
      </c>
      <c r="H2646" s="10">
        <v>36</v>
      </c>
      <c r="I2646" s="273">
        <f>SUMIF('2020'!B:B,B2646,'2020'!C:C)+SUMIF('2021'!B:B,B2646,'2021'!C:C)+SUMIF('2022'!B:B,B2646,'2022'!C:C)</f>
        <v>210280.14</v>
      </c>
      <c r="J2646" s="59">
        <v>44925</v>
      </c>
      <c r="K2646" s="273" t="s">
        <v>3118</v>
      </c>
    </row>
    <row r="2647" spans="1:11" x14ac:dyDescent="0.3">
      <c r="A2647" s="259">
        <f t="shared" si="99"/>
        <v>2344</v>
      </c>
      <c r="B2647" s="20" t="s">
        <v>2312</v>
      </c>
      <c r="C2647" s="162">
        <v>1969</v>
      </c>
      <c r="D2647" s="234"/>
      <c r="E2647" s="273" t="s">
        <v>3123</v>
      </c>
      <c r="F2647" s="50">
        <v>2</v>
      </c>
      <c r="G2647" s="273">
        <v>649.16</v>
      </c>
      <c r="H2647" s="10">
        <v>44</v>
      </c>
      <c r="I2647" s="273">
        <f>SUMIF('2020'!B:B,B2647,'2020'!C:C)+SUMIF('2021'!B:B,B2647,'2021'!C:C)+SUMIF('2022'!B:B,B2647,'2022'!C:C)</f>
        <v>186884.35</v>
      </c>
      <c r="J2647" s="59">
        <v>44925</v>
      </c>
      <c r="K2647" s="273" t="s">
        <v>3118</v>
      </c>
    </row>
    <row r="2648" spans="1:11" x14ac:dyDescent="0.3">
      <c r="A2648" s="259">
        <f t="shared" si="99"/>
        <v>2345</v>
      </c>
      <c r="B2648" s="20" t="s">
        <v>2313</v>
      </c>
      <c r="C2648" s="162">
        <v>1971</v>
      </c>
      <c r="D2648" s="234"/>
      <c r="E2648" s="273" t="s">
        <v>3123</v>
      </c>
      <c r="F2648" s="50">
        <v>2</v>
      </c>
      <c r="G2648" s="273">
        <v>727.4</v>
      </c>
      <c r="H2648" s="10">
        <v>53</v>
      </c>
      <c r="I2648" s="273">
        <f>SUMIF('2020'!B:B,B2648,'2020'!C:C)+SUMIF('2021'!B:B,B2648,'2021'!C:C)+SUMIF('2022'!B:B,B2648,'2022'!C:C)</f>
        <v>186689.28</v>
      </c>
      <c r="J2648" s="59">
        <v>44925</v>
      </c>
      <c r="K2648" s="273" t="s">
        <v>3118</v>
      </c>
    </row>
    <row r="2649" spans="1:11" x14ac:dyDescent="0.3">
      <c r="A2649" s="259">
        <f t="shared" si="99"/>
        <v>2346</v>
      </c>
      <c r="B2649" s="20" t="s">
        <v>2314</v>
      </c>
      <c r="C2649" s="162">
        <v>1960</v>
      </c>
      <c r="D2649" s="234"/>
      <c r="E2649" s="273" t="s">
        <v>3123</v>
      </c>
      <c r="F2649" s="50">
        <v>2</v>
      </c>
      <c r="G2649" s="273">
        <v>724.7</v>
      </c>
      <c r="H2649" s="10">
        <v>43</v>
      </c>
      <c r="I2649" s="273">
        <f>SUMIF('2020'!B:B,B2649,'2020'!C:C)+SUMIF('2021'!B:B,B2649,'2021'!C:C)+SUMIF('2022'!B:B,B2649,'2022'!C:C)</f>
        <v>209617.52</v>
      </c>
      <c r="J2649" s="59">
        <v>44925</v>
      </c>
      <c r="K2649" s="273" t="s">
        <v>3118</v>
      </c>
    </row>
    <row r="2650" spans="1:11" x14ac:dyDescent="0.3">
      <c r="A2650" s="259">
        <f t="shared" si="99"/>
        <v>2347</v>
      </c>
      <c r="B2650" s="20" t="s">
        <v>2315</v>
      </c>
      <c r="C2650" s="162">
        <v>1978</v>
      </c>
      <c r="D2650" s="234"/>
      <c r="E2650" s="273" t="s">
        <v>3119</v>
      </c>
      <c r="F2650" s="50">
        <v>3</v>
      </c>
      <c r="G2650" s="273">
        <v>1449.9</v>
      </c>
      <c r="H2650" s="10">
        <v>73</v>
      </c>
      <c r="I2650" s="273">
        <f>SUMIF('2020'!B:B,B2650,'2020'!C:C)+SUMIF('2021'!B:B,B2650,'2021'!C:C)+SUMIF('2022'!B:B,B2650,'2022'!C:C)</f>
        <v>117614.3</v>
      </c>
      <c r="J2650" s="59">
        <v>44925</v>
      </c>
      <c r="K2650" s="273" t="s">
        <v>3118</v>
      </c>
    </row>
    <row r="2651" spans="1:11" x14ac:dyDescent="0.3">
      <c r="A2651" s="259">
        <f t="shared" si="99"/>
        <v>2348</v>
      </c>
      <c r="B2651" s="20" t="s">
        <v>2316</v>
      </c>
      <c r="C2651" s="162">
        <v>1975</v>
      </c>
      <c r="D2651" s="234"/>
      <c r="E2651" s="273" t="s">
        <v>3119</v>
      </c>
      <c r="F2651" s="50">
        <v>2</v>
      </c>
      <c r="G2651" s="273">
        <v>778.78</v>
      </c>
      <c r="H2651" s="10">
        <v>44</v>
      </c>
      <c r="I2651" s="273">
        <f>SUMIF('2020'!B:B,B2651,'2020'!C:C)+SUMIF('2021'!B:B,B2651,'2021'!C:C)+SUMIF('2022'!B:B,B2651,'2022'!C:C)</f>
        <v>185841.98</v>
      </c>
      <c r="J2651" s="59">
        <v>44925</v>
      </c>
      <c r="K2651" s="273" t="s">
        <v>3118</v>
      </c>
    </row>
    <row r="2652" spans="1:11" x14ac:dyDescent="0.3">
      <c r="A2652" s="259">
        <f t="shared" si="99"/>
        <v>2349</v>
      </c>
      <c r="B2652" s="20" t="s">
        <v>2317</v>
      </c>
      <c r="C2652" s="162">
        <v>1976</v>
      </c>
      <c r="D2652" s="234"/>
      <c r="E2652" s="273" t="s">
        <v>3119</v>
      </c>
      <c r="F2652" s="50">
        <v>2</v>
      </c>
      <c r="G2652" s="273">
        <v>766.9</v>
      </c>
      <c r="H2652" s="10">
        <v>40</v>
      </c>
      <c r="I2652" s="273">
        <f>SUMIF('2020'!B:B,B2652,'2020'!C:C)+SUMIF('2021'!B:B,B2652,'2021'!C:C)+SUMIF('2022'!B:B,B2652,'2022'!C:C)</f>
        <v>186155.8</v>
      </c>
      <c r="J2652" s="59">
        <v>44925</v>
      </c>
      <c r="K2652" s="273" t="s">
        <v>3118</v>
      </c>
    </row>
    <row r="2653" spans="1:11" x14ac:dyDescent="0.3">
      <c r="A2653" s="259">
        <f t="shared" si="99"/>
        <v>2350</v>
      </c>
      <c r="B2653" s="20" t="s">
        <v>2318</v>
      </c>
      <c r="C2653" s="162">
        <v>1970</v>
      </c>
      <c r="D2653" s="234"/>
      <c r="E2653" s="273" t="s">
        <v>3123</v>
      </c>
      <c r="F2653" s="50">
        <v>1</v>
      </c>
      <c r="G2653" s="273">
        <v>259.72000000000003</v>
      </c>
      <c r="H2653" s="10">
        <v>15</v>
      </c>
      <c r="I2653" s="273">
        <f>SUMIF('2020'!B:B,B2653,'2020'!C:C)+SUMIF('2021'!B:B,B2653,'2021'!C:C)+SUMIF('2022'!B:B,B2653,'2022'!C:C)</f>
        <v>49593.8</v>
      </c>
      <c r="J2653" s="59">
        <v>44925</v>
      </c>
      <c r="K2653" s="273" t="s">
        <v>3118</v>
      </c>
    </row>
    <row r="2654" spans="1:11" x14ac:dyDescent="0.3">
      <c r="A2654" s="259">
        <f t="shared" si="99"/>
        <v>2351</v>
      </c>
      <c r="B2654" s="20" t="s">
        <v>2319</v>
      </c>
      <c r="C2654" s="162">
        <v>1973</v>
      </c>
      <c r="D2654" s="234"/>
      <c r="E2654" s="273" t="s">
        <v>3123</v>
      </c>
      <c r="F2654" s="50">
        <v>2</v>
      </c>
      <c r="G2654" s="273">
        <v>722.2</v>
      </c>
      <c r="H2654" s="10">
        <v>32</v>
      </c>
      <c r="I2654" s="273">
        <f>SUMIF('2020'!B:B,B2654,'2020'!C:C)+SUMIF('2021'!B:B,B2654,'2021'!C:C)+SUMIF('2022'!B:B,B2654,'2022'!C:C)</f>
        <v>203241.96</v>
      </c>
      <c r="J2654" s="59">
        <v>44925</v>
      </c>
      <c r="K2654" s="273" t="s">
        <v>3118</v>
      </c>
    </row>
    <row r="2655" spans="1:11" x14ac:dyDescent="0.3">
      <c r="A2655" s="259">
        <f t="shared" si="99"/>
        <v>2352</v>
      </c>
      <c r="B2655" s="20" t="s">
        <v>2320</v>
      </c>
      <c r="C2655" s="162">
        <v>1973</v>
      </c>
      <c r="D2655" s="234"/>
      <c r="E2655" s="273" t="s">
        <v>3123</v>
      </c>
      <c r="F2655" s="50">
        <v>2</v>
      </c>
      <c r="G2655" s="273">
        <v>714.04</v>
      </c>
      <c r="H2655" s="10">
        <v>41</v>
      </c>
      <c r="I2655" s="273">
        <f>SUMIF('2020'!B:B,B2655,'2020'!C:C)+SUMIF('2021'!B:B,B2655,'2021'!C:C)+SUMIF('2022'!B:B,B2655,'2022'!C:C)</f>
        <v>202912.58</v>
      </c>
      <c r="J2655" s="59">
        <v>44925</v>
      </c>
      <c r="K2655" s="273" t="s">
        <v>3118</v>
      </c>
    </row>
    <row r="2656" spans="1:11" x14ac:dyDescent="0.3">
      <c r="A2656" s="259">
        <f t="shared" si="99"/>
        <v>2353</v>
      </c>
      <c r="B2656" s="20" t="s">
        <v>2321</v>
      </c>
      <c r="C2656" s="162">
        <v>1969</v>
      </c>
      <c r="D2656" s="234"/>
      <c r="E2656" s="273" t="s">
        <v>3123</v>
      </c>
      <c r="F2656" s="50">
        <v>2</v>
      </c>
      <c r="G2656" s="273">
        <v>716.27</v>
      </c>
      <c r="H2656" s="10">
        <v>42</v>
      </c>
      <c r="I2656" s="273">
        <f>SUMIF('2020'!B:B,B2656,'2020'!C:C)+SUMIF('2021'!B:B,B2656,'2021'!C:C)+SUMIF('2022'!B:B,B2656,'2022'!C:C)</f>
        <v>115901.72</v>
      </c>
      <c r="J2656" s="59">
        <v>44925</v>
      </c>
      <c r="K2656" s="273" t="s">
        <v>3118</v>
      </c>
    </row>
    <row r="2657" spans="1:13" x14ac:dyDescent="0.3">
      <c r="A2657" s="259">
        <f t="shared" si="99"/>
        <v>2354</v>
      </c>
      <c r="B2657" s="20" t="s">
        <v>2322</v>
      </c>
      <c r="C2657" s="162">
        <v>1968</v>
      </c>
      <c r="D2657" s="234"/>
      <c r="E2657" s="273" t="s">
        <v>3123</v>
      </c>
      <c r="F2657" s="50">
        <v>2</v>
      </c>
      <c r="G2657" s="273">
        <v>714.5</v>
      </c>
      <c r="H2657" s="10">
        <v>53</v>
      </c>
      <c r="I2657" s="273">
        <f>SUMIF('2020'!B:B,B2657,'2020'!C:C)+SUMIF('2021'!B:B,B2657,'2021'!C:C)+SUMIF('2022'!B:B,B2657,'2022'!C:C)</f>
        <v>195798.01</v>
      </c>
      <c r="J2657" s="59">
        <v>44925</v>
      </c>
      <c r="K2657" s="273" t="s">
        <v>3118</v>
      </c>
    </row>
    <row r="2658" spans="1:13" x14ac:dyDescent="0.3">
      <c r="A2658" s="259">
        <f t="shared" si="99"/>
        <v>2355</v>
      </c>
      <c r="B2658" s="20" t="s">
        <v>2323</v>
      </c>
      <c r="C2658" s="162">
        <v>1970</v>
      </c>
      <c r="D2658" s="234"/>
      <c r="E2658" s="273" t="s">
        <v>3123</v>
      </c>
      <c r="F2658" s="50">
        <v>2</v>
      </c>
      <c r="G2658" s="273">
        <v>714.01</v>
      </c>
      <c r="H2658" s="10">
        <v>41</v>
      </c>
      <c r="I2658" s="273">
        <f>SUMIF('2020'!B:B,B2658,'2020'!C:C)+SUMIF('2021'!B:B,B2658,'2021'!C:C)+SUMIF('2022'!B:B,B2658,'2022'!C:C)</f>
        <v>197129.57</v>
      </c>
      <c r="J2658" s="59">
        <v>44925</v>
      </c>
      <c r="K2658" s="273" t="s">
        <v>3118</v>
      </c>
    </row>
    <row r="2659" spans="1:13" x14ac:dyDescent="0.3">
      <c r="A2659" s="259">
        <f t="shared" si="99"/>
        <v>2356</v>
      </c>
      <c r="B2659" s="20" t="s">
        <v>2324</v>
      </c>
      <c r="C2659" s="162">
        <v>1969</v>
      </c>
      <c r="D2659" s="234"/>
      <c r="E2659" s="273" t="s">
        <v>3437</v>
      </c>
      <c r="F2659" s="50">
        <v>2</v>
      </c>
      <c r="G2659" s="273">
        <v>141.4</v>
      </c>
      <c r="H2659" s="10">
        <v>6</v>
      </c>
      <c r="I2659" s="273">
        <f>SUMIF('2020'!B:B,B2659,'2020'!C:C)+SUMIF('2021'!B:B,B2659,'2021'!C:C)+SUMIF('2022'!B:B,B2659,'2022'!C:C)</f>
        <v>140947.85999999999</v>
      </c>
      <c r="J2659" s="59">
        <v>44925</v>
      </c>
      <c r="K2659" s="273" t="s">
        <v>3118</v>
      </c>
    </row>
    <row r="2660" spans="1:13" x14ac:dyDescent="0.3">
      <c r="A2660" s="259">
        <f t="shared" si="99"/>
        <v>2357</v>
      </c>
      <c r="B2660" s="20" t="s">
        <v>2325</v>
      </c>
      <c r="C2660" s="162">
        <v>1940</v>
      </c>
      <c r="D2660" s="234"/>
      <c r="E2660" s="273" t="s">
        <v>3437</v>
      </c>
      <c r="F2660" s="50">
        <v>1</v>
      </c>
      <c r="G2660" s="273">
        <v>130.19999999999999</v>
      </c>
      <c r="H2660" s="10">
        <v>10</v>
      </c>
      <c r="I2660" s="273">
        <f>SUMIF('2020'!B:B,B2660,'2020'!C:C)+SUMIF('2021'!B:B,B2660,'2021'!C:C)+SUMIF('2022'!B:B,B2660,'2022'!C:C)</f>
        <v>132246.67000000001</v>
      </c>
      <c r="J2660" s="59">
        <v>44925</v>
      </c>
      <c r="K2660" s="273" t="s">
        <v>3118</v>
      </c>
    </row>
    <row r="2661" spans="1:13" x14ac:dyDescent="0.3">
      <c r="A2661" s="259">
        <f t="shared" si="99"/>
        <v>2358</v>
      </c>
      <c r="B2661" s="20" t="s">
        <v>2326</v>
      </c>
      <c r="C2661" s="162">
        <v>1951</v>
      </c>
      <c r="D2661" s="234"/>
      <c r="E2661" s="273" t="s">
        <v>3123</v>
      </c>
      <c r="F2661" s="50">
        <v>2</v>
      </c>
      <c r="G2661" s="273">
        <v>408.4</v>
      </c>
      <c r="H2661" s="10">
        <v>19</v>
      </c>
      <c r="I2661" s="273">
        <f>SUMIF('2020'!B:B,B2661,'2020'!C:C)+SUMIF('2021'!B:B,B2661,'2021'!C:C)+SUMIF('2022'!B:B,B2661,'2022'!C:C)</f>
        <v>126133.95999999999</v>
      </c>
      <c r="J2661" s="59">
        <v>44925</v>
      </c>
      <c r="K2661" s="273" t="s">
        <v>3118</v>
      </c>
    </row>
    <row r="2662" spans="1:13" x14ac:dyDescent="0.3">
      <c r="A2662" s="259">
        <f t="shared" si="99"/>
        <v>2359</v>
      </c>
      <c r="B2662" s="20" t="s">
        <v>2327</v>
      </c>
      <c r="C2662" s="162">
        <v>1977</v>
      </c>
      <c r="D2662" s="234"/>
      <c r="E2662" s="273" t="s">
        <v>3459</v>
      </c>
      <c r="F2662" s="50">
        <v>5</v>
      </c>
      <c r="G2662" s="273">
        <v>2366.8000000000002</v>
      </c>
      <c r="H2662" s="10">
        <v>130</v>
      </c>
      <c r="I2662" s="273">
        <f>SUMIF('2020'!B:B,B2662,'2020'!C:C)+SUMIF('2021'!B:B,B2662,'2021'!C:C)+SUMIF('2022'!B:B,B2662,'2022'!C:C)</f>
        <v>27031112.16</v>
      </c>
      <c r="J2662" s="59">
        <v>44925</v>
      </c>
      <c r="K2662" s="273" t="s">
        <v>3118</v>
      </c>
    </row>
    <row r="2663" spans="1:13" x14ac:dyDescent="0.3">
      <c r="A2663" s="259">
        <f t="shared" si="99"/>
        <v>2360</v>
      </c>
      <c r="B2663" s="20" t="s">
        <v>2328</v>
      </c>
      <c r="C2663" s="162">
        <v>1977</v>
      </c>
      <c r="D2663" s="234"/>
      <c r="E2663" s="273" t="s">
        <v>3459</v>
      </c>
      <c r="F2663" s="50">
        <v>5</v>
      </c>
      <c r="G2663" s="273">
        <v>2363.9</v>
      </c>
      <c r="H2663" s="10">
        <v>115</v>
      </c>
      <c r="I2663" s="273">
        <f>SUMIF('2020'!B:B,B2663,'2020'!C:C)+SUMIF('2021'!B:B,B2663,'2021'!C:C)+SUMIF('2022'!B:B,B2663,'2022'!C:C)</f>
        <v>27080164.66</v>
      </c>
      <c r="J2663" s="59">
        <v>44925</v>
      </c>
      <c r="K2663" s="273" t="s">
        <v>3118</v>
      </c>
    </row>
    <row r="2664" spans="1:13" x14ac:dyDescent="0.3">
      <c r="A2664" s="259">
        <f t="shared" si="99"/>
        <v>2361</v>
      </c>
      <c r="B2664" s="20" t="s">
        <v>2329</v>
      </c>
      <c r="C2664" s="162">
        <v>1977</v>
      </c>
      <c r="D2664" s="234"/>
      <c r="E2664" s="273" t="s">
        <v>3123</v>
      </c>
      <c r="F2664" s="50">
        <v>3</v>
      </c>
      <c r="G2664" s="273">
        <v>1827.5</v>
      </c>
      <c r="H2664" s="10">
        <v>84</v>
      </c>
      <c r="I2664" s="273">
        <f>SUMIF('2020'!B:B,B2664,'2020'!C:C)+SUMIF('2021'!B:B,B2664,'2021'!C:C)+SUMIF('2022'!B:B,B2664,'2022'!C:C)</f>
        <v>448949.51</v>
      </c>
      <c r="J2664" s="59">
        <v>44925</v>
      </c>
      <c r="K2664" s="273" t="s">
        <v>3118</v>
      </c>
    </row>
    <row r="2665" spans="1:13" x14ac:dyDescent="0.3">
      <c r="A2665" s="259">
        <f t="shared" si="99"/>
        <v>2362</v>
      </c>
      <c r="B2665" s="20" t="s">
        <v>2330</v>
      </c>
      <c r="C2665" s="162">
        <v>1976</v>
      </c>
      <c r="D2665" s="234"/>
      <c r="E2665" s="273" t="s">
        <v>3123</v>
      </c>
      <c r="F2665" s="50">
        <v>2</v>
      </c>
      <c r="G2665" s="273">
        <v>1827.5</v>
      </c>
      <c r="H2665" s="10">
        <v>90</v>
      </c>
      <c r="I2665" s="273">
        <f>SUMIF('2020'!B:B,B2665,'2020'!C:C)+SUMIF('2021'!B:B,B2665,'2021'!C:C)+SUMIF('2022'!B:B,B2665,'2022'!C:C)</f>
        <v>453115.64</v>
      </c>
      <c r="J2665" s="59">
        <v>44925</v>
      </c>
      <c r="K2665" s="273" t="s">
        <v>3118</v>
      </c>
    </row>
    <row r="2666" spans="1:13" x14ac:dyDescent="0.3">
      <c r="A2666" s="259">
        <f t="shared" si="99"/>
        <v>2363</v>
      </c>
      <c r="B2666" s="20" t="s">
        <v>2331</v>
      </c>
      <c r="C2666" s="162">
        <v>1958</v>
      </c>
      <c r="D2666" s="234"/>
      <c r="E2666" s="273" t="s">
        <v>3123</v>
      </c>
      <c r="F2666" s="50">
        <v>5</v>
      </c>
      <c r="G2666" s="273">
        <v>357.9</v>
      </c>
      <c r="H2666" s="10">
        <v>21</v>
      </c>
      <c r="I2666" s="273">
        <f>SUMIF('2020'!B:B,B2666,'2020'!C:C)+SUMIF('2021'!B:B,B2666,'2021'!C:C)+SUMIF('2022'!B:B,B2666,'2022'!C:C)</f>
        <v>191397.72</v>
      </c>
      <c r="J2666" s="59">
        <v>44925</v>
      </c>
      <c r="K2666" s="273" t="s">
        <v>3118</v>
      </c>
    </row>
    <row r="2667" spans="1:13" x14ac:dyDescent="0.3">
      <c r="A2667" s="259">
        <f t="shared" si="99"/>
        <v>2364</v>
      </c>
      <c r="B2667" s="20" t="s">
        <v>2332</v>
      </c>
      <c r="C2667" s="162">
        <v>1971</v>
      </c>
      <c r="D2667" s="234"/>
      <c r="E2667" s="273" t="s">
        <v>3121</v>
      </c>
      <c r="F2667" s="50">
        <v>5</v>
      </c>
      <c r="G2667" s="273">
        <v>4425.7</v>
      </c>
      <c r="H2667" s="10">
        <v>189</v>
      </c>
      <c r="I2667" s="273">
        <f>SUMIF('2020'!B:B,B2667,'2020'!C:C)+SUMIF('2021'!B:B,B2667,'2021'!C:C)+SUMIF('2022'!B:B,B2667,'2022'!C:C)</f>
        <v>9869026.25</v>
      </c>
      <c r="J2667" s="59">
        <v>44925</v>
      </c>
      <c r="K2667" s="273" t="s">
        <v>3118</v>
      </c>
    </row>
    <row r="2668" spans="1:13" x14ac:dyDescent="0.3">
      <c r="A2668" s="259">
        <f t="shared" si="99"/>
        <v>2365</v>
      </c>
      <c r="B2668" s="20" t="s">
        <v>2333</v>
      </c>
      <c r="C2668" s="162">
        <v>1961</v>
      </c>
      <c r="D2668" s="234"/>
      <c r="E2668" s="273" t="s">
        <v>3123</v>
      </c>
      <c r="F2668" s="50">
        <v>2</v>
      </c>
      <c r="G2668" s="273">
        <v>264.3</v>
      </c>
      <c r="H2668" s="10">
        <v>13</v>
      </c>
      <c r="I2668" s="273">
        <f>SUMIF('2020'!B:B,B2668,'2020'!C:C)+SUMIF('2021'!B:B,B2668,'2021'!C:C)+SUMIF('2022'!B:B,B2668,'2022'!C:C)</f>
        <v>285429.67</v>
      </c>
      <c r="J2668" s="59">
        <v>44925</v>
      </c>
      <c r="K2668" s="273" t="s">
        <v>3118</v>
      </c>
    </row>
    <row r="2669" spans="1:13" x14ac:dyDescent="0.3">
      <c r="A2669" s="259">
        <f t="shared" si="99"/>
        <v>2366</v>
      </c>
      <c r="B2669" s="20" t="s">
        <v>2334</v>
      </c>
      <c r="C2669" s="162">
        <v>1977</v>
      </c>
      <c r="D2669" s="234"/>
      <c r="E2669" s="273" t="s">
        <v>3437</v>
      </c>
      <c r="F2669" s="50">
        <v>2</v>
      </c>
      <c r="G2669" s="273">
        <v>438.4</v>
      </c>
      <c r="H2669" s="10">
        <v>23</v>
      </c>
      <c r="I2669" s="273">
        <f>SUMIF('2020'!B:B,B2669,'2020'!C:C)+SUMIF('2021'!B:B,B2669,'2021'!C:C)+SUMIF('2022'!B:B,B2669,'2022'!C:C)</f>
        <v>190011.35</v>
      </c>
      <c r="J2669" s="59">
        <v>44925</v>
      </c>
      <c r="K2669" s="273" t="s">
        <v>3118</v>
      </c>
    </row>
    <row r="2670" spans="1:13" x14ac:dyDescent="0.3">
      <c r="A2670" s="259">
        <f t="shared" si="99"/>
        <v>2367</v>
      </c>
      <c r="B2670" s="20" t="s">
        <v>2335</v>
      </c>
      <c r="C2670" s="162">
        <v>1940</v>
      </c>
      <c r="D2670" s="234"/>
      <c r="E2670" s="273" t="s">
        <v>3437</v>
      </c>
      <c r="F2670" s="50">
        <v>2</v>
      </c>
      <c r="G2670" s="273">
        <v>213.6</v>
      </c>
      <c r="H2670" s="10">
        <v>7</v>
      </c>
      <c r="I2670" s="273">
        <f>SUMIF('2020'!B:B,B2670,'2020'!C:C)+SUMIF('2021'!B:B,B2670,'2021'!C:C)+SUMIF('2022'!B:B,B2670,'2022'!C:C)</f>
        <v>296219.67000000004</v>
      </c>
      <c r="J2670" s="59">
        <v>44925</v>
      </c>
      <c r="K2670" s="273" t="s">
        <v>3118</v>
      </c>
    </row>
    <row r="2671" spans="1:13" x14ac:dyDescent="0.3">
      <c r="A2671" s="302" t="s">
        <v>208</v>
      </c>
      <c r="B2671" s="302"/>
      <c r="C2671" s="273" t="s">
        <v>3558</v>
      </c>
      <c r="D2671" s="273" t="s">
        <v>3558</v>
      </c>
      <c r="E2671" s="273" t="s">
        <v>3558</v>
      </c>
      <c r="F2671" s="273" t="s">
        <v>3558</v>
      </c>
      <c r="G2671" s="273">
        <f>SUM(G2642:G2670)</f>
        <v>28894.190000000006</v>
      </c>
      <c r="H2671" s="10">
        <f>SUM(H2642:H2670)</f>
        <v>1524</v>
      </c>
      <c r="I2671" s="273">
        <f>SUM(I2642:I2670)</f>
        <v>69050098.400000006</v>
      </c>
      <c r="J2671" s="273" t="s">
        <v>3558</v>
      </c>
      <c r="K2671" s="273" t="s">
        <v>3558</v>
      </c>
      <c r="L2671" s="197">
        <f>I2671-'2020'!C644-'2021'!C1905-'2022'!C843</f>
        <v>0</v>
      </c>
      <c r="M2671" s="197"/>
    </row>
    <row r="2672" spans="1:13" s="43" customFormat="1" x14ac:dyDescent="0.3">
      <c r="A2672" s="304" t="s">
        <v>2336</v>
      </c>
      <c r="B2672" s="304"/>
      <c r="C2672" s="251" t="s">
        <v>3558</v>
      </c>
      <c r="D2672" s="251" t="s">
        <v>3558</v>
      </c>
      <c r="E2672" s="251" t="s">
        <v>3558</v>
      </c>
      <c r="F2672" s="251" t="s">
        <v>3558</v>
      </c>
      <c r="G2672" s="251">
        <f>G2671+G2640+G2614+G2603+G2573+G2560+G2553+G2545+G2537+G2540+G2579</f>
        <v>102285.70000000001</v>
      </c>
      <c r="H2672" s="251">
        <f>H2671+H2640+H2614+H2603+H2573+H2560+H2553+H2545+H2537+H2540+H2579</f>
        <v>4561</v>
      </c>
      <c r="I2672" s="251">
        <f>I2671+I2640+I2614+I2603+I2573+I2560+I2553+I2545+I2537+I2540+I2579</f>
        <v>178161458.39000002</v>
      </c>
      <c r="J2672" s="251" t="s">
        <v>3558</v>
      </c>
      <c r="K2672" s="251" t="s">
        <v>3558</v>
      </c>
      <c r="L2672" s="196">
        <f>I2672-'2020'!C645-'2021'!C1906-'2022'!C844</f>
        <v>0</v>
      </c>
      <c r="M2672" s="196"/>
    </row>
    <row r="2673" spans="1:13" s="43" customFormat="1" x14ac:dyDescent="0.3">
      <c r="A2673" s="303" t="s">
        <v>2337</v>
      </c>
      <c r="B2673" s="303"/>
      <c r="C2673" s="303"/>
      <c r="D2673" s="303"/>
      <c r="E2673" s="303"/>
      <c r="F2673" s="303"/>
      <c r="G2673" s="303"/>
      <c r="H2673" s="303"/>
      <c r="I2673" s="303"/>
      <c r="J2673" s="303"/>
      <c r="K2673" s="303"/>
      <c r="L2673" s="198"/>
      <c r="M2673" s="198"/>
    </row>
    <row r="2674" spans="1:13" x14ac:dyDescent="0.3">
      <c r="A2674" s="301" t="s">
        <v>2343</v>
      </c>
      <c r="B2674" s="301"/>
      <c r="C2674" s="273"/>
      <c r="D2674" s="234"/>
      <c r="E2674" s="234"/>
      <c r="F2674" s="234"/>
      <c r="G2674" s="234"/>
      <c r="H2674" s="10"/>
      <c r="I2674" s="273"/>
      <c r="J2674" s="273"/>
      <c r="K2674" s="273"/>
    </row>
    <row r="2675" spans="1:13" x14ac:dyDescent="0.3">
      <c r="A2675" s="259">
        <f>A2670+1</f>
        <v>2368</v>
      </c>
      <c r="B2675" s="20" t="s">
        <v>2344</v>
      </c>
      <c r="C2675" s="50">
        <v>1986</v>
      </c>
      <c r="D2675" s="234"/>
      <c r="E2675" s="234" t="s">
        <v>3584</v>
      </c>
      <c r="F2675" s="234">
        <v>5</v>
      </c>
      <c r="G2675" s="234">
        <v>3243.2</v>
      </c>
      <c r="H2675" s="10">
        <v>68</v>
      </c>
      <c r="I2675" s="273">
        <f>SUMIF('2020'!B:B,B2675,'2020'!C:C)+SUMIF('2021'!B:B,B2675,'2021'!C:C)+SUMIF('2022'!B:B,B2675,'2022'!C:C)</f>
        <v>594232.21</v>
      </c>
      <c r="J2675" s="59">
        <v>44925</v>
      </c>
      <c r="K2675" s="273" t="s">
        <v>3118</v>
      </c>
    </row>
    <row r="2676" spans="1:13" x14ac:dyDescent="0.3">
      <c r="A2676" s="302" t="s">
        <v>208</v>
      </c>
      <c r="B2676" s="302"/>
      <c r="C2676" s="273" t="s">
        <v>3558</v>
      </c>
      <c r="D2676" s="273" t="s">
        <v>3558</v>
      </c>
      <c r="E2676" s="273" t="s">
        <v>3558</v>
      </c>
      <c r="F2676" s="273" t="s">
        <v>3558</v>
      </c>
      <c r="G2676" s="273">
        <f>SUM(G2675)</f>
        <v>3243.2</v>
      </c>
      <c r="H2676" s="10">
        <f>SUM(H2675)</f>
        <v>68</v>
      </c>
      <c r="I2676" s="273">
        <f>SUM(I2675)</f>
        <v>594232.21</v>
      </c>
      <c r="J2676" s="273" t="s">
        <v>3558</v>
      </c>
      <c r="K2676" s="273" t="s">
        <v>3558</v>
      </c>
    </row>
    <row r="2677" spans="1:13" x14ac:dyDescent="0.3">
      <c r="A2677" s="301" t="s">
        <v>2345</v>
      </c>
      <c r="B2677" s="301"/>
      <c r="C2677" s="273"/>
      <c r="D2677" s="234"/>
      <c r="E2677" s="234"/>
      <c r="F2677" s="234"/>
      <c r="G2677" s="234"/>
      <c r="H2677" s="10"/>
      <c r="I2677" s="273"/>
      <c r="J2677" s="273"/>
      <c r="K2677" s="273"/>
    </row>
    <row r="2678" spans="1:13" x14ac:dyDescent="0.3">
      <c r="A2678" s="259">
        <f>A2675+1</f>
        <v>2369</v>
      </c>
      <c r="B2678" s="20" t="s">
        <v>2346</v>
      </c>
      <c r="C2678" s="162">
        <v>1964</v>
      </c>
      <c r="D2678" s="234"/>
      <c r="E2678" s="234" t="s">
        <v>3123</v>
      </c>
      <c r="F2678" s="10">
        <v>2</v>
      </c>
      <c r="G2678" s="234">
        <v>929.7</v>
      </c>
      <c r="H2678" s="10">
        <v>46</v>
      </c>
      <c r="I2678" s="273">
        <f>SUMIF('2020'!B:B,B2678,'2020'!C:C)+SUMIF('2021'!B:B,B2678,'2021'!C:C)+SUMIF('2022'!B:B,B2678,'2022'!C:C)</f>
        <v>253806.88</v>
      </c>
      <c r="J2678" s="59">
        <v>44925</v>
      </c>
      <c r="K2678" s="273" t="s">
        <v>3118</v>
      </c>
    </row>
    <row r="2679" spans="1:13" x14ac:dyDescent="0.3">
      <c r="A2679" s="259">
        <f t="shared" ref="A2679:A2687" si="100">A2678+1</f>
        <v>2370</v>
      </c>
      <c r="B2679" s="20" t="s">
        <v>2347</v>
      </c>
      <c r="C2679" s="162">
        <v>1967</v>
      </c>
      <c r="D2679" s="234"/>
      <c r="E2679" s="234" t="s">
        <v>3123</v>
      </c>
      <c r="F2679" s="10">
        <v>4</v>
      </c>
      <c r="G2679" s="234">
        <v>2013.6</v>
      </c>
      <c r="H2679" s="10">
        <v>78</v>
      </c>
      <c r="I2679" s="273">
        <f>SUMIF('2020'!B:B,B2679,'2020'!C:C)+SUMIF('2021'!B:B,B2679,'2021'!C:C)+SUMIF('2022'!B:B,B2679,'2022'!C:C)</f>
        <v>172766.83</v>
      </c>
      <c r="J2679" s="59">
        <v>44925</v>
      </c>
      <c r="K2679" s="273" t="s">
        <v>3118</v>
      </c>
    </row>
    <row r="2680" spans="1:13" x14ac:dyDescent="0.3">
      <c r="A2680" s="259">
        <f t="shared" si="100"/>
        <v>2371</v>
      </c>
      <c r="B2680" s="20" t="s">
        <v>2348</v>
      </c>
      <c r="C2680" s="162">
        <v>1967</v>
      </c>
      <c r="D2680" s="234"/>
      <c r="E2680" s="234" t="s">
        <v>3123</v>
      </c>
      <c r="F2680" s="10">
        <v>4</v>
      </c>
      <c r="G2680" s="234">
        <v>1991.8</v>
      </c>
      <c r="H2680" s="10">
        <v>96</v>
      </c>
      <c r="I2680" s="273">
        <f>SUMIF('2020'!B:B,B2680,'2020'!C:C)+SUMIF('2021'!B:B,B2680,'2021'!C:C)+SUMIF('2022'!B:B,B2680,'2022'!C:C)</f>
        <v>172766.83</v>
      </c>
      <c r="J2680" s="59">
        <v>44925</v>
      </c>
      <c r="K2680" s="273" t="s">
        <v>3118</v>
      </c>
    </row>
    <row r="2681" spans="1:13" x14ac:dyDescent="0.3">
      <c r="A2681" s="259">
        <f t="shared" si="100"/>
        <v>2372</v>
      </c>
      <c r="B2681" s="20" t="s">
        <v>2349</v>
      </c>
      <c r="C2681" s="162">
        <v>1971</v>
      </c>
      <c r="D2681" s="234"/>
      <c r="E2681" s="234" t="s">
        <v>3123</v>
      </c>
      <c r="F2681" s="10">
        <v>5</v>
      </c>
      <c r="G2681" s="234">
        <v>3307</v>
      </c>
      <c r="H2681" s="10">
        <v>164</v>
      </c>
      <c r="I2681" s="273">
        <f>SUMIF('2020'!B:B,B2681,'2020'!C:C)+SUMIF('2021'!B:B,B2681,'2021'!C:C)+SUMIF('2022'!B:B,B2681,'2022'!C:C)</f>
        <v>1390107.96</v>
      </c>
      <c r="J2681" s="59">
        <v>44925</v>
      </c>
      <c r="K2681" s="273" t="s">
        <v>3118</v>
      </c>
    </row>
    <row r="2682" spans="1:13" x14ac:dyDescent="0.3">
      <c r="A2682" s="259">
        <f t="shared" si="100"/>
        <v>2373</v>
      </c>
      <c r="B2682" s="20" t="s">
        <v>2350</v>
      </c>
      <c r="C2682" s="162">
        <v>1963</v>
      </c>
      <c r="D2682" s="234"/>
      <c r="E2682" s="234" t="s">
        <v>3123</v>
      </c>
      <c r="F2682" s="10">
        <v>2</v>
      </c>
      <c r="G2682" s="234">
        <v>309.37</v>
      </c>
      <c r="H2682" s="10">
        <v>25</v>
      </c>
      <c r="I2682" s="273">
        <f>SUMIF('2020'!B:B,B2682,'2020'!C:C)+SUMIF('2021'!B:B,B2682,'2021'!C:C)+SUMIF('2022'!B:B,B2682,'2022'!C:C)</f>
        <v>83492.44</v>
      </c>
      <c r="J2682" s="59">
        <v>44925</v>
      </c>
      <c r="K2682" s="273" t="s">
        <v>3118</v>
      </c>
    </row>
    <row r="2683" spans="1:13" x14ac:dyDescent="0.3">
      <c r="A2683" s="259">
        <f t="shared" si="100"/>
        <v>2374</v>
      </c>
      <c r="B2683" s="20" t="s">
        <v>2351</v>
      </c>
      <c r="C2683" s="162">
        <v>1954</v>
      </c>
      <c r="D2683" s="234"/>
      <c r="E2683" s="234" t="s">
        <v>3123</v>
      </c>
      <c r="F2683" s="10">
        <v>2</v>
      </c>
      <c r="G2683" s="234">
        <v>1077.5999999999999</v>
      </c>
      <c r="H2683" s="10">
        <v>36</v>
      </c>
      <c r="I2683" s="273">
        <f>SUMIF('2020'!B:B,B2683,'2020'!C:C)+SUMIF('2021'!B:B,B2683,'2021'!C:C)+SUMIF('2022'!B:B,B2683,'2022'!C:C)</f>
        <v>704232.71000000008</v>
      </c>
      <c r="J2683" s="59">
        <v>44925</v>
      </c>
      <c r="K2683" s="273" t="s">
        <v>3118</v>
      </c>
    </row>
    <row r="2684" spans="1:13" x14ac:dyDescent="0.3">
      <c r="A2684" s="259">
        <f t="shared" si="100"/>
        <v>2375</v>
      </c>
      <c r="B2684" s="20" t="s">
        <v>2352</v>
      </c>
      <c r="C2684" s="162">
        <v>1954</v>
      </c>
      <c r="D2684" s="234"/>
      <c r="E2684" s="234" t="s">
        <v>3123</v>
      </c>
      <c r="F2684" s="10">
        <v>2</v>
      </c>
      <c r="G2684" s="234">
        <v>678.3</v>
      </c>
      <c r="H2684" s="10">
        <v>39</v>
      </c>
      <c r="I2684" s="273">
        <f>SUMIF('2020'!B:B,B2684,'2020'!C:C)+SUMIF('2021'!B:B,B2684,'2021'!C:C)+SUMIF('2022'!B:B,B2684,'2022'!C:C)</f>
        <v>973554.19</v>
      </c>
      <c r="J2684" s="59">
        <v>44925</v>
      </c>
      <c r="K2684" s="273" t="s">
        <v>3118</v>
      </c>
    </row>
    <row r="2685" spans="1:13" x14ac:dyDescent="0.3">
      <c r="A2685" s="259">
        <f t="shared" si="100"/>
        <v>2376</v>
      </c>
      <c r="B2685" s="20" t="s">
        <v>2353</v>
      </c>
      <c r="C2685" s="162">
        <v>1969</v>
      </c>
      <c r="D2685" s="234"/>
      <c r="E2685" s="234" t="s">
        <v>3123</v>
      </c>
      <c r="F2685" s="10">
        <v>2</v>
      </c>
      <c r="G2685" s="234">
        <v>732.2</v>
      </c>
      <c r="H2685" s="10">
        <v>25</v>
      </c>
      <c r="I2685" s="273">
        <f>SUMIF('2020'!B:B,B2685,'2020'!C:C)+SUMIF('2021'!B:B,B2685,'2021'!C:C)+SUMIF('2022'!B:B,B2685,'2022'!C:C)</f>
        <v>765472.2</v>
      </c>
      <c r="J2685" s="59">
        <v>44925</v>
      </c>
      <c r="K2685" s="273" t="s">
        <v>3118</v>
      </c>
    </row>
    <row r="2686" spans="1:13" x14ac:dyDescent="0.3">
      <c r="A2686" s="259">
        <f t="shared" si="100"/>
        <v>2377</v>
      </c>
      <c r="B2686" s="20" t="s">
        <v>2354</v>
      </c>
      <c r="C2686" s="162">
        <v>1971</v>
      </c>
      <c r="D2686" s="234"/>
      <c r="E2686" s="234" t="s">
        <v>3123</v>
      </c>
      <c r="F2686" s="10">
        <v>2</v>
      </c>
      <c r="G2686" s="234">
        <v>730.9</v>
      </c>
      <c r="H2686" s="10">
        <v>29</v>
      </c>
      <c r="I2686" s="273">
        <f>SUMIF('2020'!B:B,B2686,'2020'!C:C)+SUMIF('2021'!B:B,B2686,'2021'!C:C)+SUMIF('2022'!B:B,B2686,'2022'!C:C)</f>
        <v>105277.86</v>
      </c>
      <c r="J2686" s="59">
        <v>44925</v>
      </c>
      <c r="K2686" s="273" t="s">
        <v>3118</v>
      </c>
    </row>
    <row r="2687" spans="1:13" x14ac:dyDescent="0.3">
      <c r="A2687" s="259">
        <f t="shared" si="100"/>
        <v>2378</v>
      </c>
      <c r="B2687" s="20" t="s">
        <v>2355</v>
      </c>
      <c r="C2687" s="162">
        <v>1972</v>
      </c>
      <c r="D2687" s="234"/>
      <c r="E2687" s="234" t="s">
        <v>3123</v>
      </c>
      <c r="F2687" s="10">
        <v>3</v>
      </c>
      <c r="G2687" s="234">
        <v>1099.3</v>
      </c>
      <c r="H2687" s="10">
        <v>60</v>
      </c>
      <c r="I2687" s="273">
        <f>SUMIF('2020'!B:B,B2687,'2020'!C:C)+SUMIF('2021'!B:B,B2687,'2021'!C:C)+SUMIF('2022'!B:B,B2687,'2022'!C:C)</f>
        <v>1080946.6399999999</v>
      </c>
      <c r="J2687" s="59">
        <v>44925</v>
      </c>
      <c r="K2687" s="273" t="s">
        <v>3118</v>
      </c>
    </row>
    <row r="2688" spans="1:13" x14ac:dyDescent="0.3">
      <c r="A2688" s="302" t="s">
        <v>208</v>
      </c>
      <c r="B2688" s="302"/>
      <c r="C2688" s="273" t="s">
        <v>3558</v>
      </c>
      <c r="D2688" s="273" t="s">
        <v>3558</v>
      </c>
      <c r="E2688" s="273" t="s">
        <v>3558</v>
      </c>
      <c r="F2688" s="273" t="s">
        <v>3558</v>
      </c>
      <c r="G2688" s="273">
        <f>SUM(G2678:G2687)</f>
        <v>12869.77</v>
      </c>
      <c r="H2688" s="10">
        <f>SUM(H2678:H2687)</f>
        <v>598</v>
      </c>
      <c r="I2688" s="273">
        <f>SUM(I2678:I2687)</f>
        <v>5702424.54</v>
      </c>
      <c r="J2688" s="273" t="s">
        <v>3558</v>
      </c>
      <c r="K2688" s="273" t="s">
        <v>3558</v>
      </c>
    </row>
    <row r="2689" spans="1:11" x14ac:dyDescent="0.3">
      <c r="A2689" s="301" t="s">
        <v>2356</v>
      </c>
      <c r="B2689" s="301"/>
      <c r="C2689" s="273"/>
      <c r="D2689" s="234"/>
      <c r="E2689" s="234"/>
      <c r="F2689" s="234"/>
      <c r="G2689" s="234"/>
      <c r="H2689" s="10"/>
      <c r="I2689" s="273"/>
      <c r="J2689" s="273"/>
      <c r="K2689" s="273"/>
    </row>
    <row r="2690" spans="1:11" x14ac:dyDescent="0.3">
      <c r="A2690" s="259">
        <f>A2687+1</f>
        <v>2379</v>
      </c>
      <c r="B2690" s="20" t="s">
        <v>2357</v>
      </c>
      <c r="C2690" s="162">
        <v>1947</v>
      </c>
      <c r="D2690" s="234"/>
      <c r="E2690" s="234" t="s">
        <v>3123</v>
      </c>
      <c r="F2690" s="10">
        <v>2</v>
      </c>
      <c r="G2690" s="234">
        <v>279.89999999999998</v>
      </c>
      <c r="H2690" s="10">
        <v>9</v>
      </c>
      <c r="I2690" s="273">
        <f>SUMIF('2020'!B:B,B2690,'2020'!C:C)+SUMIF('2021'!B:B,B2690,'2021'!C:C)+SUMIF('2022'!B:B,B2690,'2022'!C:C)</f>
        <v>159904</v>
      </c>
      <c r="J2690" s="59">
        <v>44925</v>
      </c>
      <c r="K2690" s="273" t="s">
        <v>3118</v>
      </c>
    </row>
    <row r="2691" spans="1:11" x14ac:dyDescent="0.3">
      <c r="A2691" s="259">
        <f t="shared" ref="A2691:A2722" si="101">A2690+1</f>
        <v>2380</v>
      </c>
      <c r="B2691" s="20" t="s">
        <v>2358</v>
      </c>
      <c r="C2691" s="162">
        <v>1947</v>
      </c>
      <c r="D2691" s="234"/>
      <c r="E2691" s="234" t="s">
        <v>3123</v>
      </c>
      <c r="F2691" s="10">
        <v>2</v>
      </c>
      <c r="G2691" s="234">
        <v>280.5</v>
      </c>
      <c r="H2691" s="10">
        <v>20</v>
      </c>
      <c r="I2691" s="273">
        <f>SUMIF('2020'!B:B,B2691,'2020'!C:C)+SUMIF('2021'!B:B,B2691,'2021'!C:C)+SUMIF('2022'!B:B,B2691,'2022'!C:C)</f>
        <v>175265.44</v>
      </c>
      <c r="J2691" s="59">
        <v>44925</v>
      </c>
      <c r="K2691" s="273" t="s">
        <v>3118</v>
      </c>
    </row>
    <row r="2692" spans="1:11" x14ac:dyDescent="0.3">
      <c r="A2692" s="259">
        <f t="shared" si="101"/>
        <v>2381</v>
      </c>
      <c r="B2692" s="20" t="s">
        <v>2359</v>
      </c>
      <c r="C2692" s="162">
        <v>1947</v>
      </c>
      <c r="D2692" s="234"/>
      <c r="E2692" s="234" t="s">
        <v>3123</v>
      </c>
      <c r="F2692" s="10">
        <v>2</v>
      </c>
      <c r="G2692" s="234">
        <v>274.60000000000002</v>
      </c>
      <c r="H2692" s="10">
        <v>11</v>
      </c>
      <c r="I2692" s="273">
        <f>SUMIF('2020'!B:B,B2692,'2020'!C:C)+SUMIF('2021'!B:B,B2692,'2021'!C:C)+SUMIF('2022'!B:B,B2692,'2022'!C:C)</f>
        <v>184378.81</v>
      </c>
      <c r="J2692" s="59">
        <v>44925</v>
      </c>
      <c r="K2692" s="273" t="s">
        <v>3118</v>
      </c>
    </row>
    <row r="2693" spans="1:11" x14ac:dyDescent="0.3">
      <c r="A2693" s="259">
        <f t="shared" si="101"/>
        <v>2382</v>
      </c>
      <c r="B2693" s="20" t="s">
        <v>2360</v>
      </c>
      <c r="C2693" s="162">
        <v>1947</v>
      </c>
      <c r="D2693" s="234"/>
      <c r="E2693" s="234" t="s">
        <v>3123</v>
      </c>
      <c r="F2693" s="10">
        <v>2</v>
      </c>
      <c r="G2693" s="234">
        <v>276.89999999999998</v>
      </c>
      <c r="H2693" s="10">
        <v>9</v>
      </c>
      <c r="I2693" s="273">
        <f>SUMIF('2020'!B:B,B2693,'2020'!C:C)+SUMIF('2021'!B:B,B2693,'2021'!C:C)+SUMIF('2022'!B:B,B2693,'2022'!C:C)</f>
        <v>182269.61</v>
      </c>
      <c r="J2693" s="59">
        <v>44925</v>
      </c>
      <c r="K2693" s="273" t="s">
        <v>3118</v>
      </c>
    </row>
    <row r="2694" spans="1:11" x14ac:dyDescent="0.3">
      <c r="A2694" s="259">
        <f t="shared" si="101"/>
        <v>2383</v>
      </c>
      <c r="B2694" s="20" t="s">
        <v>2361</v>
      </c>
      <c r="C2694" s="162">
        <v>1947</v>
      </c>
      <c r="D2694" s="234"/>
      <c r="E2694" s="234" t="s">
        <v>3123</v>
      </c>
      <c r="F2694" s="10">
        <v>2</v>
      </c>
      <c r="G2694" s="234">
        <v>220.1</v>
      </c>
      <c r="H2694" s="10">
        <v>14</v>
      </c>
      <c r="I2694" s="273">
        <f>SUMIF('2020'!B:B,B2694,'2020'!C:C)+SUMIF('2021'!B:B,B2694,'2021'!C:C)+SUMIF('2022'!B:B,B2694,'2022'!C:C)</f>
        <v>150145.93</v>
      </c>
      <c r="J2694" s="59">
        <v>44925</v>
      </c>
      <c r="K2694" s="273" t="s">
        <v>3118</v>
      </c>
    </row>
    <row r="2695" spans="1:11" x14ac:dyDescent="0.3">
      <c r="A2695" s="259">
        <f t="shared" si="101"/>
        <v>2384</v>
      </c>
      <c r="B2695" s="20" t="s">
        <v>2362</v>
      </c>
      <c r="C2695" s="162">
        <v>1945</v>
      </c>
      <c r="D2695" s="234"/>
      <c r="E2695" s="234" t="s">
        <v>3123</v>
      </c>
      <c r="F2695" s="10">
        <v>2</v>
      </c>
      <c r="G2695" s="234">
        <v>1021.6</v>
      </c>
      <c r="H2695" s="10">
        <v>36</v>
      </c>
      <c r="I2695" s="273">
        <f>SUMIF('2020'!B:B,B2695,'2020'!C:C)+SUMIF('2021'!B:B,B2695,'2021'!C:C)+SUMIF('2022'!B:B,B2695,'2022'!C:C)</f>
        <v>5318780.6400000006</v>
      </c>
      <c r="J2695" s="59">
        <v>44925</v>
      </c>
      <c r="K2695" s="273" t="s">
        <v>3118</v>
      </c>
    </row>
    <row r="2696" spans="1:11" x14ac:dyDescent="0.3">
      <c r="A2696" s="259">
        <f t="shared" si="101"/>
        <v>2385</v>
      </c>
      <c r="B2696" s="20" t="s">
        <v>2363</v>
      </c>
      <c r="C2696" s="162">
        <v>1947</v>
      </c>
      <c r="D2696" s="234"/>
      <c r="E2696" s="234" t="s">
        <v>3123</v>
      </c>
      <c r="F2696" s="10">
        <v>2</v>
      </c>
      <c r="G2696" s="234">
        <v>1000.5</v>
      </c>
      <c r="H2696" s="10">
        <v>75</v>
      </c>
      <c r="I2696" s="273">
        <f>SUMIF('2020'!B:B,B2696,'2020'!C:C)+SUMIF('2021'!B:B,B2696,'2021'!C:C)+SUMIF('2022'!B:B,B2696,'2022'!C:C)</f>
        <v>673673.48</v>
      </c>
      <c r="J2696" s="59">
        <v>44925</v>
      </c>
      <c r="K2696" s="273" t="s">
        <v>3118</v>
      </c>
    </row>
    <row r="2697" spans="1:11" x14ac:dyDescent="0.3">
      <c r="A2697" s="259">
        <f t="shared" si="101"/>
        <v>2386</v>
      </c>
      <c r="B2697" s="124" t="s">
        <v>3282</v>
      </c>
      <c r="C2697" s="162">
        <v>1971</v>
      </c>
      <c r="D2697" s="234"/>
      <c r="E2697" s="234" t="s">
        <v>3123</v>
      </c>
      <c r="F2697" s="10">
        <v>5</v>
      </c>
      <c r="G2697" s="234">
        <v>4398.95</v>
      </c>
      <c r="H2697" s="10">
        <v>157</v>
      </c>
      <c r="I2697" s="273">
        <f>SUMIF('2020'!B:B,B2697,'2020'!C:C)+SUMIF('2021'!B:B,B2697,'2021'!C:C)+SUMIF('2022'!B:B,B2697,'2022'!C:C)</f>
        <v>235222</v>
      </c>
      <c r="J2697" s="59">
        <v>44925</v>
      </c>
      <c r="K2697" s="273" t="s">
        <v>3118</v>
      </c>
    </row>
    <row r="2698" spans="1:11" x14ac:dyDescent="0.3">
      <c r="A2698" s="259">
        <f t="shared" si="101"/>
        <v>2387</v>
      </c>
      <c r="B2698" s="20" t="s">
        <v>2364</v>
      </c>
      <c r="C2698" s="162">
        <v>1947</v>
      </c>
      <c r="D2698" s="234"/>
      <c r="E2698" s="234" t="s">
        <v>3123</v>
      </c>
      <c r="F2698" s="10">
        <v>2</v>
      </c>
      <c r="G2698" s="234">
        <v>273.7</v>
      </c>
      <c r="H2698" s="10">
        <v>13</v>
      </c>
      <c r="I2698" s="273">
        <f>SUMIF('2020'!B:B,B2698,'2020'!C:C)+SUMIF('2021'!B:B,B2698,'2021'!C:C)+SUMIF('2022'!B:B,B2698,'2022'!C:C)</f>
        <v>130000</v>
      </c>
      <c r="J2698" s="59">
        <v>44925</v>
      </c>
      <c r="K2698" s="273" t="s">
        <v>3118</v>
      </c>
    </row>
    <row r="2699" spans="1:11" x14ac:dyDescent="0.3">
      <c r="A2699" s="259">
        <f t="shared" si="101"/>
        <v>2388</v>
      </c>
      <c r="B2699" s="20" t="s">
        <v>2365</v>
      </c>
      <c r="C2699" s="162">
        <v>1948</v>
      </c>
      <c r="D2699" s="234"/>
      <c r="E2699" s="234" t="s">
        <v>3123</v>
      </c>
      <c r="F2699" s="10">
        <v>2</v>
      </c>
      <c r="G2699" s="234">
        <v>1093.9000000000001</v>
      </c>
      <c r="H2699" s="10">
        <v>53</v>
      </c>
      <c r="I2699" s="273">
        <f>SUMIF('2020'!B:B,B2699,'2020'!C:C)+SUMIF('2021'!B:B,B2699,'2021'!C:C)+SUMIF('2022'!B:B,B2699,'2022'!C:C)</f>
        <v>105271.66</v>
      </c>
      <c r="J2699" s="59">
        <v>44925</v>
      </c>
      <c r="K2699" s="273" t="s">
        <v>3118</v>
      </c>
    </row>
    <row r="2700" spans="1:11" x14ac:dyDescent="0.3">
      <c r="A2700" s="259">
        <f t="shared" si="101"/>
        <v>2389</v>
      </c>
      <c r="B2700" s="20" t="s">
        <v>2366</v>
      </c>
      <c r="C2700" s="162">
        <v>1990</v>
      </c>
      <c r="D2700" s="234"/>
      <c r="E2700" s="234" t="s">
        <v>3119</v>
      </c>
      <c r="F2700" s="10">
        <v>5</v>
      </c>
      <c r="G2700" s="234">
        <v>6058.2</v>
      </c>
      <c r="H2700" s="10">
        <v>243</v>
      </c>
      <c r="I2700" s="273">
        <f>SUMIF('2020'!B:B,B2700,'2020'!C:C)+SUMIF('2021'!B:B,B2700,'2021'!C:C)+SUMIF('2022'!B:B,B2700,'2022'!C:C)</f>
        <v>601157.56000000006</v>
      </c>
      <c r="J2700" s="59">
        <v>44925</v>
      </c>
      <c r="K2700" s="273" t="s">
        <v>3118</v>
      </c>
    </row>
    <row r="2701" spans="1:11" x14ac:dyDescent="0.3">
      <c r="A2701" s="259">
        <f t="shared" si="101"/>
        <v>2390</v>
      </c>
      <c r="B2701" s="20" t="s">
        <v>2367</v>
      </c>
      <c r="C2701" s="162">
        <v>1950</v>
      </c>
      <c r="D2701" s="234"/>
      <c r="E2701" s="234" t="s">
        <v>3123</v>
      </c>
      <c r="F2701" s="10">
        <v>2</v>
      </c>
      <c r="G2701" s="234">
        <v>390.3</v>
      </c>
      <c r="H2701" s="10">
        <v>12</v>
      </c>
      <c r="I2701" s="273">
        <f>SUMIF('2020'!B:B,B2701,'2020'!C:C)+SUMIF('2021'!B:B,B2701,'2021'!C:C)+SUMIF('2022'!B:B,B2701,'2022'!C:C)</f>
        <v>756961.27</v>
      </c>
      <c r="J2701" s="59">
        <v>44925</v>
      </c>
      <c r="K2701" s="273" t="s">
        <v>3118</v>
      </c>
    </row>
    <row r="2702" spans="1:11" x14ac:dyDescent="0.3">
      <c r="A2702" s="259">
        <f t="shared" si="101"/>
        <v>2391</v>
      </c>
      <c r="B2702" s="20" t="s">
        <v>2368</v>
      </c>
      <c r="C2702" s="162">
        <v>1950</v>
      </c>
      <c r="D2702" s="234"/>
      <c r="E2702" s="234" t="s">
        <v>3123</v>
      </c>
      <c r="F2702" s="10">
        <v>2</v>
      </c>
      <c r="G2702" s="234">
        <v>392.3</v>
      </c>
      <c r="H2702" s="10">
        <v>9</v>
      </c>
      <c r="I2702" s="273">
        <f>SUMIF('2020'!B:B,B2702,'2020'!C:C)+SUMIF('2021'!B:B,B2702,'2021'!C:C)+SUMIF('2022'!B:B,B2702,'2022'!C:C)</f>
        <v>783892.03</v>
      </c>
      <c r="J2702" s="59">
        <v>44925</v>
      </c>
      <c r="K2702" s="273" t="s">
        <v>3118</v>
      </c>
    </row>
    <row r="2703" spans="1:11" x14ac:dyDescent="0.3">
      <c r="A2703" s="259">
        <f t="shared" si="101"/>
        <v>2392</v>
      </c>
      <c r="B2703" s="20" t="s">
        <v>2369</v>
      </c>
      <c r="C2703" s="162">
        <v>1947</v>
      </c>
      <c r="D2703" s="234"/>
      <c r="E2703" s="234" t="s">
        <v>3123</v>
      </c>
      <c r="F2703" s="10">
        <v>2</v>
      </c>
      <c r="G2703" s="234">
        <v>1089.9000000000001</v>
      </c>
      <c r="H2703" s="10">
        <v>56</v>
      </c>
      <c r="I2703" s="273">
        <f>SUMIF('2020'!B:B,B2703,'2020'!C:C)+SUMIF('2021'!B:B,B2703,'2021'!C:C)+SUMIF('2022'!B:B,B2703,'2022'!C:C)</f>
        <v>219816.46000000002</v>
      </c>
      <c r="J2703" s="59">
        <v>44925</v>
      </c>
      <c r="K2703" s="273" t="s">
        <v>3118</v>
      </c>
    </row>
    <row r="2704" spans="1:11" x14ac:dyDescent="0.3">
      <c r="A2704" s="259">
        <f t="shared" si="101"/>
        <v>2393</v>
      </c>
      <c r="B2704" s="20" t="s">
        <v>2370</v>
      </c>
      <c r="C2704" s="162">
        <v>1965</v>
      </c>
      <c r="D2704" s="234"/>
      <c r="E2704" s="234" t="s">
        <v>3123</v>
      </c>
      <c r="F2704" s="10">
        <v>5</v>
      </c>
      <c r="G2704" s="234">
        <v>3308.7</v>
      </c>
      <c r="H2704" s="10">
        <v>149</v>
      </c>
      <c r="I2704" s="273">
        <f>SUMIF('2020'!B:B,B2704,'2020'!C:C)+SUMIF('2021'!B:B,B2704,'2021'!C:C)+SUMIF('2022'!B:B,B2704,'2022'!C:C)</f>
        <v>130000</v>
      </c>
      <c r="J2704" s="59">
        <v>44925</v>
      </c>
      <c r="K2704" s="273" t="s">
        <v>3118</v>
      </c>
    </row>
    <row r="2705" spans="1:11" x14ac:dyDescent="0.3">
      <c r="A2705" s="259">
        <f t="shared" si="101"/>
        <v>2394</v>
      </c>
      <c r="B2705" s="20" t="s">
        <v>2371</v>
      </c>
      <c r="C2705" s="162">
        <v>1968</v>
      </c>
      <c r="D2705" s="234"/>
      <c r="E2705" s="234" t="s">
        <v>3123</v>
      </c>
      <c r="F2705" s="10">
        <v>5</v>
      </c>
      <c r="G2705" s="234">
        <v>3356.5</v>
      </c>
      <c r="H2705" s="10">
        <v>152</v>
      </c>
      <c r="I2705" s="273">
        <f>SUMIF('2020'!B:B,B2705,'2020'!C:C)+SUMIF('2021'!B:B,B2705,'2021'!C:C)+SUMIF('2022'!B:B,B2705,'2022'!C:C)</f>
        <v>199232.96</v>
      </c>
      <c r="J2705" s="59">
        <v>44925</v>
      </c>
      <c r="K2705" s="273" t="s">
        <v>3118</v>
      </c>
    </row>
    <row r="2706" spans="1:11" x14ac:dyDescent="0.3">
      <c r="A2706" s="259">
        <f t="shared" si="101"/>
        <v>2395</v>
      </c>
      <c r="B2706" s="20" t="s">
        <v>2372</v>
      </c>
      <c r="C2706" s="162">
        <v>1965</v>
      </c>
      <c r="D2706" s="234"/>
      <c r="E2706" s="234" t="s">
        <v>3123</v>
      </c>
      <c r="F2706" s="10">
        <v>5</v>
      </c>
      <c r="G2706" s="234">
        <v>3689.5</v>
      </c>
      <c r="H2706" s="10">
        <v>143</v>
      </c>
      <c r="I2706" s="273">
        <f>SUMIF('2020'!B:B,B2706,'2020'!C:C)+SUMIF('2021'!B:B,B2706,'2021'!C:C)+SUMIF('2022'!B:B,B2706,'2022'!C:C)</f>
        <v>1553281.61</v>
      </c>
      <c r="J2706" s="59">
        <v>44925</v>
      </c>
      <c r="K2706" s="273" t="s">
        <v>3118</v>
      </c>
    </row>
    <row r="2707" spans="1:11" x14ac:dyDescent="0.3">
      <c r="A2707" s="259">
        <f t="shared" si="101"/>
        <v>2396</v>
      </c>
      <c r="B2707" s="20" t="s">
        <v>2373</v>
      </c>
      <c r="C2707" s="162">
        <v>1963</v>
      </c>
      <c r="D2707" s="234"/>
      <c r="E2707" s="234" t="s">
        <v>3123</v>
      </c>
      <c r="F2707" s="10">
        <v>4</v>
      </c>
      <c r="G2707" s="234">
        <v>1289.8</v>
      </c>
      <c r="H2707" s="10">
        <v>48</v>
      </c>
      <c r="I2707" s="273">
        <f>SUMIF('2020'!B:B,B2707,'2020'!C:C)+SUMIF('2021'!B:B,B2707,'2021'!C:C)+SUMIF('2022'!B:B,B2707,'2022'!C:C)</f>
        <v>287261</v>
      </c>
      <c r="J2707" s="59">
        <v>44925</v>
      </c>
      <c r="K2707" s="273" t="s">
        <v>3118</v>
      </c>
    </row>
    <row r="2708" spans="1:11" x14ac:dyDescent="0.3">
      <c r="A2708" s="259">
        <f t="shared" si="101"/>
        <v>2397</v>
      </c>
      <c r="B2708" s="20" t="s">
        <v>2374</v>
      </c>
      <c r="C2708" s="162">
        <v>1958</v>
      </c>
      <c r="D2708" s="234"/>
      <c r="E2708" s="234" t="s">
        <v>3123</v>
      </c>
      <c r="F2708" s="10">
        <v>2</v>
      </c>
      <c r="G2708" s="234">
        <v>638.53</v>
      </c>
      <c r="H2708" s="10">
        <v>17</v>
      </c>
      <c r="I2708" s="273">
        <f>SUMIF('2020'!B:B,B2708,'2020'!C:C)+SUMIF('2021'!B:B,B2708,'2021'!C:C)+SUMIF('2022'!B:B,B2708,'2022'!C:C)</f>
        <v>287261</v>
      </c>
      <c r="J2708" s="59">
        <v>44925</v>
      </c>
      <c r="K2708" s="273" t="s">
        <v>3118</v>
      </c>
    </row>
    <row r="2709" spans="1:11" x14ac:dyDescent="0.3">
      <c r="A2709" s="259">
        <f t="shared" si="101"/>
        <v>2398</v>
      </c>
      <c r="B2709" s="20" t="s">
        <v>2375</v>
      </c>
      <c r="C2709" s="162">
        <v>1956</v>
      </c>
      <c r="D2709" s="234"/>
      <c r="E2709" s="234" t="s">
        <v>3123</v>
      </c>
      <c r="F2709" s="10">
        <v>2</v>
      </c>
      <c r="G2709" s="234">
        <v>776.1</v>
      </c>
      <c r="H2709" s="10">
        <v>37</v>
      </c>
      <c r="I2709" s="273">
        <f>SUMIF('2020'!B:B,B2709,'2020'!C:C)+SUMIF('2021'!B:B,B2709,'2021'!C:C)+SUMIF('2022'!B:B,B2709,'2022'!C:C)</f>
        <v>130000</v>
      </c>
      <c r="J2709" s="59">
        <v>44925</v>
      </c>
      <c r="K2709" s="273" t="s">
        <v>3118</v>
      </c>
    </row>
    <row r="2710" spans="1:11" x14ac:dyDescent="0.3">
      <c r="A2710" s="259">
        <f t="shared" si="101"/>
        <v>2399</v>
      </c>
      <c r="B2710" s="20" t="s">
        <v>2376</v>
      </c>
      <c r="C2710" s="162">
        <v>1951</v>
      </c>
      <c r="D2710" s="234"/>
      <c r="E2710" s="234" t="s">
        <v>3123</v>
      </c>
      <c r="F2710" s="10">
        <v>2</v>
      </c>
      <c r="G2710" s="234">
        <v>390.9</v>
      </c>
      <c r="H2710" s="10">
        <v>20</v>
      </c>
      <c r="I2710" s="273">
        <f>SUMIF('2020'!B:B,B2710,'2020'!C:C)+SUMIF('2021'!B:B,B2710,'2021'!C:C)+SUMIF('2022'!B:B,B2710,'2022'!C:C)</f>
        <v>773686.67999999993</v>
      </c>
      <c r="J2710" s="59">
        <v>44925</v>
      </c>
      <c r="K2710" s="273" t="s">
        <v>3118</v>
      </c>
    </row>
    <row r="2711" spans="1:11" x14ac:dyDescent="0.3">
      <c r="A2711" s="259">
        <f t="shared" si="101"/>
        <v>2400</v>
      </c>
      <c r="B2711" s="20" t="s">
        <v>2377</v>
      </c>
      <c r="C2711" s="162">
        <v>1951</v>
      </c>
      <c r="D2711" s="234"/>
      <c r="E2711" s="234" t="s">
        <v>3123</v>
      </c>
      <c r="F2711" s="10">
        <v>2</v>
      </c>
      <c r="G2711" s="234">
        <v>374</v>
      </c>
      <c r="H2711" s="10">
        <v>16</v>
      </c>
      <c r="I2711" s="273">
        <f>SUMIF('2020'!B:B,B2711,'2020'!C:C)+SUMIF('2021'!B:B,B2711,'2021'!C:C)+SUMIF('2022'!B:B,B2711,'2022'!C:C)</f>
        <v>747021.96</v>
      </c>
      <c r="J2711" s="59">
        <v>44925</v>
      </c>
      <c r="K2711" s="273" t="s">
        <v>3118</v>
      </c>
    </row>
    <row r="2712" spans="1:11" x14ac:dyDescent="0.3">
      <c r="A2712" s="259">
        <f t="shared" si="101"/>
        <v>2401</v>
      </c>
      <c r="B2712" s="20" t="s">
        <v>2378</v>
      </c>
      <c r="C2712" s="162">
        <v>1952</v>
      </c>
      <c r="D2712" s="234"/>
      <c r="E2712" s="234" t="s">
        <v>3123</v>
      </c>
      <c r="F2712" s="10">
        <v>2</v>
      </c>
      <c r="G2712" s="234">
        <v>387</v>
      </c>
      <c r="H2712" s="10">
        <v>21</v>
      </c>
      <c r="I2712" s="273">
        <f>SUMIF('2020'!B:B,B2712,'2020'!C:C)+SUMIF('2021'!B:B,B2712,'2021'!C:C)+SUMIF('2022'!B:B,B2712,'2022'!C:C)</f>
        <v>172146.61</v>
      </c>
      <c r="J2712" s="59">
        <v>44925</v>
      </c>
      <c r="K2712" s="273" t="s">
        <v>3118</v>
      </c>
    </row>
    <row r="2713" spans="1:11" x14ac:dyDescent="0.3">
      <c r="A2713" s="259">
        <f t="shared" si="101"/>
        <v>2402</v>
      </c>
      <c r="B2713" s="20" t="s">
        <v>2379</v>
      </c>
      <c r="C2713" s="162">
        <v>1952</v>
      </c>
      <c r="D2713" s="234"/>
      <c r="E2713" s="234" t="s">
        <v>3123</v>
      </c>
      <c r="F2713" s="10">
        <v>2</v>
      </c>
      <c r="G2713" s="234">
        <v>620.5</v>
      </c>
      <c r="H2713" s="10">
        <v>37</v>
      </c>
      <c r="I2713" s="273">
        <f>SUMIF('2020'!B:B,B2713,'2020'!C:C)+SUMIF('2021'!B:B,B2713,'2021'!C:C)+SUMIF('2022'!B:B,B2713,'2022'!C:C)</f>
        <v>778834.57</v>
      </c>
      <c r="J2713" s="59">
        <v>44925</v>
      </c>
      <c r="K2713" s="273" t="s">
        <v>3118</v>
      </c>
    </row>
    <row r="2714" spans="1:11" x14ac:dyDescent="0.3">
      <c r="A2714" s="259">
        <f t="shared" si="101"/>
        <v>2403</v>
      </c>
      <c r="B2714" s="20" t="s">
        <v>2380</v>
      </c>
      <c r="C2714" s="162">
        <v>1952</v>
      </c>
      <c r="D2714" s="234"/>
      <c r="E2714" s="234" t="s">
        <v>3123</v>
      </c>
      <c r="F2714" s="10">
        <v>2</v>
      </c>
      <c r="G2714" s="234">
        <v>610.4</v>
      </c>
      <c r="H2714" s="10">
        <v>30</v>
      </c>
      <c r="I2714" s="273">
        <f>SUMIF('2020'!B:B,B2714,'2020'!C:C)+SUMIF('2021'!B:B,B2714,'2021'!C:C)+SUMIF('2022'!B:B,B2714,'2022'!C:C)</f>
        <v>196712.69</v>
      </c>
      <c r="J2714" s="59">
        <v>44925</v>
      </c>
      <c r="K2714" s="273" t="s">
        <v>3118</v>
      </c>
    </row>
    <row r="2715" spans="1:11" x14ac:dyDescent="0.3">
      <c r="A2715" s="259">
        <f t="shared" si="101"/>
        <v>2404</v>
      </c>
      <c r="B2715" s="20" t="s">
        <v>2381</v>
      </c>
      <c r="C2715" s="162">
        <v>1960</v>
      </c>
      <c r="D2715" s="234"/>
      <c r="E2715" s="234" t="s">
        <v>3123</v>
      </c>
      <c r="F2715" s="10">
        <v>3</v>
      </c>
      <c r="G2715" s="234">
        <v>1484.5</v>
      </c>
      <c r="H2715" s="10">
        <v>59</v>
      </c>
      <c r="I2715" s="273">
        <f>SUMIF('2020'!B:B,B2715,'2020'!C:C)+SUMIF('2021'!B:B,B2715,'2021'!C:C)+SUMIF('2022'!B:B,B2715,'2022'!C:C)</f>
        <v>182039</v>
      </c>
      <c r="J2715" s="59">
        <v>44925</v>
      </c>
      <c r="K2715" s="273" t="s">
        <v>3118</v>
      </c>
    </row>
    <row r="2716" spans="1:11" x14ac:dyDescent="0.3">
      <c r="A2716" s="259">
        <f t="shared" si="101"/>
        <v>2405</v>
      </c>
      <c r="B2716" s="20" t="s">
        <v>2382</v>
      </c>
      <c r="C2716" s="162">
        <v>1966</v>
      </c>
      <c r="D2716" s="234"/>
      <c r="E2716" s="234" t="s">
        <v>3123</v>
      </c>
      <c r="F2716" s="10">
        <v>5</v>
      </c>
      <c r="G2716" s="234">
        <v>2674.8</v>
      </c>
      <c r="H2716" s="10">
        <v>150</v>
      </c>
      <c r="I2716" s="273">
        <f>SUMIF('2020'!B:B,B2716,'2020'!C:C)+SUMIF('2021'!B:B,B2716,'2021'!C:C)+SUMIF('2022'!B:B,B2716,'2022'!C:C)</f>
        <v>130000</v>
      </c>
      <c r="J2716" s="59">
        <v>44925</v>
      </c>
      <c r="K2716" s="273" t="s">
        <v>3118</v>
      </c>
    </row>
    <row r="2717" spans="1:11" x14ac:dyDescent="0.3">
      <c r="A2717" s="259">
        <f t="shared" si="101"/>
        <v>2406</v>
      </c>
      <c r="B2717" s="20" t="s">
        <v>2383</v>
      </c>
      <c r="C2717" s="162">
        <v>1977</v>
      </c>
      <c r="D2717" s="234"/>
      <c r="E2717" s="234" t="s">
        <v>3123</v>
      </c>
      <c r="F2717" s="10">
        <v>5</v>
      </c>
      <c r="G2717" s="234">
        <v>4217.8</v>
      </c>
      <c r="H2717" s="10">
        <v>157</v>
      </c>
      <c r="I2717" s="273">
        <f>SUMIF('2020'!B:B,B2717,'2020'!C:C)+SUMIF('2021'!B:B,B2717,'2021'!C:C)+SUMIF('2022'!B:B,B2717,'2022'!C:C)</f>
        <v>2100604.2600000002</v>
      </c>
      <c r="J2717" s="59">
        <v>44925</v>
      </c>
      <c r="K2717" s="273" t="s">
        <v>3118</v>
      </c>
    </row>
    <row r="2718" spans="1:11" x14ac:dyDescent="0.3">
      <c r="A2718" s="259">
        <f t="shared" si="101"/>
        <v>2407</v>
      </c>
      <c r="B2718" s="20" t="s">
        <v>2384</v>
      </c>
      <c r="C2718" s="162">
        <v>1972</v>
      </c>
      <c r="D2718" s="234"/>
      <c r="E2718" s="234" t="s">
        <v>3123</v>
      </c>
      <c r="F2718" s="10">
        <v>5</v>
      </c>
      <c r="G2718" s="234">
        <v>3332.3</v>
      </c>
      <c r="H2718" s="10">
        <v>237</v>
      </c>
      <c r="I2718" s="273">
        <f>SUMIF('2020'!B:B,B2718,'2020'!C:C)+SUMIF('2021'!B:B,B2718,'2021'!C:C)+SUMIF('2022'!B:B,B2718,'2022'!C:C)</f>
        <v>274862.40999999997</v>
      </c>
      <c r="J2718" s="59">
        <v>44925</v>
      </c>
      <c r="K2718" s="273" t="s">
        <v>3118</v>
      </c>
    </row>
    <row r="2719" spans="1:11" x14ac:dyDescent="0.3">
      <c r="A2719" s="259">
        <f t="shared" si="101"/>
        <v>2408</v>
      </c>
      <c r="B2719" s="20" t="s">
        <v>2385</v>
      </c>
      <c r="C2719" s="162">
        <v>1961</v>
      </c>
      <c r="D2719" s="234"/>
      <c r="E2719" s="234" t="s">
        <v>3123</v>
      </c>
      <c r="F2719" s="10">
        <v>3</v>
      </c>
      <c r="G2719" s="234">
        <v>973</v>
      </c>
      <c r="H2719" s="10">
        <v>37</v>
      </c>
      <c r="I2719" s="273">
        <f>SUMIF('2020'!B:B,B2719,'2020'!C:C)+SUMIF('2021'!B:B,B2719,'2021'!C:C)+SUMIF('2022'!B:B,B2719,'2022'!C:C)</f>
        <v>608969.06000000006</v>
      </c>
      <c r="J2719" s="59">
        <v>44925</v>
      </c>
      <c r="K2719" s="273" t="s">
        <v>3118</v>
      </c>
    </row>
    <row r="2720" spans="1:11" x14ac:dyDescent="0.3">
      <c r="A2720" s="259">
        <f t="shared" si="101"/>
        <v>2409</v>
      </c>
      <c r="B2720" s="20" t="s">
        <v>2386</v>
      </c>
      <c r="C2720" s="162">
        <v>1951</v>
      </c>
      <c r="D2720" s="234"/>
      <c r="E2720" s="234" t="s">
        <v>3123</v>
      </c>
      <c r="F2720" s="10">
        <v>2</v>
      </c>
      <c r="G2720" s="234">
        <v>1019.3</v>
      </c>
      <c r="H2720" s="10">
        <v>29</v>
      </c>
      <c r="I2720" s="273">
        <f>SUMIF('2020'!B:B,B2720,'2020'!C:C)+SUMIF('2021'!B:B,B2720,'2021'!C:C)+SUMIF('2022'!B:B,B2720,'2022'!C:C)</f>
        <v>229908.31</v>
      </c>
      <c r="J2720" s="59">
        <v>44925</v>
      </c>
      <c r="K2720" s="273" t="s">
        <v>3118</v>
      </c>
    </row>
    <row r="2721" spans="1:11" x14ac:dyDescent="0.3">
      <c r="A2721" s="259">
        <f t="shared" si="101"/>
        <v>2410</v>
      </c>
      <c r="B2721" s="20" t="s">
        <v>2387</v>
      </c>
      <c r="C2721" s="162">
        <v>1937</v>
      </c>
      <c r="D2721" s="234"/>
      <c r="E2721" s="234" t="s">
        <v>3123</v>
      </c>
      <c r="F2721" s="10">
        <v>4</v>
      </c>
      <c r="G2721" s="234">
        <v>2494.83</v>
      </c>
      <c r="H2721" s="10">
        <v>86</v>
      </c>
      <c r="I2721" s="273">
        <f>SUMIF('2020'!B:B,B2721,'2020'!C:C)+SUMIF('2021'!B:B,B2721,'2021'!C:C)+SUMIF('2022'!B:B,B2721,'2022'!C:C)</f>
        <v>1299062.03</v>
      </c>
      <c r="J2721" s="59">
        <v>44925</v>
      </c>
      <c r="K2721" s="273" t="s">
        <v>3118</v>
      </c>
    </row>
    <row r="2722" spans="1:11" x14ac:dyDescent="0.3">
      <c r="A2722" s="259">
        <f t="shared" si="101"/>
        <v>2411</v>
      </c>
      <c r="B2722" s="20" t="s">
        <v>2388</v>
      </c>
      <c r="C2722" s="162">
        <v>1957</v>
      </c>
      <c r="D2722" s="234"/>
      <c r="E2722" s="234" t="s">
        <v>3123</v>
      </c>
      <c r="F2722" s="10">
        <v>2</v>
      </c>
      <c r="G2722" s="234">
        <v>1069</v>
      </c>
      <c r="H2722" s="10">
        <v>27</v>
      </c>
      <c r="I2722" s="273">
        <f>SUMIF('2020'!B:B,B2722,'2020'!C:C)+SUMIF('2021'!B:B,B2722,'2021'!C:C)+SUMIF('2022'!B:B,B2722,'2022'!C:C)</f>
        <v>271927.03000000003</v>
      </c>
      <c r="J2722" s="59">
        <v>44925</v>
      </c>
      <c r="K2722" s="273" t="s">
        <v>3118</v>
      </c>
    </row>
    <row r="2723" spans="1:11" x14ac:dyDescent="0.3">
      <c r="A2723" s="259">
        <f t="shared" ref="A2723:A2754" si="102">A2722+1</f>
        <v>2412</v>
      </c>
      <c r="B2723" s="20" t="s">
        <v>2389</v>
      </c>
      <c r="C2723" s="162">
        <v>1961</v>
      </c>
      <c r="D2723" s="234"/>
      <c r="E2723" s="234" t="s">
        <v>3123</v>
      </c>
      <c r="F2723" s="10">
        <v>3</v>
      </c>
      <c r="G2723" s="234">
        <v>1219.2</v>
      </c>
      <c r="H2723" s="10">
        <v>55</v>
      </c>
      <c r="I2723" s="273">
        <f>SUMIF('2020'!B:B,B2723,'2020'!C:C)+SUMIF('2021'!B:B,B2723,'2021'!C:C)+SUMIF('2022'!B:B,B2723,'2022'!C:C)</f>
        <v>1673292.1300000001</v>
      </c>
      <c r="J2723" s="59">
        <v>44925</v>
      </c>
      <c r="K2723" s="273" t="s">
        <v>3118</v>
      </c>
    </row>
    <row r="2724" spans="1:11" x14ac:dyDescent="0.3">
      <c r="A2724" s="259">
        <f t="shared" si="102"/>
        <v>2413</v>
      </c>
      <c r="B2724" s="20" t="s">
        <v>2390</v>
      </c>
      <c r="C2724" s="162">
        <v>1978</v>
      </c>
      <c r="D2724" s="234"/>
      <c r="E2724" s="234" t="s">
        <v>3123</v>
      </c>
      <c r="F2724" s="10">
        <v>9</v>
      </c>
      <c r="G2724" s="234">
        <v>4579.6000000000004</v>
      </c>
      <c r="H2724" s="10">
        <v>110</v>
      </c>
      <c r="I2724" s="273">
        <f>SUMIF('2020'!B:B,B2724,'2020'!C:C)+SUMIF('2021'!B:B,B2724,'2021'!C:C)+SUMIF('2022'!B:B,B2724,'2022'!C:C)</f>
        <v>15011588.4</v>
      </c>
      <c r="J2724" s="59">
        <v>44925</v>
      </c>
      <c r="K2724" s="273" t="s">
        <v>3118</v>
      </c>
    </row>
    <row r="2725" spans="1:11" x14ac:dyDescent="0.3">
      <c r="A2725" s="259">
        <f t="shared" si="102"/>
        <v>2414</v>
      </c>
      <c r="B2725" s="20" t="s">
        <v>2391</v>
      </c>
      <c r="C2725" s="162">
        <v>1952</v>
      </c>
      <c r="D2725" s="234"/>
      <c r="E2725" s="234" t="s">
        <v>3123</v>
      </c>
      <c r="F2725" s="10">
        <v>2</v>
      </c>
      <c r="G2725" s="234">
        <v>494.3</v>
      </c>
      <c r="H2725" s="10">
        <v>8</v>
      </c>
      <c r="I2725" s="273">
        <f>SUMIF('2020'!B:B,B2725,'2020'!C:C)+SUMIF('2021'!B:B,B2725,'2021'!C:C)+SUMIF('2022'!B:B,B2725,'2022'!C:C)</f>
        <v>130000</v>
      </c>
      <c r="J2725" s="59">
        <v>44925</v>
      </c>
      <c r="K2725" s="273" t="s">
        <v>3118</v>
      </c>
    </row>
    <row r="2726" spans="1:11" x14ac:dyDescent="0.3">
      <c r="A2726" s="259">
        <f t="shared" si="102"/>
        <v>2415</v>
      </c>
      <c r="B2726" s="20" t="s">
        <v>2392</v>
      </c>
      <c r="C2726" s="162">
        <v>1950</v>
      </c>
      <c r="D2726" s="234"/>
      <c r="E2726" s="234" t="s">
        <v>3123</v>
      </c>
      <c r="F2726" s="10">
        <v>2</v>
      </c>
      <c r="G2726" s="234">
        <v>485.3</v>
      </c>
      <c r="H2726" s="10">
        <v>18</v>
      </c>
      <c r="I2726" s="273">
        <f>SUMIF('2020'!B:B,B2726,'2020'!C:C)+SUMIF('2021'!B:B,B2726,'2021'!C:C)+SUMIF('2022'!B:B,B2726,'2022'!C:C)</f>
        <v>92890.79</v>
      </c>
      <c r="J2726" s="59">
        <v>44925</v>
      </c>
      <c r="K2726" s="273" t="s">
        <v>3118</v>
      </c>
    </row>
    <row r="2727" spans="1:11" x14ac:dyDescent="0.3">
      <c r="A2727" s="259">
        <f t="shared" si="102"/>
        <v>2416</v>
      </c>
      <c r="B2727" s="20" t="s">
        <v>2393</v>
      </c>
      <c r="C2727" s="162">
        <v>1951</v>
      </c>
      <c r="D2727" s="234"/>
      <c r="E2727" s="234" t="s">
        <v>3123</v>
      </c>
      <c r="F2727" s="10">
        <v>2</v>
      </c>
      <c r="G2727" s="234">
        <v>822.7</v>
      </c>
      <c r="H2727" s="10">
        <v>23</v>
      </c>
      <c r="I2727" s="273">
        <f>SUMIF('2020'!B:B,B2727,'2020'!C:C)+SUMIF('2021'!B:B,B2727,'2021'!C:C)+SUMIF('2022'!B:B,B2727,'2022'!C:C)</f>
        <v>100214.81</v>
      </c>
      <c r="J2727" s="59">
        <v>44925</v>
      </c>
      <c r="K2727" s="273" t="s">
        <v>3118</v>
      </c>
    </row>
    <row r="2728" spans="1:11" x14ac:dyDescent="0.3">
      <c r="A2728" s="259">
        <f t="shared" si="102"/>
        <v>2417</v>
      </c>
      <c r="B2728" s="20" t="s">
        <v>2394</v>
      </c>
      <c r="C2728" s="162">
        <v>1948</v>
      </c>
      <c r="D2728" s="234"/>
      <c r="E2728" s="234" t="s">
        <v>3123</v>
      </c>
      <c r="F2728" s="10">
        <v>2</v>
      </c>
      <c r="G2728" s="234">
        <v>611.4</v>
      </c>
      <c r="H2728" s="10">
        <v>10</v>
      </c>
      <c r="I2728" s="273">
        <f>SUMIF('2020'!B:B,B2728,'2020'!C:C)+SUMIF('2021'!B:B,B2728,'2021'!C:C)+SUMIF('2022'!B:B,B2728,'2022'!C:C)</f>
        <v>130000</v>
      </c>
      <c r="J2728" s="59">
        <v>44925</v>
      </c>
      <c r="K2728" s="273" t="s">
        <v>3118</v>
      </c>
    </row>
    <row r="2729" spans="1:11" x14ac:dyDescent="0.3">
      <c r="A2729" s="259">
        <f t="shared" si="102"/>
        <v>2418</v>
      </c>
      <c r="B2729" s="20" t="s">
        <v>2395</v>
      </c>
      <c r="C2729" s="162">
        <v>1951</v>
      </c>
      <c r="D2729" s="234"/>
      <c r="E2729" s="234" t="s">
        <v>3123</v>
      </c>
      <c r="F2729" s="10">
        <v>2</v>
      </c>
      <c r="G2729" s="234">
        <v>505.5</v>
      </c>
      <c r="H2729" s="10">
        <v>10</v>
      </c>
      <c r="I2729" s="273">
        <f>SUMIF('2020'!B:B,B2729,'2020'!C:C)+SUMIF('2021'!B:B,B2729,'2021'!C:C)+SUMIF('2022'!B:B,B2729,'2022'!C:C)</f>
        <v>99092.76</v>
      </c>
      <c r="J2729" s="59">
        <v>44925</v>
      </c>
      <c r="K2729" s="273" t="s">
        <v>3118</v>
      </c>
    </row>
    <row r="2730" spans="1:11" x14ac:dyDescent="0.3">
      <c r="A2730" s="259">
        <f t="shared" si="102"/>
        <v>2419</v>
      </c>
      <c r="B2730" s="20" t="s">
        <v>2396</v>
      </c>
      <c r="C2730" s="162">
        <v>1951</v>
      </c>
      <c r="D2730" s="234"/>
      <c r="E2730" s="234" t="s">
        <v>3123</v>
      </c>
      <c r="F2730" s="10">
        <v>2</v>
      </c>
      <c r="G2730" s="234">
        <v>863.9</v>
      </c>
      <c r="H2730" s="10">
        <v>14</v>
      </c>
      <c r="I2730" s="273">
        <f>SUMIF('2020'!B:B,B2730,'2020'!C:C)+SUMIF('2021'!B:B,B2730,'2021'!C:C)+SUMIF('2022'!B:B,B2730,'2022'!C:C)</f>
        <v>100162.7</v>
      </c>
      <c r="J2730" s="59">
        <v>44925</v>
      </c>
      <c r="K2730" s="273" t="s">
        <v>3118</v>
      </c>
    </row>
    <row r="2731" spans="1:11" x14ac:dyDescent="0.3">
      <c r="A2731" s="259">
        <f t="shared" si="102"/>
        <v>2420</v>
      </c>
      <c r="B2731" s="20" t="s">
        <v>2397</v>
      </c>
      <c r="C2731" s="162">
        <v>1952</v>
      </c>
      <c r="D2731" s="234"/>
      <c r="E2731" s="234" t="s">
        <v>3123</v>
      </c>
      <c r="F2731" s="10">
        <v>2</v>
      </c>
      <c r="G2731" s="234">
        <v>548.5</v>
      </c>
      <c r="H2731" s="10">
        <v>16</v>
      </c>
      <c r="I2731" s="273">
        <f>SUMIF('2020'!B:B,B2731,'2020'!C:C)+SUMIF('2021'!B:B,B2731,'2021'!C:C)+SUMIF('2022'!B:B,B2731,'2022'!C:C)</f>
        <v>207245.77000000002</v>
      </c>
      <c r="J2731" s="59">
        <v>44925</v>
      </c>
      <c r="K2731" s="273" t="s">
        <v>3118</v>
      </c>
    </row>
    <row r="2732" spans="1:11" x14ac:dyDescent="0.3">
      <c r="A2732" s="259">
        <f t="shared" si="102"/>
        <v>2421</v>
      </c>
      <c r="B2732" s="20" t="s">
        <v>2398</v>
      </c>
      <c r="C2732" s="162">
        <v>1952</v>
      </c>
      <c r="D2732" s="234"/>
      <c r="E2732" s="234" t="s">
        <v>3123</v>
      </c>
      <c r="F2732" s="10">
        <v>2</v>
      </c>
      <c r="G2732" s="234">
        <v>512.20000000000005</v>
      </c>
      <c r="H2732" s="10">
        <v>16</v>
      </c>
      <c r="I2732" s="273">
        <f>SUMIF('2020'!B:B,B2732,'2020'!C:C)+SUMIF('2021'!B:B,B2732,'2021'!C:C)+SUMIF('2022'!B:B,B2732,'2022'!C:C)</f>
        <v>233384.37</v>
      </c>
      <c r="J2732" s="59">
        <v>44925</v>
      </c>
      <c r="K2732" s="273" t="s">
        <v>3118</v>
      </c>
    </row>
    <row r="2733" spans="1:11" x14ac:dyDescent="0.3">
      <c r="A2733" s="259">
        <f t="shared" si="102"/>
        <v>2422</v>
      </c>
      <c r="B2733" s="20" t="s">
        <v>2399</v>
      </c>
      <c r="C2733" s="162">
        <v>1974</v>
      </c>
      <c r="D2733" s="234"/>
      <c r="E2733" s="234" t="s">
        <v>3123</v>
      </c>
      <c r="F2733" s="10">
        <v>5</v>
      </c>
      <c r="G2733" s="234">
        <v>4963.2</v>
      </c>
      <c r="H2733" s="10">
        <v>184</v>
      </c>
      <c r="I2733" s="273">
        <f>SUMIF('2020'!B:B,B2733,'2020'!C:C)+SUMIF('2021'!B:B,B2733,'2021'!C:C)+SUMIF('2022'!B:B,B2733,'2022'!C:C)</f>
        <v>130000</v>
      </c>
      <c r="J2733" s="59">
        <v>44925</v>
      </c>
      <c r="K2733" s="273" t="s">
        <v>3118</v>
      </c>
    </row>
    <row r="2734" spans="1:11" x14ac:dyDescent="0.3">
      <c r="A2734" s="259">
        <f t="shared" si="102"/>
        <v>2423</v>
      </c>
      <c r="B2734" s="20" t="s">
        <v>2400</v>
      </c>
      <c r="C2734" s="162">
        <v>1948</v>
      </c>
      <c r="D2734" s="234"/>
      <c r="E2734" s="234" t="s">
        <v>3123</v>
      </c>
      <c r="F2734" s="10">
        <v>2</v>
      </c>
      <c r="G2734" s="234">
        <v>553.5</v>
      </c>
      <c r="H2734" s="10">
        <v>14</v>
      </c>
      <c r="I2734" s="273">
        <f>SUMIF('2020'!B:B,B2734,'2020'!C:C)+SUMIF('2021'!B:B,B2734,'2021'!C:C)+SUMIF('2022'!B:B,B2734,'2022'!C:C)</f>
        <v>99028.38</v>
      </c>
      <c r="J2734" s="59">
        <v>44925</v>
      </c>
      <c r="K2734" s="273" t="s">
        <v>3118</v>
      </c>
    </row>
    <row r="2735" spans="1:11" x14ac:dyDescent="0.3">
      <c r="A2735" s="259">
        <f t="shared" si="102"/>
        <v>2424</v>
      </c>
      <c r="B2735" s="20" t="s">
        <v>2401</v>
      </c>
      <c r="C2735" s="162">
        <v>1950</v>
      </c>
      <c r="D2735" s="234"/>
      <c r="E2735" s="234" t="s">
        <v>3123</v>
      </c>
      <c r="F2735" s="10">
        <v>2</v>
      </c>
      <c r="G2735" s="234">
        <v>511.4</v>
      </c>
      <c r="H2735" s="10">
        <v>5</v>
      </c>
      <c r="I2735" s="273">
        <f>SUMIF('2020'!B:B,B2735,'2020'!C:C)+SUMIF('2021'!B:B,B2735,'2021'!C:C)+SUMIF('2022'!B:B,B2735,'2022'!C:C)</f>
        <v>106963.26</v>
      </c>
      <c r="J2735" s="59">
        <v>44925</v>
      </c>
      <c r="K2735" s="273" t="s">
        <v>3118</v>
      </c>
    </row>
    <row r="2736" spans="1:11" x14ac:dyDescent="0.3">
      <c r="A2736" s="259">
        <f t="shared" si="102"/>
        <v>2425</v>
      </c>
      <c r="B2736" s="20" t="s">
        <v>2402</v>
      </c>
      <c r="C2736" s="162">
        <v>1950</v>
      </c>
      <c r="D2736" s="234"/>
      <c r="E2736" s="234" t="s">
        <v>3123</v>
      </c>
      <c r="F2736" s="10">
        <v>2</v>
      </c>
      <c r="G2736" s="234">
        <v>1181.7</v>
      </c>
      <c r="H2736" s="10">
        <v>42</v>
      </c>
      <c r="I2736" s="273">
        <f>SUMIF('2020'!B:B,B2736,'2020'!C:C)+SUMIF('2021'!B:B,B2736,'2021'!C:C)+SUMIF('2022'!B:B,B2736,'2022'!C:C)</f>
        <v>136376.46</v>
      </c>
      <c r="J2736" s="59">
        <v>44925</v>
      </c>
      <c r="K2736" s="273" t="s">
        <v>3118</v>
      </c>
    </row>
    <row r="2737" spans="1:11" x14ac:dyDescent="0.3">
      <c r="A2737" s="259">
        <f t="shared" si="102"/>
        <v>2426</v>
      </c>
      <c r="B2737" s="20" t="s">
        <v>2403</v>
      </c>
      <c r="C2737" s="162">
        <v>1951</v>
      </c>
      <c r="D2737" s="234"/>
      <c r="E2737" s="234" t="s">
        <v>3123</v>
      </c>
      <c r="F2737" s="10">
        <v>2</v>
      </c>
      <c r="G2737" s="234">
        <v>598.29999999999995</v>
      </c>
      <c r="H2737" s="10">
        <v>13</v>
      </c>
      <c r="I2737" s="273">
        <f>SUMIF('2020'!B:B,B2737,'2020'!C:C)+SUMIF('2021'!B:B,B2737,'2021'!C:C)+SUMIF('2022'!B:B,B2737,'2022'!C:C)</f>
        <v>99560.09</v>
      </c>
      <c r="J2737" s="59">
        <v>44925</v>
      </c>
      <c r="K2737" s="273" t="s">
        <v>3118</v>
      </c>
    </row>
    <row r="2738" spans="1:11" x14ac:dyDescent="0.3">
      <c r="A2738" s="259">
        <f t="shared" si="102"/>
        <v>2427</v>
      </c>
      <c r="B2738" s="20" t="s">
        <v>2404</v>
      </c>
      <c r="C2738" s="162">
        <v>1951</v>
      </c>
      <c r="D2738" s="234"/>
      <c r="E2738" s="234" t="s">
        <v>3123</v>
      </c>
      <c r="F2738" s="10">
        <v>2</v>
      </c>
      <c r="G2738" s="234">
        <v>581.20000000000005</v>
      </c>
      <c r="H2738" s="10">
        <v>29</v>
      </c>
      <c r="I2738" s="273">
        <f>SUMIF('2020'!B:B,B2738,'2020'!C:C)+SUMIF('2021'!B:B,B2738,'2021'!C:C)+SUMIF('2022'!B:B,B2738,'2022'!C:C)</f>
        <v>110929.98</v>
      </c>
      <c r="J2738" s="59">
        <v>44925</v>
      </c>
      <c r="K2738" s="273" t="s">
        <v>3118</v>
      </c>
    </row>
    <row r="2739" spans="1:11" x14ac:dyDescent="0.3">
      <c r="A2739" s="259">
        <f t="shared" si="102"/>
        <v>2428</v>
      </c>
      <c r="B2739" s="20" t="s">
        <v>2405</v>
      </c>
      <c r="C2739" s="162">
        <v>1950</v>
      </c>
      <c r="D2739" s="234"/>
      <c r="E2739" s="234" t="s">
        <v>3123</v>
      </c>
      <c r="F2739" s="10">
        <v>2</v>
      </c>
      <c r="G2739" s="234">
        <v>280.86</v>
      </c>
      <c r="H2739" s="10">
        <v>5</v>
      </c>
      <c r="I2739" s="273">
        <f>SUMIF('2020'!B:B,B2739,'2020'!C:C)+SUMIF('2021'!B:B,B2739,'2021'!C:C)+SUMIF('2022'!B:B,B2739,'2022'!C:C)</f>
        <v>130000</v>
      </c>
      <c r="J2739" s="59">
        <v>44925</v>
      </c>
      <c r="K2739" s="273" t="s">
        <v>3118</v>
      </c>
    </row>
    <row r="2740" spans="1:11" x14ac:dyDescent="0.3">
      <c r="A2740" s="259">
        <f t="shared" si="102"/>
        <v>2429</v>
      </c>
      <c r="B2740" s="20" t="s">
        <v>2406</v>
      </c>
      <c r="C2740" s="162">
        <v>1950</v>
      </c>
      <c r="D2740" s="234"/>
      <c r="E2740" s="234" t="s">
        <v>3123</v>
      </c>
      <c r="F2740" s="10">
        <v>2</v>
      </c>
      <c r="G2740" s="234">
        <v>537.29999999999995</v>
      </c>
      <c r="H2740" s="10">
        <v>16</v>
      </c>
      <c r="I2740" s="273">
        <f>SUMIF('2020'!B:B,B2740,'2020'!C:C)+SUMIF('2021'!B:B,B2740,'2021'!C:C)+SUMIF('2022'!B:B,B2740,'2022'!C:C)</f>
        <v>101674.27</v>
      </c>
      <c r="J2740" s="59">
        <v>44925</v>
      </c>
      <c r="K2740" s="273" t="s">
        <v>3118</v>
      </c>
    </row>
    <row r="2741" spans="1:11" x14ac:dyDescent="0.3">
      <c r="A2741" s="259">
        <f t="shared" si="102"/>
        <v>2430</v>
      </c>
      <c r="B2741" s="20" t="s">
        <v>2407</v>
      </c>
      <c r="C2741" s="162">
        <v>1951</v>
      </c>
      <c r="D2741" s="234"/>
      <c r="E2741" s="234" t="s">
        <v>3123</v>
      </c>
      <c r="F2741" s="10">
        <v>2</v>
      </c>
      <c r="G2741" s="234">
        <v>536.70000000000005</v>
      </c>
      <c r="H2741" s="10">
        <v>12</v>
      </c>
      <c r="I2741" s="273">
        <f>SUMIF('2020'!B:B,B2741,'2020'!C:C)+SUMIF('2021'!B:B,B2741,'2021'!C:C)+SUMIF('2022'!B:B,B2741,'2022'!C:C)</f>
        <v>2835844.9699999997</v>
      </c>
      <c r="J2741" s="59">
        <v>44925</v>
      </c>
      <c r="K2741" s="273" t="s">
        <v>3118</v>
      </c>
    </row>
    <row r="2742" spans="1:11" x14ac:dyDescent="0.3">
      <c r="A2742" s="259">
        <f t="shared" si="102"/>
        <v>2431</v>
      </c>
      <c r="B2742" s="20" t="s">
        <v>2408</v>
      </c>
      <c r="C2742" s="162">
        <v>1950</v>
      </c>
      <c r="D2742" s="234"/>
      <c r="E2742" s="234" t="s">
        <v>3123</v>
      </c>
      <c r="F2742" s="10">
        <v>2</v>
      </c>
      <c r="G2742" s="234">
        <v>1376.3</v>
      </c>
      <c r="H2742" s="10">
        <v>33</v>
      </c>
      <c r="I2742" s="273">
        <f>SUMIF('2020'!B:B,B2742,'2020'!C:C)+SUMIF('2021'!B:B,B2742,'2021'!C:C)+SUMIF('2022'!B:B,B2742,'2022'!C:C)</f>
        <v>130000</v>
      </c>
      <c r="J2742" s="59">
        <v>44925</v>
      </c>
      <c r="K2742" s="273" t="s">
        <v>3118</v>
      </c>
    </row>
    <row r="2743" spans="1:11" x14ac:dyDescent="0.3">
      <c r="A2743" s="259">
        <f t="shared" si="102"/>
        <v>2432</v>
      </c>
      <c r="B2743" s="20" t="s">
        <v>2409</v>
      </c>
      <c r="C2743" s="162">
        <v>1949</v>
      </c>
      <c r="D2743" s="234"/>
      <c r="E2743" s="234" t="s">
        <v>3123</v>
      </c>
      <c r="F2743" s="10">
        <v>2</v>
      </c>
      <c r="G2743" s="234">
        <v>763.2</v>
      </c>
      <c r="H2743" s="10">
        <v>46</v>
      </c>
      <c r="I2743" s="273">
        <f>SUMIF('2020'!B:B,B2743,'2020'!C:C)+SUMIF('2021'!B:B,B2743,'2021'!C:C)+SUMIF('2022'!B:B,B2743,'2022'!C:C)</f>
        <v>776457.27</v>
      </c>
      <c r="J2743" s="59">
        <v>44925</v>
      </c>
      <c r="K2743" s="273" t="s">
        <v>3118</v>
      </c>
    </row>
    <row r="2744" spans="1:11" x14ac:dyDescent="0.3">
      <c r="A2744" s="259">
        <f t="shared" si="102"/>
        <v>2433</v>
      </c>
      <c r="B2744" s="20" t="s">
        <v>2410</v>
      </c>
      <c r="C2744" s="162">
        <v>1951</v>
      </c>
      <c r="D2744" s="234"/>
      <c r="E2744" s="234" t="s">
        <v>3123</v>
      </c>
      <c r="F2744" s="10">
        <v>2</v>
      </c>
      <c r="G2744" s="234">
        <v>399.3</v>
      </c>
      <c r="H2744" s="10">
        <v>16</v>
      </c>
      <c r="I2744" s="273">
        <f>SUMIF('2020'!B:B,B2744,'2020'!C:C)+SUMIF('2021'!B:B,B2744,'2021'!C:C)+SUMIF('2022'!B:B,B2744,'2022'!C:C)</f>
        <v>219940.9</v>
      </c>
      <c r="J2744" s="59">
        <v>44925</v>
      </c>
      <c r="K2744" s="273" t="s">
        <v>3118</v>
      </c>
    </row>
    <row r="2745" spans="1:11" x14ac:dyDescent="0.3">
      <c r="A2745" s="259">
        <f t="shared" si="102"/>
        <v>2434</v>
      </c>
      <c r="B2745" s="20" t="s">
        <v>2411</v>
      </c>
      <c r="C2745" s="162">
        <v>1947</v>
      </c>
      <c r="D2745" s="234"/>
      <c r="E2745" s="234" t="s">
        <v>3123</v>
      </c>
      <c r="F2745" s="10">
        <v>2</v>
      </c>
      <c r="G2745" s="234">
        <v>746.2</v>
      </c>
      <c r="H2745" s="10">
        <v>38</v>
      </c>
      <c r="I2745" s="273">
        <f>SUMIF('2020'!B:B,B2745,'2020'!C:C)+SUMIF('2021'!B:B,B2745,'2021'!C:C)+SUMIF('2022'!B:B,B2745,'2022'!C:C)</f>
        <v>918215.59000000008</v>
      </c>
      <c r="J2745" s="59">
        <v>44925</v>
      </c>
      <c r="K2745" s="273" t="s">
        <v>3118</v>
      </c>
    </row>
    <row r="2746" spans="1:11" x14ac:dyDescent="0.3">
      <c r="A2746" s="259">
        <f t="shared" si="102"/>
        <v>2435</v>
      </c>
      <c r="B2746" s="20" t="s">
        <v>2412</v>
      </c>
      <c r="C2746" s="162">
        <v>1947</v>
      </c>
      <c r="D2746" s="234"/>
      <c r="E2746" s="234" t="s">
        <v>3123</v>
      </c>
      <c r="F2746" s="10">
        <v>2</v>
      </c>
      <c r="G2746" s="234">
        <v>777.6</v>
      </c>
      <c r="H2746" s="10">
        <v>41</v>
      </c>
      <c r="I2746" s="273">
        <f>SUMIF('2020'!B:B,B2746,'2020'!C:C)+SUMIF('2021'!B:B,B2746,'2021'!C:C)+SUMIF('2022'!B:B,B2746,'2022'!C:C)</f>
        <v>963403.03</v>
      </c>
      <c r="J2746" s="59">
        <v>44925</v>
      </c>
      <c r="K2746" s="273" t="s">
        <v>3118</v>
      </c>
    </row>
    <row r="2747" spans="1:11" x14ac:dyDescent="0.3">
      <c r="A2747" s="259">
        <f t="shared" si="102"/>
        <v>2436</v>
      </c>
      <c r="B2747" s="20" t="s">
        <v>2413</v>
      </c>
      <c r="C2747" s="162">
        <v>1949</v>
      </c>
      <c r="D2747" s="234"/>
      <c r="E2747" s="234" t="s">
        <v>3123</v>
      </c>
      <c r="F2747" s="10">
        <v>2</v>
      </c>
      <c r="G2747" s="234">
        <v>783.4</v>
      </c>
      <c r="H2747" s="10">
        <v>36</v>
      </c>
      <c r="I2747" s="273">
        <f>SUMIF('2020'!B:B,B2747,'2020'!C:C)+SUMIF('2021'!B:B,B2747,'2021'!C:C)+SUMIF('2022'!B:B,B2747,'2022'!C:C)</f>
        <v>870606.5</v>
      </c>
      <c r="J2747" s="59">
        <v>44925</v>
      </c>
      <c r="K2747" s="273" t="s">
        <v>3118</v>
      </c>
    </row>
    <row r="2748" spans="1:11" x14ac:dyDescent="0.3">
      <c r="A2748" s="259">
        <f t="shared" si="102"/>
        <v>2437</v>
      </c>
      <c r="B2748" s="20" t="s">
        <v>2414</v>
      </c>
      <c r="C2748" s="162">
        <v>1951</v>
      </c>
      <c r="D2748" s="234"/>
      <c r="E2748" s="234" t="s">
        <v>3123</v>
      </c>
      <c r="F2748" s="10">
        <v>2</v>
      </c>
      <c r="G2748" s="234">
        <v>604.70000000000005</v>
      </c>
      <c r="H2748" s="10">
        <v>28</v>
      </c>
      <c r="I2748" s="273">
        <f>SUMIF('2020'!B:B,B2748,'2020'!C:C)+SUMIF('2021'!B:B,B2748,'2021'!C:C)+SUMIF('2022'!B:B,B2748,'2022'!C:C)</f>
        <v>746259.65</v>
      </c>
      <c r="J2748" s="59">
        <v>44925</v>
      </c>
      <c r="K2748" s="273" t="s">
        <v>3118</v>
      </c>
    </row>
    <row r="2749" spans="1:11" x14ac:dyDescent="0.3">
      <c r="A2749" s="259">
        <f t="shared" si="102"/>
        <v>2438</v>
      </c>
      <c r="B2749" s="20" t="s">
        <v>2415</v>
      </c>
      <c r="C2749" s="162">
        <v>1949</v>
      </c>
      <c r="D2749" s="234"/>
      <c r="E2749" s="234" t="s">
        <v>3123</v>
      </c>
      <c r="F2749" s="10">
        <v>2</v>
      </c>
      <c r="G2749" s="234">
        <v>283</v>
      </c>
      <c r="H2749" s="10">
        <v>13</v>
      </c>
      <c r="I2749" s="273">
        <f>SUMIF('2020'!B:B,B2749,'2020'!C:C)+SUMIF('2021'!B:B,B2749,'2021'!C:C)+SUMIF('2022'!B:B,B2749,'2022'!C:C)</f>
        <v>463689.76</v>
      </c>
      <c r="J2749" s="59">
        <v>44925</v>
      </c>
      <c r="K2749" s="273" t="s">
        <v>3118</v>
      </c>
    </row>
    <row r="2750" spans="1:11" x14ac:dyDescent="0.3">
      <c r="A2750" s="259">
        <f t="shared" si="102"/>
        <v>2439</v>
      </c>
      <c r="B2750" s="20" t="s">
        <v>2416</v>
      </c>
      <c r="C2750" s="162">
        <v>1951</v>
      </c>
      <c r="D2750" s="234"/>
      <c r="E2750" s="234" t="s">
        <v>3123</v>
      </c>
      <c r="F2750" s="10">
        <v>2</v>
      </c>
      <c r="G2750" s="234">
        <v>619.79999999999995</v>
      </c>
      <c r="H2750" s="10">
        <v>39</v>
      </c>
      <c r="I2750" s="273">
        <f>SUMIF('2020'!B:B,B2750,'2020'!C:C)+SUMIF('2021'!B:B,B2750,'2021'!C:C)+SUMIF('2022'!B:B,B2750,'2022'!C:C)</f>
        <v>724381.45</v>
      </c>
      <c r="J2750" s="59">
        <v>44925</v>
      </c>
      <c r="K2750" s="273" t="s">
        <v>3118</v>
      </c>
    </row>
    <row r="2751" spans="1:11" x14ac:dyDescent="0.3">
      <c r="A2751" s="259">
        <f t="shared" si="102"/>
        <v>2440</v>
      </c>
      <c r="B2751" s="20" t="s">
        <v>2417</v>
      </c>
      <c r="C2751" s="162">
        <v>1950</v>
      </c>
      <c r="D2751" s="234"/>
      <c r="E2751" s="234" t="s">
        <v>3123</v>
      </c>
      <c r="F2751" s="10">
        <v>2</v>
      </c>
      <c r="G2751" s="234">
        <v>601.9</v>
      </c>
      <c r="H2751" s="10">
        <v>35</v>
      </c>
      <c r="I2751" s="273">
        <f>SUMIF('2020'!B:B,B2751,'2020'!C:C)+SUMIF('2021'!B:B,B2751,'2021'!C:C)+SUMIF('2022'!B:B,B2751,'2022'!C:C)</f>
        <v>751689.49</v>
      </c>
      <c r="J2751" s="59">
        <v>44925</v>
      </c>
      <c r="K2751" s="273" t="s">
        <v>3118</v>
      </c>
    </row>
    <row r="2752" spans="1:11" x14ac:dyDescent="0.3">
      <c r="A2752" s="259">
        <f t="shared" si="102"/>
        <v>2441</v>
      </c>
      <c r="B2752" s="20" t="s">
        <v>2418</v>
      </c>
      <c r="C2752" s="162">
        <v>1947</v>
      </c>
      <c r="D2752" s="234"/>
      <c r="E2752" s="234" t="s">
        <v>3123</v>
      </c>
      <c r="F2752" s="10">
        <v>2</v>
      </c>
      <c r="G2752" s="234">
        <v>268.8</v>
      </c>
      <c r="H2752" s="10">
        <v>10</v>
      </c>
      <c r="I2752" s="273">
        <f>SUMIF('2020'!B:B,B2752,'2020'!C:C)+SUMIF('2021'!B:B,B2752,'2021'!C:C)+SUMIF('2022'!B:B,B2752,'2022'!C:C)</f>
        <v>709962.84</v>
      </c>
      <c r="J2752" s="59">
        <v>44925</v>
      </c>
      <c r="K2752" s="273" t="s">
        <v>3118</v>
      </c>
    </row>
    <row r="2753" spans="1:11" x14ac:dyDescent="0.3">
      <c r="A2753" s="259">
        <f t="shared" si="102"/>
        <v>2442</v>
      </c>
      <c r="B2753" s="20" t="s">
        <v>2419</v>
      </c>
      <c r="C2753" s="162">
        <v>1948</v>
      </c>
      <c r="D2753" s="234"/>
      <c r="E2753" s="234" t="s">
        <v>3123</v>
      </c>
      <c r="F2753" s="10">
        <v>2</v>
      </c>
      <c r="G2753" s="234">
        <v>285.8</v>
      </c>
      <c r="H2753" s="10">
        <v>12</v>
      </c>
      <c r="I2753" s="273">
        <f>SUMIF('2020'!B:B,B2753,'2020'!C:C)+SUMIF('2021'!B:B,B2753,'2021'!C:C)+SUMIF('2022'!B:B,B2753,'2022'!C:C)</f>
        <v>631095.40999999992</v>
      </c>
      <c r="J2753" s="59">
        <v>44925</v>
      </c>
      <c r="K2753" s="273" t="s">
        <v>3118</v>
      </c>
    </row>
    <row r="2754" spans="1:11" x14ac:dyDescent="0.3">
      <c r="A2754" s="259">
        <f t="shared" si="102"/>
        <v>2443</v>
      </c>
      <c r="B2754" s="20" t="s">
        <v>2420</v>
      </c>
      <c r="C2754" s="162">
        <v>1949</v>
      </c>
      <c r="D2754" s="234"/>
      <c r="E2754" s="234" t="s">
        <v>3123</v>
      </c>
      <c r="F2754" s="10">
        <v>2</v>
      </c>
      <c r="G2754" s="234">
        <v>623.6</v>
      </c>
      <c r="H2754" s="10">
        <v>27</v>
      </c>
      <c r="I2754" s="273">
        <f>SUMIF('2020'!B:B,B2754,'2020'!C:C)+SUMIF('2021'!B:B,B2754,'2021'!C:C)+SUMIF('2022'!B:B,B2754,'2022'!C:C)</f>
        <v>751636.16999999993</v>
      </c>
      <c r="J2754" s="59">
        <v>44925</v>
      </c>
      <c r="K2754" s="273" t="s">
        <v>3118</v>
      </c>
    </row>
    <row r="2755" spans="1:11" x14ac:dyDescent="0.3">
      <c r="A2755" s="259">
        <f t="shared" ref="A2755:A2785" si="103">A2754+1</f>
        <v>2444</v>
      </c>
      <c r="B2755" s="20" t="s">
        <v>2421</v>
      </c>
      <c r="C2755" s="162">
        <v>1949</v>
      </c>
      <c r="D2755" s="234"/>
      <c r="E2755" s="234" t="s">
        <v>3123</v>
      </c>
      <c r="F2755" s="10">
        <v>2</v>
      </c>
      <c r="G2755" s="234">
        <v>287.8</v>
      </c>
      <c r="H2755" s="10">
        <v>6</v>
      </c>
      <c r="I2755" s="273">
        <f>SUMIF('2020'!B:B,B2755,'2020'!C:C)+SUMIF('2021'!B:B,B2755,'2021'!C:C)+SUMIF('2022'!B:B,B2755,'2022'!C:C)</f>
        <v>175822.57</v>
      </c>
      <c r="J2755" s="59">
        <v>44925</v>
      </c>
      <c r="K2755" s="273" t="s">
        <v>3118</v>
      </c>
    </row>
    <row r="2756" spans="1:11" x14ac:dyDescent="0.3">
      <c r="A2756" s="259">
        <f t="shared" si="103"/>
        <v>2445</v>
      </c>
      <c r="B2756" s="20" t="s">
        <v>2422</v>
      </c>
      <c r="C2756" s="162">
        <v>1950</v>
      </c>
      <c r="D2756" s="234"/>
      <c r="E2756" s="234" t="s">
        <v>3123</v>
      </c>
      <c r="F2756" s="10">
        <v>2</v>
      </c>
      <c r="G2756" s="234">
        <v>289.10000000000002</v>
      </c>
      <c r="H2756" s="10">
        <v>8</v>
      </c>
      <c r="I2756" s="273">
        <f>SUMIF('2020'!B:B,B2756,'2020'!C:C)+SUMIF('2021'!B:B,B2756,'2021'!C:C)+SUMIF('2022'!B:B,B2756,'2022'!C:C)</f>
        <v>648104.31000000006</v>
      </c>
      <c r="J2756" s="59">
        <v>44925</v>
      </c>
      <c r="K2756" s="273" t="s">
        <v>3118</v>
      </c>
    </row>
    <row r="2757" spans="1:11" x14ac:dyDescent="0.3">
      <c r="A2757" s="259">
        <f t="shared" si="103"/>
        <v>2446</v>
      </c>
      <c r="B2757" s="20" t="s">
        <v>2423</v>
      </c>
      <c r="C2757" s="162">
        <v>1949</v>
      </c>
      <c r="D2757" s="234"/>
      <c r="E2757" s="234" t="s">
        <v>3123</v>
      </c>
      <c r="F2757" s="10">
        <v>4</v>
      </c>
      <c r="G2757" s="234">
        <v>692.3</v>
      </c>
      <c r="H2757" s="10">
        <v>26</v>
      </c>
      <c r="I2757" s="273">
        <f>SUMIF('2020'!B:B,B2757,'2020'!C:C)+SUMIF('2021'!B:B,B2757,'2021'!C:C)+SUMIF('2022'!B:B,B2757,'2022'!C:C)</f>
        <v>780267.66999999993</v>
      </c>
      <c r="J2757" s="59">
        <v>44925</v>
      </c>
      <c r="K2757" s="273" t="s">
        <v>3118</v>
      </c>
    </row>
    <row r="2758" spans="1:11" x14ac:dyDescent="0.3">
      <c r="A2758" s="259">
        <f t="shared" si="103"/>
        <v>2447</v>
      </c>
      <c r="B2758" s="20" t="s">
        <v>2424</v>
      </c>
      <c r="C2758" s="162">
        <v>1949</v>
      </c>
      <c r="D2758" s="234"/>
      <c r="E2758" s="234" t="s">
        <v>3123</v>
      </c>
      <c r="F2758" s="10">
        <v>5</v>
      </c>
      <c r="G2758" s="234">
        <v>692.3</v>
      </c>
      <c r="H2758" s="10">
        <v>34</v>
      </c>
      <c r="I2758" s="273">
        <f>SUMIF('2020'!B:B,B2758,'2020'!C:C)+SUMIF('2021'!B:B,B2758,'2021'!C:C)+SUMIF('2022'!B:B,B2758,'2022'!C:C)</f>
        <v>812021.20000000007</v>
      </c>
      <c r="J2758" s="59">
        <v>44925</v>
      </c>
      <c r="K2758" s="273" t="s">
        <v>3118</v>
      </c>
    </row>
    <row r="2759" spans="1:11" x14ac:dyDescent="0.3">
      <c r="A2759" s="259">
        <f t="shared" si="103"/>
        <v>2448</v>
      </c>
      <c r="B2759" s="20" t="s">
        <v>2425</v>
      </c>
      <c r="C2759" s="162">
        <v>1947</v>
      </c>
      <c r="D2759" s="234"/>
      <c r="E2759" s="234" t="s">
        <v>3123</v>
      </c>
      <c r="F2759" s="10">
        <v>6</v>
      </c>
      <c r="G2759" s="234">
        <v>794.9</v>
      </c>
      <c r="H2759" s="10">
        <v>54</v>
      </c>
      <c r="I2759" s="273">
        <f>SUMIF('2020'!B:B,B2759,'2020'!C:C)+SUMIF('2021'!B:B,B2759,'2021'!C:C)+SUMIF('2022'!B:B,B2759,'2022'!C:C)</f>
        <v>854175.57</v>
      </c>
      <c r="J2759" s="59">
        <v>44925</v>
      </c>
      <c r="K2759" s="273" t="s">
        <v>3118</v>
      </c>
    </row>
    <row r="2760" spans="1:11" x14ac:dyDescent="0.3">
      <c r="A2760" s="259">
        <f t="shared" si="103"/>
        <v>2449</v>
      </c>
      <c r="B2760" s="20" t="s">
        <v>2426</v>
      </c>
      <c r="C2760" s="162">
        <v>1946</v>
      </c>
      <c r="D2760" s="234"/>
      <c r="E2760" s="234" t="s">
        <v>3123</v>
      </c>
      <c r="F2760" s="10">
        <v>3</v>
      </c>
      <c r="G2760" s="234">
        <v>2750.3</v>
      </c>
      <c r="H2760" s="10">
        <v>76</v>
      </c>
      <c r="I2760" s="273">
        <f>SUMIF('2020'!B:B,B2760,'2020'!C:C)+SUMIF('2021'!B:B,B2760,'2021'!C:C)+SUMIF('2022'!B:B,B2760,'2022'!C:C)</f>
        <v>160500.28</v>
      </c>
      <c r="J2760" s="59">
        <v>44925</v>
      </c>
      <c r="K2760" s="273" t="s">
        <v>3118</v>
      </c>
    </row>
    <row r="2761" spans="1:11" x14ac:dyDescent="0.3">
      <c r="A2761" s="259">
        <f t="shared" si="103"/>
        <v>2450</v>
      </c>
      <c r="B2761" s="20" t="s">
        <v>2427</v>
      </c>
      <c r="C2761" s="162">
        <v>1946</v>
      </c>
      <c r="D2761" s="234"/>
      <c r="E2761" s="234" t="s">
        <v>3123</v>
      </c>
      <c r="F2761" s="10">
        <v>2</v>
      </c>
      <c r="G2761" s="234">
        <v>2084.1</v>
      </c>
      <c r="H2761" s="10">
        <v>43</v>
      </c>
      <c r="I2761" s="273">
        <f>SUMIF('2020'!B:B,B2761,'2020'!C:C)+SUMIF('2021'!B:B,B2761,'2021'!C:C)+SUMIF('2022'!B:B,B2761,'2022'!C:C)</f>
        <v>105625.08</v>
      </c>
      <c r="J2761" s="59">
        <v>44925</v>
      </c>
      <c r="K2761" s="273" t="s">
        <v>3118</v>
      </c>
    </row>
    <row r="2762" spans="1:11" x14ac:dyDescent="0.3">
      <c r="A2762" s="259">
        <f t="shared" si="103"/>
        <v>2451</v>
      </c>
      <c r="B2762" s="20" t="s">
        <v>2428</v>
      </c>
      <c r="C2762" s="162">
        <v>1952</v>
      </c>
      <c r="D2762" s="234"/>
      <c r="E2762" s="234" t="s">
        <v>3590</v>
      </c>
      <c r="F2762" s="10">
        <v>2</v>
      </c>
      <c r="G2762" s="234">
        <v>1492.8</v>
      </c>
      <c r="H2762" s="10">
        <v>21</v>
      </c>
      <c r="I2762" s="273">
        <f>SUMIF('2020'!B:B,B2762,'2020'!C:C)+SUMIF('2021'!B:B,B2762,'2021'!C:C)+SUMIF('2022'!B:B,B2762,'2022'!C:C)</f>
        <v>130000</v>
      </c>
      <c r="J2762" s="59">
        <v>44925</v>
      </c>
      <c r="K2762" s="273" t="s">
        <v>3118</v>
      </c>
    </row>
    <row r="2763" spans="1:11" x14ac:dyDescent="0.3">
      <c r="A2763" s="259">
        <f t="shared" si="103"/>
        <v>2452</v>
      </c>
      <c r="B2763" s="20" t="s">
        <v>2429</v>
      </c>
      <c r="C2763" s="162">
        <v>1950</v>
      </c>
      <c r="D2763" s="234"/>
      <c r="E2763" s="234" t="s">
        <v>3123</v>
      </c>
      <c r="F2763" s="10">
        <v>2</v>
      </c>
      <c r="G2763" s="234">
        <v>618.6</v>
      </c>
      <c r="H2763" s="10">
        <v>34</v>
      </c>
      <c r="I2763" s="273">
        <f>SUMIF('2020'!B:B,B2763,'2020'!C:C)+SUMIF('2021'!B:B,B2763,'2021'!C:C)+SUMIF('2022'!B:B,B2763,'2022'!C:C)</f>
        <v>216878.59</v>
      </c>
      <c r="J2763" s="59">
        <v>44925</v>
      </c>
      <c r="K2763" s="273" t="s">
        <v>3118</v>
      </c>
    </row>
    <row r="2764" spans="1:11" x14ac:dyDescent="0.3">
      <c r="A2764" s="259">
        <f t="shared" si="103"/>
        <v>2453</v>
      </c>
      <c r="B2764" s="20" t="s">
        <v>2430</v>
      </c>
      <c r="C2764" s="162">
        <v>1965</v>
      </c>
      <c r="D2764" s="234"/>
      <c r="E2764" s="234" t="s">
        <v>3129</v>
      </c>
      <c r="F2764" s="10">
        <v>5</v>
      </c>
      <c r="G2764" s="234">
        <v>6307.7</v>
      </c>
      <c r="H2764" s="10">
        <v>242</v>
      </c>
      <c r="I2764" s="273">
        <f>SUMIF('2020'!B:B,B2764,'2020'!C:C)+SUMIF('2021'!B:B,B2764,'2021'!C:C)+SUMIF('2022'!B:B,B2764,'2022'!C:C)</f>
        <v>323053.63</v>
      </c>
      <c r="J2764" s="59">
        <v>44925</v>
      </c>
      <c r="K2764" s="273" t="s">
        <v>3118</v>
      </c>
    </row>
    <row r="2765" spans="1:11" x14ac:dyDescent="0.3">
      <c r="A2765" s="259">
        <f t="shared" si="103"/>
        <v>2454</v>
      </c>
      <c r="B2765" s="20" t="s">
        <v>2431</v>
      </c>
      <c r="C2765" s="162">
        <v>1951</v>
      </c>
      <c r="D2765" s="234"/>
      <c r="E2765" s="234" t="s">
        <v>3123</v>
      </c>
      <c r="F2765" s="10">
        <v>2</v>
      </c>
      <c r="G2765" s="234">
        <v>280.10000000000002</v>
      </c>
      <c r="H2765" s="10">
        <v>7</v>
      </c>
      <c r="I2765" s="273">
        <f>SUMIF('2020'!B:B,B2765,'2020'!C:C)+SUMIF('2021'!B:B,B2765,'2021'!C:C)+SUMIF('2022'!B:B,B2765,'2022'!C:C)</f>
        <v>183723.71</v>
      </c>
      <c r="J2765" s="59">
        <v>44925</v>
      </c>
      <c r="K2765" s="273" t="s">
        <v>3118</v>
      </c>
    </row>
    <row r="2766" spans="1:11" x14ac:dyDescent="0.3">
      <c r="A2766" s="259">
        <f t="shared" si="103"/>
        <v>2455</v>
      </c>
      <c r="B2766" s="20" t="s">
        <v>2432</v>
      </c>
      <c r="C2766" s="162">
        <v>1950</v>
      </c>
      <c r="D2766" s="234"/>
      <c r="E2766" s="234" t="s">
        <v>3123</v>
      </c>
      <c r="F2766" s="10">
        <v>2</v>
      </c>
      <c r="G2766" s="234">
        <v>556.1</v>
      </c>
      <c r="H2766" s="10">
        <v>17</v>
      </c>
      <c r="I2766" s="273">
        <f>SUMIF('2020'!B:B,B2766,'2020'!C:C)+SUMIF('2021'!B:B,B2766,'2021'!C:C)+SUMIF('2022'!B:B,B2766,'2022'!C:C)</f>
        <v>110048.5</v>
      </c>
      <c r="J2766" s="59">
        <v>44925</v>
      </c>
      <c r="K2766" s="273" t="s">
        <v>3118</v>
      </c>
    </row>
    <row r="2767" spans="1:11" x14ac:dyDescent="0.3">
      <c r="A2767" s="259">
        <f t="shared" si="103"/>
        <v>2456</v>
      </c>
      <c r="B2767" s="20" t="s">
        <v>2433</v>
      </c>
      <c r="C2767" s="162">
        <v>1952</v>
      </c>
      <c r="D2767" s="234"/>
      <c r="E2767" s="234" t="s">
        <v>3123</v>
      </c>
      <c r="F2767" s="10">
        <v>2</v>
      </c>
      <c r="G2767" s="234">
        <v>602</v>
      </c>
      <c r="H2767" s="10">
        <v>37</v>
      </c>
      <c r="I2767" s="273">
        <f>SUMIF('2020'!B:B,B2767,'2020'!C:C)+SUMIF('2021'!B:B,B2767,'2021'!C:C)+SUMIF('2022'!B:B,B2767,'2022'!C:C)</f>
        <v>196261.02</v>
      </c>
      <c r="J2767" s="59">
        <v>44925</v>
      </c>
      <c r="K2767" s="273" t="s">
        <v>3118</v>
      </c>
    </row>
    <row r="2768" spans="1:11" x14ac:dyDescent="0.3">
      <c r="A2768" s="259">
        <f t="shared" si="103"/>
        <v>2457</v>
      </c>
      <c r="B2768" s="20" t="s">
        <v>2434</v>
      </c>
      <c r="C2768" s="162">
        <v>1950</v>
      </c>
      <c r="D2768" s="234"/>
      <c r="E2768" s="234" t="s">
        <v>3123</v>
      </c>
      <c r="F2768" s="10">
        <v>2</v>
      </c>
      <c r="G2768" s="234">
        <v>617</v>
      </c>
      <c r="H2768" s="10">
        <v>43</v>
      </c>
      <c r="I2768" s="273">
        <f>SUMIF('2020'!B:B,B2768,'2020'!C:C)+SUMIF('2021'!B:B,B2768,'2021'!C:C)+SUMIF('2022'!B:B,B2768,'2022'!C:C)</f>
        <v>200520.74</v>
      </c>
      <c r="J2768" s="59">
        <v>44925</v>
      </c>
      <c r="K2768" s="273" t="s">
        <v>3118</v>
      </c>
    </row>
    <row r="2769" spans="1:11" x14ac:dyDescent="0.3">
      <c r="A2769" s="259">
        <f t="shared" si="103"/>
        <v>2458</v>
      </c>
      <c r="B2769" s="20" t="s">
        <v>2435</v>
      </c>
      <c r="C2769" s="162">
        <v>1952</v>
      </c>
      <c r="D2769" s="234"/>
      <c r="E2769" s="234" t="s">
        <v>3123</v>
      </c>
      <c r="F2769" s="10">
        <v>2</v>
      </c>
      <c r="G2769" s="234">
        <v>387.1</v>
      </c>
      <c r="H2769" s="10">
        <v>17</v>
      </c>
      <c r="I2769" s="273">
        <f>SUMIF('2020'!B:B,B2769,'2020'!C:C)+SUMIF('2021'!B:B,B2769,'2021'!C:C)+SUMIF('2022'!B:B,B2769,'2022'!C:C)</f>
        <v>214743.47</v>
      </c>
      <c r="J2769" s="59">
        <v>44925</v>
      </c>
      <c r="K2769" s="273" t="s">
        <v>3118</v>
      </c>
    </row>
    <row r="2770" spans="1:11" x14ac:dyDescent="0.3">
      <c r="A2770" s="259">
        <f t="shared" si="103"/>
        <v>2459</v>
      </c>
      <c r="B2770" s="20" t="s">
        <v>2436</v>
      </c>
      <c r="C2770" s="162">
        <v>1952</v>
      </c>
      <c r="D2770" s="234"/>
      <c r="E2770" s="234" t="s">
        <v>3123</v>
      </c>
      <c r="F2770" s="10">
        <v>2</v>
      </c>
      <c r="G2770" s="234">
        <v>400.8</v>
      </c>
      <c r="H2770" s="10">
        <v>14</v>
      </c>
      <c r="I2770" s="273">
        <f>SUMIF('2020'!B:B,B2770,'2020'!C:C)+SUMIF('2021'!B:B,B2770,'2021'!C:C)+SUMIF('2022'!B:B,B2770,'2022'!C:C)</f>
        <v>208535.23</v>
      </c>
      <c r="J2770" s="59">
        <v>44925</v>
      </c>
      <c r="K2770" s="273" t="s">
        <v>3118</v>
      </c>
    </row>
    <row r="2771" spans="1:11" x14ac:dyDescent="0.3">
      <c r="A2771" s="259">
        <f t="shared" si="103"/>
        <v>2460</v>
      </c>
      <c r="B2771" s="20" t="s">
        <v>2437</v>
      </c>
      <c r="C2771" s="162">
        <v>1952</v>
      </c>
      <c r="D2771" s="234"/>
      <c r="E2771" s="234" t="s">
        <v>3123</v>
      </c>
      <c r="F2771" s="10">
        <v>2</v>
      </c>
      <c r="G2771" s="234">
        <v>381.1</v>
      </c>
      <c r="H2771" s="10">
        <v>21</v>
      </c>
      <c r="I2771" s="273">
        <f>SUMIF('2020'!B:B,B2771,'2020'!C:C)+SUMIF('2021'!B:B,B2771,'2021'!C:C)+SUMIF('2022'!B:B,B2771,'2022'!C:C)</f>
        <v>159975.29999999999</v>
      </c>
      <c r="J2771" s="59">
        <v>44925</v>
      </c>
      <c r="K2771" s="273" t="s">
        <v>3118</v>
      </c>
    </row>
    <row r="2772" spans="1:11" x14ac:dyDescent="0.3">
      <c r="A2772" s="259">
        <f t="shared" si="103"/>
        <v>2461</v>
      </c>
      <c r="B2772" s="20" t="s">
        <v>2438</v>
      </c>
      <c r="C2772" s="162">
        <v>1952</v>
      </c>
      <c r="D2772" s="234"/>
      <c r="E2772" s="234" t="s">
        <v>3123</v>
      </c>
      <c r="F2772" s="10">
        <v>2</v>
      </c>
      <c r="G2772" s="234">
        <v>302.10000000000002</v>
      </c>
      <c r="H2772" s="10">
        <v>22</v>
      </c>
      <c r="I2772" s="273">
        <f>SUMIF('2020'!B:B,B2772,'2020'!C:C)+SUMIF('2021'!B:B,B2772,'2021'!C:C)+SUMIF('2022'!B:B,B2772,'2022'!C:C)</f>
        <v>214663.9</v>
      </c>
      <c r="J2772" s="59">
        <v>44925</v>
      </c>
      <c r="K2772" s="273" t="s">
        <v>3118</v>
      </c>
    </row>
    <row r="2773" spans="1:11" x14ac:dyDescent="0.3">
      <c r="A2773" s="259">
        <f t="shared" si="103"/>
        <v>2462</v>
      </c>
      <c r="B2773" s="20" t="s">
        <v>2439</v>
      </c>
      <c r="C2773" s="162">
        <v>1952</v>
      </c>
      <c r="D2773" s="234"/>
      <c r="E2773" s="234" t="s">
        <v>3123</v>
      </c>
      <c r="F2773" s="10">
        <v>2</v>
      </c>
      <c r="G2773" s="234">
        <v>388.1</v>
      </c>
      <c r="H2773" s="10">
        <v>14</v>
      </c>
      <c r="I2773" s="273">
        <f>SUMIF('2020'!B:B,B2773,'2020'!C:C)+SUMIF('2021'!B:B,B2773,'2021'!C:C)+SUMIF('2022'!B:B,B2773,'2022'!C:C)</f>
        <v>218667.41</v>
      </c>
      <c r="J2773" s="59">
        <v>44925</v>
      </c>
      <c r="K2773" s="273" t="s">
        <v>3118</v>
      </c>
    </row>
    <row r="2774" spans="1:11" x14ac:dyDescent="0.3">
      <c r="A2774" s="259">
        <f t="shared" si="103"/>
        <v>2463</v>
      </c>
      <c r="B2774" s="20" t="s">
        <v>2440</v>
      </c>
      <c r="C2774" s="162">
        <v>1952</v>
      </c>
      <c r="D2774" s="234"/>
      <c r="E2774" s="234" t="s">
        <v>3123</v>
      </c>
      <c r="F2774" s="10">
        <v>2</v>
      </c>
      <c r="G2774" s="234">
        <v>403.3</v>
      </c>
      <c r="H2774" s="10">
        <v>15</v>
      </c>
      <c r="I2774" s="273">
        <f>SUMIF('2020'!B:B,B2774,'2020'!C:C)+SUMIF('2021'!B:B,B2774,'2021'!C:C)+SUMIF('2022'!B:B,B2774,'2022'!C:C)</f>
        <v>214982.27</v>
      </c>
      <c r="J2774" s="59">
        <v>44925</v>
      </c>
      <c r="K2774" s="273" t="s">
        <v>3118</v>
      </c>
    </row>
    <row r="2775" spans="1:11" x14ac:dyDescent="0.3">
      <c r="A2775" s="259">
        <f t="shared" si="103"/>
        <v>2464</v>
      </c>
      <c r="B2775" s="20" t="s">
        <v>2441</v>
      </c>
      <c r="C2775" s="162">
        <v>1951</v>
      </c>
      <c r="D2775" s="234"/>
      <c r="E2775" s="234" t="s">
        <v>3123</v>
      </c>
      <c r="F2775" s="10">
        <v>2</v>
      </c>
      <c r="G2775" s="234">
        <v>613.4</v>
      </c>
      <c r="H2775" s="10">
        <v>24</v>
      </c>
      <c r="I2775" s="273">
        <f>SUMIF('2020'!B:B,B2775,'2020'!C:C)+SUMIF('2021'!B:B,B2775,'2021'!C:C)+SUMIF('2022'!B:B,B2775,'2022'!C:C)</f>
        <v>208446.82</v>
      </c>
      <c r="J2775" s="59">
        <v>44925</v>
      </c>
      <c r="K2775" s="273" t="s">
        <v>3118</v>
      </c>
    </row>
    <row r="2776" spans="1:11" x14ac:dyDescent="0.3">
      <c r="A2776" s="259">
        <f t="shared" si="103"/>
        <v>2465</v>
      </c>
      <c r="B2776" s="20" t="s">
        <v>2442</v>
      </c>
      <c r="C2776" s="162">
        <v>1952</v>
      </c>
      <c r="D2776" s="234"/>
      <c r="E2776" s="234" t="s">
        <v>3123</v>
      </c>
      <c r="F2776" s="10">
        <v>2</v>
      </c>
      <c r="G2776" s="234">
        <v>386.5</v>
      </c>
      <c r="H2776" s="10">
        <v>13</v>
      </c>
      <c r="I2776" s="273">
        <f>SUMIF('2020'!B:B,B2776,'2020'!C:C)+SUMIF('2021'!B:B,B2776,'2021'!C:C)+SUMIF('2022'!B:B,B2776,'2022'!C:C)</f>
        <v>216160.24</v>
      </c>
      <c r="J2776" s="59">
        <v>44925</v>
      </c>
      <c r="K2776" s="273" t="s">
        <v>3118</v>
      </c>
    </row>
    <row r="2777" spans="1:11" x14ac:dyDescent="0.3">
      <c r="A2777" s="259">
        <f t="shared" si="103"/>
        <v>2466</v>
      </c>
      <c r="B2777" s="20" t="s">
        <v>2443</v>
      </c>
      <c r="C2777" s="162">
        <v>1952</v>
      </c>
      <c r="D2777" s="234"/>
      <c r="E2777" s="234" t="s">
        <v>3123</v>
      </c>
      <c r="F2777" s="10">
        <v>2</v>
      </c>
      <c r="G2777" s="234">
        <v>611.70000000000005</v>
      </c>
      <c r="H2777" s="10">
        <v>21</v>
      </c>
      <c r="I2777" s="273">
        <f>SUMIF('2020'!B:B,B2777,'2020'!C:C)+SUMIF('2021'!B:B,B2777,'2021'!C:C)+SUMIF('2022'!B:B,B2777,'2022'!C:C)</f>
        <v>196216.74</v>
      </c>
      <c r="J2777" s="59">
        <v>44925</v>
      </c>
      <c r="K2777" s="273" t="s">
        <v>3118</v>
      </c>
    </row>
    <row r="2778" spans="1:11" x14ac:dyDescent="0.3">
      <c r="A2778" s="259">
        <f t="shared" si="103"/>
        <v>2467</v>
      </c>
      <c r="B2778" s="20" t="s">
        <v>2444</v>
      </c>
      <c r="C2778" s="162">
        <v>1948</v>
      </c>
      <c r="D2778" s="234"/>
      <c r="E2778" s="234" t="s">
        <v>3123</v>
      </c>
      <c r="F2778" s="10">
        <v>2</v>
      </c>
      <c r="G2778" s="234">
        <v>765.8</v>
      </c>
      <c r="H2778" s="10">
        <v>28</v>
      </c>
      <c r="I2778" s="273">
        <f>SUMIF('2020'!B:B,B2778,'2020'!C:C)+SUMIF('2021'!B:B,B2778,'2021'!C:C)+SUMIF('2022'!B:B,B2778,'2022'!C:C)</f>
        <v>575359.43999999994</v>
      </c>
      <c r="J2778" s="59">
        <v>44925</v>
      </c>
      <c r="K2778" s="273" t="s">
        <v>3118</v>
      </c>
    </row>
    <row r="2779" spans="1:11" x14ac:dyDescent="0.3">
      <c r="A2779" s="259">
        <f t="shared" si="103"/>
        <v>2468</v>
      </c>
      <c r="B2779" s="20" t="s">
        <v>2445</v>
      </c>
      <c r="C2779" s="162">
        <v>1949</v>
      </c>
      <c r="D2779" s="234"/>
      <c r="E2779" s="234" t="s">
        <v>3123</v>
      </c>
      <c r="F2779" s="10">
        <v>2</v>
      </c>
      <c r="G2779" s="234">
        <v>787.7</v>
      </c>
      <c r="H2779" s="10">
        <v>46</v>
      </c>
      <c r="I2779" s="273">
        <f>SUMIF('2020'!B:B,B2779,'2020'!C:C)+SUMIF('2021'!B:B,B2779,'2021'!C:C)+SUMIF('2022'!B:B,B2779,'2022'!C:C)</f>
        <v>227566.81</v>
      </c>
      <c r="J2779" s="59">
        <v>44925</v>
      </c>
      <c r="K2779" s="273" t="s">
        <v>3118</v>
      </c>
    </row>
    <row r="2780" spans="1:11" x14ac:dyDescent="0.3">
      <c r="A2780" s="259">
        <f t="shared" si="103"/>
        <v>2469</v>
      </c>
      <c r="B2780" s="20" t="s">
        <v>2446</v>
      </c>
      <c r="C2780" s="162">
        <v>1946</v>
      </c>
      <c r="D2780" s="234"/>
      <c r="E2780" s="234" t="s">
        <v>3123</v>
      </c>
      <c r="F2780" s="10">
        <v>2</v>
      </c>
      <c r="G2780" s="234">
        <v>2097</v>
      </c>
      <c r="H2780" s="10">
        <v>46</v>
      </c>
      <c r="I2780" s="273">
        <f>SUMIF('2020'!B:B,B2780,'2020'!C:C)+SUMIF('2021'!B:B,B2780,'2021'!C:C)+SUMIF('2022'!B:B,B2780,'2022'!C:C)</f>
        <v>227201.26</v>
      </c>
      <c r="J2780" s="59">
        <v>44925</v>
      </c>
      <c r="K2780" s="273" t="s">
        <v>3118</v>
      </c>
    </row>
    <row r="2781" spans="1:11" x14ac:dyDescent="0.3">
      <c r="A2781" s="259">
        <f t="shared" si="103"/>
        <v>2470</v>
      </c>
      <c r="B2781" s="20" t="s">
        <v>2447</v>
      </c>
      <c r="C2781" s="162">
        <v>1952</v>
      </c>
      <c r="D2781" s="234"/>
      <c r="E2781" s="234" t="s">
        <v>3123</v>
      </c>
      <c r="F2781" s="10">
        <v>2</v>
      </c>
      <c r="G2781" s="234">
        <v>284.8</v>
      </c>
      <c r="H2781" s="10">
        <v>17</v>
      </c>
      <c r="I2781" s="273">
        <f>SUMIF('2020'!B:B,B2781,'2020'!C:C)+SUMIF('2021'!B:B,B2781,'2021'!C:C)+SUMIF('2022'!B:B,B2781,'2022'!C:C)</f>
        <v>86977.93</v>
      </c>
      <c r="J2781" s="59">
        <v>44925</v>
      </c>
      <c r="K2781" s="273" t="s">
        <v>3118</v>
      </c>
    </row>
    <row r="2782" spans="1:11" x14ac:dyDescent="0.3">
      <c r="A2782" s="259">
        <f t="shared" si="103"/>
        <v>2471</v>
      </c>
      <c r="B2782" s="20" t="s">
        <v>2448</v>
      </c>
      <c r="C2782" s="162">
        <v>1952</v>
      </c>
      <c r="D2782" s="234"/>
      <c r="E2782" s="234" t="s">
        <v>3123</v>
      </c>
      <c r="F2782" s="10">
        <v>2</v>
      </c>
      <c r="G2782" s="234">
        <v>1689.9</v>
      </c>
      <c r="H2782" s="10">
        <v>73</v>
      </c>
      <c r="I2782" s="273">
        <f>SUMIF('2020'!B:B,B2782,'2020'!C:C)+SUMIF('2021'!B:B,B2782,'2021'!C:C)+SUMIF('2022'!B:B,B2782,'2022'!C:C)</f>
        <v>141800.18</v>
      </c>
      <c r="J2782" s="59">
        <v>44925</v>
      </c>
      <c r="K2782" s="273" t="s">
        <v>3118</v>
      </c>
    </row>
    <row r="2783" spans="1:11" x14ac:dyDescent="0.3">
      <c r="A2783" s="259">
        <f t="shared" si="103"/>
        <v>2472</v>
      </c>
      <c r="B2783" s="20" t="s">
        <v>2449</v>
      </c>
      <c r="C2783" s="162">
        <v>1946</v>
      </c>
      <c r="D2783" s="234"/>
      <c r="E2783" s="234" t="s">
        <v>3123</v>
      </c>
      <c r="F2783" s="10">
        <v>2</v>
      </c>
      <c r="G2783" s="234">
        <v>1103.9000000000001</v>
      </c>
      <c r="H2783" s="10">
        <v>55</v>
      </c>
      <c r="I2783" s="273">
        <f>SUMIF('2020'!B:B,B2783,'2020'!C:C)+SUMIF('2021'!B:B,B2783,'2021'!C:C)+SUMIF('2022'!B:B,B2783,'2022'!C:C)</f>
        <v>124792.12</v>
      </c>
      <c r="J2783" s="59">
        <v>44925</v>
      </c>
      <c r="K2783" s="273" t="s">
        <v>3118</v>
      </c>
    </row>
    <row r="2784" spans="1:11" x14ac:dyDescent="0.3">
      <c r="A2784" s="259">
        <f t="shared" si="103"/>
        <v>2473</v>
      </c>
      <c r="B2784" s="20" t="s">
        <v>2450</v>
      </c>
      <c r="C2784" s="162">
        <v>1988</v>
      </c>
      <c r="D2784" s="234"/>
      <c r="E2784" s="234" t="s">
        <v>3123</v>
      </c>
      <c r="F2784" s="10">
        <v>9</v>
      </c>
      <c r="G2784" s="234">
        <v>3394</v>
      </c>
      <c r="H2784" s="10">
        <v>180</v>
      </c>
      <c r="I2784" s="273">
        <f>SUMIF('2020'!B:B,B2784,'2020'!C:C)+SUMIF('2021'!B:B,B2784,'2021'!C:C)+SUMIF('2022'!B:B,B2784,'2022'!C:C)</f>
        <v>405525.57999999996</v>
      </c>
      <c r="J2784" s="59">
        <v>44925</v>
      </c>
      <c r="K2784" s="273" t="s">
        <v>3118</v>
      </c>
    </row>
    <row r="2785" spans="1:13" x14ac:dyDescent="0.3">
      <c r="A2785" s="259">
        <f t="shared" si="103"/>
        <v>2474</v>
      </c>
      <c r="B2785" s="20" t="s">
        <v>2451</v>
      </c>
      <c r="C2785" s="162">
        <v>1951</v>
      </c>
      <c r="D2785" s="234"/>
      <c r="E2785" s="234" t="s">
        <v>3123</v>
      </c>
      <c r="F2785" s="10">
        <v>2</v>
      </c>
      <c r="G2785" s="234">
        <v>375.8</v>
      </c>
      <c r="H2785" s="10">
        <v>20</v>
      </c>
      <c r="I2785" s="273">
        <f>SUMIF('2020'!B:B,B2785,'2020'!C:C)+SUMIF('2021'!B:B,B2785,'2021'!C:C)+SUMIF('2022'!B:B,B2785,'2022'!C:C)</f>
        <v>1183924.3699999999</v>
      </c>
      <c r="J2785" s="59">
        <v>44925</v>
      </c>
      <c r="K2785" s="273" t="s">
        <v>3118</v>
      </c>
    </row>
    <row r="2786" spans="1:13" x14ac:dyDescent="0.3">
      <c r="A2786" s="259">
        <f t="shared" ref="A2786:A2793" si="104">A2785+1</f>
        <v>2475</v>
      </c>
      <c r="B2786" s="20" t="s">
        <v>2452</v>
      </c>
      <c r="C2786" s="162">
        <v>1952</v>
      </c>
      <c r="D2786" s="234"/>
      <c r="E2786" s="234" t="s">
        <v>3123</v>
      </c>
      <c r="F2786" s="10">
        <v>2</v>
      </c>
      <c r="G2786" s="234">
        <v>370.3</v>
      </c>
      <c r="H2786" s="10">
        <v>20</v>
      </c>
      <c r="I2786" s="273">
        <f>SUMIF('2020'!B:B,B2786,'2020'!C:C)+SUMIF('2021'!B:B,B2786,'2021'!C:C)+SUMIF('2022'!B:B,B2786,'2022'!C:C)</f>
        <v>708959.35000000009</v>
      </c>
      <c r="J2786" s="59">
        <v>44925</v>
      </c>
      <c r="K2786" s="273" t="s">
        <v>3118</v>
      </c>
    </row>
    <row r="2787" spans="1:13" x14ac:dyDescent="0.3">
      <c r="A2787" s="259">
        <f t="shared" si="104"/>
        <v>2476</v>
      </c>
      <c r="B2787" s="20" t="s">
        <v>2453</v>
      </c>
      <c r="C2787" s="162">
        <v>1962</v>
      </c>
      <c r="D2787" s="234"/>
      <c r="E2787" s="234" t="s">
        <v>3123</v>
      </c>
      <c r="F2787" s="10">
        <v>3</v>
      </c>
      <c r="G2787" s="234">
        <v>960.4</v>
      </c>
      <c r="H2787" s="10">
        <v>46</v>
      </c>
      <c r="I2787" s="273">
        <f>SUMIF('2020'!B:B,B2787,'2020'!C:C)+SUMIF('2021'!B:B,B2787,'2021'!C:C)+SUMIF('2022'!B:B,B2787,'2022'!C:C)</f>
        <v>272456.07999999996</v>
      </c>
      <c r="J2787" s="59">
        <v>44925</v>
      </c>
      <c r="K2787" s="273" t="s">
        <v>3118</v>
      </c>
    </row>
    <row r="2788" spans="1:13" x14ac:dyDescent="0.3">
      <c r="A2788" s="259">
        <f t="shared" si="104"/>
        <v>2477</v>
      </c>
      <c r="B2788" s="20" t="s">
        <v>2454</v>
      </c>
      <c r="C2788" s="162">
        <v>1951</v>
      </c>
      <c r="D2788" s="234"/>
      <c r="E2788" s="234" t="s">
        <v>3123</v>
      </c>
      <c r="F2788" s="10">
        <v>2</v>
      </c>
      <c r="G2788" s="234">
        <v>55.9</v>
      </c>
      <c r="H2788" s="10">
        <v>14</v>
      </c>
      <c r="I2788" s="273">
        <f>SUMIF('2020'!B:B,B2788,'2020'!C:C)+SUMIF('2021'!B:B,B2788,'2021'!C:C)+SUMIF('2022'!B:B,B2788,'2022'!C:C)</f>
        <v>1083815.33</v>
      </c>
      <c r="J2788" s="59">
        <v>44925</v>
      </c>
      <c r="K2788" s="273" t="s">
        <v>3118</v>
      </c>
    </row>
    <row r="2789" spans="1:13" x14ac:dyDescent="0.3">
      <c r="A2789" s="259">
        <f t="shared" si="104"/>
        <v>2478</v>
      </c>
      <c r="B2789" s="20" t="s">
        <v>2455</v>
      </c>
      <c r="C2789" s="162">
        <v>1961</v>
      </c>
      <c r="D2789" s="234"/>
      <c r="E2789" s="234" t="s">
        <v>3123</v>
      </c>
      <c r="F2789" s="10">
        <v>3</v>
      </c>
      <c r="G2789" s="234">
        <v>941.6</v>
      </c>
      <c r="H2789" s="10">
        <v>44</v>
      </c>
      <c r="I2789" s="273">
        <f>SUMIF('2020'!B:B,B2789,'2020'!C:C)+SUMIF('2021'!B:B,B2789,'2021'!C:C)+SUMIF('2022'!B:B,B2789,'2022'!C:C)</f>
        <v>122509.01</v>
      </c>
      <c r="J2789" s="59">
        <v>44925</v>
      </c>
      <c r="K2789" s="273" t="s">
        <v>3118</v>
      </c>
    </row>
    <row r="2790" spans="1:13" x14ac:dyDescent="0.3">
      <c r="A2790" s="259">
        <f t="shared" si="104"/>
        <v>2479</v>
      </c>
      <c r="B2790" s="20" t="s">
        <v>2456</v>
      </c>
      <c r="C2790" s="162">
        <v>1951</v>
      </c>
      <c r="D2790" s="234"/>
      <c r="E2790" s="234" t="s">
        <v>3123</v>
      </c>
      <c r="F2790" s="10">
        <v>2</v>
      </c>
      <c r="G2790" s="234">
        <v>732.5</v>
      </c>
      <c r="H2790" s="10">
        <v>34</v>
      </c>
      <c r="I2790" s="273">
        <f>SUMIF('2020'!B:B,B2790,'2020'!C:C)+SUMIF('2021'!B:B,B2790,'2021'!C:C)+SUMIF('2022'!B:B,B2790,'2022'!C:C)</f>
        <v>735325.3600000001</v>
      </c>
      <c r="J2790" s="59">
        <v>44925</v>
      </c>
      <c r="K2790" s="273" t="s">
        <v>3118</v>
      </c>
    </row>
    <row r="2791" spans="1:13" x14ac:dyDescent="0.3">
      <c r="A2791" s="259">
        <f t="shared" si="104"/>
        <v>2480</v>
      </c>
      <c r="B2791" s="20" t="s">
        <v>2457</v>
      </c>
      <c r="C2791" s="162">
        <v>1961</v>
      </c>
      <c r="D2791" s="234"/>
      <c r="E2791" s="234" t="s">
        <v>3123</v>
      </c>
      <c r="F2791" s="10">
        <v>2</v>
      </c>
      <c r="G2791" s="234">
        <v>636.79999999999995</v>
      </c>
      <c r="H2791" s="10">
        <v>32</v>
      </c>
      <c r="I2791" s="273">
        <f>SUMIF('2020'!B:B,B2791,'2020'!C:C)+SUMIF('2021'!B:B,B2791,'2021'!C:C)+SUMIF('2022'!B:B,B2791,'2022'!C:C)</f>
        <v>228521.69</v>
      </c>
      <c r="J2791" s="59">
        <v>44925</v>
      </c>
      <c r="K2791" s="273" t="s">
        <v>3118</v>
      </c>
    </row>
    <row r="2792" spans="1:13" x14ac:dyDescent="0.3">
      <c r="A2792" s="259">
        <f t="shared" si="104"/>
        <v>2481</v>
      </c>
      <c r="B2792" s="20" t="s">
        <v>2458</v>
      </c>
      <c r="C2792" s="162">
        <v>1951</v>
      </c>
      <c r="D2792" s="234"/>
      <c r="E2792" s="234" t="s">
        <v>3123</v>
      </c>
      <c r="F2792" s="10">
        <v>2</v>
      </c>
      <c r="G2792" s="234">
        <v>735.2</v>
      </c>
      <c r="H2792" s="10">
        <v>43</v>
      </c>
      <c r="I2792" s="273">
        <f>SUMIF('2020'!B:B,B2792,'2020'!C:C)+SUMIF('2021'!B:B,B2792,'2021'!C:C)+SUMIF('2022'!B:B,B2792,'2022'!C:C)</f>
        <v>242289.1</v>
      </c>
      <c r="J2792" s="59">
        <v>44925</v>
      </c>
      <c r="K2792" s="273" t="s">
        <v>3118</v>
      </c>
    </row>
    <row r="2793" spans="1:13" x14ac:dyDescent="0.3">
      <c r="A2793" s="259">
        <f t="shared" si="104"/>
        <v>2482</v>
      </c>
      <c r="B2793" s="20" t="s">
        <v>2459</v>
      </c>
      <c r="C2793" s="162">
        <v>1951</v>
      </c>
      <c r="D2793" s="234"/>
      <c r="E2793" s="234" t="s">
        <v>3123</v>
      </c>
      <c r="F2793" s="10">
        <v>2</v>
      </c>
      <c r="G2793" s="234">
        <v>650.1</v>
      </c>
      <c r="H2793" s="10">
        <v>50</v>
      </c>
      <c r="I2793" s="273">
        <f>SUMIF('2020'!B:B,B2793,'2020'!C:C)+SUMIF('2021'!B:B,B2793,'2021'!C:C)+SUMIF('2022'!B:B,B2793,'2022'!C:C)</f>
        <v>498946.79</v>
      </c>
      <c r="J2793" s="59">
        <v>44925</v>
      </c>
      <c r="K2793" s="273" t="s">
        <v>3118</v>
      </c>
    </row>
    <row r="2794" spans="1:13" x14ac:dyDescent="0.3">
      <c r="A2794" s="302" t="s">
        <v>208</v>
      </c>
      <c r="B2794" s="302"/>
      <c r="C2794" s="273" t="s">
        <v>3558</v>
      </c>
      <c r="D2794" s="273" t="s">
        <v>3558</v>
      </c>
      <c r="E2794" s="273" t="s">
        <v>3558</v>
      </c>
      <c r="F2794" s="273" t="s">
        <v>3558</v>
      </c>
      <c r="G2794" s="273">
        <f>SUM(G2690:G2793)</f>
        <v>115800.07000000007</v>
      </c>
      <c r="H2794" s="10">
        <f>SUM(H2690:H2793)</f>
        <v>4700</v>
      </c>
      <c r="I2794" s="273">
        <f>SUM(I2690:I2793)</f>
        <v>63830501.920000017</v>
      </c>
      <c r="J2794" s="273" t="s">
        <v>3558</v>
      </c>
      <c r="K2794" s="273" t="s">
        <v>3558</v>
      </c>
    </row>
    <row r="2795" spans="1:13" s="43" customFormat="1" x14ac:dyDescent="0.3">
      <c r="A2795" s="304" t="s">
        <v>2460</v>
      </c>
      <c r="B2795" s="304"/>
      <c r="C2795" s="251" t="s">
        <v>3558</v>
      </c>
      <c r="D2795" s="251" t="s">
        <v>3558</v>
      </c>
      <c r="E2795" s="251" t="s">
        <v>3558</v>
      </c>
      <c r="F2795" s="251" t="s">
        <v>3558</v>
      </c>
      <c r="G2795" s="251">
        <f>G2794+G2688+G2676</f>
        <v>131913.04000000007</v>
      </c>
      <c r="H2795" s="132">
        <f>H2794+H2688+H2676</f>
        <v>5366</v>
      </c>
      <c r="I2795" s="251">
        <f>I2794+I2688+I2676</f>
        <v>70127158.670000017</v>
      </c>
      <c r="J2795" s="251" t="s">
        <v>3558</v>
      </c>
      <c r="K2795" s="251" t="s">
        <v>3558</v>
      </c>
      <c r="L2795" s="196">
        <f>I2795-'2020'!C652-'2021'!C2028-'2022'!C853</f>
        <v>1.4901161193847656E-8</v>
      </c>
      <c r="M2795" s="196"/>
    </row>
    <row r="2796" spans="1:13" s="43" customFormat="1" x14ac:dyDescent="0.3">
      <c r="A2796" s="303" t="s">
        <v>2461</v>
      </c>
      <c r="B2796" s="303"/>
      <c r="C2796" s="303"/>
      <c r="D2796" s="303"/>
      <c r="E2796" s="303"/>
      <c r="F2796" s="303"/>
      <c r="G2796" s="303"/>
      <c r="H2796" s="303"/>
      <c r="I2796" s="303"/>
      <c r="J2796" s="303"/>
      <c r="K2796" s="303"/>
      <c r="L2796" s="198"/>
      <c r="M2796" s="198"/>
    </row>
    <row r="2797" spans="1:13" x14ac:dyDescent="0.3">
      <c r="A2797" s="259">
        <f>A2793+1</f>
        <v>2483</v>
      </c>
      <c r="B2797" s="20" t="s">
        <v>2462</v>
      </c>
      <c r="C2797" s="162">
        <v>1984</v>
      </c>
      <c r="D2797" s="273"/>
      <c r="E2797" s="273" t="s">
        <v>3123</v>
      </c>
      <c r="F2797" s="50">
        <v>10</v>
      </c>
      <c r="G2797" s="273">
        <v>2046.8</v>
      </c>
      <c r="H2797" s="10">
        <v>87</v>
      </c>
      <c r="I2797" s="273">
        <f>SUMIF('2020'!B:B,B2797,'2020'!C:C)+SUMIF('2021'!B:B,B2797,'2021'!C:C)+SUMIF('2022'!B:B,B2797,'2022'!C:C)</f>
        <v>17862116.399999999</v>
      </c>
      <c r="J2797" s="59">
        <v>44925</v>
      </c>
      <c r="K2797" s="273" t="s">
        <v>3118</v>
      </c>
    </row>
    <row r="2798" spans="1:13" x14ac:dyDescent="0.3">
      <c r="A2798" s="259">
        <f t="shared" ref="A2798:A2829" si="105">A2797+1</f>
        <v>2484</v>
      </c>
      <c r="B2798" s="20" t="s">
        <v>2463</v>
      </c>
      <c r="C2798" s="162">
        <v>1974</v>
      </c>
      <c r="D2798" s="273"/>
      <c r="E2798" s="273" t="s">
        <v>3123</v>
      </c>
      <c r="F2798" s="50">
        <v>5</v>
      </c>
      <c r="G2798" s="273">
        <v>1367.7</v>
      </c>
      <c r="H2798" s="10">
        <v>58</v>
      </c>
      <c r="I2798" s="273">
        <f>SUMIF('2020'!B:B,B2798,'2020'!C:C)+SUMIF('2021'!B:B,B2798,'2021'!C:C)+SUMIF('2022'!B:B,B2798,'2022'!C:C)</f>
        <v>221099.75</v>
      </c>
      <c r="J2798" s="59">
        <v>44925</v>
      </c>
      <c r="K2798" s="273" t="s">
        <v>3118</v>
      </c>
    </row>
    <row r="2799" spans="1:13" x14ac:dyDescent="0.3">
      <c r="A2799" s="259">
        <f t="shared" si="105"/>
        <v>2485</v>
      </c>
      <c r="B2799" s="20" t="s">
        <v>2464</v>
      </c>
      <c r="C2799" s="162">
        <v>1974</v>
      </c>
      <c r="D2799" s="273"/>
      <c r="E2799" s="273" t="s">
        <v>3123</v>
      </c>
      <c r="F2799" s="50">
        <v>5</v>
      </c>
      <c r="G2799" s="273">
        <v>11019.5</v>
      </c>
      <c r="H2799" s="10">
        <v>496</v>
      </c>
      <c r="I2799" s="273">
        <f>SUMIF('2020'!B:B,B2799,'2020'!C:C)+SUMIF('2021'!B:B,B2799,'2021'!C:C)+SUMIF('2022'!B:B,B2799,'2022'!C:C)</f>
        <v>894905.16</v>
      </c>
      <c r="J2799" s="59">
        <v>44925</v>
      </c>
      <c r="K2799" s="273" t="s">
        <v>3118</v>
      </c>
    </row>
    <row r="2800" spans="1:13" x14ac:dyDescent="0.3">
      <c r="A2800" s="259">
        <f t="shared" si="105"/>
        <v>2486</v>
      </c>
      <c r="B2800" s="20" t="s">
        <v>2465</v>
      </c>
      <c r="C2800" s="162">
        <v>1975</v>
      </c>
      <c r="D2800" s="273"/>
      <c r="E2800" s="273" t="s">
        <v>3123</v>
      </c>
      <c r="F2800" s="50">
        <v>5</v>
      </c>
      <c r="G2800" s="273">
        <v>6677.5</v>
      </c>
      <c r="H2800" s="10">
        <v>304</v>
      </c>
      <c r="I2800" s="273">
        <f>SUMIF('2020'!B:B,B2800,'2020'!C:C)+SUMIF('2021'!B:B,B2800,'2021'!C:C)+SUMIF('2022'!B:B,B2800,'2022'!C:C)</f>
        <v>616252.63</v>
      </c>
      <c r="J2800" s="59">
        <v>44925</v>
      </c>
      <c r="K2800" s="273" t="s">
        <v>3118</v>
      </c>
    </row>
    <row r="2801" spans="1:11" x14ac:dyDescent="0.3">
      <c r="A2801" s="259">
        <f t="shared" si="105"/>
        <v>2487</v>
      </c>
      <c r="B2801" s="20" t="s">
        <v>2466</v>
      </c>
      <c r="C2801" s="162">
        <v>1984</v>
      </c>
      <c r="D2801" s="273"/>
      <c r="E2801" s="273" t="s">
        <v>3123</v>
      </c>
      <c r="F2801" s="50">
        <v>10</v>
      </c>
      <c r="G2801" s="273">
        <v>2006.5</v>
      </c>
      <c r="H2801" s="10">
        <v>88</v>
      </c>
      <c r="I2801" s="273">
        <f>SUMIF('2020'!B:B,B2801,'2020'!C:C)+SUMIF('2021'!B:B,B2801,'2021'!C:C)+SUMIF('2022'!B:B,B2801,'2022'!C:C)</f>
        <v>16907324.379999999</v>
      </c>
      <c r="J2801" s="59">
        <v>44925</v>
      </c>
      <c r="K2801" s="273" t="s">
        <v>3118</v>
      </c>
    </row>
    <row r="2802" spans="1:11" x14ac:dyDescent="0.3">
      <c r="A2802" s="259">
        <f t="shared" si="105"/>
        <v>2488</v>
      </c>
      <c r="B2802" s="20" t="s">
        <v>2467</v>
      </c>
      <c r="C2802" s="162">
        <v>1975</v>
      </c>
      <c r="D2802" s="273"/>
      <c r="E2802" s="273" t="s">
        <v>3123</v>
      </c>
      <c r="F2802" s="50">
        <v>5</v>
      </c>
      <c r="G2802" s="273">
        <v>1389.1</v>
      </c>
      <c r="H2802" s="10">
        <v>68</v>
      </c>
      <c r="I2802" s="273">
        <f>SUMIF('2020'!B:B,B2802,'2020'!C:C)+SUMIF('2021'!B:B,B2802,'2021'!C:C)+SUMIF('2022'!B:B,B2802,'2022'!C:C)</f>
        <v>222304.86</v>
      </c>
      <c r="J2802" s="59">
        <v>44925</v>
      </c>
      <c r="K2802" s="273" t="s">
        <v>3118</v>
      </c>
    </row>
    <row r="2803" spans="1:11" x14ac:dyDescent="0.3">
      <c r="A2803" s="259">
        <f t="shared" si="105"/>
        <v>2489</v>
      </c>
      <c r="B2803" s="20" t="s">
        <v>2468</v>
      </c>
      <c r="C2803" s="162">
        <v>1975</v>
      </c>
      <c r="D2803" s="273"/>
      <c r="E2803" s="273" t="s">
        <v>3123</v>
      </c>
      <c r="F2803" s="50">
        <v>5</v>
      </c>
      <c r="G2803" s="273">
        <v>1379.02</v>
      </c>
      <c r="H2803" s="10">
        <v>65</v>
      </c>
      <c r="I2803" s="273">
        <f>SUMIF('2020'!B:B,B2803,'2020'!C:C)+SUMIF('2021'!B:B,B2803,'2021'!C:C)+SUMIF('2022'!B:B,B2803,'2022'!C:C)</f>
        <v>217516.11</v>
      </c>
      <c r="J2803" s="59">
        <v>44925</v>
      </c>
      <c r="K2803" s="273" t="s">
        <v>3118</v>
      </c>
    </row>
    <row r="2804" spans="1:11" x14ac:dyDescent="0.3">
      <c r="A2804" s="259">
        <f t="shared" si="105"/>
        <v>2490</v>
      </c>
      <c r="B2804" s="20" t="s">
        <v>2469</v>
      </c>
      <c r="C2804" s="162">
        <v>1976</v>
      </c>
      <c r="D2804" s="273"/>
      <c r="E2804" s="273" t="s">
        <v>3123</v>
      </c>
      <c r="F2804" s="61">
        <v>9</v>
      </c>
      <c r="G2804" s="46">
        <v>1928.7</v>
      </c>
      <c r="H2804" s="48" t="s">
        <v>3083</v>
      </c>
      <c r="I2804" s="273">
        <f>SUMIF('2020'!B:B,B2804,'2020'!C:C)+SUMIF('2021'!B:B,B2804,'2021'!C:C)+SUMIF('2022'!B:B,B2804,'2022'!C:C)</f>
        <v>326719.15999999997</v>
      </c>
      <c r="J2804" s="59">
        <v>44925</v>
      </c>
      <c r="K2804" s="273" t="s">
        <v>3118</v>
      </c>
    </row>
    <row r="2805" spans="1:11" x14ac:dyDescent="0.3">
      <c r="A2805" s="259">
        <f t="shared" si="105"/>
        <v>2491</v>
      </c>
      <c r="B2805" s="20" t="s">
        <v>2470</v>
      </c>
      <c r="C2805" s="162">
        <v>1975</v>
      </c>
      <c r="D2805" s="273"/>
      <c r="E2805" s="273" t="s">
        <v>3123</v>
      </c>
      <c r="F2805" s="61">
        <v>9</v>
      </c>
      <c r="G2805" s="46">
        <v>1924.5</v>
      </c>
      <c r="H2805" s="48" t="s">
        <v>3085</v>
      </c>
      <c r="I2805" s="273">
        <f>SUMIF('2020'!B:B,B2805,'2020'!C:C)+SUMIF('2021'!B:B,B2805,'2021'!C:C)+SUMIF('2022'!B:B,B2805,'2022'!C:C)</f>
        <v>321021.3</v>
      </c>
      <c r="J2805" s="59">
        <v>44925</v>
      </c>
      <c r="K2805" s="273" t="s">
        <v>3118</v>
      </c>
    </row>
    <row r="2806" spans="1:11" x14ac:dyDescent="0.3">
      <c r="A2806" s="259">
        <f t="shared" si="105"/>
        <v>2492</v>
      </c>
      <c r="B2806" s="20" t="s">
        <v>2471</v>
      </c>
      <c r="C2806" s="162">
        <v>1975</v>
      </c>
      <c r="D2806" s="273"/>
      <c r="E2806" s="273" t="s">
        <v>3123</v>
      </c>
      <c r="F2806" s="61">
        <v>9</v>
      </c>
      <c r="G2806" s="46">
        <v>1949.2</v>
      </c>
      <c r="H2806" s="48" t="s">
        <v>3063</v>
      </c>
      <c r="I2806" s="273">
        <f>SUMIF('2020'!B:B,B2806,'2020'!C:C)+SUMIF('2021'!B:B,B2806,'2021'!C:C)+SUMIF('2022'!B:B,B2806,'2022'!C:C)</f>
        <v>321544.94</v>
      </c>
      <c r="J2806" s="59">
        <v>44925</v>
      </c>
      <c r="K2806" s="273" t="s">
        <v>3118</v>
      </c>
    </row>
    <row r="2807" spans="1:11" x14ac:dyDescent="0.3">
      <c r="A2807" s="259">
        <f t="shared" si="105"/>
        <v>2493</v>
      </c>
      <c r="B2807" s="20" t="s">
        <v>2472</v>
      </c>
      <c r="C2807" s="162">
        <v>1976</v>
      </c>
      <c r="D2807" s="273"/>
      <c r="E2807" s="273" t="s">
        <v>3123</v>
      </c>
      <c r="F2807" s="61">
        <v>9</v>
      </c>
      <c r="G2807" s="46">
        <v>1889.5</v>
      </c>
      <c r="H2807" s="48" t="s">
        <v>3460</v>
      </c>
      <c r="I2807" s="273">
        <f>SUMIF('2020'!B:B,B2807,'2020'!C:C)+SUMIF('2021'!B:B,B2807,'2021'!C:C)+SUMIF('2022'!B:B,B2807,'2022'!C:C)</f>
        <v>321919.01</v>
      </c>
      <c r="J2807" s="59">
        <v>44925</v>
      </c>
      <c r="K2807" s="273" t="s">
        <v>3118</v>
      </c>
    </row>
    <row r="2808" spans="1:11" x14ac:dyDescent="0.3">
      <c r="A2808" s="259">
        <f t="shared" si="105"/>
        <v>2494</v>
      </c>
      <c r="B2808" s="20" t="s">
        <v>2473</v>
      </c>
      <c r="C2808" s="162">
        <v>1976</v>
      </c>
      <c r="D2808" s="273"/>
      <c r="E2808" s="273" t="s">
        <v>3123</v>
      </c>
      <c r="F2808" s="61">
        <v>5</v>
      </c>
      <c r="G2808" s="46">
        <v>1356.7</v>
      </c>
      <c r="H2808" s="48" t="s">
        <v>3097</v>
      </c>
      <c r="I2808" s="273">
        <f>SUMIF('2020'!B:B,B2808,'2020'!C:C)+SUMIF('2021'!B:B,B2808,'2021'!C:C)+SUMIF('2022'!B:B,B2808,'2022'!C:C)</f>
        <v>217516.11</v>
      </c>
      <c r="J2808" s="59">
        <v>44925</v>
      </c>
      <c r="K2808" s="273" t="s">
        <v>3118</v>
      </c>
    </row>
    <row r="2809" spans="1:11" x14ac:dyDescent="0.3">
      <c r="A2809" s="259">
        <f t="shared" si="105"/>
        <v>2495</v>
      </c>
      <c r="B2809" s="20" t="s">
        <v>2474</v>
      </c>
      <c r="C2809" s="162">
        <v>1976</v>
      </c>
      <c r="D2809" s="273"/>
      <c r="E2809" s="273" t="s">
        <v>3123</v>
      </c>
      <c r="F2809" s="50">
        <v>12</v>
      </c>
      <c r="G2809" s="273">
        <v>3931.2</v>
      </c>
      <c r="H2809" s="10">
        <v>165</v>
      </c>
      <c r="I2809" s="273">
        <f>SUMIF('2020'!B:B,B2809,'2020'!C:C)+SUMIF('2021'!B:B,B2809,'2021'!C:C)+SUMIF('2022'!B:B,B2809,'2022'!C:C)</f>
        <v>481965.16</v>
      </c>
      <c r="J2809" s="59">
        <v>44925</v>
      </c>
      <c r="K2809" s="273" t="s">
        <v>3118</v>
      </c>
    </row>
    <row r="2810" spans="1:11" x14ac:dyDescent="0.3">
      <c r="A2810" s="259">
        <f t="shared" si="105"/>
        <v>2496</v>
      </c>
      <c r="B2810" s="20" t="s">
        <v>2475</v>
      </c>
      <c r="C2810" s="162">
        <v>1976</v>
      </c>
      <c r="D2810" s="273"/>
      <c r="E2810" s="273" t="s">
        <v>3123</v>
      </c>
      <c r="F2810" s="61">
        <v>5</v>
      </c>
      <c r="G2810" s="46">
        <v>2749.9</v>
      </c>
      <c r="H2810" s="48" t="s">
        <v>3158</v>
      </c>
      <c r="I2810" s="273">
        <f>SUMIF('2020'!B:B,B2810,'2020'!C:C)+SUMIF('2021'!B:B,B2810,'2021'!C:C)+SUMIF('2022'!B:B,B2810,'2022'!C:C)</f>
        <v>310231.15000000002</v>
      </c>
      <c r="J2810" s="59">
        <v>44925</v>
      </c>
      <c r="K2810" s="273" t="s">
        <v>3118</v>
      </c>
    </row>
    <row r="2811" spans="1:11" x14ac:dyDescent="0.3">
      <c r="A2811" s="259">
        <f t="shared" si="105"/>
        <v>2497</v>
      </c>
      <c r="B2811" s="20" t="s">
        <v>2476</v>
      </c>
      <c r="C2811" s="162">
        <v>1977</v>
      </c>
      <c r="D2811" s="273"/>
      <c r="E2811" s="273" t="s">
        <v>3123</v>
      </c>
      <c r="F2811" s="61">
        <v>5</v>
      </c>
      <c r="G2811" s="46">
        <v>1596.2</v>
      </c>
      <c r="H2811" s="48" t="s">
        <v>3461</v>
      </c>
      <c r="I2811" s="273">
        <f>SUMIF('2020'!B:B,B2811,'2020'!C:C)+SUMIF('2021'!B:B,B2811,'2021'!C:C)+SUMIF('2022'!B:B,B2811,'2022'!C:C)</f>
        <v>224302.83</v>
      </c>
      <c r="J2811" s="59">
        <v>44925</v>
      </c>
      <c r="K2811" s="273" t="s">
        <v>3118</v>
      </c>
    </row>
    <row r="2812" spans="1:11" x14ac:dyDescent="0.3">
      <c r="A2812" s="259">
        <f t="shared" si="105"/>
        <v>2498</v>
      </c>
      <c r="B2812" s="20" t="s">
        <v>2477</v>
      </c>
      <c r="C2812" s="162">
        <v>1977</v>
      </c>
      <c r="D2812" s="273"/>
      <c r="E2812" s="273" t="s">
        <v>3123</v>
      </c>
      <c r="F2812" s="61">
        <v>5</v>
      </c>
      <c r="G2812" s="46">
        <v>1356.9</v>
      </c>
      <c r="H2812" s="48" t="s">
        <v>3061</v>
      </c>
      <c r="I2812" s="273">
        <f>SUMIF('2020'!B:B,B2812,'2020'!C:C)+SUMIF('2021'!B:B,B2812,'2021'!C:C)+SUMIF('2022'!B:B,B2812,'2022'!C:C)</f>
        <v>226808.21</v>
      </c>
      <c r="J2812" s="59">
        <v>44925</v>
      </c>
      <c r="K2812" s="273" t="s">
        <v>3118</v>
      </c>
    </row>
    <row r="2813" spans="1:11" x14ac:dyDescent="0.3">
      <c r="A2813" s="259">
        <f t="shared" si="105"/>
        <v>2499</v>
      </c>
      <c r="B2813" s="20" t="s">
        <v>2478</v>
      </c>
      <c r="C2813" s="162">
        <v>1977</v>
      </c>
      <c r="D2813" s="273"/>
      <c r="E2813" s="273" t="s">
        <v>3123</v>
      </c>
      <c r="F2813" s="61">
        <v>12</v>
      </c>
      <c r="G2813" s="46">
        <v>4489</v>
      </c>
      <c r="H2813" s="48" t="s">
        <v>3462</v>
      </c>
      <c r="I2813" s="273">
        <f>SUMIF('2020'!B:B,B2813,'2020'!C:C)+SUMIF('2021'!B:B,B2813,'2021'!C:C)+SUMIF('2022'!B:B,B2813,'2022'!C:C)</f>
        <v>562989.48</v>
      </c>
      <c r="J2813" s="59">
        <v>44925</v>
      </c>
      <c r="K2813" s="273" t="s">
        <v>3118</v>
      </c>
    </row>
    <row r="2814" spans="1:11" x14ac:dyDescent="0.3">
      <c r="A2814" s="259">
        <f t="shared" si="105"/>
        <v>2500</v>
      </c>
      <c r="B2814" s="20" t="s">
        <v>2479</v>
      </c>
      <c r="C2814" s="162">
        <v>1977</v>
      </c>
      <c r="D2814" s="273"/>
      <c r="E2814" s="273" t="s">
        <v>3123</v>
      </c>
      <c r="F2814" s="61">
        <v>5</v>
      </c>
      <c r="G2814" s="46">
        <v>2724.9</v>
      </c>
      <c r="H2814" s="48" t="s">
        <v>3463</v>
      </c>
      <c r="I2814" s="273">
        <f>SUMIF('2020'!B:B,B2814,'2020'!C:C)+SUMIF('2021'!B:B,B2814,'2021'!C:C)+SUMIF('2022'!B:B,B2814,'2022'!C:C)</f>
        <v>223319.7</v>
      </c>
      <c r="J2814" s="59">
        <v>44925</v>
      </c>
      <c r="K2814" s="273" t="s">
        <v>3118</v>
      </c>
    </row>
    <row r="2815" spans="1:11" x14ac:dyDescent="0.3">
      <c r="A2815" s="259">
        <f t="shared" si="105"/>
        <v>2501</v>
      </c>
      <c r="B2815" s="20" t="s">
        <v>2480</v>
      </c>
      <c r="C2815" s="162">
        <v>1977</v>
      </c>
      <c r="D2815" s="273"/>
      <c r="E2815" s="273" t="s">
        <v>3123</v>
      </c>
      <c r="F2815" s="61">
        <v>9</v>
      </c>
      <c r="G2815" s="46">
        <v>1954.4</v>
      </c>
      <c r="H2815" s="48" t="s">
        <v>3464</v>
      </c>
      <c r="I2815" s="273">
        <f>SUMIF('2020'!B:B,B2815,'2020'!C:C)+SUMIF('2021'!B:B,B2815,'2021'!C:C)+SUMIF('2022'!B:B,B2815,'2022'!C:C)</f>
        <v>323340.34999999998</v>
      </c>
      <c r="J2815" s="59">
        <v>44925</v>
      </c>
      <c r="K2815" s="273" t="s">
        <v>3118</v>
      </c>
    </row>
    <row r="2816" spans="1:11" x14ac:dyDescent="0.3">
      <c r="A2816" s="259">
        <f t="shared" si="105"/>
        <v>2502</v>
      </c>
      <c r="B2816" s="20" t="s">
        <v>2481</v>
      </c>
      <c r="C2816" s="162">
        <v>1973</v>
      </c>
      <c r="D2816" s="273"/>
      <c r="E2816" s="273" t="s">
        <v>3121</v>
      </c>
      <c r="F2816" s="61">
        <v>5</v>
      </c>
      <c r="G2816" s="46">
        <v>4437.1000000000004</v>
      </c>
      <c r="H2816" s="48" t="s">
        <v>3465</v>
      </c>
      <c r="I2816" s="273">
        <f>SUMIF('2020'!B:B,B2816,'2020'!C:C)+SUMIF('2021'!B:B,B2816,'2021'!C:C)+SUMIF('2022'!B:B,B2816,'2022'!C:C)</f>
        <v>443920.3</v>
      </c>
      <c r="J2816" s="59">
        <v>44925</v>
      </c>
      <c r="K2816" s="273" t="s">
        <v>3118</v>
      </c>
    </row>
    <row r="2817" spans="1:11" x14ac:dyDescent="0.3">
      <c r="A2817" s="259">
        <f t="shared" si="105"/>
        <v>2503</v>
      </c>
      <c r="B2817" s="20" t="s">
        <v>2482</v>
      </c>
      <c r="C2817" s="162">
        <v>1977</v>
      </c>
      <c r="D2817" s="273"/>
      <c r="E2817" s="273" t="s">
        <v>3123</v>
      </c>
      <c r="F2817" s="61">
        <v>9</v>
      </c>
      <c r="G2817" s="46">
        <v>1913</v>
      </c>
      <c r="H2817" s="48" t="s">
        <v>3464</v>
      </c>
      <c r="I2817" s="273">
        <f>SUMIF('2020'!B:B,B2817,'2020'!C:C)+SUMIF('2021'!B:B,B2817,'2021'!C:C)+SUMIF('2022'!B:B,B2817,'2022'!C:C)</f>
        <v>322779.28999999998</v>
      </c>
      <c r="J2817" s="59">
        <v>44925</v>
      </c>
      <c r="K2817" s="273" t="s">
        <v>3118</v>
      </c>
    </row>
    <row r="2818" spans="1:11" x14ac:dyDescent="0.3">
      <c r="A2818" s="259">
        <f t="shared" si="105"/>
        <v>2504</v>
      </c>
      <c r="B2818" s="20" t="s">
        <v>2483</v>
      </c>
      <c r="C2818" s="162">
        <v>1976</v>
      </c>
      <c r="D2818" s="273"/>
      <c r="E2818" s="273" t="s">
        <v>3123</v>
      </c>
      <c r="F2818" s="50">
        <v>12</v>
      </c>
      <c r="G2818" s="273">
        <v>4001.3</v>
      </c>
      <c r="H2818" s="10">
        <v>157</v>
      </c>
      <c r="I2818" s="273">
        <f>SUMIF('2020'!B:B,B2818,'2020'!C:C)+SUMIF('2021'!B:B,B2818,'2021'!C:C)+SUMIF('2022'!B:B,B2818,'2022'!C:C)</f>
        <v>512388.84</v>
      </c>
      <c r="J2818" s="59">
        <v>44925</v>
      </c>
      <c r="K2818" s="273" t="s">
        <v>3118</v>
      </c>
    </row>
    <row r="2819" spans="1:11" x14ac:dyDescent="0.3">
      <c r="A2819" s="259">
        <f t="shared" si="105"/>
        <v>2505</v>
      </c>
      <c r="B2819" s="20" t="s">
        <v>2484</v>
      </c>
      <c r="C2819" s="162">
        <v>1973</v>
      </c>
      <c r="D2819" s="273"/>
      <c r="E2819" s="273" t="s">
        <v>3121</v>
      </c>
      <c r="F2819" s="61">
        <v>5</v>
      </c>
      <c r="G2819" s="46">
        <v>4341.3</v>
      </c>
      <c r="H2819" s="48" t="s">
        <v>3466</v>
      </c>
      <c r="I2819" s="273">
        <f>SUMIF('2020'!B:B,B2819,'2020'!C:C)+SUMIF('2021'!B:B,B2819,'2021'!C:C)+SUMIF('2022'!B:B,B2819,'2022'!C:C)</f>
        <v>431504.37</v>
      </c>
      <c r="J2819" s="59">
        <v>44925</v>
      </c>
      <c r="K2819" s="273" t="s">
        <v>3118</v>
      </c>
    </row>
    <row r="2820" spans="1:11" x14ac:dyDescent="0.3">
      <c r="A2820" s="259">
        <f t="shared" si="105"/>
        <v>2506</v>
      </c>
      <c r="B2820" s="20" t="s">
        <v>2485</v>
      </c>
      <c r="C2820" s="162">
        <v>1987</v>
      </c>
      <c r="D2820" s="273"/>
      <c r="E2820" s="273" t="s">
        <v>3123</v>
      </c>
      <c r="F2820" s="61">
        <v>9</v>
      </c>
      <c r="G2820" s="46">
        <v>4732.6000000000004</v>
      </c>
      <c r="H2820" s="48" t="s">
        <v>3467</v>
      </c>
      <c r="I2820" s="273">
        <f>SUMIF('2020'!B:B,B2820,'2020'!C:C)+SUMIF('2021'!B:B,B2820,'2021'!C:C)+SUMIF('2022'!B:B,B2820,'2022'!C:C)</f>
        <v>533338.26</v>
      </c>
      <c r="J2820" s="59">
        <v>44925</v>
      </c>
      <c r="K2820" s="273" t="s">
        <v>3118</v>
      </c>
    </row>
    <row r="2821" spans="1:11" x14ac:dyDescent="0.3">
      <c r="A2821" s="259">
        <f t="shared" si="105"/>
        <v>2507</v>
      </c>
      <c r="B2821" s="20" t="s">
        <v>2486</v>
      </c>
      <c r="C2821" s="162">
        <v>1977</v>
      </c>
      <c r="D2821" s="273"/>
      <c r="E2821" s="273" t="s">
        <v>3123</v>
      </c>
      <c r="F2821" s="61">
        <v>9</v>
      </c>
      <c r="G2821" s="46">
        <v>1953.7</v>
      </c>
      <c r="H2821" s="48" t="s">
        <v>3085</v>
      </c>
      <c r="I2821" s="273">
        <f>SUMIF('2020'!B:B,B2821,'2020'!C:C)+SUMIF('2021'!B:B,B2821,'2021'!C:C)+SUMIF('2022'!B:B,B2821,'2022'!C:C)</f>
        <v>339361.68</v>
      </c>
      <c r="J2821" s="59">
        <v>44925</v>
      </c>
      <c r="K2821" s="273" t="s">
        <v>3118</v>
      </c>
    </row>
    <row r="2822" spans="1:11" x14ac:dyDescent="0.3">
      <c r="A2822" s="259">
        <f t="shared" si="105"/>
        <v>2508</v>
      </c>
      <c r="B2822" s="20" t="s">
        <v>2487</v>
      </c>
      <c r="C2822" s="162">
        <v>1986</v>
      </c>
      <c r="D2822" s="273"/>
      <c r="E2822" s="273" t="s">
        <v>3123</v>
      </c>
      <c r="F2822" s="61">
        <v>9</v>
      </c>
      <c r="G2822" s="46">
        <v>4732.3999999999996</v>
      </c>
      <c r="H2822" s="48" t="s">
        <v>3159</v>
      </c>
      <c r="I2822" s="273">
        <f>SUMIF('2020'!B:B,B2822,'2020'!C:C)+SUMIF('2021'!B:B,B2822,'2021'!C:C)+SUMIF('2022'!B:B,B2822,'2022'!C:C)</f>
        <v>528824.86</v>
      </c>
      <c r="J2822" s="59">
        <v>44925</v>
      </c>
      <c r="K2822" s="273" t="s">
        <v>3118</v>
      </c>
    </row>
    <row r="2823" spans="1:11" x14ac:dyDescent="0.3">
      <c r="A2823" s="259">
        <f t="shared" si="105"/>
        <v>2509</v>
      </c>
      <c r="B2823" s="20" t="s">
        <v>2488</v>
      </c>
      <c r="C2823" s="162">
        <v>1968</v>
      </c>
      <c r="D2823" s="273"/>
      <c r="E2823" s="273" t="s">
        <v>3123</v>
      </c>
      <c r="F2823" s="61">
        <v>5</v>
      </c>
      <c r="G2823" s="46">
        <v>2491</v>
      </c>
      <c r="H2823" s="48" t="s">
        <v>3083</v>
      </c>
      <c r="I2823" s="273">
        <f>SUMIF('2020'!B:B,B2823,'2020'!C:C)+SUMIF('2021'!B:B,B2823,'2021'!C:C)+SUMIF('2022'!B:B,B2823,'2022'!C:C)</f>
        <v>13482447</v>
      </c>
      <c r="J2823" s="59">
        <v>44925</v>
      </c>
      <c r="K2823" s="273" t="s">
        <v>3118</v>
      </c>
    </row>
    <row r="2824" spans="1:11" x14ac:dyDescent="0.3">
      <c r="A2824" s="259">
        <f t="shared" si="105"/>
        <v>2510</v>
      </c>
      <c r="B2824" s="20" t="s">
        <v>2489</v>
      </c>
      <c r="C2824" s="162">
        <v>1968</v>
      </c>
      <c r="D2824" s="273"/>
      <c r="E2824" s="273" t="s">
        <v>3123</v>
      </c>
      <c r="F2824" s="61">
        <v>5</v>
      </c>
      <c r="G2824" s="46">
        <v>2853</v>
      </c>
      <c r="H2824" s="48" t="s">
        <v>3054</v>
      </c>
      <c r="I2824" s="273">
        <f>SUMIF('2020'!B:B,B2824,'2020'!C:C)+SUMIF('2021'!B:B,B2824,'2021'!C:C)+SUMIF('2022'!B:B,B2824,'2022'!C:C)</f>
        <v>15243760.98</v>
      </c>
      <c r="J2824" s="59">
        <v>44925</v>
      </c>
      <c r="K2824" s="273" t="s">
        <v>3118</v>
      </c>
    </row>
    <row r="2825" spans="1:11" x14ac:dyDescent="0.3">
      <c r="A2825" s="259">
        <f t="shared" si="105"/>
        <v>2511</v>
      </c>
      <c r="B2825" s="20" t="s">
        <v>2490</v>
      </c>
      <c r="C2825" s="162">
        <v>1969</v>
      </c>
      <c r="D2825" s="273"/>
      <c r="E2825" s="273" t="s">
        <v>3123</v>
      </c>
      <c r="F2825" s="61">
        <v>5</v>
      </c>
      <c r="G2825" s="162">
        <v>3185.7</v>
      </c>
      <c r="H2825" s="48" t="s">
        <v>3158</v>
      </c>
      <c r="I2825" s="273">
        <f>SUMIF('2020'!B:B,B2825,'2020'!C:C)+SUMIF('2021'!B:B,B2825,'2021'!C:C)+SUMIF('2022'!B:B,B2825,'2022'!C:C)</f>
        <v>26306621.939999998</v>
      </c>
      <c r="J2825" s="59">
        <v>44925</v>
      </c>
      <c r="K2825" s="273" t="s">
        <v>3118</v>
      </c>
    </row>
    <row r="2826" spans="1:11" x14ac:dyDescent="0.3">
      <c r="A2826" s="259">
        <f t="shared" si="105"/>
        <v>2512</v>
      </c>
      <c r="B2826" s="20" t="s">
        <v>2491</v>
      </c>
      <c r="C2826" s="162">
        <v>1970</v>
      </c>
      <c r="D2826" s="273"/>
      <c r="E2826" s="273" t="s">
        <v>3123</v>
      </c>
      <c r="F2826" s="61">
        <v>9</v>
      </c>
      <c r="G2826" s="162">
        <v>5682</v>
      </c>
      <c r="H2826" s="48" t="s">
        <v>3468</v>
      </c>
      <c r="I2826" s="273">
        <f>SUMIF('2020'!B:B,B2826,'2020'!C:C)+SUMIF('2021'!B:B,B2826,'2021'!C:C)+SUMIF('2022'!B:B,B2826,'2022'!C:C)</f>
        <v>41230667.519999996</v>
      </c>
      <c r="J2826" s="59">
        <v>44925</v>
      </c>
      <c r="K2826" s="273" t="s">
        <v>3118</v>
      </c>
    </row>
    <row r="2827" spans="1:11" x14ac:dyDescent="0.3">
      <c r="A2827" s="259">
        <f t="shared" si="105"/>
        <v>2513</v>
      </c>
      <c r="B2827" s="20" t="s">
        <v>2492</v>
      </c>
      <c r="C2827" s="162">
        <v>1971</v>
      </c>
      <c r="D2827" s="273"/>
      <c r="E2827" s="273" t="s">
        <v>3123</v>
      </c>
      <c r="F2827" s="61">
        <v>9</v>
      </c>
      <c r="G2827" s="162">
        <v>5546.8</v>
      </c>
      <c r="H2827" s="48" t="s">
        <v>3469</v>
      </c>
      <c r="I2827" s="273">
        <f>SUMIF('2020'!B:B,B2827,'2020'!C:C)+SUMIF('2021'!B:B,B2827,'2021'!C:C)+SUMIF('2022'!B:B,B2827,'2022'!C:C)</f>
        <v>523501.03</v>
      </c>
      <c r="J2827" s="59">
        <v>44925</v>
      </c>
      <c r="K2827" s="273" t="s">
        <v>3118</v>
      </c>
    </row>
    <row r="2828" spans="1:11" x14ac:dyDescent="0.3">
      <c r="A2828" s="259">
        <f t="shared" si="105"/>
        <v>2514</v>
      </c>
      <c r="B2828" s="20" t="s">
        <v>2493</v>
      </c>
      <c r="C2828" s="162">
        <v>1971</v>
      </c>
      <c r="D2828" s="273"/>
      <c r="E2828" s="273" t="s">
        <v>3123</v>
      </c>
      <c r="F2828" s="61">
        <v>9</v>
      </c>
      <c r="G2828" s="162">
        <v>5596.2</v>
      </c>
      <c r="H2828" s="48" t="s">
        <v>3470</v>
      </c>
      <c r="I2828" s="273">
        <f>SUMIF('2020'!B:B,B2828,'2020'!C:C)+SUMIF('2021'!B:B,B2828,'2021'!C:C)+SUMIF('2022'!B:B,B2828,'2022'!C:C)</f>
        <v>258347.42</v>
      </c>
      <c r="J2828" s="59">
        <v>44925</v>
      </c>
      <c r="K2828" s="273" t="s">
        <v>3118</v>
      </c>
    </row>
    <row r="2829" spans="1:11" x14ac:dyDescent="0.3">
      <c r="A2829" s="259">
        <f t="shared" si="105"/>
        <v>2515</v>
      </c>
      <c r="B2829" s="20" t="s">
        <v>2494</v>
      </c>
      <c r="C2829" s="162">
        <v>1969</v>
      </c>
      <c r="D2829" s="273"/>
      <c r="E2829" s="273" t="s">
        <v>3123</v>
      </c>
      <c r="F2829" s="50">
        <v>5</v>
      </c>
      <c r="G2829" s="46">
        <v>2646.3</v>
      </c>
      <c r="H2829" s="48" t="s">
        <v>3471</v>
      </c>
      <c r="I2829" s="273">
        <f>SUMIF('2020'!B:B,B2829,'2020'!C:C)+SUMIF('2021'!B:B,B2829,'2021'!C:C)+SUMIF('2022'!B:B,B2829,'2022'!C:C)</f>
        <v>169930.51</v>
      </c>
      <c r="J2829" s="59">
        <v>44925</v>
      </c>
      <c r="K2829" s="273" t="s">
        <v>3118</v>
      </c>
    </row>
    <row r="2830" spans="1:11" x14ac:dyDescent="0.3">
      <c r="A2830" s="259">
        <f t="shared" ref="A2830:A2855" si="106">A2829+1</f>
        <v>2516</v>
      </c>
      <c r="B2830" s="20" t="s">
        <v>2495</v>
      </c>
      <c r="C2830" s="162">
        <v>1968</v>
      </c>
      <c r="D2830" s="273"/>
      <c r="E2830" s="273" t="s">
        <v>3123</v>
      </c>
      <c r="F2830" s="50">
        <v>5</v>
      </c>
      <c r="G2830" s="62">
        <v>3185.7</v>
      </c>
      <c r="H2830" s="175" t="s">
        <v>3158</v>
      </c>
      <c r="I2830" s="273">
        <f>SUMIF('2020'!B:B,B2830,'2020'!C:C)+SUMIF('2021'!B:B,B2830,'2021'!C:C)+SUMIF('2022'!B:B,B2830,'2022'!C:C)</f>
        <v>18543247.559999999</v>
      </c>
      <c r="J2830" s="59">
        <v>44925</v>
      </c>
      <c r="K2830" s="273" t="s">
        <v>3118</v>
      </c>
    </row>
    <row r="2831" spans="1:11" x14ac:dyDescent="0.3">
      <c r="A2831" s="259">
        <f t="shared" si="106"/>
        <v>2517</v>
      </c>
      <c r="B2831" s="20" t="s">
        <v>2496</v>
      </c>
      <c r="C2831" s="162">
        <v>1967</v>
      </c>
      <c r="D2831" s="273"/>
      <c r="E2831" s="273" t="s">
        <v>3123</v>
      </c>
      <c r="F2831" s="61">
        <v>9</v>
      </c>
      <c r="G2831" s="46">
        <v>2050.1999999999998</v>
      </c>
      <c r="H2831" s="48" t="s">
        <v>3134</v>
      </c>
      <c r="I2831" s="273">
        <f>SUMIF('2020'!B:B,B2831,'2020'!C:C)+SUMIF('2021'!B:B,B2831,'2021'!C:C)+SUMIF('2022'!B:B,B2831,'2022'!C:C)</f>
        <v>339573.65</v>
      </c>
      <c r="J2831" s="59">
        <v>44925</v>
      </c>
      <c r="K2831" s="273" t="s">
        <v>3118</v>
      </c>
    </row>
    <row r="2832" spans="1:11" x14ac:dyDescent="0.3">
      <c r="A2832" s="259">
        <f t="shared" si="106"/>
        <v>2518</v>
      </c>
      <c r="B2832" s="20" t="s">
        <v>2497</v>
      </c>
      <c r="C2832" s="162">
        <v>1969</v>
      </c>
      <c r="D2832" s="273"/>
      <c r="E2832" s="273" t="s">
        <v>3123</v>
      </c>
      <c r="F2832" s="61">
        <v>5</v>
      </c>
      <c r="G2832" s="46">
        <v>2575.6</v>
      </c>
      <c r="H2832" s="48" t="s">
        <v>3046</v>
      </c>
      <c r="I2832" s="273">
        <f>SUMIF('2020'!B:B,B2832,'2020'!C:C)+SUMIF('2021'!B:B,B2832,'2021'!C:C)+SUMIF('2022'!B:B,B2832,'2022'!C:C)</f>
        <v>163189.16</v>
      </c>
      <c r="J2832" s="59">
        <v>44925</v>
      </c>
      <c r="K2832" s="273" t="s">
        <v>3118</v>
      </c>
    </row>
    <row r="2833" spans="1:13" x14ac:dyDescent="0.3">
      <c r="A2833" s="259">
        <f t="shared" si="106"/>
        <v>2519</v>
      </c>
      <c r="B2833" s="20" t="s">
        <v>2498</v>
      </c>
      <c r="C2833" s="162">
        <v>1968</v>
      </c>
      <c r="D2833" s="273"/>
      <c r="E2833" s="273" t="s">
        <v>3123</v>
      </c>
      <c r="F2833" s="64">
        <v>9</v>
      </c>
      <c r="G2833" s="65">
        <v>1951.7</v>
      </c>
      <c r="H2833" s="176" t="s">
        <v>3472</v>
      </c>
      <c r="I2833" s="273">
        <f>SUMIF('2020'!B:B,B2833,'2020'!C:C)+SUMIF('2021'!B:B,B2833,'2021'!C:C)+SUMIF('2022'!B:B,B2833,'2022'!C:C)</f>
        <v>16215922.800000001</v>
      </c>
      <c r="J2833" s="59">
        <v>44925</v>
      </c>
      <c r="K2833" s="273" t="s">
        <v>3118</v>
      </c>
    </row>
    <row r="2834" spans="1:13" x14ac:dyDescent="0.3">
      <c r="A2834" s="259">
        <f t="shared" si="106"/>
        <v>2520</v>
      </c>
      <c r="B2834" s="20" t="s">
        <v>2499</v>
      </c>
      <c r="C2834" s="162">
        <v>1968</v>
      </c>
      <c r="D2834" s="273"/>
      <c r="E2834" s="273" t="s">
        <v>3123</v>
      </c>
      <c r="F2834" s="61">
        <v>5</v>
      </c>
      <c r="G2834" s="46">
        <v>2787.6</v>
      </c>
      <c r="H2834" s="48" t="s">
        <v>3158</v>
      </c>
      <c r="I2834" s="273">
        <f>SUMIF('2020'!B:B,B2834,'2020'!C:C)+SUMIF('2021'!B:B,B2834,'2021'!C:C)+SUMIF('2022'!B:B,B2834,'2022'!C:C)</f>
        <v>334538.57</v>
      </c>
      <c r="J2834" s="59">
        <v>44925</v>
      </c>
      <c r="K2834" s="273" t="s">
        <v>3118</v>
      </c>
    </row>
    <row r="2835" spans="1:13" x14ac:dyDescent="0.3">
      <c r="A2835" s="259">
        <f t="shared" si="106"/>
        <v>2521</v>
      </c>
      <c r="B2835" s="20" t="s">
        <v>2500</v>
      </c>
      <c r="C2835" s="162">
        <v>1968</v>
      </c>
      <c r="D2835" s="273"/>
      <c r="E2835" s="273" t="s">
        <v>3123</v>
      </c>
      <c r="F2835" s="61">
        <v>9</v>
      </c>
      <c r="G2835" s="46">
        <v>1954.6</v>
      </c>
      <c r="H2835" s="48" t="s">
        <v>3083</v>
      </c>
      <c r="I2835" s="273">
        <f>SUMIF('2020'!B:B,B2835,'2020'!C:C)+SUMIF('2021'!B:B,B2835,'2021'!C:C)+SUMIF('2022'!B:B,B2835,'2022'!C:C)</f>
        <v>325297.82</v>
      </c>
      <c r="J2835" s="59">
        <v>44925</v>
      </c>
      <c r="K2835" s="273" t="s">
        <v>3118</v>
      </c>
    </row>
    <row r="2836" spans="1:13" x14ac:dyDescent="0.3">
      <c r="A2836" s="259">
        <f t="shared" si="106"/>
        <v>2522</v>
      </c>
      <c r="B2836" s="20" t="s">
        <v>2501</v>
      </c>
      <c r="C2836" s="162">
        <v>1968</v>
      </c>
      <c r="D2836" s="273"/>
      <c r="E2836" s="273" t="s">
        <v>3123</v>
      </c>
      <c r="F2836" s="61">
        <v>9</v>
      </c>
      <c r="G2836" s="46">
        <v>1981.3</v>
      </c>
      <c r="H2836" s="48" t="s">
        <v>3473</v>
      </c>
      <c r="I2836" s="273">
        <f>SUMIF('2020'!B:B,B2836,'2020'!C:C)+SUMIF('2021'!B:B,B2836,'2021'!C:C)+SUMIF('2022'!B:B,B2836,'2022'!C:C)</f>
        <v>339361.68</v>
      </c>
      <c r="J2836" s="59">
        <v>44925</v>
      </c>
      <c r="K2836" s="273" t="s">
        <v>3118</v>
      </c>
    </row>
    <row r="2837" spans="1:13" x14ac:dyDescent="0.3">
      <c r="A2837" s="259">
        <f t="shared" si="106"/>
        <v>2523</v>
      </c>
      <c r="B2837" s="20" t="s">
        <v>2502</v>
      </c>
      <c r="C2837" s="162">
        <v>1969</v>
      </c>
      <c r="D2837" s="273"/>
      <c r="E2837" s="273" t="s">
        <v>3123</v>
      </c>
      <c r="F2837" s="61">
        <v>9</v>
      </c>
      <c r="G2837" s="46">
        <v>1978.3</v>
      </c>
      <c r="H2837" s="48" t="s">
        <v>3074</v>
      </c>
      <c r="I2837" s="273">
        <f>SUMIF('2020'!B:B,B2837,'2020'!C:C)+SUMIF('2021'!B:B,B2837,'2021'!C:C)+SUMIF('2022'!B:B,B2837,'2022'!C:C)</f>
        <v>231551.82</v>
      </c>
      <c r="J2837" s="59">
        <v>44925</v>
      </c>
      <c r="K2837" s="273" t="s">
        <v>3118</v>
      </c>
    </row>
    <row r="2838" spans="1:13" x14ac:dyDescent="0.3">
      <c r="A2838" s="259">
        <f t="shared" si="106"/>
        <v>2524</v>
      </c>
      <c r="B2838" s="20" t="s">
        <v>2503</v>
      </c>
      <c r="C2838" s="162">
        <v>1966</v>
      </c>
      <c r="D2838" s="273"/>
      <c r="E2838" s="273" t="s">
        <v>3123</v>
      </c>
      <c r="F2838" s="50">
        <v>5</v>
      </c>
      <c r="G2838" s="46">
        <v>3069.9</v>
      </c>
      <c r="H2838" s="48" t="s">
        <v>3161</v>
      </c>
      <c r="I2838" s="273">
        <f>SUMIF('2020'!B:B,B2838,'2020'!C:C)+SUMIF('2021'!B:B,B2838,'2021'!C:C)+SUMIF('2022'!B:B,B2838,'2022'!C:C)</f>
        <v>27380823.539999999</v>
      </c>
      <c r="J2838" s="59">
        <v>44925</v>
      </c>
      <c r="K2838" s="273" t="s">
        <v>3118</v>
      </c>
    </row>
    <row r="2839" spans="1:13" x14ac:dyDescent="0.3">
      <c r="A2839" s="259">
        <f t="shared" si="106"/>
        <v>2525</v>
      </c>
      <c r="B2839" s="20" t="s">
        <v>2504</v>
      </c>
      <c r="C2839" s="162">
        <v>1967</v>
      </c>
      <c r="D2839" s="273"/>
      <c r="E2839" s="273" t="s">
        <v>3123</v>
      </c>
      <c r="F2839" s="50">
        <v>5</v>
      </c>
      <c r="G2839" s="46">
        <v>3089.6</v>
      </c>
      <c r="H2839" s="48" t="s">
        <v>3474</v>
      </c>
      <c r="I2839" s="273">
        <f>SUMIF('2020'!B:B,B2839,'2020'!C:C)+SUMIF('2021'!B:B,B2839,'2021'!C:C)+SUMIF('2022'!B:B,B2839,'2022'!C:C)</f>
        <v>187483.24</v>
      </c>
      <c r="J2839" s="59">
        <v>44925</v>
      </c>
      <c r="K2839" s="273" t="s">
        <v>3118</v>
      </c>
    </row>
    <row r="2840" spans="1:13" x14ac:dyDescent="0.3">
      <c r="A2840" s="259">
        <f t="shared" si="106"/>
        <v>2526</v>
      </c>
      <c r="B2840" s="20" t="s">
        <v>2505</v>
      </c>
      <c r="C2840" s="162">
        <v>1967</v>
      </c>
      <c r="D2840" s="273"/>
      <c r="E2840" s="273" t="s">
        <v>3123</v>
      </c>
      <c r="F2840" s="50">
        <v>5</v>
      </c>
      <c r="G2840" s="46">
        <v>3226.9</v>
      </c>
      <c r="H2840" s="48" t="s">
        <v>3174</v>
      </c>
      <c r="I2840" s="273">
        <f>SUMIF('2020'!B:B,B2840,'2020'!C:C)+SUMIF('2021'!B:B,B2840,'2021'!C:C)+SUMIF('2022'!B:B,B2840,'2022'!C:C)</f>
        <v>156716.85999999999</v>
      </c>
      <c r="J2840" s="59">
        <v>44925</v>
      </c>
      <c r="K2840" s="273" t="s">
        <v>3118</v>
      </c>
    </row>
    <row r="2841" spans="1:13" x14ac:dyDescent="0.3">
      <c r="A2841" s="259">
        <f t="shared" si="106"/>
        <v>2527</v>
      </c>
      <c r="B2841" s="20" t="s">
        <v>2506</v>
      </c>
      <c r="C2841" s="162">
        <v>1962</v>
      </c>
      <c r="D2841" s="273"/>
      <c r="E2841" s="273" t="s">
        <v>3123</v>
      </c>
      <c r="F2841" s="50">
        <v>3</v>
      </c>
      <c r="G2841" s="273">
        <v>1499.5</v>
      </c>
      <c r="H2841" s="10">
        <v>87</v>
      </c>
      <c r="I2841" s="273">
        <f>SUMIF('2020'!B:B,B2841,'2020'!C:C)+SUMIF('2021'!B:B,B2841,'2021'!C:C)+SUMIF('2022'!B:B,B2841,'2022'!C:C)</f>
        <v>1026057.06</v>
      </c>
      <c r="J2841" s="59">
        <v>44925</v>
      </c>
      <c r="K2841" s="273" t="s">
        <v>3118</v>
      </c>
    </row>
    <row r="2842" spans="1:13" x14ac:dyDescent="0.3">
      <c r="A2842" s="259">
        <f t="shared" si="106"/>
        <v>2528</v>
      </c>
      <c r="B2842" s="20" t="s">
        <v>3582</v>
      </c>
      <c r="C2842" s="162">
        <v>1973</v>
      </c>
      <c r="D2842" s="273"/>
      <c r="E2842" s="273" t="s">
        <v>3123</v>
      </c>
      <c r="F2842" s="61">
        <v>12</v>
      </c>
      <c r="G2842" s="46">
        <v>3826.9</v>
      </c>
      <c r="H2842" s="48" t="s">
        <v>3581</v>
      </c>
      <c r="I2842" s="273">
        <f>SUMIF('2020'!B:B,B2842,'2020'!C:C)+SUMIF('2021'!B:B,B2842,'2021'!C:C)+SUMIF('2022'!B:B,B2842,'2022'!C:C)</f>
        <v>1588492.22</v>
      </c>
      <c r="J2842" s="59">
        <v>44925</v>
      </c>
      <c r="K2842" s="273" t="s">
        <v>3118</v>
      </c>
      <c r="L2842" s="199"/>
      <c r="M2842" s="271"/>
    </row>
    <row r="2843" spans="1:13" x14ac:dyDescent="0.3">
      <c r="A2843" s="259">
        <f t="shared" si="106"/>
        <v>2529</v>
      </c>
      <c r="B2843" s="20" t="s">
        <v>2507</v>
      </c>
      <c r="C2843" s="162">
        <v>1964</v>
      </c>
      <c r="D2843" s="273"/>
      <c r="E2843" s="273" t="s">
        <v>3123</v>
      </c>
      <c r="F2843" s="61">
        <v>5</v>
      </c>
      <c r="G2843" s="46">
        <v>3716.1</v>
      </c>
      <c r="H2843" s="48" t="s">
        <v>3081</v>
      </c>
      <c r="I2843" s="273">
        <f>SUMIF('2020'!B:B,B2843,'2020'!C:C)+SUMIF('2021'!B:B,B2843,'2021'!C:C)+SUMIF('2022'!B:B,B2843,'2022'!C:C)</f>
        <v>1559595.6</v>
      </c>
      <c r="J2843" s="59">
        <v>44925</v>
      </c>
      <c r="K2843" s="273" t="s">
        <v>3118</v>
      </c>
    </row>
    <row r="2844" spans="1:13" x14ac:dyDescent="0.3">
      <c r="A2844" s="259">
        <f t="shared" si="106"/>
        <v>2530</v>
      </c>
      <c r="B2844" s="20" t="s">
        <v>2508</v>
      </c>
      <c r="C2844" s="162">
        <v>1964</v>
      </c>
      <c r="D2844" s="273"/>
      <c r="E2844" s="273" t="s">
        <v>3123</v>
      </c>
      <c r="F2844" s="61">
        <v>5</v>
      </c>
      <c r="G2844" s="162">
        <v>3716.1</v>
      </c>
      <c r="H2844" s="48" t="s">
        <v>3475</v>
      </c>
      <c r="I2844" s="273">
        <f>SUMIF('2020'!B:B,B2844,'2020'!C:C)+SUMIF('2021'!B:B,B2844,'2021'!C:C)+SUMIF('2022'!B:B,B2844,'2022'!C:C)</f>
        <v>20026019.520000003</v>
      </c>
      <c r="J2844" s="59">
        <v>44925</v>
      </c>
      <c r="K2844" s="273" t="s">
        <v>3118</v>
      </c>
    </row>
    <row r="2845" spans="1:13" x14ac:dyDescent="0.3">
      <c r="A2845" s="259">
        <f t="shared" si="106"/>
        <v>2531</v>
      </c>
      <c r="B2845" s="20" t="s">
        <v>2509</v>
      </c>
      <c r="C2845" s="162">
        <v>1961</v>
      </c>
      <c r="D2845" s="273"/>
      <c r="E2845" s="273" t="s">
        <v>3123</v>
      </c>
      <c r="F2845" s="61">
        <v>3</v>
      </c>
      <c r="G2845" s="46">
        <v>1522.6</v>
      </c>
      <c r="H2845" s="48" t="s">
        <v>3181</v>
      </c>
      <c r="I2845" s="273">
        <f>SUMIF('2020'!B:B,B2845,'2020'!C:C)+SUMIF('2021'!B:B,B2845,'2021'!C:C)+SUMIF('2022'!B:B,B2845,'2022'!C:C)</f>
        <v>418546.72</v>
      </c>
      <c r="J2845" s="59">
        <v>44925</v>
      </c>
      <c r="K2845" s="273" t="s">
        <v>3118</v>
      </c>
    </row>
    <row r="2846" spans="1:13" x14ac:dyDescent="0.3">
      <c r="A2846" s="259">
        <f t="shared" si="106"/>
        <v>2532</v>
      </c>
      <c r="B2846" s="20" t="s">
        <v>2510</v>
      </c>
      <c r="C2846" s="162">
        <v>1961</v>
      </c>
      <c r="D2846" s="273"/>
      <c r="E2846" s="273" t="s">
        <v>3123</v>
      </c>
      <c r="F2846" s="61">
        <v>3</v>
      </c>
      <c r="G2846" s="46">
        <v>949.7</v>
      </c>
      <c r="H2846" s="48" t="s">
        <v>3181</v>
      </c>
      <c r="I2846" s="273">
        <f>SUMIF('2020'!B:B,B2846,'2020'!C:C)+SUMIF('2021'!B:B,B2846,'2021'!C:C)+SUMIF('2022'!B:B,B2846,'2022'!C:C)</f>
        <v>6538661.8599999994</v>
      </c>
      <c r="J2846" s="59">
        <v>44925</v>
      </c>
      <c r="K2846" s="273" t="s">
        <v>3118</v>
      </c>
    </row>
    <row r="2847" spans="1:13" x14ac:dyDescent="0.3">
      <c r="A2847" s="259">
        <f t="shared" si="106"/>
        <v>2533</v>
      </c>
      <c r="B2847" s="20" t="s">
        <v>2511</v>
      </c>
      <c r="C2847" s="162">
        <v>1961</v>
      </c>
      <c r="D2847" s="273"/>
      <c r="E2847" s="273" t="s">
        <v>3123</v>
      </c>
      <c r="F2847" s="61">
        <v>3</v>
      </c>
      <c r="G2847" s="46">
        <v>1517</v>
      </c>
      <c r="H2847" s="48" t="s">
        <v>3461</v>
      </c>
      <c r="I2847" s="273">
        <f>SUMIF('2020'!B:B,B2847,'2020'!C:C)+SUMIF('2021'!B:B,B2847,'2021'!C:C)+SUMIF('2022'!B:B,B2847,'2022'!C:C)</f>
        <v>1003376.4</v>
      </c>
      <c r="J2847" s="59">
        <v>44925</v>
      </c>
      <c r="K2847" s="273" t="s">
        <v>3118</v>
      </c>
    </row>
    <row r="2848" spans="1:13" x14ac:dyDescent="0.3">
      <c r="A2848" s="259">
        <f t="shared" si="106"/>
        <v>2534</v>
      </c>
      <c r="B2848" s="20" t="s">
        <v>2512</v>
      </c>
      <c r="C2848" s="162">
        <v>1962</v>
      </c>
      <c r="D2848" s="273"/>
      <c r="E2848" s="273" t="s">
        <v>3123</v>
      </c>
      <c r="F2848" s="61">
        <v>3</v>
      </c>
      <c r="G2848" s="46">
        <v>1484.6</v>
      </c>
      <c r="H2848" s="48" t="s">
        <v>3476</v>
      </c>
      <c r="I2848" s="273">
        <f>SUMIF('2020'!B:B,B2848,'2020'!C:C)+SUMIF('2021'!B:B,B2848,'2021'!C:C)+SUMIF('2022'!B:B,B2848,'2022'!C:C)</f>
        <v>5252173.9399999995</v>
      </c>
      <c r="J2848" s="59">
        <v>44925</v>
      </c>
      <c r="K2848" s="273" t="s">
        <v>3118</v>
      </c>
    </row>
    <row r="2849" spans="1:11" x14ac:dyDescent="0.3">
      <c r="A2849" s="259">
        <f t="shared" si="106"/>
        <v>2535</v>
      </c>
      <c r="B2849" s="20" t="s">
        <v>2513</v>
      </c>
      <c r="C2849" s="162">
        <v>1961</v>
      </c>
      <c r="D2849" s="273"/>
      <c r="E2849" s="273" t="s">
        <v>3123</v>
      </c>
      <c r="F2849" s="63">
        <v>4</v>
      </c>
      <c r="G2849" s="62">
        <v>2043.8</v>
      </c>
      <c r="H2849" s="175" t="s">
        <v>3105</v>
      </c>
      <c r="I2849" s="273">
        <f>SUMIF('2020'!B:B,B2849,'2020'!C:C)+SUMIF('2021'!B:B,B2849,'2021'!C:C)+SUMIF('2022'!B:B,B2849,'2022'!C:C)</f>
        <v>860813.54</v>
      </c>
      <c r="J2849" s="59">
        <v>44925</v>
      </c>
      <c r="K2849" s="273" t="s">
        <v>3118</v>
      </c>
    </row>
    <row r="2850" spans="1:11" x14ac:dyDescent="0.3">
      <c r="A2850" s="259">
        <f t="shared" si="106"/>
        <v>2536</v>
      </c>
      <c r="B2850" s="20" t="s">
        <v>2514</v>
      </c>
      <c r="C2850" s="162">
        <v>1963</v>
      </c>
      <c r="D2850" s="273"/>
      <c r="E2850" s="273" t="s">
        <v>3123</v>
      </c>
      <c r="F2850" s="61">
        <v>4</v>
      </c>
      <c r="G2850" s="46">
        <v>1518.8</v>
      </c>
      <c r="H2850" s="48" t="s">
        <v>3101</v>
      </c>
      <c r="I2850" s="273">
        <f>SUMIF('2020'!B:B,B2850,'2020'!C:C)+SUMIF('2021'!B:B,B2850,'2021'!C:C)+SUMIF('2022'!B:B,B2850,'2022'!C:C)</f>
        <v>821949.06</v>
      </c>
      <c r="J2850" s="59">
        <v>44925</v>
      </c>
      <c r="K2850" s="273" t="s">
        <v>3118</v>
      </c>
    </row>
    <row r="2851" spans="1:11" x14ac:dyDescent="0.3">
      <c r="A2851" s="259">
        <f t="shared" si="106"/>
        <v>2537</v>
      </c>
      <c r="B2851" s="20" t="s">
        <v>2515</v>
      </c>
      <c r="C2851" s="162">
        <v>1966</v>
      </c>
      <c r="D2851" s="273"/>
      <c r="E2851" s="273" t="s">
        <v>3123</v>
      </c>
      <c r="F2851" s="61">
        <v>5</v>
      </c>
      <c r="G2851" s="46">
        <v>3299.9</v>
      </c>
      <c r="H2851" s="48" t="s">
        <v>3477</v>
      </c>
      <c r="I2851" s="273">
        <f>SUMIF('2020'!B:B,B2851,'2020'!C:C)+SUMIF('2021'!B:B,B2851,'2021'!C:C)+SUMIF('2022'!B:B,B2851,'2022'!C:C)</f>
        <v>316637.32</v>
      </c>
      <c r="J2851" s="59">
        <v>44925</v>
      </c>
      <c r="K2851" s="273" t="s">
        <v>3118</v>
      </c>
    </row>
    <row r="2852" spans="1:11" x14ac:dyDescent="0.3">
      <c r="A2852" s="259">
        <f t="shared" si="106"/>
        <v>2538</v>
      </c>
      <c r="B2852" s="20" t="s">
        <v>2516</v>
      </c>
      <c r="C2852" s="162">
        <v>1972</v>
      </c>
      <c r="D2852" s="273"/>
      <c r="E2852" s="273" t="s">
        <v>3123</v>
      </c>
      <c r="F2852" s="61">
        <v>9</v>
      </c>
      <c r="G2852" s="46">
        <v>2001.9</v>
      </c>
      <c r="H2852" s="48" t="s">
        <v>3464</v>
      </c>
      <c r="I2852" s="273">
        <f>SUMIF('2020'!B:B,B2852,'2020'!C:C)+SUMIF('2021'!B:B,B2852,'2021'!C:C)+SUMIF('2022'!B:B,B2852,'2022'!C:C)</f>
        <v>341884.93</v>
      </c>
      <c r="J2852" s="59">
        <v>44925</v>
      </c>
      <c r="K2852" s="273" t="s">
        <v>3118</v>
      </c>
    </row>
    <row r="2853" spans="1:11" x14ac:dyDescent="0.3">
      <c r="A2853" s="259">
        <f t="shared" si="106"/>
        <v>2539</v>
      </c>
      <c r="B2853" s="20" t="s">
        <v>2517</v>
      </c>
      <c r="C2853" s="162">
        <v>1971</v>
      </c>
      <c r="D2853" s="273"/>
      <c r="E2853" s="273" t="s">
        <v>3123</v>
      </c>
      <c r="F2853" s="61">
        <v>9</v>
      </c>
      <c r="G2853" s="162">
        <v>2005</v>
      </c>
      <c r="H2853" s="48" t="s">
        <v>3048</v>
      </c>
      <c r="I2853" s="273">
        <f>SUMIF('2020'!B:B,B2853,'2020'!C:C)+SUMIF('2021'!B:B,B2853,'2021'!C:C)+SUMIF('2022'!B:B,B2853,'2022'!C:C)</f>
        <v>339498.83</v>
      </c>
      <c r="J2853" s="59">
        <v>44925</v>
      </c>
      <c r="K2853" s="273" t="s">
        <v>3118</v>
      </c>
    </row>
    <row r="2854" spans="1:11" x14ac:dyDescent="0.3">
      <c r="A2854" s="259">
        <f t="shared" si="106"/>
        <v>2540</v>
      </c>
      <c r="B2854" s="20" t="s">
        <v>2518</v>
      </c>
      <c r="C2854" s="162">
        <v>1971</v>
      </c>
      <c r="D2854" s="273"/>
      <c r="E2854" s="273" t="s">
        <v>3123</v>
      </c>
      <c r="F2854" s="61">
        <v>9</v>
      </c>
      <c r="G2854" s="162">
        <v>2015.5</v>
      </c>
      <c r="H2854" s="48" t="s">
        <v>3478</v>
      </c>
      <c r="I2854" s="273">
        <f>SUMIF('2020'!B:B,B2854,'2020'!C:C)+SUMIF('2021'!B:B,B2854,'2021'!C:C)+SUMIF('2022'!B:B,B2854,'2022'!C:C)</f>
        <v>356312.22</v>
      </c>
      <c r="J2854" s="59">
        <v>44925</v>
      </c>
      <c r="K2854" s="273" t="s">
        <v>3118</v>
      </c>
    </row>
    <row r="2855" spans="1:11" x14ac:dyDescent="0.3">
      <c r="A2855" s="259">
        <f t="shared" si="106"/>
        <v>2541</v>
      </c>
      <c r="B2855" s="20" t="s">
        <v>2519</v>
      </c>
      <c r="C2855" s="162">
        <v>1970</v>
      </c>
      <c r="D2855" s="273"/>
      <c r="E2855" s="273" t="s">
        <v>3123</v>
      </c>
      <c r="F2855" s="61">
        <v>9</v>
      </c>
      <c r="G2855" s="162">
        <v>2011.7</v>
      </c>
      <c r="H2855" s="48" t="s">
        <v>3175</v>
      </c>
      <c r="I2855" s="273">
        <f>SUMIF('2020'!B:B,B2855,'2020'!C:C)+SUMIF('2021'!B:B,B2855,'2021'!C:C)+SUMIF('2022'!B:B,B2855,'2022'!C:C)</f>
        <v>342616.31</v>
      </c>
      <c r="J2855" s="59">
        <v>44925</v>
      </c>
      <c r="K2855" s="273" t="s">
        <v>3118</v>
      </c>
    </row>
    <row r="2856" spans="1:11" x14ac:dyDescent="0.3">
      <c r="A2856" s="259">
        <f t="shared" ref="A2856:A2857" si="107">A2855+1</f>
        <v>2542</v>
      </c>
      <c r="B2856" s="20" t="s">
        <v>2520</v>
      </c>
      <c r="C2856" s="162">
        <v>1980</v>
      </c>
      <c r="D2856" s="273"/>
      <c r="E2856" s="273" t="s">
        <v>3123</v>
      </c>
      <c r="F2856" s="61">
        <v>9</v>
      </c>
      <c r="G2856" s="162">
        <v>6080.6</v>
      </c>
      <c r="H2856" s="48" t="s">
        <v>3479</v>
      </c>
      <c r="I2856" s="273">
        <f>SUMIF('2020'!B:B,B2856,'2020'!C:C)+SUMIF('2021'!B:B,B2856,'2021'!C:C)+SUMIF('2022'!B:B,B2856,'2022'!C:C)</f>
        <v>130000</v>
      </c>
      <c r="J2856" s="59">
        <v>44925</v>
      </c>
      <c r="K2856" s="273" t="s">
        <v>3118</v>
      </c>
    </row>
    <row r="2857" spans="1:11" x14ac:dyDescent="0.3">
      <c r="A2857" s="259">
        <f t="shared" si="107"/>
        <v>2543</v>
      </c>
      <c r="B2857" s="20" t="s">
        <v>2521</v>
      </c>
      <c r="C2857" s="162">
        <v>1982</v>
      </c>
      <c r="D2857" s="273"/>
      <c r="E2857" s="273" t="s">
        <v>3123</v>
      </c>
      <c r="F2857" s="61">
        <v>9</v>
      </c>
      <c r="G2857" s="162">
        <v>6148.4</v>
      </c>
      <c r="H2857" s="48" t="s">
        <v>3480</v>
      </c>
      <c r="I2857" s="273">
        <f>SUMIF('2020'!B:B,B2857,'2020'!C:C)+SUMIF('2021'!B:B,B2857,'2021'!C:C)+SUMIF('2022'!B:B,B2857,'2022'!C:C)</f>
        <v>599005.19999999995</v>
      </c>
      <c r="J2857" s="59">
        <v>44925</v>
      </c>
      <c r="K2857" s="273" t="s">
        <v>3118</v>
      </c>
    </row>
    <row r="2858" spans="1:11" x14ac:dyDescent="0.3">
      <c r="A2858" s="259">
        <f>A2857+1</f>
        <v>2544</v>
      </c>
      <c r="B2858" s="20" t="s">
        <v>2522</v>
      </c>
      <c r="C2858" s="162">
        <v>1967</v>
      </c>
      <c r="D2858" s="273"/>
      <c r="E2858" s="273" t="s">
        <v>3123</v>
      </c>
      <c r="F2858" s="61">
        <v>5</v>
      </c>
      <c r="G2858" s="162">
        <v>3331.7</v>
      </c>
      <c r="H2858" s="48" t="s">
        <v>3481</v>
      </c>
      <c r="I2858" s="273">
        <f>SUMIF('2020'!B:B,B2858,'2020'!C:C)+SUMIF('2021'!B:B,B2858,'2021'!C:C)+SUMIF('2022'!B:B,B2858,'2022'!C:C)</f>
        <v>184015.12</v>
      </c>
      <c r="J2858" s="59">
        <v>44925</v>
      </c>
      <c r="K2858" s="273" t="s">
        <v>3118</v>
      </c>
    </row>
    <row r="2859" spans="1:11" x14ac:dyDescent="0.3">
      <c r="A2859" s="259">
        <f>A2858+1</f>
        <v>2545</v>
      </c>
      <c r="B2859" s="20" t="s">
        <v>2523</v>
      </c>
      <c r="C2859" s="162">
        <v>1971</v>
      </c>
      <c r="D2859" s="273"/>
      <c r="E2859" s="273" t="s">
        <v>3123</v>
      </c>
      <c r="F2859" s="61">
        <v>9</v>
      </c>
      <c r="G2859" s="162">
        <v>1930</v>
      </c>
      <c r="H2859" s="48" t="s">
        <v>3472</v>
      </c>
      <c r="I2859" s="273">
        <f>SUMIF('2020'!B:B,B2859,'2020'!C:C)+SUMIF('2021'!B:B,B2859,'2021'!C:C)+SUMIF('2022'!B:B,B2859,'2022'!C:C)</f>
        <v>340352.26</v>
      </c>
      <c r="J2859" s="59">
        <v>44925</v>
      </c>
      <c r="K2859" s="273" t="s">
        <v>3118</v>
      </c>
    </row>
    <row r="2860" spans="1:11" x14ac:dyDescent="0.3">
      <c r="A2860" s="259">
        <f>A2859+1</f>
        <v>2546</v>
      </c>
      <c r="B2860" s="20" t="s">
        <v>2524</v>
      </c>
      <c r="C2860" s="162">
        <v>1974</v>
      </c>
      <c r="D2860" s="273"/>
      <c r="E2860" s="273" t="s">
        <v>3123</v>
      </c>
      <c r="F2860" s="50">
        <v>5</v>
      </c>
      <c r="G2860" s="273">
        <v>5544.4</v>
      </c>
      <c r="H2860" s="10">
        <v>226</v>
      </c>
      <c r="I2860" s="273">
        <f>SUMIF('2020'!B:B,B2860,'2020'!C:C)+SUMIF('2021'!B:B,B2860,'2021'!C:C)+SUMIF('2022'!B:B,B2860,'2022'!C:C)</f>
        <v>543802.65</v>
      </c>
      <c r="J2860" s="59">
        <v>44925</v>
      </c>
      <c r="K2860" s="273" t="s">
        <v>3118</v>
      </c>
    </row>
    <row r="2861" spans="1:11" x14ac:dyDescent="0.3">
      <c r="A2861" s="259">
        <f t="shared" ref="A2861:A2924" si="108">A2860+1</f>
        <v>2547</v>
      </c>
      <c r="B2861" s="20" t="s">
        <v>2525</v>
      </c>
      <c r="C2861" s="162">
        <v>1974</v>
      </c>
      <c r="D2861" s="273"/>
      <c r="E2861" s="273" t="s">
        <v>3123</v>
      </c>
      <c r="F2861" s="61">
        <v>9</v>
      </c>
      <c r="G2861" s="162">
        <v>6040.8</v>
      </c>
      <c r="H2861" s="48" t="s">
        <v>3133</v>
      </c>
      <c r="I2861" s="273">
        <f>SUMIF('2020'!B:B,B2861,'2020'!C:C)+SUMIF('2021'!B:B,B2861,'2021'!C:C)+SUMIF('2022'!B:B,B2861,'2022'!C:C)</f>
        <v>12615906</v>
      </c>
      <c r="J2861" s="59">
        <v>44925</v>
      </c>
      <c r="K2861" s="273" t="s">
        <v>3118</v>
      </c>
    </row>
    <row r="2862" spans="1:11" x14ac:dyDescent="0.3">
      <c r="A2862" s="259">
        <f t="shared" si="108"/>
        <v>2548</v>
      </c>
      <c r="B2862" s="20" t="s">
        <v>2526</v>
      </c>
      <c r="C2862" s="162">
        <v>1975</v>
      </c>
      <c r="D2862" s="273"/>
      <c r="E2862" s="273" t="s">
        <v>3123</v>
      </c>
      <c r="F2862" s="61">
        <v>9</v>
      </c>
      <c r="G2862" s="46">
        <v>6556.4</v>
      </c>
      <c r="H2862" s="48" t="s">
        <v>3482</v>
      </c>
      <c r="I2862" s="273">
        <f>SUMIF('2020'!B:B,B2862,'2020'!C:C)+SUMIF('2021'!B:B,B2862,'2021'!C:C)+SUMIF('2022'!B:B,B2862,'2022'!C:C)</f>
        <v>712649</v>
      </c>
      <c r="J2862" s="59">
        <v>44925</v>
      </c>
      <c r="K2862" s="273" t="s">
        <v>3118</v>
      </c>
    </row>
    <row r="2863" spans="1:11" x14ac:dyDescent="0.3">
      <c r="A2863" s="259">
        <f t="shared" si="108"/>
        <v>2549</v>
      </c>
      <c r="B2863" s="20" t="s">
        <v>2527</v>
      </c>
      <c r="C2863" s="162">
        <v>1976</v>
      </c>
      <c r="D2863" s="273"/>
      <c r="E2863" s="273" t="s">
        <v>3123</v>
      </c>
      <c r="F2863" s="61">
        <v>5</v>
      </c>
      <c r="G2863" s="46">
        <v>8181.3</v>
      </c>
      <c r="H2863" s="48" t="s">
        <v>3483</v>
      </c>
      <c r="I2863" s="273">
        <f>SUMIF('2020'!B:B,B2863,'2020'!C:C)+SUMIF('2021'!B:B,B2863,'2021'!C:C)+SUMIF('2022'!B:B,B2863,'2022'!C:C)</f>
        <v>667850.82999999996</v>
      </c>
      <c r="J2863" s="59">
        <v>44925</v>
      </c>
      <c r="K2863" s="273" t="s">
        <v>3118</v>
      </c>
    </row>
    <row r="2864" spans="1:11" x14ac:dyDescent="0.3">
      <c r="A2864" s="259">
        <f t="shared" si="108"/>
        <v>2550</v>
      </c>
      <c r="B2864" s="20" t="s">
        <v>2528</v>
      </c>
      <c r="C2864" s="162">
        <v>1976</v>
      </c>
      <c r="D2864" s="273"/>
      <c r="E2864" s="273" t="s">
        <v>3123</v>
      </c>
      <c r="F2864" s="61">
        <v>5</v>
      </c>
      <c r="G2864" s="46">
        <v>4122.3</v>
      </c>
      <c r="H2864" s="48" t="s">
        <v>3062</v>
      </c>
      <c r="I2864" s="273">
        <f>SUMIF('2020'!B:B,B2864,'2020'!C:C)+SUMIF('2021'!B:B,B2864,'2021'!C:C)+SUMIF('2022'!B:B,B2864,'2022'!C:C)</f>
        <v>440923.35</v>
      </c>
      <c r="J2864" s="59">
        <v>44925</v>
      </c>
      <c r="K2864" s="273" t="s">
        <v>3118</v>
      </c>
    </row>
    <row r="2865" spans="1:11" x14ac:dyDescent="0.3">
      <c r="A2865" s="259">
        <f t="shared" si="108"/>
        <v>2551</v>
      </c>
      <c r="B2865" s="20" t="s">
        <v>2529</v>
      </c>
      <c r="C2865" s="162">
        <v>1976</v>
      </c>
      <c r="D2865" s="273"/>
      <c r="E2865" s="273" t="s">
        <v>3123</v>
      </c>
      <c r="F2865" s="61">
        <v>5</v>
      </c>
      <c r="G2865" s="46">
        <v>4091.3</v>
      </c>
      <c r="H2865" s="48" t="s">
        <v>3484</v>
      </c>
      <c r="I2865" s="273">
        <f>SUMIF('2020'!B:B,B2865,'2020'!C:C)+SUMIF('2021'!B:B,B2865,'2021'!C:C)+SUMIF('2022'!B:B,B2865,'2022'!C:C)</f>
        <v>407211.68</v>
      </c>
      <c r="J2865" s="59">
        <v>44925</v>
      </c>
      <c r="K2865" s="273" t="s">
        <v>3118</v>
      </c>
    </row>
    <row r="2866" spans="1:11" x14ac:dyDescent="0.3">
      <c r="A2866" s="259">
        <f t="shared" si="108"/>
        <v>2552</v>
      </c>
      <c r="B2866" s="20" t="s">
        <v>2530</v>
      </c>
      <c r="C2866" s="162">
        <v>1972</v>
      </c>
      <c r="D2866" s="273"/>
      <c r="E2866" s="273" t="s">
        <v>3123</v>
      </c>
      <c r="F2866" s="50">
        <v>5</v>
      </c>
      <c r="G2866" s="273">
        <v>4657.5</v>
      </c>
      <c r="H2866" s="10">
        <v>196</v>
      </c>
      <c r="I2866" s="273">
        <f>SUMIF('2020'!B:B,B2866,'2020'!C:C)+SUMIF('2021'!B:B,B2866,'2021'!C:C)+SUMIF('2022'!B:B,B2866,'2022'!C:C)</f>
        <v>485179.84</v>
      </c>
      <c r="J2866" s="59">
        <v>44925</v>
      </c>
      <c r="K2866" s="273" t="s">
        <v>3118</v>
      </c>
    </row>
    <row r="2867" spans="1:11" x14ac:dyDescent="0.3">
      <c r="A2867" s="259">
        <f t="shared" si="108"/>
        <v>2553</v>
      </c>
      <c r="B2867" s="20" t="s">
        <v>2531</v>
      </c>
      <c r="C2867" s="162">
        <v>1976</v>
      </c>
      <c r="D2867" s="273"/>
      <c r="E2867" s="273" t="s">
        <v>3123</v>
      </c>
      <c r="F2867" s="50">
        <v>5</v>
      </c>
      <c r="G2867" s="273">
        <v>2725.9</v>
      </c>
      <c r="H2867" s="10">
        <v>110</v>
      </c>
      <c r="I2867" s="273">
        <f>SUMIF('2020'!B:B,B2867,'2020'!C:C)+SUMIF('2021'!B:B,B2867,'2021'!C:C)+SUMIF('2022'!B:B,B2867,'2022'!C:C)</f>
        <v>20536860</v>
      </c>
      <c r="J2867" s="59">
        <v>44925</v>
      </c>
      <c r="K2867" s="273" t="s">
        <v>3118</v>
      </c>
    </row>
    <row r="2868" spans="1:11" x14ac:dyDescent="0.3">
      <c r="A2868" s="259">
        <f t="shared" si="108"/>
        <v>2554</v>
      </c>
      <c r="B2868" s="20" t="s">
        <v>2532</v>
      </c>
      <c r="C2868" s="162">
        <v>1972</v>
      </c>
      <c r="D2868" s="273"/>
      <c r="E2868" s="273" t="s">
        <v>3123</v>
      </c>
      <c r="F2868" s="61">
        <v>5</v>
      </c>
      <c r="G2868" s="46">
        <v>3093.2</v>
      </c>
      <c r="H2868" s="48" t="s">
        <v>3485</v>
      </c>
      <c r="I2868" s="273">
        <f>SUMIF('2020'!B:B,B2868,'2020'!C:C)+SUMIF('2021'!B:B,B2868,'2021'!C:C)+SUMIF('2022'!B:B,B2868,'2022'!C:C)</f>
        <v>12996634.800000001</v>
      </c>
      <c r="J2868" s="59">
        <v>44925</v>
      </c>
      <c r="K2868" s="273" t="s">
        <v>3118</v>
      </c>
    </row>
    <row r="2869" spans="1:11" x14ac:dyDescent="0.3">
      <c r="A2869" s="259">
        <f t="shared" si="108"/>
        <v>2555</v>
      </c>
      <c r="B2869" s="20" t="s">
        <v>2533</v>
      </c>
      <c r="C2869" s="162">
        <v>1972</v>
      </c>
      <c r="D2869" s="273"/>
      <c r="E2869" s="273" t="s">
        <v>3119</v>
      </c>
      <c r="F2869" s="61">
        <v>5</v>
      </c>
      <c r="G2869" s="46">
        <v>4314.1000000000004</v>
      </c>
      <c r="H2869" s="48" t="s">
        <v>3486</v>
      </c>
      <c r="I2869" s="273">
        <f>SUMIF('2020'!B:B,B2869,'2020'!C:C)+SUMIF('2021'!B:B,B2869,'2021'!C:C)+SUMIF('2022'!B:B,B2869,'2022'!C:C)</f>
        <v>33665733.600000001</v>
      </c>
      <c r="J2869" s="59">
        <v>44925</v>
      </c>
      <c r="K2869" s="273" t="s">
        <v>3118</v>
      </c>
    </row>
    <row r="2870" spans="1:11" x14ac:dyDescent="0.3">
      <c r="A2870" s="259">
        <f t="shared" si="108"/>
        <v>2556</v>
      </c>
      <c r="B2870" s="20" t="s">
        <v>2534</v>
      </c>
      <c r="C2870" s="162">
        <v>1972</v>
      </c>
      <c r="D2870" s="273"/>
      <c r="E2870" s="273" t="s">
        <v>3123</v>
      </c>
      <c r="F2870" s="61">
        <v>5</v>
      </c>
      <c r="G2870" s="46">
        <v>1333.8</v>
      </c>
      <c r="H2870" s="48" t="s">
        <v>3069</v>
      </c>
      <c r="I2870" s="273">
        <f>SUMIF('2020'!B:B,B2870,'2020'!C:C)+SUMIF('2021'!B:B,B2870,'2021'!C:C)+SUMIF('2022'!B:B,B2870,'2022'!C:C)</f>
        <v>233135.1</v>
      </c>
      <c r="J2870" s="59">
        <v>44925</v>
      </c>
      <c r="K2870" s="273" t="s">
        <v>3118</v>
      </c>
    </row>
    <row r="2871" spans="1:11" x14ac:dyDescent="0.3">
      <c r="A2871" s="259">
        <f t="shared" si="108"/>
        <v>2557</v>
      </c>
      <c r="B2871" s="20" t="s">
        <v>2535</v>
      </c>
      <c r="C2871" s="162">
        <v>1972</v>
      </c>
      <c r="D2871" s="273"/>
      <c r="E2871" s="273" t="s">
        <v>3119</v>
      </c>
      <c r="F2871" s="61">
        <v>5</v>
      </c>
      <c r="G2871" s="46">
        <v>4387.6000000000004</v>
      </c>
      <c r="H2871" s="48" t="s">
        <v>3487</v>
      </c>
      <c r="I2871" s="273">
        <f>SUMIF('2020'!B:B,B2871,'2020'!C:C)+SUMIF('2021'!B:B,B2871,'2021'!C:C)+SUMIF('2022'!B:B,B2871,'2022'!C:C)</f>
        <v>382157.84</v>
      </c>
      <c r="J2871" s="59">
        <v>44925</v>
      </c>
      <c r="K2871" s="273" t="s">
        <v>3118</v>
      </c>
    </row>
    <row r="2872" spans="1:11" x14ac:dyDescent="0.3">
      <c r="A2872" s="259">
        <f t="shared" si="108"/>
        <v>2558</v>
      </c>
      <c r="B2872" s="20" t="s">
        <v>2536</v>
      </c>
      <c r="C2872" s="162">
        <v>1973</v>
      </c>
      <c r="D2872" s="273"/>
      <c r="E2872" s="273" t="s">
        <v>3123</v>
      </c>
      <c r="F2872" s="61">
        <v>5</v>
      </c>
      <c r="G2872" s="46">
        <v>1359.9</v>
      </c>
      <c r="H2872" s="48" t="s">
        <v>3488</v>
      </c>
      <c r="I2872" s="273">
        <f>SUMIF('2020'!B:B,B2872,'2020'!C:C)+SUMIF('2021'!B:B,B2872,'2021'!C:C)+SUMIF('2022'!B:B,B2872,'2022'!C:C)</f>
        <v>235164.77</v>
      </c>
      <c r="J2872" s="59">
        <v>44925</v>
      </c>
      <c r="K2872" s="273" t="s">
        <v>3118</v>
      </c>
    </row>
    <row r="2873" spans="1:11" x14ac:dyDescent="0.3">
      <c r="A2873" s="259">
        <f t="shared" si="108"/>
        <v>2559</v>
      </c>
      <c r="B2873" s="20" t="s">
        <v>2537</v>
      </c>
      <c r="C2873" s="162">
        <v>1972</v>
      </c>
      <c r="D2873" s="273"/>
      <c r="E2873" s="273" t="s">
        <v>3119</v>
      </c>
      <c r="F2873" s="61">
        <v>5</v>
      </c>
      <c r="G2873" s="162">
        <v>4452.8</v>
      </c>
      <c r="H2873" s="48" t="s">
        <v>3489</v>
      </c>
      <c r="I2873" s="273">
        <f>SUMIF('2020'!B:B,B2873,'2020'!C:C)+SUMIF('2021'!B:B,B2873,'2021'!C:C)+SUMIF('2022'!B:B,B2873,'2022'!C:C)</f>
        <v>382157.84</v>
      </c>
      <c r="J2873" s="59">
        <v>44925</v>
      </c>
      <c r="K2873" s="273" t="s">
        <v>3118</v>
      </c>
    </row>
    <row r="2874" spans="1:11" x14ac:dyDescent="0.3">
      <c r="A2874" s="259">
        <f t="shared" si="108"/>
        <v>2560</v>
      </c>
      <c r="B2874" s="20" t="s">
        <v>2538</v>
      </c>
      <c r="C2874" s="162">
        <v>1961</v>
      </c>
      <c r="D2874" s="273"/>
      <c r="E2874" s="273" t="s">
        <v>3123</v>
      </c>
      <c r="F2874" s="50">
        <v>4</v>
      </c>
      <c r="G2874" s="273">
        <v>2157.4</v>
      </c>
      <c r="H2874" s="10">
        <v>14</v>
      </c>
      <c r="I2874" s="273">
        <f>SUMIF('2020'!B:B,B2874,'2020'!C:C)+SUMIF('2021'!B:B,B2874,'2021'!C:C)+SUMIF('2022'!B:B,B2874,'2022'!C:C)</f>
        <v>196770.36</v>
      </c>
      <c r="J2874" s="59">
        <v>44925</v>
      </c>
      <c r="K2874" s="273" t="s">
        <v>3118</v>
      </c>
    </row>
    <row r="2875" spans="1:11" x14ac:dyDescent="0.3">
      <c r="A2875" s="259">
        <f t="shared" si="108"/>
        <v>2561</v>
      </c>
      <c r="B2875" s="20" t="s">
        <v>2539</v>
      </c>
      <c r="C2875" s="162">
        <v>1969</v>
      </c>
      <c r="D2875" s="273"/>
      <c r="E2875" s="273" t="s">
        <v>3123</v>
      </c>
      <c r="F2875" s="61">
        <v>5</v>
      </c>
      <c r="G2875" s="46">
        <v>2258.1</v>
      </c>
      <c r="H2875" s="48" t="s">
        <v>3102</v>
      </c>
      <c r="I2875" s="273">
        <f>SUMIF('2020'!B:B,B2875,'2020'!C:C)+SUMIF('2021'!B:B,B2875,'2021'!C:C)+SUMIF('2022'!B:B,B2875,'2022'!C:C)</f>
        <v>14239037.880000001</v>
      </c>
      <c r="J2875" s="59">
        <v>44925</v>
      </c>
      <c r="K2875" s="273" t="s">
        <v>3118</v>
      </c>
    </row>
    <row r="2876" spans="1:11" x14ac:dyDescent="0.3">
      <c r="A2876" s="259">
        <f t="shared" si="108"/>
        <v>2562</v>
      </c>
      <c r="B2876" s="20" t="s">
        <v>2540</v>
      </c>
      <c r="C2876" s="162">
        <v>1969</v>
      </c>
      <c r="D2876" s="273"/>
      <c r="E2876" s="273" t="s">
        <v>3123</v>
      </c>
      <c r="F2876" s="61">
        <v>5</v>
      </c>
      <c r="G2876" s="162">
        <v>3708.3</v>
      </c>
      <c r="H2876" s="48" t="s">
        <v>3490</v>
      </c>
      <c r="I2876" s="273">
        <f>SUMIF('2020'!B:B,B2876,'2020'!C:C)+SUMIF('2021'!B:B,B2876,'2021'!C:C)+SUMIF('2022'!B:B,B2876,'2022'!C:C)</f>
        <v>26050706.280000001</v>
      </c>
      <c r="J2876" s="59">
        <v>44925</v>
      </c>
      <c r="K2876" s="273" t="s">
        <v>3118</v>
      </c>
    </row>
    <row r="2877" spans="1:11" x14ac:dyDescent="0.3">
      <c r="A2877" s="259">
        <f t="shared" si="108"/>
        <v>2563</v>
      </c>
      <c r="B2877" s="20" t="s">
        <v>2541</v>
      </c>
      <c r="C2877" s="162">
        <v>1969</v>
      </c>
      <c r="D2877" s="273"/>
      <c r="E2877" s="273" t="s">
        <v>3123</v>
      </c>
      <c r="F2877" s="61">
        <v>5</v>
      </c>
      <c r="G2877" s="162">
        <v>2575.6</v>
      </c>
      <c r="H2877" s="48" t="s">
        <v>3107</v>
      </c>
      <c r="I2877" s="273">
        <f>SUMIF('2020'!B:B,B2877,'2020'!C:C)+SUMIF('2021'!B:B,B2877,'2021'!C:C)+SUMIF('2022'!B:B,B2877,'2022'!C:C)</f>
        <v>6981903.5999999996</v>
      </c>
      <c r="J2877" s="59">
        <v>44925</v>
      </c>
      <c r="K2877" s="273" t="s">
        <v>3118</v>
      </c>
    </row>
    <row r="2878" spans="1:11" x14ac:dyDescent="0.3">
      <c r="A2878" s="259">
        <f t="shared" si="108"/>
        <v>2564</v>
      </c>
      <c r="B2878" s="20" t="s">
        <v>2542</v>
      </c>
      <c r="C2878" s="162">
        <v>1970</v>
      </c>
      <c r="D2878" s="273"/>
      <c r="E2878" s="273" t="s">
        <v>3123</v>
      </c>
      <c r="F2878" s="61">
        <v>9</v>
      </c>
      <c r="G2878" s="162">
        <v>1971.1</v>
      </c>
      <c r="H2878" s="48" t="s">
        <v>3088</v>
      </c>
      <c r="I2878" s="273">
        <f>SUMIF('2020'!B:B,B2878,'2020'!C:C)+SUMIF('2021'!B:B,B2878,'2021'!C:C)+SUMIF('2022'!B:B,B2878,'2022'!C:C)</f>
        <v>20238050.399999999</v>
      </c>
      <c r="J2878" s="59">
        <v>44925</v>
      </c>
      <c r="K2878" s="273" t="s">
        <v>3118</v>
      </c>
    </row>
    <row r="2879" spans="1:11" x14ac:dyDescent="0.3">
      <c r="A2879" s="259">
        <f t="shared" si="108"/>
        <v>2565</v>
      </c>
      <c r="B2879" s="20" t="s">
        <v>2543</v>
      </c>
      <c r="C2879" s="162">
        <v>1969</v>
      </c>
      <c r="D2879" s="273"/>
      <c r="E2879" s="273" t="s">
        <v>3123</v>
      </c>
      <c r="F2879" s="61">
        <v>9</v>
      </c>
      <c r="G2879" s="162">
        <v>1971.2</v>
      </c>
      <c r="H2879" s="48" t="s">
        <v>3491</v>
      </c>
      <c r="I2879" s="273">
        <f>SUMIF('2020'!B:B,B2879,'2020'!C:C)+SUMIF('2021'!B:B,B2879,'2021'!C:C)+SUMIF('2022'!B:B,B2879,'2022'!C:C)</f>
        <v>18166672.800000001</v>
      </c>
      <c r="J2879" s="59">
        <v>44925</v>
      </c>
      <c r="K2879" s="273" t="s">
        <v>3118</v>
      </c>
    </row>
    <row r="2880" spans="1:11" x14ac:dyDescent="0.3">
      <c r="A2880" s="259">
        <f t="shared" si="108"/>
        <v>2566</v>
      </c>
      <c r="B2880" s="20" t="s">
        <v>2545</v>
      </c>
      <c r="C2880" s="162">
        <v>1969</v>
      </c>
      <c r="D2880" s="273"/>
      <c r="E2880" s="273" t="s">
        <v>3123</v>
      </c>
      <c r="F2880" s="50">
        <v>9</v>
      </c>
      <c r="G2880" s="273">
        <v>1968.7</v>
      </c>
      <c r="H2880" s="10">
        <v>64</v>
      </c>
      <c r="I2880" s="273">
        <f>SUMIF('2020'!B:B,B2880,'2020'!C:C)+SUMIF('2021'!B:B,B2880,'2021'!C:C)+SUMIF('2022'!B:B,B2880,'2022'!C:C)</f>
        <v>339541.6</v>
      </c>
      <c r="J2880" s="59">
        <v>44925</v>
      </c>
      <c r="K2880" s="273" t="s">
        <v>3118</v>
      </c>
    </row>
    <row r="2881" spans="1:11" x14ac:dyDescent="0.3">
      <c r="A2881" s="259">
        <f t="shared" si="108"/>
        <v>2567</v>
      </c>
      <c r="B2881" s="20" t="s">
        <v>2546</v>
      </c>
      <c r="C2881" s="162">
        <v>1969</v>
      </c>
      <c r="D2881" s="273"/>
      <c r="E2881" s="273" t="s">
        <v>3123</v>
      </c>
      <c r="F2881" s="61">
        <v>5</v>
      </c>
      <c r="G2881" s="162">
        <v>2570.6</v>
      </c>
      <c r="H2881" s="48" t="s">
        <v>3478</v>
      </c>
      <c r="I2881" s="273">
        <f>SUMIF('2020'!B:B,B2881,'2020'!C:C)+SUMIF('2021'!B:B,B2881,'2021'!C:C)+SUMIF('2022'!B:B,B2881,'2022'!C:C)</f>
        <v>17568004.800000001</v>
      </c>
      <c r="J2881" s="59">
        <v>44925</v>
      </c>
      <c r="K2881" s="273" t="s">
        <v>3118</v>
      </c>
    </row>
    <row r="2882" spans="1:11" x14ac:dyDescent="0.3">
      <c r="A2882" s="259">
        <f t="shared" si="108"/>
        <v>2568</v>
      </c>
      <c r="B2882" s="20" t="s">
        <v>2547</v>
      </c>
      <c r="C2882" s="162">
        <v>1969</v>
      </c>
      <c r="D2882" s="273"/>
      <c r="E2882" s="273" t="s">
        <v>3123</v>
      </c>
      <c r="F2882" s="61">
        <v>5</v>
      </c>
      <c r="G2882" s="162">
        <v>2554.9</v>
      </c>
      <c r="H2882" s="48" t="s">
        <v>3051</v>
      </c>
      <c r="I2882" s="273">
        <f>SUMIF('2020'!B:B,B2882,'2020'!C:C)+SUMIF('2021'!B:B,B2882,'2021'!C:C)+SUMIF('2022'!B:B,B2882,'2022'!C:C)</f>
        <v>14909371.199999999</v>
      </c>
      <c r="J2882" s="59">
        <v>44925</v>
      </c>
      <c r="K2882" s="273" t="s">
        <v>3118</v>
      </c>
    </row>
    <row r="2883" spans="1:11" x14ac:dyDescent="0.3">
      <c r="A2883" s="259">
        <f t="shared" si="108"/>
        <v>2569</v>
      </c>
      <c r="B2883" s="20" t="s">
        <v>2548</v>
      </c>
      <c r="C2883" s="162">
        <v>1970</v>
      </c>
      <c r="D2883" s="273"/>
      <c r="E2883" s="273" t="s">
        <v>3123</v>
      </c>
      <c r="F2883" s="61">
        <v>5</v>
      </c>
      <c r="G2883" s="162">
        <v>2208.3000000000002</v>
      </c>
      <c r="H2883" s="48" t="s">
        <v>3088</v>
      </c>
      <c r="I2883" s="273">
        <f>SUMIF('2020'!B:B,B2883,'2020'!C:C)+SUMIF('2021'!B:B,B2883,'2021'!C:C)+SUMIF('2022'!B:B,B2883,'2022'!C:C)</f>
        <v>12947301.6</v>
      </c>
      <c r="J2883" s="59">
        <v>44925</v>
      </c>
      <c r="K2883" s="273" t="s">
        <v>3118</v>
      </c>
    </row>
    <row r="2884" spans="1:11" x14ac:dyDescent="0.3">
      <c r="A2884" s="259">
        <f t="shared" si="108"/>
        <v>2570</v>
      </c>
      <c r="B2884" s="20" t="s">
        <v>2549</v>
      </c>
      <c r="C2884" s="162">
        <v>1988</v>
      </c>
      <c r="D2884" s="273"/>
      <c r="E2884" s="273" t="s">
        <v>3123</v>
      </c>
      <c r="F2884" s="61">
        <v>9</v>
      </c>
      <c r="G2884" s="162">
        <v>5343.7</v>
      </c>
      <c r="H2884" s="48" t="s">
        <v>3066</v>
      </c>
      <c r="I2884" s="273">
        <f>SUMIF('2020'!B:B,B2884,'2020'!C:C)+SUMIF('2021'!B:B,B2884,'2021'!C:C)+SUMIF('2022'!B:B,B2884,'2022'!C:C)</f>
        <v>7328940</v>
      </c>
      <c r="J2884" s="59">
        <v>44925</v>
      </c>
      <c r="K2884" s="273" t="s">
        <v>3118</v>
      </c>
    </row>
    <row r="2885" spans="1:11" x14ac:dyDescent="0.3">
      <c r="A2885" s="259">
        <f t="shared" si="108"/>
        <v>2571</v>
      </c>
      <c r="B2885" s="20" t="s">
        <v>2550</v>
      </c>
      <c r="C2885" s="162">
        <v>1989</v>
      </c>
      <c r="D2885" s="273"/>
      <c r="E2885" s="273" t="s">
        <v>3123</v>
      </c>
      <c r="F2885" s="61">
        <v>9</v>
      </c>
      <c r="G2885" s="46">
        <v>1988.5</v>
      </c>
      <c r="H2885" s="48" t="s">
        <v>3491</v>
      </c>
      <c r="I2885" s="273">
        <f>SUMIF('2020'!B:B,B2885,'2020'!C:C)+SUMIF('2021'!B:B,B2885,'2021'!C:C)+SUMIF('2022'!B:B,B2885,'2022'!C:C)</f>
        <v>157464.92000000001</v>
      </c>
      <c r="J2885" s="59">
        <v>44925</v>
      </c>
      <c r="K2885" s="273" t="s">
        <v>3118</v>
      </c>
    </row>
    <row r="2886" spans="1:11" x14ac:dyDescent="0.3">
      <c r="A2886" s="259">
        <f t="shared" si="108"/>
        <v>2572</v>
      </c>
      <c r="B2886" s="20" t="s">
        <v>2551</v>
      </c>
      <c r="C2886" s="162">
        <v>1969</v>
      </c>
      <c r="D2886" s="273"/>
      <c r="E2886" s="273" t="s">
        <v>3123</v>
      </c>
      <c r="F2886" s="61">
        <v>5</v>
      </c>
      <c r="G2886" s="46">
        <v>2019.2</v>
      </c>
      <c r="H2886" s="48" t="s">
        <v>3074</v>
      </c>
      <c r="I2886" s="273">
        <f>SUMIF('2020'!B:B,B2886,'2020'!C:C)+SUMIF('2021'!B:B,B2886,'2021'!C:C)+SUMIF('2022'!B:B,B2886,'2022'!C:C)</f>
        <v>12458212.800000001</v>
      </c>
      <c r="J2886" s="59">
        <v>44925</v>
      </c>
      <c r="K2886" s="273" t="s">
        <v>3118</v>
      </c>
    </row>
    <row r="2887" spans="1:11" x14ac:dyDescent="0.3">
      <c r="A2887" s="259">
        <f t="shared" si="108"/>
        <v>2573</v>
      </c>
      <c r="B2887" s="20" t="s">
        <v>2552</v>
      </c>
      <c r="C2887" s="162">
        <v>1969</v>
      </c>
      <c r="D2887" s="273"/>
      <c r="E2887" s="273" t="s">
        <v>3123</v>
      </c>
      <c r="F2887" s="61">
        <v>5</v>
      </c>
      <c r="G2887" s="46">
        <v>2760</v>
      </c>
      <c r="H2887" s="48" t="s">
        <v>3065</v>
      </c>
      <c r="I2887" s="273">
        <f>SUMIF('2020'!B:B,B2887,'2020'!C:C)+SUMIF('2021'!B:B,B2887,'2021'!C:C)+SUMIF('2022'!B:B,B2887,'2022'!C:C)</f>
        <v>1220877.6000000001</v>
      </c>
      <c r="J2887" s="59">
        <v>44925</v>
      </c>
      <c r="K2887" s="273" t="s">
        <v>3118</v>
      </c>
    </row>
    <row r="2888" spans="1:11" x14ac:dyDescent="0.3">
      <c r="A2888" s="259">
        <f t="shared" si="108"/>
        <v>2574</v>
      </c>
      <c r="B2888" s="20" t="s">
        <v>2553</v>
      </c>
      <c r="C2888" s="162">
        <v>1968</v>
      </c>
      <c r="D2888" s="273"/>
      <c r="E2888" s="273" t="s">
        <v>3123</v>
      </c>
      <c r="F2888" s="50">
        <v>3</v>
      </c>
      <c r="G2888" s="162">
        <v>957.2</v>
      </c>
      <c r="H2888" s="10">
        <v>58</v>
      </c>
      <c r="I2888" s="273">
        <f>SUMIF('2020'!B:B,B2888,'2020'!C:C)+SUMIF('2021'!B:B,B2888,'2021'!C:C)+SUMIF('2022'!B:B,B2888,'2022'!C:C)</f>
        <v>751590</v>
      </c>
      <c r="J2888" s="59">
        <v>44925</v>
      </c>
      <c r="K2888" s="273" t="s">
        <v>3118</v>
      </c>
    </row>
    <row r="2889" spans="1:11" x14ac:dyDescent="0.3">
      <c r="A2889" s="259">
        <f t="shared" si="108"/>
        <v>2575</v>
      </c>
      <c r="B2889" s="20" t="s">
        <v>2554</v>
      </c>
      <c r="C2889" s="162">
        <v>1960</v>
      </c>
      <c r="D2889" s="273"/>
      <c r="E2889" s="273" t="s">
        <v>3123</v>
      </c>
      <c r="F2889" s="50">
        <v>2</v>
      </c>
      <c r="G2889" s="273">
        <v>639.4</v>
      </c>
      <c r="H2889" s="10">
        <v>42</v>
      </c>
      <c r="I2889" s="273">
        <f>SUMIF('2020'!B:B,B2889,'2020'!C:C)+SUMIF('2021'!B:B,B2889,'2021'!C:C)+SUMIF('2022'!B:B,B2889,'2022'!C:C)</f>
        <v>606368.4</v>
      </c>
      <c r="J2889" s="59">
        <v>44925</v>
      </c>
      <c r="K2889" s="273" t="s">
        <v>3118</v>
      </c>
    </row>
    <row r="2890" spans="1:11" x14ac:dyDescent="0.3">
      <c r="A2890" s="259">
        <f t="shared" si="108"/>
        <v>2576</v>
      </c>
      <c r="B2890" s="20" t="s">
        <v>2555</v>
      </c>
      <c r="C2890" s="162">
        <v>1960</v>
      </c>
      <c r="D2890" s="273"/>
      <c r="E2890" s="273" t="s">
        <v>3123</v>
      </c>
      <c r="F2890" s="61">
        <v>2</v>
      </c>
      <c r="G2890" s="162">
        <v>636</v>
      </c>
      <c r="H2890" s="48" t="s">
        <v>3041</v>
      </c>
      <c r="I2890" s="273">
        <f>SUMIF('2020'!B:B,B2890,'2020'!C:C)+SUMIF('2021'!B:B,B2890,'2021'!C:C)+SUMIF('2022'!B:B,B2890,'2022'!C:C)</f>
        <v>200272.19</v>
      </c>
      <c r="J2890" s="59">
        <v>44925</v>
      </c>
      <c r="K2890" s="273" t="s">
        <v>3118</v>
      </c>
    </row>
    <row r="2891" spans="1:11" x14ac:dyDescent="0.3">
      <c r="A2891" s="259">
        <f t="shared" si="108"/>
        <v>2577</v>
      </c>
      <c r="B2891" s="20" t="s">
        <v>2556</v>
      </c>
      <c r="C2891" s="162">
        <v>1960</v>
      </c>
      <c r="D2891" s="273"/>
      <c r="E2891" s="273" t="s">
        <v>3123</v>
      </c>
      <c r="F2891" s="61">
        <v>2</v>
      </c>
      <c r="G2891" s="162">
        <v>638.9</v>
      </c>
      <c r="H2891" s="48" t="s">
        <v>3070</v>
      </c>
      <c r="I2891" s="273">
        <f>SUMIF('2020'!B:B,B2891,'2020'!C:C)+SUMIF('2021'!B:B,B2891,'2021'!C:C)+SUMIF('2022'!B:B,B2891,'2022'!C:C)</f>
        <v>606368.4</v>
      </c>
      <c r="J2891" s="59">
        <v>44925</v>
      </c>
      <c r="K2891" s="273" t="s">
        <v>3118</v>
      </c>
    </row>
    <row r="2892" spans="1:11" x14ac:dyDescent="0.3">
      <c r="A2892" s="259">
        <f t="shared" si="108"/>
        <v>2578</v>
      </c>
      <c r="B2892" s="20" t="s">
        <v>2557</v>
      </c>
      <c r="C2892" s="162">
        <v>1960</v>
      </c>
      <c r="D2892" s="273"/>
      <c r="E2892" s="273" t="s">
        <v>3123</v>
      </c>
      <c r="F2892" s="61">
        <v>2</v>
      </c>
      <c r="G2892" s="162">
        <v>640.79999999999995</v>
      </c>
      <c r="H2892" s="48" t="s">
        <v>3111</v>
      </c>
      <c r="I2892" s="273">
        <f>SUMIF('2020'!B:B,B2892,'2020'!C:C)+SUMIF('2021'!B:B,B2892,'2021'!C:C)+SUMIF('2022'!B:B,B2892,'2022'!C:C)</f>
        <v>606368.4</v>
      </c>
      <c r="J2892" s="59">
        <v>44925</v>
      </c>
      <c r="K2892" s="273" t="s">
        <v>3118</v>
      </c>
    </row>
    <row r="2893" spans="1:11" x14ac:dyDescent="0.3">
      <c r="A2893" s="259">
        <f t="shared" si="108"/>
        <v>2579</v>
      </c>
      <c r="B2893" s="20" t="s">
        <v>2558</v>
      </c>
      <c r="C2893" s="162">
        <v>1960</v>
      </c>
      <c r="D2893" s="273"/>
      <c r="E2893" s="273" t="s">
        <v>3123</v>
      </c>
      <c r="F2893" s="61">
        <v>3</v>
      </c>
      <c r="G2893" s="162">
        <v>644</v>
      </c>
      <c r="H2893" s="48" t="s">
        <v>3075</v>
      </c>
      <c r="I2893" s="273">
        <f>SUMIF('2020'!B:B,B2893,'2020'!C:C)+SUMIF('2021'!B:B,B2893,'2021'!C:C)+SUMIF('2022'!B:B,B2893,'2022'!C:C)</f>
        <v>87651828</v>
      </c>
      <c r="J2893" s="59">
        <v>44925</v>
      </c>
      <c r="K2893" s="273" t="s">
        <v>3118</v>
      </c>
    </row>
    <row r="2894" spans="1:11" x14ac:dyDescent="0.3">
      <c r="A2894" s="259">
        <f t="shared" si="108"/>
        <v>2580</v>
      </c>
      <c r="B2894" s="20" t="s">
        <v>2559</v>
      </c>
      <c r="C2894" s="162">
        <v>1960</v>
      </c>
      <c r="D2894" s="273"/>
      <c r="E2894" s="273" t="s">
        <v>3123</v>
      </c>
      <c r="F2894" s="61">
        <v>2</v>
      </c>
      <c r="G2894" s="162">
        <v>640.5</v>
      </c>
      <c r="H2894" s="48" t="s">
        <v>3064</v>
      </c>
      <c r="I2894" s="273">
        <f>SUMIF('2020'!B:B,B2894,'2020'!C:C)+SUMIF('2021'!B:B,B2894,'2021'!C:C)+SUMIF('2022'!B:B,B2894,'2022'!C:C)</f>
        <v>606368.4</v>
      </c>
      <c r="J2894" s="59">
        <v>44925</v>
      </c>
      <c r="K2894" s="273" t="s">
        <v>3118</v>
      </c>
    </row>
    <row r="2895" spans="1:11" x14ac:dyDescent="0.3">
      <c r="A2895" s="259">
        <f t="shared" si="108"/>
        <v>2581</v>
      </c>
      <c r="B2895" s="20" t="s">
        <v>2560</v>
      </c>
      <c r="C2895" s="162">
        <v>1960</v>
      </c>
      <c r="D2895" s="273"/>
      <c r="E2895" s="273" t="s">
        <v>3123</v>
      </c>
      <c r="F2895" s="61">
        <v>2</v>
      </c>
      <c r="G2895" s="162">
        <v>639.6</v>
      </c>
      <c r="H2895" s="48" t="s">
        <v>3104</v>
      </c>
      <c r="I2895" s="273">
        <f>SUMIF('2020'!B:B,B2895,'2020'!C:C)+SUMIF('2021'!B:B,B2895,'2021'!C:C)+SUMIF('2022'!B:B,B2895,'2022'!C:C)</f>
        <v>357403.68</v>
      </c>
      <c r="J2895" s="59">
        <v>44925</v>
      </c>
      <c r="K2895" s="273" t="s">
        <v>3118</v>
      </c>
    </row>
    <row r="2896" spans="1:11" x14ac:dyDescent="0.3">
      <c r="A2896" s="259">
        <f t="shared" si="108"/>
        <v>2582</v>
      </c>
      <c r="B2896" s="20" t="s">
        <v>2561</v>
      </c>
      <c r="C2896" s="162">
        <v>1972</v>
      </c>
      <c r="D2896" s="273"/>
      <c r="E2896" s="273" t="s">
        <v>3121</v>
      </c>
      <c r="F2896" s="50">
        <v>5</v>
      </c>
      <c r="G2896" s="162">
        <v>4370.5</v>
      </c>
      <c r="H2896" s="48" t="s">
        <v>3492</v>
      </c>
      <c r="I2896" s="273">
        <f>SUMIF('2020'!B:B,B2896,'2020'!C:C)+SUMIF('2021'!B:B,B2896,'2021'!C:C)+SUMIF('2022'!B:B,B2896,'2022'!C:C)</f>
        <v>251572.45</v>
      </c>
      <c r="J2896" s="59">
        <v>44925</v>
      </c>
      <c r="K2896" s="273" t="s">
        <v>3118</v>
      </c>
    </row>
    <row r="2897" spans="1:11" x14ac:dyDescent="0.3">
      <c r="A2897" s="259">
        <f t="shared" si="108"/>
        <v>2583</v>
      </c>
      <c r="B2897" s="20" t="s">
        <v>2562</v>
      </c>
      <c r="C2897" s="162">
        <v>1972</v>
      </c>
      <c r="D2897" s="273"/>
      <c r="E2897" s="273" t="s">
        <v>3121</v>
      </c>
      <c r="F2897" s="50">
        <v>5</v>
      </c>
      <c r="G2897" s="162">
        <v>4374.2</v>
      </c>
      <c r="H2897" s="48" t="s">
        <v>3493</v>
      </c>
      <c r="I2897" s="273">
        <f>SUMIF('2020'!B:B,B2897,'2020'!C:C)+SUMIF('2021'!B:B,B2897,'2021'!C:C)+SUMIF('2022'!B:B,B2897,'2022'!C:C)</f>
        <v>410430.61</v>
      </c>
      <c r="J2897" s="59">
        <v>44925</v>
      </c>
      <c r="K2897" s="273" t="s">
        <v>3118</v>
      </c>
    </row>
    <row r="2898" spans="1:11" x14ac:dyDescent="0.3">
      <c r="A2898" s="259">
        <f t="shared" si="108"/>
        <v>2584</v>
      </c>
      <c r="B2898" s="20" t="s">
        <v>2563</v>
      </c>
      <c r="C2898" s="162">
        <v>1972</v>
      </c>
      <c r="D2898" s="273"/>
      <c r="E2898" s="273" t="s">
        <v>3121</v>
      </c>
      <c r="F2898" s="50">
        <v>5</v>
      </c>
      <c r="G2898" s="162">
        <v>4344</v>
      </c>
      <c r="H2898" s="48" t="s">
        <v>3116</v>
      </c>
      <c r="I2898" s="273">
        <f>SUMIF('2020'!B:B,B2898,'2020'!C:C)+SUMIF('2021'!B:B,B2898,'2021'!C:C)+SUMIF('2022'!B:B,B2898,'2022'!C:C)</f>
        <v>428269.59</v>
      </c>
      <c r="J2898" s="59">
        <v>44925</v>
      </c>
      <c r="K2898" s="273" t="s">
        <v>3118</v>
      </c>
    </row>
    <row r="2899" spans="1:11" x14ac:dyDescent="0.3">
      <c r="A2899" s="259">
        <f t="shared" si="108"/>
        <v>2585</v>
      </c>
      <c r="B2899" s="20" t="s">
        <v>2564</v>
      </c>
      <c r="C2899" s="162">
        <v>1973</v>
      </c>
      <c r="D2899" s="273"/>
      <c r="E2899" s="273" t="s">
        <v>3119</v>
      </c>
      <c r="F2899" s="50">
        <v>5</v>
      </c>
      <c r="G2899" s="162">
        <v>5484.7</v>
      </c>
      <c r="H2899" s="48" t="s">
        <v>3494</v>
      </c>
      <c r="I2899" s="273">
        <f>SUMIF('2020'!B:B,B2899,'2020'!C:C)+SUMIF('2021'!B:B,B2899,'2021'!C:C)+SUMIF('2022'!B:B,B2899,'2022'!C:C)</f>
        <v>441573.5</v>
      </c>
      <c r="J2899" s="59">
        <v>44925</v>
      </c>
      <c r="K2899" s="273" t="s">
        <v>3118</v>
      </c>
    </row>
    <row r="2900" spans="1:11" x14ac:dyDescent="0.3">
      <c r="A2900" s="259">
        <f t="shared" si="108"/>
        <v>2586</v>
      </c>
      <c r="B2900" s="20" t="s">
        <v>2565</v>
      </c>
      <c r="C2900" s="162">
        <v>1972</v>
      </c>
      <c r="D2900" s="273"/>
      <c r="E2900" s="273" t="s">
        <v>3119</v>
      </c>
      <c r="F2900" s="50">
        <v>5</v>
      </c>
      <c r="G2900" s="162">
        <v>4323.6000000000004</v>
      </c>
      <c r="H2900" s="48" t="s">
        <v>3116</v>
      </c>
      <c r="I2900" s="273">
        <f>SUMIF('2020'!B:B,B2900,'2020'!C:C)+SUMIF('2021'!B:B,B2900,'2021'!C:C)+SUMIF('2022'!B:B,B2900,'2022'!C:C)</f>
        <v>372992.58</v>
      </c>
      <c r="J2900" s="59">
        <v>44925</v>
      </c>
      <c r="K2900" s="273" t="s">
        <v>3118</v>
      </c>
    </row>
    <row r="2901" spans="1:11" x14ac:dyDescent="0.3">
      <c r="A2901" s="259">
        <f t="shared" si="108"/>
        <v>2587</v>
      </c>
      <c r="B2901" s="20" t="s">
        <v>2566</v>
      </c>
      <c r="C2901" s="162">
        <v>1972</v>
      </c>
      <c r="D2901" s="273"/>
      <c r="E2901" s="273" t="s">
        <v>3121</v>
      </c>
      <c r="F2901" s="50">
        <v>5</v>
      </c>
      <c r="G2901" s="162">
        <v>5492.3</v>
      </c>
      <c r="H2901" s="48" t="s">
        <v>3495</v>
      </c>
      <c r="I2901" s="273">
        <f>SUMIF('2020'!B:B,B2901,'2020'!C:C)+SUMIF('2021'!B:B,B2901,'2021'!C:C)+SUMIF('2022'!B:B,B2901,'2022'!C:C)</f>
        <v>500973.27</v>
      </c>
      <c r="J2901" s="59">
        <v>44925</v>
      </c>
      <c r="K2901" s="273" t="s">
        <v>3118</v>
      </c>
    </row>
    <row r="2902" spans="1:11" x14ac:dyDescent="0.3">
      <c r="A2902" s="259">
        <f t="shared" si="108"/>
        <v>2588</v>
      </c>
      <c r="B2902" s="20" t="s">
        <v>2567</v>
      </c>
      <c r="C2902" s="162">
        <v>1972</v>
      </c>
      <c r="D2902" s="273"/>
      <c r="E2902" s="273" t="s">
        <v>3121</v>
      </c>
      <c r="F2902" s="50">
        <v>5</v>
      </c>
      <c r="G2902" s="162">
        <v>4363.5</v>
      </c>
      <c r="H2902" s="48" t="s">
        <v>3133</v>
      </c>
      <c r="I2902" s="273">
        <f>SUMIF('2020'!B:B,B2902,'2020'!C:C)+SUMIF('2021'!B:B,B2902,'2021'!C:C)+SUMIF('2022'!B:B,B2902,'2022'!C:C)</f>
        <v>252622.72</v>
      </c>
      <c r="J2902" s="59">
        <v>44925</v>
      </c>
      <c r="K2902" s="273" t="s">
        <v>3118</v>
      </c>
    </row>
    <row r="2903" spans="1:11" x14ac:dyDescent="0.3">
      <c r="A2903" s="259">
        <f t="shared" si="108"/>
        <v>2589</v>
      </c>
      <c r="B2903" s="20" t="s">
        <v>2568</v>
      </c>
      <c r="C2903" s="162">
        <v>1980</v>
      </c>
      <c r="D2903" s="273"/>
      <c r="E2903" s="273" t="s">
        <v>3123</v>
      </c>
      <c r="F2903" s="50">
        <v>9</v>
      </c>
      <c r="G2903" s="162">
        <v>6661.8</v>
      </c>
      <c r="H2903" s="48" t="s">
        <v>3496</v>
      </c>
      <c r="I2903" s="273">
        <f>SUMIF('2020'!B:B,B2903,'2020'!C:C)+SUMIF('2021'!B:B,B2903,'2021'!C:C)+SUMIF('2022'!B:B,B2903,'2022'!C:C)</f>
        <v>550833.92000000004</v>
      </c>
      <c r="J2903" s="59">
        <v>44925</v>
      </c>
      <c r="K2903" s="273" t="s">
        <v>3118</v>
      </c>
    </row>
    <row r="2904" spans="1:11" x14ac:dyDescent="0.3">
      <c r="A2904" s="259">
        <f t="shared" si="108"/>
        <v>2590</v>
      </c>
      <c r="B2904" s="20" t="s">
        <v>2569</v>
      </c>
      <c r="C2904" s="162">
        <v>1982</v>
      </c>
      <c r="D2904" s="273"/>
      <c r="E2904" s="273" t="s">
        <v>3123</v>
      </c>
      <c r="F2904" s="50">
        <v>9</v>
      </c>
      <c r="G2904" s="162">
        <v>5797.4</v>
      </c>
      <c r="H2904" s="48" t="s">
        <v>3497</v>
      </c>
      <c r="I2904" s="273">
        <f>SUMIF('2020'!B:B,B2904,'2020'!C:C)+SUMIF('2021'!B:B,B2904,'2021'!C:C)+SUMIF('2022'!B:B,B2904,'2022'!C:C)</f>
        <v>550745.27</v>
      </c>
      <c r="J2904" s="59">
        <v>44925</v>
      </c>
      <c r="K2904" s="273" t="s">
        <v>3118</v>
      </c>
    </row>
    <row r="2905" spans="1:11" x14ac:dyDescent="0.3">
      <c r="A2905" s="259">
        <f t="shared" si="108"/>
        <v>2591</v>
      </c>
      <c r="B2905" s="20" t="s">
        <v>2570</v>
      </c>
      <c r="C2905" s="162">
        <v>1973</v>
      </c>
      <c r="D2905" s="273"/>
      <c r="E2905" s="273" t="s">
        <v>3119</v>
      </c>
      <c r="F2905" s="50">
        <v>9</v>
      </c>
      <c r="G2905" s="273">
        <v>9647.9</v>
      </c>
      <c r="H2905" s="10">
        <v>399</v>
      </c>
      <c r="I2905" s="273">
        <f>SUMIF('2020'!B:B,B2905,'2020'!C:C)+SUMIF('2021'!B:B,B2905,'2021'!C:C)+SUMIF('2022'!B:B,B2905,'2022'!C:C)</f>
        <v>679805.72</v>
      </c>
      <c r="J2905" s="59">
        <v>44925</v>
      </c>
      <c r="K2905" s="273" t="s">
        <v>3118</v>
      </c>
    </row>
    <row r="2906" spans="1:11" x14ac:dyDescent="0.3">
      <c r="A2906" s="259">
        <f t="shared" si="108"/>
        <v>2592</v>
      </c>
      <c r="B2906" s="20" t="s">
        <v>2571</v>
      </c>
      <c r="C2906" s="162">
        <v>1976</v>
      </c>
      <c r="D2906" s="273"/>
      <c r="E2906" s="273" t="s">
        <v>3123</v>
      </c>
      <c r="F2906" s="50">
        <v>5</v>
      </c>
      <c r="G2906" s="162">
        <v>5502</v>
      </c>
      <c r="H2906" s="10">
        <v>227</v>
      </c>
      <c r="I2906" s="273">
        <f>SUMIF('2020'!B:B,B2906,'2020'!C:C)+SUMIF('2021'!B:B,B2906,'2021'!C:C)+SUMIF('2022'!B:B,B2906,'2022'!C:C)</f>
        <v>496846.63</v>
      </c>
      <c r="J2906" s="59">
        <v>44925</v>
      </c>
      <c r="K2906" s="273" t="s">
        <v>3118</v>
      </c>
    </row>
    <row r="2907" spans="1:11" x14ac:dyDescent="0.3">
      <c r="A2907" s="259">
        <f t="shared" si="108"/>
        <v>2593</v>
      </c>
      <c r="B2907" s="20" t="s">
        <v>2572</v>
      </c>
      <c r="C2907" s="162">
        <v>1973</v>
      </c>
      <c r="D2907" s="273"/>
      <c r="E2907" s="273" t="s">
        <v>3119</v>
      </c>
      <c r="F2907" s="50">
        <v>5</v>
      </c>
      <c r="G2907" s="162">
        <v>4328.8</v>
      </c>
      <c r="H2907" s="10">
        <v>227</v>
      </c>
      <c r="I2907" s="273">
        <f>SUMIF('2020'!B:B,B2907,'2020'!C:C)+SUMIF('2021'!B:B,B2907,'2021'!C:C)+SUMIF('2022'!B:B,B2907,'2022'!C:C)</f>
        <v>385471.93</v>
      </c>
      <c r="J2907" s="59">
        <v>44925</v>
      </c>
      <c r="K2907" s="273" t="s">
        <v>3118</v>
      </c>
    </row>
    <row r="2908" spans="1:11" x14ac:dyDescent="0.3">
      <c r="A2908" s="259">
        <f t="shared" si="108"/>
        <v>2594</v>
      </c>
      <c r="B2908" s="20" t="s">
        <v>2573</v>
      </c>
      <c r="C2908" s="162">
        <v>1989</v>
      </c>
      <c r="D2908" s="273"/>
      <c r="E2908" s="273" t="s">
        <v>3123</v>
      </c>
      <c r="F2908" s="50">
        <v>9</v>
      </c>
      <c r="G2908" s="162">
        <v>4714.7</v>
      </c>
      <c r="H2908" s="10">
        <v>265</v>
      </c>
      <c r="I2908" s="273">
        <f>SUMIF('2020'!B:B,B2908,'2020'!C:C)+SUMIF('2021'!B:B,B2908,'2021'!C:C)+SUMIF('2022'!B:B,B2908,'2022'!C:C)</f>
        <v>543575.94999999995</v>
      </c>
      <c r="J2908" s="59">
        <v>44925</v>
      </c>
      <c r="K2908" s="273" t="s">
        <v>3118</v>
      </c>
    </row>
    <row r="2909" spans="1:11" x14ac:dyDescent="0.3">
      <c r="A2909" s="259">
        <f t="shared" si="108"/>
        <v>2595</v>
      </c>
      <c r="B2909" s="20" t="s">
        <v>2574</v>
      </c>
      <c r="C2909" s="162">
        <v>1991</v>
      </c>
      <c r="D2909" s="273"/>
      <c r="E2909" s="273" t="s">
        <v>3123</v>
      </c>
      <c r="F2909" s="50">
        <v>9</v>
      </c>
      <c r="G2909" s="162">
        <v>3207.7</v>
      </c>
      <c r="H2909" s="10">
        <v>158</v>
      </c>
      <c r="I2909" s="273">
        <f>SUMIF('2020'!B:B,B2909,'2020'!C:C)+SUMIF('2021'!B:B,B2909,'2021'!C:C)+SUMIF('2022'!B:B,B2909,'2022'!C:C)</f>
        <v>444814.09</v>
      </c>
      <c r="J2909" s="59">
        <v>44925</v>
      </c>
      <c r="K2909" s="273" t="s">
        <v>3118</v>
      </c>
    </row>
    <row r="2910" spans="1:11" x14ac:dyDescent="0.3">
      <c r="A2910" s="259">
        <f t="shared" si="108"/>
        <v>2596</v>
      </c>
      <c r="B2910" s="20" t="s">
        <v>2575</v>
      </c>
      <c r="C2910" s="162">
        <v>1990</v>
      </c>
      <c r="D2910" s="273"/>
      <c r="E2910" s="273" t="s">
        <v>3123</v>
      </c>
      <c r="F2910" s="50">
        <v>9</v>
      </c>
      <c r="G2910" s="162">
        <v>3264.5</v>
      </c>
      <c r="H2910" s="10">
        <v>136</v>
      </c>
      <c r="I2910" s="273">
        <f>SUMIF('2020'!B:B,B2910,'2020'!C:C)+SUMIF('2021'!B:B,B2910,'2021'!C:C)+SUMIF('2022'!B:B,B2910,'2022'!C:C)</f>
        <v>445548.76</v>
      </c>
      <c r="J2910" s="59">
        <v>44925</v>
      </c>
      <c r="K2910" s="273" t="s">
        <v>3118</v>
      </c>
    </row>
    <row r="2911" spans="1:11" x14ac:dyDescent="0.3">
      <c r="A2911" s="259">
        <f t="shared" si="108"/>
        <v>2597</v>
      </c>
      <c r="B2911" s="20" t="s">
        <v>2576</v>
      </c>
      <c r="C2911" s="162">
        <v>1974</v>
      </c>
      <c r="D2911" s="273"/>
      <c r="E2911" s="273" t="s">
        <v>3121</v>
      </c>
      <c r="F2911" s="50">
        <v>5</v>
      </c>
      <c r="G2911" s="162">
        <v>5400.9</v>
      </c>
      <c r="H2911" s="10">
        <v>271</v>
      </c>
      <c r="I2911" s="273">
        <f>SUMIF('2020'!B:B,B2911,'2020'!C:C)+SUMIF('2021'!B:B,B2911,'2021'!C:C)+SUMIF('2022'!B:B,B2911,'2022'!C:C)</f>
        <v>500973.27</v>
      </c>
      <c r="J2911" s="59">
        <v>44925</v>
      </c>
      <c r="K2911" s="273" t="s">
        <v>3118</v>
      </c>
    </row>
    <row r="2912" spans="1:11" x14ac:dyDescent="0.3">
      <c r="A2912" s="259">
        <f t="shared" si="108"/>
        <v>2598</v>
      </c>
      <c r="B2912" s="20" t="s">
        <v>2577</v>
      </c>
      <c r="C2912" s="162">
        <v>1977</v>
      </c>
      <c r="D2912" s="273"/>
      <c r="E2912" s="273" t="s">
        <v>3123</v>
      </c>
      <c r="F2912" s="50">
        <v>12</v>
      </c>
      <c r="G2912" s="162">
        <v>3943.3</v>
      </c>
      <c r="H2912" s="10">
        <v>182</v>
      </c>
      <c r="I2912" s="273">
        <f>SUMIF('2020'!B:B,B2912,'2020'!C:C)+SUMIF('2021'!B:B,B2912,'2021'!C:C)+SUMIF('2022'!B:B,B2912,'2022'!C:C)</f>
        <v>528134.77</v>
      </c>
      <c r="J2912" s="59">
        <v>44925</v>
      </c>
      <c r="K2912" s="273" t="s">
        <v>3118</v>
      </c>
    </row>
    <row r="2913" spans="1:11" x14ac:dyDescent="0.3">
      <c r="A2913" s="259">
        <f t="shared" si="108"/>
        <v>2599</v>
      </c>
      <c r="B2913" s="20" t="s">
        <v>2578</v>
      </c>
      <c r="C2913" s="162">
        <v>1925</v>
      </c>
      <c r="D2913" s="273"/>
      <c r="E2913" s="273" t="s">
        <v>3437</v>
      </c>
      <c r="F2913" s="50">
        <v>1</v>
      </c>
      <c r="G2913" s="273">
        <v>204.4</v>
      </c>
      <c r="H2913" s="10">
        <v>5</v>
      </c>
      <c r="I2913" s="273">
        <f>SUMIF('2020'!B:B,B2913,'2020'!C:C)+SUMIF('2021'!B:B,B2913,'2021'!C:C)+SUMIF('2022'!B:B,B2913,'2022'!C:C)</f>
        <v>213560.18</v>
      </c>
      <c r="J2913" s="59">
        <v>44925</v>
      </c>
      <c r="K2913" s="273" t="s">
        <v>3118</v>
      </c>
    </row>
    <row r="2914" spans="1:11" x14ac:dyDescent="0.3">
      <c r="A2914" s="259">
        <f t="shared" si="108"/>
        <v>2600</v>
      </c>
      <c r="B2914" s="20" t="s">
        <v>2579</v>
      </c>
      <c r="C2914" s="162">
        <v>1970</v>
      </c>
      <c r="D2914" s="273"/>
      <c r="E2914" s="273" t="s">
        <v>3123</v>
      </c>
      <c r="F2914" s="50">
        <v>5</v>
      </c>
      <c r="G2914" s="273">
        <v>3535.1</v>
      </c>
      <c r="H2914" s="10">
        <v>142</v>
      </c>
      <c r="I2914" s="273">
        <f>SUMIF('2020'!B:B,B2914,'2020'!C:C)+SUMIF('2021'!B:B,B2914,'2021'!C:C)+SUMIF('2022'!B:B,B2914,'2022'!C:C)</f>
        <v>347780.17</v>
      </c>
      <c r="J2914" s="59">
        <v>44925</v>
      </c>
      <c r="K2914" s="273" t="s">
        <v>3118</v>
      </c>
    </row>
    <row r="2915" spans="1:11" x14ac:dyDescent="0.3">
      <c r="A2915" s="259">
        <f t="shared" si="108"/>
        <v>2601</v>
      </c>
      <c r="B2915" s="20" t="s">
        <v>2580</v>
      </c>
      <c r="C2915" s="162">
        <v>1969</v>
      </c>
      <c r="D2915" s="273"/>
      <c r="E2915" s="273" t="s">
        <v>3119</v>
      </c>
      <c r="F2915" s="50">
        <v>5</v>
      </c>
      <c r="G2915" s="162">
        <v>2777.7</v>
      </c>
      <c r="H2915" s="48" t="s">
        <v>3498</v>
      </c>
      <c r="I2915" s="273">
        <f>SUMIF('2020'!B:B,B2915,'2020'!C:C)+SUMIF('2021'!B:B,B2915,'2021'!C:C)+SUMIF('2022'!B:B,B2915,'2022'!C:C)</f>
        <v>13620390.84</v>
      </c>
      <c r="J2915" s="59">
        <v>44925</v>
      </c>
      <c r="K2915" s="273" t="s">
        <v>3118</v>
      </c>
    </row>
    <row r="2916" spans="1:11" x14ac:dyDescent="0.3">
      <c r="A2916" s="259">
        <f t="shared" si="108"/>
        <v>2602</v>
      </c>
      <c r="B2916" s="20" t="s">
        <v>2581</v>
      </c>
      <c r="C2916" s="162">
        <v>1969</v>
      </c>
      <c r="D2916" s="273"/>
      <c r="E2916" s="273" t="s">
        <v>3119</v>
      </c>
      <c r="F2916" s="50">
        <v>5</v>
      </c>
      <c r="G2916" s="162">
        <v>2746.8</v>
      </c>
      <c r="H2916" s="48" t="s">
        <v>3174</v>
      </c>
      <c r="I2916" s="273">
        <f>SUMIF('2020'!B:B,B2916,'2020'!C:C)+SUMIF('2021'!B:B,B2916,'2021'!C:C)+SUMIF('2022'!B:B,B2916,'2022'!C:C)</f>
        <v>678515.71</v>
      </c>
      <c r="J2916" s="59">
        <v>44925</v>
      </c>
      <c r="K2916" s="273" t="s">
        <v>3118</v>
      </c>
    </row>
    <row r="2917" spans="1:11" x14ac:dyDescent="0.3">
      <c r="A2917" s="259">
        <f t="shared" si="108"/>
        <v>2603</v>
      </c>
      <c r="B2917" s="20" t="s">
        <v>2582</v>
      </c>
      <c r="C2917" s="162">
        <v>1970</v>
      </c>
      <c r="D2917" s="273"/>
      <c r="E2917" s="273" t="s">
        <v>3119</v>
      </c>
      <c r="F2917" s="50">
        <v>5</v>
      </c>
      <c r="G2917" s="162">
        <v>4480.8</v>
      </c>
      <c r="H2917" s="48" t="s">
        <v>3489</v>
      </c>
      <c r="I2917" s="273">
        <f>SUMIF('2020'!B:B,B2917,'2020'!C:C)+SUMIF('2021'!B:B,B2917,'2021'!C:C)+SUMIF('2022'!B:B,B2917,'2022'!C:C)</f>
        <v>735230.65</v>
      </c>
      <c r="J2917" s="59">
        <v>44925</v>
      </c>
      <c r="K2917" s="273" t="s">
        <v>3118</v>
      </c>
    </row>
    <row r="2918" spans="1:11" x14ac:dyDescent="0.3">
      <c r="A2918" s="259">
        <f t="shared" si="108"/>
        <v>2604</v>
      </c>
      <c r="B2918" s="20" t="s">
        <v>2583</v>
      </c>
      <c r="C2918" s="162">
        <v>1970</v>
      </c>
      <c r="D2918" s="273"/>
      <c r="E2918" s="273" t="s">
        <v>3119</v>
      </c>
      <c r="F2918" s="50">
        <v>5</v>
      </c>
      <c r="G2918" s="162">
        <v>4443.8999999999996</v>
      </c>
      <c r="H2918" s="48" t="s">
        <v>3499</v>
      </c>
      <c r="I2918" s="273">
        <f>SUMIF('2020'!B:B,B2918,'2020'!C:C)+SUMIF('2021'!B:B,B2918,'2021'!C:C)+SUMIF('2022'!B:B,B2918,'2022'!C:C)</f>
        <v>727897.56</v>
      </c>
      <c r="J2918" s="59">
        <v>44925</v>
      </c>
      <c r="K2918" s="273" t="s">
        <v>3118</v>
      </c>
    </row>
    <row r="2919" spans="1:11" x14ac:dyDescent="0.3">
      <c r="A2919" s="259">
        <f t="shared" si="108"/>
        <v>2605</v>
      </c>
      <c r="B2919" s="20" t="s">
        <v>2584</v>
      </c>
      <c r="C2919" s="162">
        <v>1969</v>
      </c>
      <c r="D2919" s="273"/>
      <c r="E2919" s="273" t="s">
        <v>3123</v>
      </c>
      <c r="F2919" s="61">
        <v>5</v>
      </c>
      <c r="G2919" s="162">
        <v>3047</v>
      </c>
      <c r="H2919" s="48" t="s">
        <v>3486</v>
      </c>
      <c r="I2919" s="273">
        <f>SUMIF('2020'!B:B,B2919,'2020'!C:C)+SUMIF('2021'!B:B,B2919,'2021'!C:C)+SUMIF('2022'!B:B,B2919,'2022'!C:C)</f>
        <v>93413.78</v>
      </c>
      <c r="J2919" s="59">
        <v>44925</v>
      </c>
      <c r="K2919" s="273" t="s">
        <v>3118</v>
      </c>
    </row>
    <row r="2920" spans="1:11" x14ac:dyDescent="0.3">
      <c r="A2920" s="259">
        <f t="shared" si="108"/>
        <v>2606</v>
      </c>
      <c r="B2920" s="20" t="s">
        <v>2585</v>
      </c>
      <c r="C2920" s="162">
        <v>1969</v>
      </c>
      <c r="D2920" s="273"/>
      <c r="E2920" s="273" t="s">
        <v>3123</v>
      </c>
      <c r="F2920" s="61">
        <v>5</v>
      </c>
      <c r="G2920" s="162">
        <v>2520.9</v>
      </c>
      <c r="H2920" s="48" t="s">
        <v>3500</v>
      </c>
      <c r="I2920" s="273">
        <f>SUMIF('2020'!B:B,B2920,'2020'!C:C)+SUMIF('2021'!B:B,B2920,'2021'!C:C)+SUMIF('2022'!B:B,B2920,'2022'!C:C)</f>
        <v>97633.98</v>
      </c>
      <c r="J2920" s="59">
        <v>44925</v>
      </c>
      <c r="K2920" s="273" t="s">
        <v>3118</v>
      </c>
    </row>
    <row r="2921" spans="1:11" x14ac:dyDescent="0.3">
      <c r="A2921" s="259">
        <f t="shared" si="108"/>
        <v>2607</v>
      </c>
      <c r="B2921" s="20" t="s">
        <v>2586</v>
      </c>
      <c r="C2921" s="162">
        <v>1969</v>
      </c>
      <c r="D2921" s="273"/>
      <c r="E2921" s="273" t="s">
        <v>3123</v>
      </c>
      <c r="F2921" s="61">
        <v>5</v>
      </c>
      <c r="G2921" s="162">
        <v>4222.8999999999996</v>
      </c>
      <c r="H2921" s="48" t="s">
        <v>3089</v>
      </c>
      <c r="I2921" s="273">
        <f>SUMIF('2020'!B:B,B2921,'2020'!C:C)+SUMIF('2021'!B:B,B2921,'2021'!C:C)+SUMIF('2022'!B:B,B2921,'2022'!C:C)</f>
        <v>93353.4</v>
      </c>
      <c r="J2921" s="59">
        <v>44925</v>
      </c>
      <c r="K2921" s="273" t="s">
        <v>3118</v>
      </c>
    </row>
    <row r="2922" spans="1:11" x14ac:dyDescent="0.3">
      <c r="A2922" s="259">
        <f t="shared" si="108"/>
        <v>2608</v>
      </c>
      <c r="B2922" s="20" t="s">
        <v>2587</v>
      </c>
      <c r="C2922" s="162">
        <v>1968</v>
      </c>
      <c r="D2922" s="273"/>
      <c r="E2922" s="273" t="s">
        <v>3119</v>
      </c>
      <c r="F2922" s="61">
        <v>5</v>
      </c>
      <c r="G2922" s="162">
        <v>4425</v>
      </c>
      <c r="H2922" s="48" t="s">
        <v>3501</v>
      </c>
      <c r="I2922" s="273">
        <f>SUMIF('2020'!B:B,B2922,'2020'!C:C)+SUMIF('2021'!B:B,B2922,'2021'!C:C)+SUMIF('2022'!B:B,B2922,'2022'!C:C)</f>
        <v>235047.67999999999</v>
      </c>
      <c r="J2922" s="59">
        <v>44925</v>
      </c>
      <c r="K2922" s="273" t="s">
        <v>3118</v>
      </c>
    </row>
    <row r="2923" spans="1:11" x14ac:dyDescent="0.3">
      <c r="A2923" s="259">
        <f t="shared" si="108"/>
        <v>2609</v>
      </c>
      <c r="B2923" s="20" t="s">
        <v>2588</v>
      </c>
      <c r="C2923" s="162">
        <v>1969</v>
      </c>
      <c r="D2923" s="273"/>
      <c r="E2923" s="273" t="s">
        <v>3119</v>
      </c>
      <c r="F2923" s="61">
        <v>5</v>
      </c>
      <c r="G2923" s="162">
        <v>4452.3999999999996</v>
      </c>
      <c r="H2923" s="48" t="s">
        <v>3502</v>
      </c>
      <c r="I2923" s="273">
        <f>SUMIF('2020'!B:B,B2923,'2020'!C:C)+SUMIF('2021'!B:B,B2923,'2021'!C:C)+SUMIF('2022'!B:B,B2923,'2022'!C:C)</f>
        <v>387501.62</v>
      </c>
      <c r="J2923" s="59">
        <v>44925</v>
      </c>
      <c r="K2923" s="273" t="s">
        <v>3118</v>
      </c>
    </row>
    <row r="2924" spans="1:11" x14ac:dyDescent="0.3">
      <c r="A2924" s="259">
        <f t="shared" si="108"/>
        <v>2610</v>
      </c>
      <c r="B2924" s="20" t="s">
        <v>2589</v>
      </c>
      <c r="C2924" s="162">
        <v>1969</v>
      </c>
      <c r="D2924" s="273"/>
      <c r="E2924" s="273" t="s">
        <v>3123</v>
      </c>
      <c r="F2924" s="50">
        <v>2</v>
      </c>
      <c r="G2924" s="162">
        <v>443.9</v>
      </c>
      <c r="H2924" s="10">
        <v>21</v>
      </c>
      <c r="I2924" s="273">
        <f>SUMIF('2020'!B:B,B2924,'2020'!C:C)+SUMIF('2021'!B:B,B2924,'2021'!C:C)+SUMIF('2022'!B:B,B2924,'2022'!C:C)</f>
        <v>215221.04</v>
      </c>
      <c r="J2924" s="59">
        <v>44925</v>
      </c>
      <c r="K2924" s="273" t="s">
        <v>3118</v>
      </c>
    </row>
    <row r="2925" spans="1:11" x14ac:dyDescent="0.3">
      <c r="A2925" s="259">
        <f t="shared" ref="A2925:A2947" si="109">A2924+1</f>
        <v>2611</v>
      </c>
      <c r="B2925" s="20" t="s">
        <v>2590</v>
      </c>
      <c r="C2925" s="162">
        <v>1969</v>
      </c>
      <c r="D2925" s="273"/>
      <c r="E2925" s="273" t="s">
        <v>3123</v>
      </c>
      <c r="F2925" s="61">
        <v>5</v>
      </c>
      <c r="G2925" s="162">
        <v>3019.4</v>
      </c>
      <c r="H2925" s="48" t="s">
        <v>3158</v>
      </c>
      <c r="I2925" s="273">
        <f>SUMIF('2020'!B:B,B2925,'2020'!C:C)+SUMIF('2021'!B:B,B2925,'2021'!C:C)+SUMIF('2022'!B:B,B2925,'2022'!C:C)</f>
        <v>326008.71000000002</v>
      </c>
      <c r="J2925" s="59">
        <v>44925</v>
      </c>
      <c r="K2925" s="273" t="s">
        <v>3118</v>
      </c>
    </row>
    <row r="2926" spans="1:11" x14ac:dyDescent="0.3">
      <c r="A2926" s="259">
        <f t="shared" si="109"/>
        <v>2612</v>
      </c>
      <c r="B2926" s="20" t="s">
        <v>2591</v>
      </c>
      <c r="C2926" s="162">
        <v>1969</v>
      </c>
      <c r="D2926" s="273"/>
      <c r="E2926" s="273" t="s">
        <v>3123</v>
      </c>
      <c r="F2926" s="61">
        <v>5</v>
      </c>
      <c r="G2926" s="162">
        <v>2065.1</v>
      </c>
      <c r="H2926" s="48" t="s">
        <v>3473</v>
      </c>
      <c r="I2926" s="273">
        <f>SUMIF('2020'!B:B,B2926,'2020'!C:C)+SUMIF('2021'!B:B,B2926,'2021'!C:C)+SUMIF('2022'!B:B,B2926,'2022'!C:C)</f>
        <v>338789.34</v>
      </c>
      <c r="J2926" s="59">
        <v>44925</v>
      </c>
      <c r="K2926" s="273" t="s">
        <v>3118</v>
      </c>
    </row>
    <row r="2927" spans="1:11" x14ac:dyDescent="0.3">
      <c r="A2927" s="259">
        <f t="shared" si="109"/>
        <v>2613</v>
      </c>
      <c r="B2927" s="20" t="s">
        <v>2592</v>
      </c>
      <c r="C2927" s="162">
        <v>1969</v>
      </c>
      <c r="D2927" s="273"/>
      <c r="E2927" s="273" t="s">
        <v>3123</v>
      </c>
      <c r="F2927" s="61">
        <v>5</v>
      </c>
      <c r="G2927" s="162">
        <v>8396.1</v>
      </c>
      <c r="H2927" s="48" t="s">
        <v>3503</v>
      </c>
      <c r="I2927" s="273">
        <f>SUMIF('2020'!B:B,B2927,'2020'!C:C)+SUMIF('2021'!B:B,B2927,'2021'!C:C)+SUMIF('2022'!B:B,B2927,'2022'!C:C)</f>
        <v>937956.54</v>
      </c>
      <c r="J2927" s="59">
        <v>44925</v>
      </c>
      <c r="K2927" s="273" t="s">
        <v>3118</v>
      </c>
    </row>
    <row r="2928" spans="1:11" x14ac:dyDescent="0.3">
      <c r="A2928" s="259">
        <f t="shared" si="109"/>
        <v>2614</v>
      </c>
      <c r="B2928" s="20" t="s">
        <v>2593</v>
      </c>
      <c r="C2928" s="162">
        <v>1969</v>
      </c>
      <c r="D2928" s="273"/>
      <c r="E2928" s="273" t="s">
        <v>3119</v>
      </c>
      <c r="F2928" s="61">
        <v>5</v>
      </c>
      <c r="G2928" s="162">
        <v>4335.2</v>
      </c>
      <c r="H2928" s="48" t="s">
        <v>3504</v>
      </c>
      <c r="I2928" s="273">
        <f>SUMIF('2020'!B:B,B2928,'2020'!C:C)+SUMIF('2021'!B:B,B2928,'2021'!C:C)+SUMIF('2022'!B:B,B2928,'2022'!C:C)</f>
        <v>19169011.199999999</v>
      </c>
      <c r="J2928" s="59">
        <v>44925</v>
      </c>
      <c r="K2928" s="273" t="s">
        <v>3118</v>
      </c>
    </row>
    <row r="2929" spans="1:11" x14ac:dyDescent="0.3">
      <c r="A2929" s="259">
        <f t="shared" si="109"/>
        <v>2615</v>
      </c>
      <c r="B2929" s="20" t="s">
        <v>2594</v>
      </c>
      <c r="C2929" s="162">
        <v>1970</v>
      </c>
      <c r="D2929" s="273"/>
      <c r="E2929" s="273" t="s">
        <v>3119</v>
      </c>
      <c r="F2929" s="61">
        <v>5</v>
      </c>
      <c r="G2929" s="162">
        <v>4475.1000000000004</v>
      </c>
      <c r="H2929" s="48" t="s">
        <v>3505</v>
      </c>
      <c r="I2929" s="273">
        <f>SUMIF('2020'!B:B,B2929,'2020'!C:C)+SUMIF('2021'!B:B,B2929,'2021'!C:C)+SUMIF('2022'!B:B,B2929,'2022'!C:C)</f>
        <v>20048709.600000001</v>
      </c>
      <c r="J2929" s="59">
        <v>44925</v>
      </c>
      <c r="K2929" s="273" t="s">
        <v>3118</v>
      </c>
    </row>
    <row r="2930" spans="1:11" x14ac:dyDescent="0.3">
      <c r="A2930" s="259">
        <f t="shared" si="109"/>
        <v>2616</v>
      </c>
      <c r="B2930" s="20" t="s">
        <v>2595</v>
      </c>
      <c r="C2930" s="162">
        <v>1974</v>
      </c>
      <c r="D2930" s="273"/>
      <c r="E2930" s="273" t="s">
        <v>3123</v>
      </c>
      <c r="F2930" s="61">
        <v>5</v>
      </c>
      <c r="G2930" s="162">
        <v>2699</v>
      </c>
      <c r="H2930" s="48" t="s">
        <v>3173</v>
      </c>
      <c r="I2930" s="273">
        <f>SUMIF('2020'!B:B,B2930,'2020'!C:C)+SUMIF('2021'!B:B,B2930,'2021'!C:C)+SUMIF('2022'!B:B,B2930,'2022'!C:C)</f>
        <v>308550.33</v>
      </c>
      <c r="J2930" s="59">
        <v>44925</v>
      </c>
      <c r="K2930" s="273" t="s">
        <v>3118</v>
      </c>
    </row>
    <row r="2931" spans="1:11" x14ac:dyDescent="0.3">
      <c r="A2931" s="259">
        <f t="shared" si="109"/>
        <v>2617</v>
      </c>
      <c r="B2931" s="20" t="s">
        <v>2596</v>
      </c>
      <c r="C2931" s="162">
        <v>1972</v>
      </c>
      <c r="D2931" s="273"/>
      <c r="E2931" s="273" t="s">
        <v>3123</v>
      </c>
      <c r="F2931" s="61">
        <v>5</v>
      </c>
      <c r="G2931" s="162">
        <v>3288.1</v>
      </c>
      <c r="H2931" s="48" t="s">
        <v>3506</v>
      </c>
      <c r="I2931" s="273">
        <f>SUMIF('2020'!B:B,B2931,'2020'!C:C)+SUMIF('2021'!B:B,B2931,'2021'!C:C)+SUMIF('2022'!B:B,B2931,'2022'!C:C)</f>
        <v>704543.86</v>
      </c>
      <c r="J2931" s="59">
        <v>44925</v>
      </c>
      <c r="K2931" s="273" t="s">
        <v>3118</v>
      </c>
    </row>
    <row r="2932" spans="1:11" x14ac:dyDescent="0.3">
      <c r="A2932" s="259">
        <f t="shared" si="109"/>
        <v>2618</v>
      </c>
      <c r="B2932" s="20" t="s">
        <v>2597</v>
      </c>
      <c r="C2932" s="162">
        <v>1971</v>
      </c>
      <c r="D2932" s="273"/>
      <c r="E2932" s="273" t="s">
        <v>3123</v>
      </c>
      <c r="F2932" s="61">
        <v>5</v>
      </c>
      <c r="G2932" s="162">
        <v>2972.2</v>
      </c>
      <c r="H2932" s="48" t="s">
        <v>3501</v>
      </c>
      <c r="I2932" s="273">
        <f>SUMIF('2020'!B:B,B2932,'2020'!C:C)+SUMIF('2021'!B:B,B2932,'2021'!C:C)+SUMIF('2022'!B:B,B2932,'2022'!C:C)</f>
        <v>16615316.4</v>
      </c>
      <c r="J2932" s="59">
        <v>44925</v>
      </c>
      <c r="K2932" s="273" t="s">
        <v>3118</v>
      </c>
    </row>
    <row r="2933" spans="1:11" x14ac:dyDescent="0.3">
      <c r="A2933" s="259">
        <f t="shared" si="109"/>
        <v>2619</v>
      </c>
      <c r="B2933" s="20" t="s">
        <v>2598</v>
      </c>
      <c r="C2933" s="162">
        <v>1985</v>
      </c>
      <c r="D2933" s="273"/>
      <c r="E2933" s="273" t="s">
        <v>3123</v>
      </c>
      <c r="F2933" s="61">
        <v>9</v>
      </c>
      <c r="G2933" s="162">
        <v>4610.8</v>
      </c>
      <c r="H2933" s="48" t="s">
        <v>3507</v>
      </c>
      <c r="I2933" s="273">
        <f>SUMIF('2020'!B:B,B2933,'2020'!C:C)+SUMIF('2021'!B:B,B2933,'2021'!C:C)+SUMIF('2022'!B:B,B2933,'2022'!C:C)</f>
        <v>6007328.4000000004</v>
      </c>
      <c r="J2933" s="59">
        <v>44925</v>
      </c>
      <c r="K2933" s="273" t="s">
        <v>3118</v>
      </c>
    </row>
    <row r="2934" spans="1:11" x14ac:dyDescent="0.3">
      <c r="A2934" s="259">
        <f t="shared" si="109"/>
        <v>2620</v>
      </c>
      <c r="B2934" s="20" t="s">
        <v>2599</v>
      </c>
      <c r="C2934" s="162">
        <v>1971</v>
      </c>
      <c r="D2934" s="273"/>
      <c r="E2934" s="273" t="s">
        <v>3121</v>
      </c>
      <c r="F2934" s="61">
        <v>5</v>
      </c>
      <c r="G2934" s="162">
        <v>5186.8999999999996</v>
      </c>
      <c r="H2934" s="48" t="s">
        <v>3486</v>
      </c>
      <c r="I2934" s="273">
        <f>SUMIF('2020'!B:B,B2934,'2020'!C:C)+SUMIF('2021'!B:B,B2934,'2021'!C:C)+SUMIF('2022'!B:B,B2934,'2022'!C:C)</f>
        <v>2883274.38</v>
      </c>
      <c r="J2934" s="59">
        <v>44925</v>
      </c>
      <c r="K2934" s="273" t="s">
        <v>3118</v>
      </c>
    </row>
    <row r="2935" spans="1:11" x14ac:dyDescent="0.3">
      <c r="A2935" s="259">
        <f t="shared" si="109"/>
        <v>2621</v>
      </c>
      <c r="B2935" s="20" t="s">
        <v>2600</v>
      </c>
      <c r="C2935" s="162">
        <v>1971</v>
      </c>
      <c r="D2935" s="273"/>
      <c r="E2935" s="273" t="s">
        <v>3123</v>
      </c>
      <c r="F2935" s="50">
        <v>9</v>
      </c>
      <c r="G2935" s="162">
        <v>1946.2</v>
      </c>
      <c r="H2935" s="10">
        <v>73</v>
      </c>
      <c r="I2935" s="273">
        <f>SUMIF('2020'!B:B,B2935,'2020'!C:C)+SUMIF('2021'!B:B,B2935,'2021'!C:C)+SUMIF('2022'!B:B,B2935,'2022'!C:C)</f>
        <v>340364.92</v>
      </c>
      <c r="J2935" s="59">
        <v>44925</v>
      </c>
      <c r="K2935" s="273" t="s">
        <v>3118</v>
      </c>
    </row>
    <row r="2936" spans="1:11" x14ac:dyDescent="0.3">
      <c r="A2936" s="259">
        <f t="shared" si="109"/>
        <v>2622</v>
      </c>
      <c r="B2936" s="20" t="s">
        <v>2601</v>
      </c>
      <c r="C2936" s="162">
        <v>1977</v>
      </c>
      <c r="D2936" s="273"/>
      <c r="E2936" s="273" t="s">
        <v>3123</v>
      </c>
      <c r="F2936" s="61">
        <v>12</v>
      </c>
      <c r="G2936" s="162">
        <v>3979.8</v>
      </c>
      <c r="H2936" s="48" t="s">
        <v>3462</v>
      </c>
      <c r="I2936" s="273">
        <f>SUMIF('2020'!B:B,B2936,'2020'!C:C)+SUMIF('2021'!B:B,B2936,'2021'!C:C)+SUMIF('2022'!B:B,B2936,'2022'!C:C)</f>
        <v>496326.38</v>
      </c>
      <c r="J2936" s="59">
        <v>44925</v>
      </c>
      <c r="K2936" s="273" t="s">
        <v>3118</v>
      </c>
    </row>
    <row r="2937" spans="1:11" x14ac:dyDescent="0.3">
      <c r="A2937" s="259">
        <f t="shared" si="109"/>
        <v>2623</v>
      </c>
      <c r="B2937" s="20" t="s">
        <v>2602</v>
      </c>
      <c r="C2937" s="162">
        <v>1977</v>
      </c>
      <c r="D2937" s="273"/>
      <c r="E2937" s="273" t="s">
        <v>3123</v>
      </c>
      <c r="F2937" s="61">
        <v>12</v>
      </c>
      <c r="G2937" s="162">
        <v>3902.4</v>
      </c>
      <c r="H2937" s="48" t="s">
        <v>3068</v>
      </c>
      <c r="I2937" s="273">
        <f>SUMIF('2020'!B:B,B2937,'2020'!C:C)+SUMIF('2021'!B:B,B2937,'2021'!C:C)+SUMIF('2022'!B:B,B2937,'2022'!C:C)</f>
        <v>523730.15</v>
      </c>
      <c r="J2937" s="59">
        <v>44925</v>
      </c>
      <c r="K2937" s="273" t="s">
        <v>3118</v>
      </c>
    </row>
    <row r="2938" spans="1:11" x14ac:dyDescent="0.3">
      <c r="A2938" s="259">
        <f t="shared" si="109"/>
        <v>2624</v>
      </c>
      <c r="B2938" s="20" t="s">
        <v>2603</v>
      </c>
      <c r="C2938" s="162">
        <v>1974</v>
      </c>
      <c r="D2938" s="273"/>
      <c r="E2938" s="273" t="s">
        <v>3119</v>
      </c>
      <c r="F2938" s="61">
        <v>9</v>
      </c>
      <c r="G2938" s="162">
        <v>7834.4</v>
      </c>
      <c r="H2938" s="48" t="s">
        <v>3508</v>
      </c>
      <c r="I2938" s="273">
        <f>SUMIF('2020'!B:B,B2938,'2020'!C:C)+SUMIF('2021'!B:B,B2938,'2021'!C:C)+SUMIF('2022'!B:B,B2938,'2022'!C:C)</f>
        <v>604337.86</v>
      </c>
      <c r="J2938" s="59">
        <v>44925</v>
      </c>
      <c r="K2938" s="273" t="s">
        <v>3118</v>
      </c>
    </row>
    <row r="2939" spans="1:11" x14ac:dyDescent="0.3">
      <c r="A2939" s="259">
        <f t="shared" si="109"/>
        <v>2625</v>
      </c>
      <c r="B2939" s="20" t="s">
        <v>2604</v>
      </c>
      <c r="C2939" s="162">
        <v>1973</v>
      </c>
      <c r="D2939" s="273"/>
      <c r="E2939" s="273" t="s">
        <v>3119</v>
      </c>
      <c r="F2939" s="61">
        <v>5</v>
      </c>
      <c r="G2939" s="162">
        <v>4340.8999999999996</v>
      </c>
      <c r="H2939" s="48" t="s">
        <v>3509</v>
      </c>
      <c r="I2939" s="273">
        <f>SUMIF('2020'!B:B,B2939,'2020'!C:C)+SUMIF('2021'!B:B,B2939,'2021'!C:C)+SUMIF('2022'!B:B,B2939,'2022'!C:C)</f>
        <v>385471.93</v>
      </c>
      <c r="J2939" s="59">
        <v>44925</v>
      </c>
      <c r="K2939" s="273" t="s">
        <v>3118</v>
      </c>
    </row>
    <row r="2940" spans="1:11" x14ac:dyDescent="0.3">
      <c r="A2940" s="259">
        <f t="shared" si="109"/>
        <v>2626</v>
      </c>
      <c r="B2940" s="20" t="s">
        <v>2605</v>
      </c>
      <c r="C2940" s="162">
        <v>1974</v>
      </c>
      <c r="D2940" s="273"/>
      <c r="E2940" s="273" t="s">
        <v>3119</v>
      </c>
      <c r="F2940" s="61">
        <v>9</v>
      </c>
      <c r="G2940" s="162">
        <v>7927.2</v>
      </c>
      <c r="H2940" s="48" t="s">
        <v>3510</v>
      </c>
      <c r="I2940" s="273">
        <f>SUMIF('2020'!B:B,B2940,'2020'!C:C)+SUMIF('2021'!B:B,B2940,'2021'!C:C)+SUMIF('2022'!B:B,B2940,'2022'!C:C)</f>
        <v>605439.84</v>
      </c>
      <c r="J2940" s="59">
        <v>44925</v>
      </c>
      <c r="K2940" s="273" t="s">
        <v>3118</v>
      </c>
    </row>
    <row r="2941" spans="1:11" x14ac:dyDescent="0.3">
      <c r="A2941" s="259">
        <f t="shared" si="109"/>
        <v>2627</v>
      </c>
      <c r="B2941" s="20" t="s">
        <v>2606</v>
      </c>
      <c r="C2941" s="162">
        <v>1975</v>
      </c>
      <c r="D2941" s="273"/>
      <c r="E2941" s="273" t="s">
        <v>3119</v>
      </c>
      <c r="F2941" s="61">
        <v>9</v>
      </c>
      <c r="G2941" s="162">
        <v>7861.3</v>
      </c>
      <c r="H2941" s="48" t="s">
        <v>3511</v>
      </c>
      <c r="I2941" s="273">
        <f>SUMIF('2020'!B:B,B2941,'2020'!C:C)+SUMIF('2021'!B:B,B2941,'2021'!C:C)+SUMIF('2022'!B:B,B2941,'2022'!C:C)</f>
        <v>598398.43999999994</v>
      </c>
      <c r="J2941" s="59">
        <v>44925</v>
      </c>
      <c r="K2941" s="273" t="s">
        <v>3118</v>
      </c>
    </row>
    <row r="2942" spans="1:11" x14ac:dyDescent="0.3">
      <c r="A2942" s="259">
        <f t="shared" si="109"/>
        <v>2628</v>
      </c>
      <c r="B2942" s="20" t="s">
        <v>2607</v>
      </c>
      <c r="C2942" s="162">
        <v>1975</v>
      </c>
      <c r="D2942" s="273"/>
      <c r="E2942" s="273" t="s">
        <v>3119</v>
      </c>
      <c r="F2942" s="61">
        <v>9</v>
      </c>
      <c r="G2942" s="162">
        <v>7856.6</v>
      </c>
      <c r="H2942" s="48" t="s">
        <v>3512</v>
      </c>
      <c r="I2942" s="273">
        <f>SUMIF('2020'!B:B,B2942,'2020'!C:C)+SUMIF('2021'!B:B,B2942,'2021'!C:C)+SUMIF('2022'!B:B,B2942,'2022'!C:C)</f>
        <v>605579.18000000005</v>
      </c>
      <c r="J2942" s="59">
        <v>44925</v>
      </c>
      <c r="K2942" s="273" t="s">
        <v>3118</v>
      </c>
    </row>
    <row r="2943" spans="1:11" x14ac:dyDescent="0.3">
      <c r="A2943" s="259">
        <f t="shared" si="109"/>
        <v>2629</v>
      </c>
      <c r="B2943" s="20" t="s">
        <v>2608</v>
      </c>
      <c r="C2943" s="162">
        <v>1976</v>
      </c>
      <c r="D2943" s="273"/>
      <c r="E2943" s="273" t="s">
        <v>3121</v>
      </c>
      <c r="F2943" s="61">
        <v>9</v>
      </c>
      <c r="G2943" s="162">
        <v>7833.7</v>
      </c>
      <c r="H2943" s="48" t="s">
        <v>3483</v>
      </c>
      <c r="I2943" s="273">
        <f>SUMIF('2020'!B:B,B2943,'2020'!C:C)+SUMIF('2021'!B:B,B2943,'2021'!C:C)+SUMIF('2022'!B:B,B2943,'2022'!C:C)</f>
        <v>636308.44999999995</v>
      </c>
      <c r="J2943" s="59">
        <v>44925</v>
      </c>
      <c r="K2943" s="273" t="s">
        <v>3118</v>
      </c>
    </row>
    <row r="2944" spans="1:11" x14ac:dyDescent="0.3">
      <c r="A2944" s="259">
        <f t="shared" si="109"/>
        <v>2630</v>
      </c>
      <c r="B2944" s="20" t="s">
        <v>2609</v>
      </c>
      <c r="C2944" s="162">
        <v>1977</v>
      </c>
      <c r="D2944" s="273"/>
      <c r="E2944" s="273" t="s">
        <v>3123</v>
      </c>
      <c r="F2944" s="61">
        <v>5</v>
      </c>
      <c r="G2944" s="162">
        <v>4134.1000000000004</v>
      </c>
      <c r="H2944" s="48" t="s">
        <v>3462</v>
      </c>
      <c r="I2944" s="273">
        <f>SUMIF('2020'!B:B,B2944,'2020'!C:C)+SUMIF('2021'!B:B,B2944,'2021'!C:C)+SUMIF('2022'!B:B,B2944,'2022'!C:C)</f>
        <v>410969.76</v>
      </c>
      <c r="J2944" s="59">
        <v>44925</v>
      </c>
      <c r="K2944" s="273" t="s">
        <v>3118</v>
      </c>
    </row>
    <row r="2945" spans="1:13" x14ac:dyDescent="0.3">
      <c r="A2945" s="259">
        <f t="shared" si="109"/>
        <v>2631</v>
      </c>
      <c r="B2945" s="20" t="s">
        <v>2610</v>
      </c>
      <c r="C2945" s="162">
        <v>1978</v>
      </c>
      <c r="D2945" s="273"/>
      <c r="E2945" s="273" t="s">
        <v>3123</v>
      </c>
      <c r="F2945" s="50">
        <v>12</v>
      </c>
      <c r="G2945" s="273">
        <v>3887.9</v>
      </c>
      <c r="H2945" s="10">
        <v>178</v>
      </c>
      <c r="I2945" s="273">
        <f>SUMIF('2020'!B:B,B2945,'2020'!C:C)+SUMIF('2021'!B:B,B2945,'2021'!C:C)+SUMIF('2022'!B:B,B2945,'2022'!C:C)</f>
        <v>535480.25</v>
      </c>
      <c r="J2945" s="59">
        <v>44925</v>
      </c>
      <c r="K2945" s="273" t="s">
        <v>3118</v>
      </c>
    </row>
    <row r="2946" spans="1:13" x14ac:dyDescent="0.3">
      <c r="A2946" s="259">
        <f t="shared" si="109"/>
        <v>2632</v>
      </c>
      <c r="B2946" s="20" t="s">
        <v>2611</v>
      </c>
      <c r="C2946" s="162">
        <v>1971</v>
      </c>
      <c r="D2946" s="273"/>
      <c r="E2946" s="273" t="s">
        <v>3123</v>
      </c>
      <c r="F2946" s="61">
        <v>9</v>
      </c>
      <c r="G2946" s="162">
        <v>1965.8</v>
      </c>
      <c r="H2946" s="48" t="s">
        <v>3054</v>
      </c>
      <c r="I2946" s="273">
        <f>SUMIF('2020'!B:B,B2946,'2020'!C:C)+SUMIF('2021'!B:B,B2946,'2021'!C:C)+SUMIF('2022'!B:B,B2946,'2022'!C:C)</f>
        <v>339541.6</v>
      </c>
      <c r="J2946" s="59">
        <v>44925</v>
      </c>
      <c r="K2946" s="273" t="s">
        <v>3118</v>
      </c>
    </row>
    <row r="2947" spans="1:13" x14ac:dyDescent="0.3">
      <c r="A2947" s="259">
        <f t="shared" si="109"/>
        <v>2633</v>
      </c>
      <c r="B2947" s="20" t="s">
        <v>2612</v>
      </c>
      <c r="C2947" s="162">
        <v>1971</v>
      </c>
      <c r="D2947" s="273"/>
      <c r="E2947" s="273" t="s">
        <v>3123</v>
      </c>
      <c r="F2947" s="61">
        <v>9</v>
      </c>
      <c r="G2947" s="162">
        <v>1966.5</v>
      </c>
      <c r="H2947" s="48" t="s">
        <v>3074</v>
      </c>
      <c r="I2947" s="273">
        <f>SUMIF('2020'!B:B,B2947,'2020'!C:C)+SUMIF('2021'!B:B,B2947,'2021'!C:C)+SUMIF('2022'!B:B,B2947,'2022'!C:C)</f>
        <v>356172.89</v>
      </c>
      <c r="J2947" s="59">
        <v>44925</v>
      </c>
      <c r="K2947" s="273" t="s">
        <v>3118</v>
      </c>
    </row>
    <row r="2948" spans="1:13" x14ac:dyDescent="0.3">
      <c r="A2948" s="259">
        <f t="shared" ref="A2948:A2949" si="110">A2947+1</f>
        <v>2634</v>
      </c>
      <c r="B2948" s="20" t="s">
        <v>2613</v>
      </c>
      <c r="C2948" s="162">
        <v>1970</v>
      </c>
      <c r="D2948" s="273"/>
      <c r="E2948" s="273" t="s">
        <v>3123</v>
      </c>
      <c r="F2948" s="61">
        <v>5</v>
      </c>
      <c r="G2948" s="162">
        <v>2065.5</v>
      </c>
      <c r="H2948" s="48" t="s">
        <v>3513</v>
      </c>
      <c r="I2948" s="273">
        <f>SUMIF('2020'!B:B,B2948,'2020'!C:C)+SUMIF('2021'!B:B,B2948,'2021'!C:C)+SUMIF('2022'!B:B,B2948,'2022'!C:C)</f>
        <v>341278.87</v>
      </c>
      <c r="J2948" s="59">
        <v>44925</v>
      </c>
      <c r="K2948" s="273" t="s">
        <v>3118</v>
      </c>
    </row>
    <row r="2949" spans="1:13" x14ac:dyDescent="0.3">
      <c r="A2949" s="259">
        <f t="shared" si="110"/>
        <v>2635</v>
      </c>
      <c r="B2949" s="20" t="s">
        <v>2614</v>
      </c>
      <c r="C2949" s="162">
        <v>1976</v>
      </c>
      <c r="D2949" s="273"/>
      <c r="E2949" s="273" t="s">
        <v>3123</v>
      </c>
      <c r="F2949" s="50">
        <v>5</v>
      </c>
      <c r="G2949" s="162">
        <v>4036.2</v>
      </c>
      <c r="H2949" s="10">
        <v>171</v>
      </c>
      <c r="I2949" s="273">
        <f>SUMIF('2020'!B:B,B2949,'2020'!C:C)+SUMIF('2021'!B:B,B2949,'2021'!C:C)+SUMIF('2022'!B:B,B2949,'2022'!C:C)</f>
        <v>26576047.440000001</v>
      </c>
      <c r="J2949" s="59">
        <v>44925</v>
      </c>
      <c r="K2949" s="273" t="s">
        <v>3118</v>
      </c>
    </row>
    <row r="2950" spans="1:13" s="43" customFormat="1" x14ac:dyDescent="0.3">
      <c r="A2950" s="304" t="s">
        <v>2615</v>
      </c>
      <c r="B2950" s="304"/>
      <c r="C2950" s="251" t="s">
        <v>3558</v>
      </c>
      <c r="D2950" s="251" t="s">
        <v>3558</v>
      </c>
      <c r="E2950" s="251" t="s">
        <v>3558</v>
      </c>
      <c r="F2950" s="251" t="s">
        <v>3558</v>
      </c>
      <c r="G2950" s="251">
        <f>SUM(G2797:G2949)</f>
        <v>523783.12000000017</v>
      </c>
      <c r="H2950" s="132">
        <f>SUM(H2797:H2949)</f>
        <v>4740</v>
      </c>
      <c r="I2950" s="251">
        <f>SUM(I2797:I2949)</f>
        <v>701814764.46999991</v>
      </c>
      <c r="J2950" s="251" t="s">
        <v>3558</v>
      </c>
      <c r="K2950" s="251" t="s">
        <v>3558</v>
      </c>
      <c r="L2950" s="196">
        <f>I2950-'2020'!C682-'2021'!C2063-'2022'!C961</f>
        <v>0</v>
      </c>
      <c r="M2950" s="196"/>
    </row>
    <row r="2951" spans="1:13" s="43" customFormat="1" x14ac:dyDescent="0.3">
      <c r="A2951" s="303" t="s">
        <v>2616</v>
      </c>
      <c r="B2951" s="303"/>
      <c r="C2951" s="303"/>
      <c r="D2951" s="303"/>
      <c r="E2951" s="303"/>
      <c r="F2951" s="303"/>
      <c r="G2951" s="303"/>
      <c r="H2951" s="303"/>
      <c r="I2951" s="303"/>
      <c r="J2951" s="303"/>
      <c r="K2951" s="303"/>
      <c r="L2951" s="198"/>
      <c r="M2951" s="198"/>
    </row>
    <row r="2952" spans="1:13" x14ac:dyDescent="0.3">
      <c r="A2952" s="301" t="s">
        <v>144</v>
      </c>
      <c r="B2952" s="301"/>
      <c r="C2952" s="251"/>
      <c r="D2952" s="251"/>
      <c r="E2952" s="251"/>
      <c r="F2952" s="251"/>
      <c r="G2952" s="251"/>
      <c r="H2952" s="132"/>
      <c r="I2952" s="251"/>
      <c r="J2952" s="251"/>
      <c r="K2952" s="251"/>
    </row>
    <row r="2953" spans="1:13" x14ac:dyDescent="0.3">
      <c r="A2953" s="259">
        <f>A2949+1</f>
        <v>2636</v>
      </c>
      <c r="B2953" s="20" t="s">
        <v>2617</v>
      </c>
      <c r="C2953" s="162">
        <v>1963</v>
      </c>
      <c r="D2953" s="234"/>
      <c r="E2953" s="273" t="s">
        <v>3123</v>
      </c>
      <c r="F2953" s="50">
        <v>2</v>
      </c>
      <c r="G2953" s="273">
        <v>318.7</v>
      </c>
      <c r="H2953" s="10">
        <v>14</v>
      </c>
      <c r="I2953" s="273">
        <f>SUMIF('2020'!B:B,B2953,'2020'!C:C)+SUMIF('2021'!B:B,B2953,'2021'!C:C)+SUMIF('2022'!B:B,B2953,'2022'!C:C)</f>
        <v>467222.32999999996</v>
      </c>
      <c r="J2953" s="59">
        <v>44925</v>
      </c>
      <c r="K2953" s="273" t="s">
        <v>3118</v>
      </c>
    </row>
    <row r="2954" spans="1:13" x14ac:dyDescent="0.3">
      <c r="A2954" s="259">
        <f>A2953+1</f>
        <v>2637</v>
      </c>
      <c r="B2954" s="20" t="s">
        <v>2618</v>
      </c>
      <c r="C2954" s="162">
        <v>1963</v>
      </c>
      <c r="D2954" s="234"/>
      <c r="E2954" s="273" t="s">
        <v>3123</v>
      </c>
      <c r="F2954" s="50">
        <v>2</v>
      </c>
      <c r="G2954" s="273">
        <v>629.20000000000005</v>
      </c>
      <c r="H2954" s="10">
        <v>33</v>
      </c>
      <c r="I2954" s="273">
        <f>SUMIF('2020'!B:B,B2954,'2020'!C:C)+SUMIF('2021'!B:B,B2954,'2021'!C:C)+SUMIF('2022'!B:B,B2954,'2022'!C:C)</f>
        <v>516129.01</v>
      </c>
      <c r="J2954" s="59">
        <v>44925</v>
      </c>
      <c r="K2954" s="273" t="s">
        <v>3118</v>
      </c>
    </row>
    <row r="2955" spans="1:13" x14ac:dyDescent="0.3">
      <c r="A2955" s="259">
        <f t="shared" ref="A2955:A3020" si="111">A2954+1</f>
        <v>2638</v>
      </c>
      <c r="B2955" s="20" t="s">
        <v>2619</v>
      </c>
      <c r="C2955" s="162">
        <v>1971</v>
      </c>
      <c r="D2955" s="234"/>
      <c r="E2955" s="273" t="s">
        <v>3123</v>
      </c>
      <c r="F2955" s="50">
        <v>2</v>
      </c>
      <c r="G2955" s="234">
        <v>882.6</v>
      </c>
      <c r="H2955" s="10">
        <v>49</v>
      </c>
      <c r="I2955" s="273">
        <f>SUMIF('2020'!B:B,B2955,'2020'!C:C)+SUMIF('2021'!B:B,B2955,'2021'!C:C)+SUMIF('2022'!B:B,B2955,'2022'!C:C)</f>
        <v>1316618.3999999999</v>
      </c>
      <c r="J2955" s="59">
        <v>44925</v>
      </c>
      <c r="K2955" s="273" t="s">
        <v>3118</v>
      </c>
    </row>
    <row r="2956" spans="1:13" x14ac:dyDescent="0.3">
      <c r="A2956" s="259">
        <f t="shared" si="111"/>
        <v>2639</v>
      </c>
      <c r="B2956" s="20" t="s">
        <v>2620</v>
      </c>
      <c r="C2956" s="162">
        <v>1972</v>
      </c>
      <c r="D2956" s="234"/>
      <c r="E2956" s="273" t="s">
        <v>3123</v>
      </c>
      <c r="F2956" s="50">
        <v>2</v>
      </c>
      <c r="G2956" s="234">
        <v>877.6</v>
      </c>
      <c r="H2956" s="10">
        <v>30</v>
      </c>
      <c r="I2956" s="273">
        <f>SUMIF('2020'!B:B,B2956,'2020'!C:C)+SUMIF('2021'!B:B,B2956,'2021'!C:C)+SUMIF('2022'!B:B,B2956,'2022'!C:C)</f>
        <v>1206667.2</v>
      </c>
      <c r="J2956" s="59">
        <v>44925</v>
      </c>
      <c r="K2956" s="273" t="s">
        <v>3118</v>
      </c>
    </row>
    <row r="2957" spans="1:13" x14ac:dyDescent="0.3">
      <c r="A2957" s="259">
        <f t="shared" si="111"/>
        <v>2640</v>
      </c>
      <c r="B2957" s="20" t="s">
        <v>2621</v>
      </c>
      <c r="C2957" s="162">
        <v>1973</v>
      </c>
      <c r="D2957" s="234"/>
      <c r="E2957" s="273" t="s">
        <v>3123</v>
      </c>
      <c r="F2957" s="50">
        <v>2</v>
      </c>
      <c r="G2957" s="234">
        <v>888.9</v>
      </c>
      <c r="H2957" s="10">
        <v>35</v>
      </c>
      <c r="I2957" s="273">
        <f>SUMIF('2020'!B:B,B2957,'2020'!C:C)+SUMIF('2021'!B:B,B2957,'2021'!C:C)+SUMIF('2022'!B:B,B2957,'2022'!C:C)</f>
        <v>1180126.8</v>
      </c>
      <c r="J2957" s="59">
        <v>44925</v>
      </c>
      <c r="K2957" s="273" t="s">
        <v>3118</v>
      </c>
    </row>
    <row r="2958" spans="1:13" x14ac:dyDescent="0.3">
      <c r="A2958" s="302" t="s">
        <v>208</v>
      </c>
      <c r="B2958" s="302"/>
      <c r="C2958" s="273" t="s">
        <v>3558</v>
      </c>
      <c r="D2958" s="273" t="s">
        <v>3558</v>
      </c>
      <c r="E2958" s="273" t="s">
        <v>3558</v>
      </c>
      <c r="F2958" s="273" t="s">
        <v>3558</v>
      </c>
      <c r="G2958" s="273">
        <f>SUM(G2953:G2957)</f>
        <v>3597</v>
      </c>
      <c r="H2958" s="10">
        <f t="shared" ref="H2958:I2958" si="112">SUM(H2953:H2957)</f>
        <v>161</v>
      </c>
      <c r="I2958" s="273">
        <f t="shared" si="112"/>
        <v>4686763.7399999993</v>
      </c>
      <c r="J2958" s="273" t="s">
        <v>3558</v>
      </c>
      <c r="K2958" s="273" t="s">
        <v>3558</v>
      </c>
    </row>
    <row r="2959" spans="1:13" x14ac:dyDescent="0.3">
      <c r="A2959" s="301" t="s">
        <v>2622</v>
      </c>
      <c r="B2959" s="301"/>
      <c r="C2959" s="273"/>
      <c r="D2959" s="234"/>
      <c r="E2959" s="234"/>
      <c r="F2959" s="234"/>
      <c r="G2959" s="234"/>
      <c r="H2959" s="10"/>
      <c r="I2959" s="273"/>
      <c r="J2959" s="273"/>
      <c r="K2959" s="273"/>
    </row>
    <row r="2960" spans="1:13" x14ac:dyDescent="0.3">
      <c r="A2960" s="259">
        <f>A2957+1</f>
        <v>2641</v>
      </c>
      <c r="B2960" s="20" t="s">
        <v>2623</v>
      </c>
      <c r="C2960" s="162">
        <v>1967</v>
      </c>
      <c r="D2960" s="234"/>
      <c r="E2960" s="234" t="s">
        <v>3123</v>
      </c>
      <c r="F2960" s="10">
        <v>2</v>
      </c>
      <c r="G2960" s="234">
        <v>497</v>
      </c>
      <c r="H2960" s="10">
        <v>32</v>
      </c>
      <c r="I2960" s="273">
        <f>SUMIF('2020'!B:B,B2960,'2020'!C:C)+SUMIF('2021'!B:B,B2960,'2021'!C:C)+SUMIF('2022'!B:B,B2960,'2022'!C:C)</f>
        <v>130000</v>
      </c>
      <c r="J2960" s="59">
        <v>44925</v>
      </c>
      <c r="K2960" s="273" t="s">
        <v>3118</v>
      </c>
    </row>
    <row r="2961" spans="1:11" x14ac:dyDescent="0.3">
      <c r="A2961" s="259">
        <f t="shared" si="111"/>
        <v>2642</v>
      </c>
      <c r="B2961" s="20" t="s">
        <v>2624</v>
      </c>
      <c r="C2961" s="162">
        <v>1967</v>
      </c>
      <c r="D2961" s="234"/>
      <c r="E2961" s="234" t="s">
        <v>3123</v>
      </c>
      <c r="F2961" s="10">
        <v>2</v>
      </c>
      <c r="G2961" s="234">
        <v>533</v>
      </c>
      <c r="H2961" s="10">
        <v>30</v>
      </c>
      <c r="I2961" s="273">
        <f>SUMIF('2020'!B:B,B2961,'2020'!C:C)+SUMIF('2021'!B:B,B2961,'2021'!C:C)+SUMIF('2022'!B:B,B2961,'2022'!C:C)</f>
        <v>130000</v>
      </c>
      <c r="J2961" s="59">
        <v>44925</v>
      </c>
      <c r="K2961" s="273" t="s">
        <v>3118</v>
      </c>
    </row>
    <row r="2962" spans="1:11" x14ac:dyDescent="0.3">
      <c r="A2962" s="259">
        <f t="shared" si="111"/>
        <v>2643</v>
      </c>
      <c r="B2962" s="20" t="s">
        <v>2625</v>
      </c>
      <c r="C2962" s="162">
        <v>1968</v>
      </c>
      <c r="D2962" s="234"/>
      <c r="E2962" s="234" t="s">
        <v>3123</v>
      </c>
      <c r="F2962" s="10">
        <v>2</v>
      </c>
      <c r="G2962" s="234">
        <v>498.6</v>
      </c>
      <c r="H2962" s="10">
        <v>23</v>
      </c>
      <c r="I2962" s="273">
        <f>SUMIF('2020'!B:B,B2962,'2020'!C:C)+SUMIF('2021'!B:B,B2962,'2021'!C:C)+SUMIF('2022'!B:B,B2962,'2022'!C:C)</f>
        <v>1390188.5</v>
      </c>
      <c r="J2962" s="59">
        <v>44925</v>
      </c>
      <c r="K2962" s="273" t="s">
        <v>3118</v>
      </c>
    </row>
    <row r="2963" spans="1:11" x14ac:dyDescent="0.3">
      <c r="A2963" s="259">
        <f t="shared" si="111"/>
        <v>2644</v>
      </c>
      <c r="B2963" s="20" t="s">
        <v>2626</v>
      </c>
      <c r="C2963" s="162">
        <v>1969</v>
      </c>
      <c r="D2963" s="234"/>
      <c r="E2963" s="234" t="s">
        <v>3123</v>
      </c>
      <c r="F2963" s="10">
        <v>2</v>
      </c>
      <c r="G2963" s="234">
        <v>526</v>
      </c>
      <c r="H2963" s="10">
        <v>30</v>
      </c>
      <c r="I2963" s="273">
        <f>SUMIF('2020'!B:B,B2963,'2020'!C:C)+SUMIF('2021'!B:B,B2963,'2021'!C:C)+SUMIF('2022'!B:B,B2963,'2022'!C:C)</f>
        <v>169070.9</v>
      </c>
      <c r="J2963" s="59">
        <v>44925</v>
      </c>
      <c r="K2963" s="273" t="s">
        <v>3118</v>
      </c>
    </row>
    <row r="2964" spans="1:11" x14ac:dyDescent="0.3">
      <c r="A2964" s="259">
        <f t="shared" si="111"/>
        <v>2645</v>
      </c>
      <c r="B2964" s="20" t="s">
        <v>2627</v>
      </c>
      <c r="C2964" s="162">
        <v>1973</v>
      </c>
      <c r="D2964" s="234"/>
      <c r="E2964" s="273" t="s">
        <v>3119</v>
      </c>
      <c r="F2964" s="10">
        <v>3</v>
      </c>
      <c r="G2964" s="234">
        <v>1232.8</v>
      </c>
      <c r="H2964" s="10">
        <v>64</v>
      </c>
      <c r="I2964" s="273">
        <f>SUMIF('2020'!B:B,B2964,'2020'!C:C)+SUMIF('2021'!B:B,B2964,'2021'!C:C)+SUMIF('2022'!B:B,B2964,'2022'!C:C)</f>
        <v>216178.5</v>
      </c>
      <c r="J2964" s="59">
        <v>44925</v>
      </c>
      <c r="K2964" s="273" t="s">
        <v>3118</v>
      </c>
    </row>
    <row r="2965" spans="1:11" x14ac:dyDescent="0.3">
      <c r="A2965" s="259">
        <f t="shared" si="111"/>
        <v>2646</v>
      </c>
      <c r="B2965" s="20" t="s">
        <v>2628</v>
      </c>
      <c r="C2965" s="162">
        <v>1973</v>
      </c>
      <c r="D2965" s="234"/>
      <c r="E2965" s="273" t="s">
        <v>3119</v>
      </c>
      <c r="F2965" s="10">
        <v>3</v>
      </c>
      <c r="G2965" s="234">
        <v>1232.8</v>
      </c>
      <c r="H2965" s="10">
        <v>47</v>
      </c>
      <c r="I2965" s="273">
        <f>SUMIF('2020'!B:B,B2965,'2020'!C:C)+SUMIF('2021'!B:B,B2965,'2021'!C:C)+SUMIF('2022'!B:B,B2965,'2022'!C:C)</f>
        <v>216178.5</v>
      </c>
      <c r="J2965" s="59">
        <v>44925</v>
      </c>
      <c r="K2965" s="273" t="s">
        <v>3118</v>
      </c>
    </row>
    <row r="2966" spans="1:11" x14ac:dyDescent="0.3">
      <c r="A2966" s="259">
        <f t="shared" si="111"/>
        <v>2647</v>
      </c>
      <c r="B2966" s="20" t="s">
        <v>2629</v>
      </c>
      <c r="C2966" s="162">
        <v>1974</v>
      </c>
      <c r="D2966" s="234"/>
      <c r="E2966" s="273" t="s">
        <v>3119</v>
      </c>
      <c r="F2966" s="10">
        <v>3</v>
      </c>
      <c r="G2966" s="234">
        <v>1239.4000000000001</v>
      </c>
      <c r="H2966" s="10">
        <v>73</v>
      </c>
      <c r="I2966" s="273">
        <f>SUMIF('2020'!B:B,B2966,'2020'!C:C)+SUMIF('2021'!B:B,B2966,'2021'!C:C)+SUMIF('2022'!B:B,B2966,'2022'!C:C)</f>
        <v>99507.53</v>
      </c>
      <c r="J2966" s="59">
        <v>44925</v>
      </c>
      <c r="K2966" s="273" t="s">
        <v>3118</v>
      </c>
    </row>
    <row r="2967" spans="1:11" x14ac:dyDescent="0.3">
      <c r="A2967" s="259">
        <f t="shared" si="111"/>
        <v>2648</v>
      </c>
      <c r="B2967" s="20" t="s">
        <v>2630</v>
      </c>
      <c r="C2967" s="162">
        <v>1974</v>
      </c>
      <c r="D2967" s="234"/>
      <c r="E2967" s="273" t="s">
        <v>3119</v>
      </c>
      <c r="F2967" s="10">
        <v>3</v>
      </c>
      <c r="G2967" s="234">
        <v>1233.0999999999999</v>
      </c>
      <c r="H2967" s="10">
        <v>53</v>
      </c>
      <c r="I2967" s="273">
        <f>SUMIF('2020'!B:B,B2967,'2020'!C:C)+SUMIF('2021'!B:B,B2967,'2021'!C:C)+SUMIF('2022'!B:B,B2967,'2022'!C:C)</f>
        <v>117119.54</v>
      </c>
      <c r="J2967" s="59">
        <v>44925</v>
      </c>
      <c r="K2967" s="273" t="s">
        <v>3118</v>
      </c>
    </row>
    <row r="2968" spans="1:11" x14ac:dyDescent="0.3">
      <c r="A2968" s="302" t="s">
        <v>208</v>
      </c>
      <c r="B2968" s="302"/>
      <c r="C2968" s="273" t="s">
        <v>3558</v>
      </c>
      <c r="D2968" s="273" t="s">
        <v>3558</v>
      </c>
      <c r="E2968" s="273" t="s">
        <v>3558</v>
      </c>
      <c r="F2968" s="273" t="s">
        <v>3558</v>
      </c>
      <c r="G2968" s="273">
        <f>SUM(G2960:G2967)</f>
        <v>6992.7000000000007</v>
      </c>
      <c r="H2968" s="10">
        <f t="shared" ref="H2968:I2968" si="113">SUM(H2960:H2967)</f>
        <v>352</v>
      </c>
      <c r="I2968" s="273">
        <f t="shared" si="113"/>
        <v>2468243.4699999997</v>
      </c>
      <c r="J2968" s="273" t="s">
        <v>3558</v>
      </c>
      <c r="K2968" s="273" t="s">
        <v>3558</v>
      </c>
    </row>
    <row r="2969" spans="1:11" x14ac:dyDescent="0.3">
      <c r="A2969" s="301" t="s">
        <v>2631</v>
      </c>
      <c r="B2969" s="301"/>
      <c r="C2969" s="273"/>
      <c r="D2969" s="234"/>
      <c r="E2969" s="234"/>
      <c r="F2969" s="234"/>
      <c r="G2969" s="234"/>
      <c r="H2969" s="10"/>
      <c r="I2969" s="273"/>
      <c r="J2969" s="273"/>
      <c r="K2969" s="273"/>
    </row>
    <row r="2970" spans="1:11" x14ac:dyDescent="0.3">
      <c r="A2970" s="259">
        <f>A2967+1</f>
        <v>2649</v>
      </c>
      <c r="B2970" s="20" t="s">
        <v>2632</v>
      </c>
      <c r="C2970" s="162">
        <v>1964</v>
      </c>
      <c r="D2970" s="234"/>
      <c r="E2970" s="273" t="s">
        <v>3123</v>
      </c>
      <c r="F2970" s="50">
        <v>5</v>
      </c>
      <c r="G2970" s="234">
        <v>2563.8000000000002</v>
      </c>
      <c r="H2970" s="10">
        <v>134</v>
      </c>
      <c r="I2970" s="273">
        <f>SUMIF('2020'!B:B,B2970,'2020'!C:C)+SUMIF('2021'!B:B,B2970,'2021'!C:C)+SUMIF('2022'!B:B,B2970,'2022'!C:C)</f>
        <v>2239692</v>
      </c>
      <c r="J2970" s="59">
        <v>44925</v>
      </c>
      <c r="K2970" s="273" t="s">
        <v>3118</v>
      </c>
    </row>
    <row r="2971" spans="1:11" x14ac:dyDescent="0.3">
      <c r="A2971" s="259">
        <f t="shared" si="111"/>
        <v>2650</v>
      </c>
      <c r="B2971" s="20" t="s">
        <v>2633</v>
      </c>
      <c r="C2971" s="162">
        <v>1965</v>
      </c>
      <c r="D2971" s="234"/>
      <c r="E2971" s="234" t="s">
        <v>3123</v>
      </c>
      <c r="F2971" s="50">
        <v>5</v>
      </c>
      <c r="G2971" s="234">
        <v>6235.9</v>
      </c>
      <c r="H2971" s="10">
        <v>248</v>
      </c>
      <c r="I2971" s="273">
        <f>SUMIF('2020'!B:B,B2971,'2020'!C:C)+SUMIF('2021'!B:B,B2971,'2021'!C:C)+SUMIF('2022'!B:B,B2971,'2022'!C:C)</f>
        <v>24424092</v>
      </c>
      <c r="J2971" s="59">
        <v>44925</v>
      </c>
      <c r="K2971" s="273" t="s">
        <v>3118</v>
      </c>
    </row>
    <row r="2972" spans="1:11" x14ac:dyDescent="0.3">
      <c r="A2972" s="259">
        <f t="shared" si="111"/>
        <v>2651</v>
      </c>
      <c r="B2972" s="20" t="s">
        <v>2634</v>
      </c>
      <c r="C2972" s="162">
        <v>1965</v>
      </c>
      <c r="D2972" s="234"/>
      <c r="E2972" s="234" t="s">
        <v>3123</v>
      </c>
      <c r="F2972" s="50">
        <v>5</v>
      </c>
      <c r="G2972" s="234">
        <v>6458.1</v>
      </c>
      <c r="H2972" s="10">
        <v>201</v>
      </c>
      <c r="I2972" s="273">
        <f>SUMIF('2020'!B:B,B2972,'2020'!C:C)+SUMIF('2021'!B:B,B2972,'2021'!C:C)+SUMIF('2022'!B:B,B2972,'2022'!C:C)</f>
        <v>34283601</v>
      </c>
      <c r="J2972" s="59">
        <v>44925</v>
      </c>
      <c r="K2972" s="273" t="s">
        <v>3118</v>
      </c>
    </row>
    <row r="2973" spans="1:11" x14ac:dyDescent="0.3">
      <c r="A2973" s="259">
        <f>A2972+1</f>
        <v>2652</v>
      </c>
      <c r="B2973" s="20" t="s">
        <v>3556</v>
      </c>
      <c r="C2973" s="162"/>
      <c r="D2973" s="234"/>
      <c r="E2973" s="234"/>
      <c r="F2973" s="50"/>
      <c r="G2973" s="234"/>
      <c r="H2973" s="10"/>
      <c r="I2973" s="273">
        <f>SUMIF('2020'!B:B,B2973,'2020'!C:C)+SUMIF('2021'!B:B,B2973,'2021'!C:C)+SUMIF('2022'!B:B,B2973,'2022'!C:C)</f>
        <v>3243476.6</v>
      </c>
      <c r="J2973" s="59">
        <v>44925</v>
      </c>
      <c r="K2973" s="273" t="s">
        <v>3118</v>
      </c>
    </row>
    <row r="2974" spans="1:11" x14ac:dyDescent="0.3">
      <c r="A2974" s="259">
        <f>A2973+1</f>
        <v>2653</v>
      </c>
      <c r="B2974" s="20" t="s">
        <v>3557</v>
      </c>
      <c r="C2974" s="162"/>
      <c r="D2974" s="234"/>
      <c r="E2974" s="234"/>
      <c r="F2974" s="50"/>
      <c r="G2974" s="234"/>
      <c r="H2974" s="10"/>
      <c r="I2974" s="273">
        <f>SUMIF('2020'!B:B,B2974,'2020'!C:C)+SUMIF('2021'!B:B,B2974,'2021'!C:C)+SUMIF('2022'!B:B,B2974,'2022'!C:C)</f>
        <v>3243476.6</v>
      </c>
      <c r="J2974" s="59">
        <v>44925</v>
      </c>
      <c r="K2974" s="273" t="s">
        <v>3118</v>
      </c>
    </row>
    <row r="2975" spans="1:11" x14ac:dyDescent="0.3">
      <c r="A2975" s="259">
        <f>A2974+1</f>
        <v>2654</v>
      </c>
      <c r="B2975" s="20" t="s">
        <v>2635</v>
      </c>
      <c r="C2975" s="162">
        <v>1969</v>
      </c>
      <c r="D2975" s="234"/>
      <c r="E2975" s="234" t="s">
        <v>3123</v>
      </c>
      <c r="F2975" s="50">
        <v>9</v>
      </c>
      <c r="G2975" s="234">
        <v>3974.1</v>
      </c>
      <c r="H2975" s="10">
        <v>93</v>
      </c>
      <c r="I2975" s="273">
        <f>SUMIF('2020'!B:B,B2975,'2020'!C:C)+SUMIF('2021'!B:B,B2975,'2021'!C:C)+SUMIF('2022'!B:B,B2975,'2022'!C:C)</f>
        <v>130000</v>
      </c>
      <c r="J2975" s="59">
        <v>44925</v>
      </c>
      <c r="K2975" s="273" t="s">
        <v>3118</v>
      </c>
    </row>
    <row r="2976" spans="1:11" x14ac:dyDescent="0.3">
      <c r="A2976" s="259">
        <f t="shared" si="111"/>
        <v>2655</v>
      </c>
      <c r="B2976" s="20" t="s">
        <v>2636</v>
      </c>
      <c r="C2976" s="162">
        <v>1969</v>
      </c>
      <c r="D2976" s="234"/>
      <c r="E2976" s="234" t="s">
        <v>3123</v>
      </c>
      <c r="F2976" s="50">
        <v>5</v>
      </c>
      <c r="G2976" s="234">
        <v>2767.6</v>
      </c>
      <c r="H2976" s="10">
        <v>131</v>
      </c>
      <c r="I2976" s="273">
        <f>SUMIF('2020'!B:B,B2976,'2020'!C:C)+SUMIF('2021'!B:B,B2976,'2021'!C:C)+SUMIF('2022'!B:B,B2976,'2022'!C:C)</f>
        <v>130000</v>
      </c>
      <c r="J2976" s="59">
        <v>44925</v>
      </c>
      <c r="K2976" s="273" t="s">
        <v>3118</v>
      </c>
    </row>
    <row r="2977" spans="1:11" x14ac:dyDescent="0.3">
      <c r="A2977" s="259">
        <f t="shared" si="111"/>
        <v>2656</v>
      </c>
      <c r="B2977" s="20" t="s">
        <v>2637</v>
      </c>
      <c r="C2977" s="162">
        <v>1970</v>
      </c>
      <c r="D2977" s="234"/>
      <c r="E2977" s="234" t="s">
        <v>3123</v>
      </c>
      <c r="F2977" s="50">
        <v>5</v>
      </c>
      <c r="G2977" s="234">
        <v>4019.9</v>
      </c>
      <c r="H2977" s="10">
        <v>135</v>
      </c>
      <c r="I2977" s="273">
        <f>SUMIF('2020'!B:B,B2977,'2020'!C:C)+SUMIF('2021'!B:B,B2977,'2021'!C:C)+SUMIF('2022'!B:B,B2977,'2022'!C:C)</f>
        <v>130000</v>
      </c>
      <c r="J2977" s="59">
        <v>44925</v>
      </c>
      <c r="K2977" s="273" t="s">
        <v>3118</v>
      </c>
    </row>
    <row r="2978" spans="1:11" x14ac:dyDescent="0.3">
      <c r="A2978" s="259">
        <f t="shared" si="111"/>
        <v>2657</v>
      </c>
      <c r="B2978" s="20" t="s">
        <v>2638</v>
      </c>
      <c r="C2978" s="162">
        <v>1966</v>
      </c>
      <c r="D2978" s="234"/>
      <c r="E2978" s="273" t="s">
        <v>3119</v>
      </c>
      <c r="F2978" s="50">
        <v>5</v>
      </c>
      <c r="G2978" s="234">
        <v>6266</v>
      </c>
      <c r="H2978" s="10">
        <v>270</v>
      </c>
      <c r="I2978" s="273">
        <f>SUMIF('2020'!B:B,B2978,'2020'!C:C)+SUMIF('2021'!B:B,B2978,'2021'!C:C)+SUMIF('2022'!B:B,B2978,'2022'!C:C)</f>
        <v>130000</v>
      </c>
      <c r="J2978" s="59">
        <v>44925</v>
      </c>
      <c r="K2978" s="273" t="s">
        <v>3118</v>
      </c>
    </row>
    <row r="2979" spans="1:11" x14ac:dyDescent="0.3">
      <c r="A2979" s="259">
        <f t="shared" si="111"/>
        <v>2658</v>
      </c>
      <c r="B2979" s="20" t="s">
        <v>2639</v>
      </c>
      <c r="C2979" s="162">
        <v>1969</v>
      </c>
      <c r="D2979" s="234"/>
      <c r="E2979" s="273" t="s">
        <v>3123</v>
      </c>
      <c r="F2979" s="50">
        <v>5</v>
      </c>
      <c r="G2979" s="234">
        <v>4484.3</v>
      </c>
      <c r="H2979" s="10">
        <v>233</v>
      </c>
      <c r="I2979" s="273">
        <f>SUMIF('2020'!B:B,B2979,'2020'!C:C)+SUMIF('2021'!B:B,B2979,'2021'!C:C)+SUMIF('2022'!B:B,B2979,'2022'!C:C)</f>
        <v>130000</v>
      </c>
      <c r="J2979" s="59">
        <v>44925</v>
      </c>
      <c r="K2979" s="273" t="s">
        <v>3118</v>
      </c>
    </row>
    <row r="2980" spans="1:11" x14ac:dyDescent="0.3">
      <c r="A2980" s="259">
        <f t="shared" si="111"/>
        <v>2659</v>
      </c>
      <c r="B2980" s="20" t="s">
        <v>2640</v>
      </c>
      <c r="C2980" s="162">
        <v>1967</v>
      </c>
      <c r="D2980" s="234"/>
      <c r="E2980" s="273" t="s">
        <v>3123</v>
      </c>
      <c r="F2980" s="50">
        <v>5</v>
      </c>
      <c r="G2980" s="234">
        <v>4446</v>
      </c>
      <c r="H2980" s="10">
        <v>207</v>
      </c>
      <c r="I2980" s="273">
        <f>SUMIF('2020'!B:B,B2980,'2020'!C:C)+SUMIF('2021'!B:B,B2980,'2021'!C:C)+SUMIF('2022'!B:B,B2980,'2022'!C:C)</f>
        <v>130000</v>
      </c>
      <c r="J2980" s="59">
        <v>44925</v>
      </c>
      <c r="K2980" s="273" t="s">
        <v>3118</v>
      </c>
    </row>
    <row r="2981" spans="1:11" x14ac:dyDescent="0.3">
      <c r="A2981" s="259">
        <f t="shared" si="111"/>
        <v>2660</v>
      </c>
      <c r="B2981" s="20" t="s">
        <v>2641</v>
      </c>
      <c r="C2981" s="162">
        <v>1967</v>
      </c>
      <c r="D2981" s="234"/>
      <c r="E2981" s="273" t="s">
        <v>3123</v>
      </c>
      <c r="F2981" s="50">
        <v>5</v>
      </c>
      <c r="G2981" s="234">
        <v>4423.3</v>
      </c>
      <c r="H2981" s="10">
        <v>175</v>
      </c>
      <c r="I2981" s="273">
        <f>SUMIF('2020'!B:B,B2981,'2020'!C:C)+SUMIF('2021'!B:B,B2981,'2021'!C:C)+SUMIF('2022'!B:B,B2981,'2022'!C:C)</f>
        <v>130000</v>
      </c>
      <c r="J2981" s="59">
        <v>44925</v>
      </c>
      <c r="K2981" s="273" t="s">
        <v>3118</v>
      </c>
    </row>
    <row r="2982" spans="1:11" x14ac:dyDescent="0.3">
      <c r="A2982" s="259">
        <f t="shared" si="111"/>
        <v>2661</v>
      </c>
      <c r="B2982" s="20" t="s">
        <v>2642</v>
      </c>
      <c r="C2982" s="162">
        <v>1967</v>
      </c>
      <c r="D2982" s="234"/>
      <c r="E2982" s="273" t="s">
        <v>3123</v>
      </c>
      <c r="F2982" s="50">
        <v>5</v>
      </c>
      <c r="G2982" s="234">
        <v>6013.3</v>
      </c>
      <c r="H2982" s="10">
        <v>265</v>
      </c>
      <c r="I2982" s="273">
        <f>SUMIF('2020'!B:B,B2982,'2020'!C:C)+SUMIF('2021'!B:B,B2982,'2021'!C:C)+SUMIF('2022'!B:B,B2982,'2022'!C:C)</f>
        <v>130000</v>
      </c>
      <c r="J2982" s="59">
        <v>44925</v>
      </c>
      <c r="K2982" s="273" t="s">
        <v>3118</v>
      </c>
    </row>
    <row r="2983" spans="1:11" x14ac:dyDescent="0.3">
      <c r="A2983" s="259">
        <f t="shared" si="111"/>
        <v>2662</v>
      </c>
      <c r="B2983" s="20" t="s">
        <v>2643</v>
      </c>
      <c r="C2983" s="162">
        <v>1968</v>
      </c>
      <c r="D2983" s="234"/>
      <c r="E2983" s="273" t="s">
        <v>3123</v>
      </c>
      <c r="F2983" s="50">
        <v>5</v>
      </c>
      <c r="G2983" s="234">
        <v>4282.8</v>
      </c>
      <c r="H2983" s="10">
        <v>223</v>
      </c>
      <c r="I2983" s="273">
        <f>SUMIF('2020'!B:B,B2983,'2020'!C:C)+SUMIF('2021'!B:B,B2983,'2021'!C:C)+SUMIF('2022'!B:B,B2983,'2022'!C:C)</f>
        <v>130000</v>
      </c>
      <c r="J2983" s="59">
        <v>44925</v>
      </c>
      <c r="K2983" s="273" t="s">
        <v>3118</v>
      </c>
    </row>
    <row r="2984" spans="1:11" x14ac:dyDescent="0.3">
      <c r="A2984" s="259">
        <f t="shared" si="111"/>
        <v>2663</v>
      </c>
      <c r="B2984" s="20" t="s">
        <v>2644</v>
      </c>
      <c r="C2984" s="162">
        <v>1967</v>
      </c>
      <c r="D2984" s="234"/>
      <c r="E2984" s="273" t="s">
        <v>3123</v>
      </c>
      <c r="F2984" s="50">
        <v>5</v>
      </c>
      <c r="G2984" s="234">
        <v>7940.4</v>
      </c>
      <c r="H2984" s="10">
        <v>282</v>
      </c>
      <c r="I2984" s="273">
        <f>SUMIF('2020'!B:B,B2984,'2020'!C:C)+SUMIF('2021'!B:B,B2984,'2021'!C:C)+SUMIF('2022'!B:B,B2984,'2022'!C:C)</f>
        <v>130000</v>
      </c>
      <c r="J2984" s="59">
        <v>44925</v>
      </c>
      <c r="K2984" s="273" t="s">
        <v>3118</v>
      </c>
    </row>
    <row r="2985" spans="1:11" x14ac:dyDescent="0.3">
      <c r="A2985" s="259">
        <f t="shared" si="111"/>
        <v>2664</v>
      </c>
      <c r="B2985" s="20" t="s">
        <v>2645</v>
      </c>
      <c r="C2985" s="162">
        <v>1969</v>
      </c>
      <c r="D2985" s="234"/>
      <c r="E2985" s="273" t="s">
        <v>3123</v>
      </c>
      <c r="F2985" s="50">
        <v>5</v>
      </c>
      <c r="G2985" s="234">
        <v>2768.7</v>
      </c>
      <c r="H2985" s="10">
        <v>129</v>
      </c>
      <c r="I2985" s="273">
        <f>SUMIF('2020'!B:B,B2985,'2020'!C:C)+SUMIF('2021'!B:B,B2985,'2021'!C:C)+SUMIF('2022'!B:B,B2985,'2022'!C:C)</f>
        <v>6617985.5999999996</v>
      </c>
      <c r="J2985" s="59">
        <v>44925</v>
      </c>
      <c r="K2985" s="273" t="s">
        <v>3118</v>
      </c>
    </row>
    <row r="2986" spans="1:11" x14ac:dyDescent="0.3">
      <c r="A2986" s="259">
        <f t="shared" si="111"/>
        <v>2665</v>
      </c>
      <c r="B2986" s="20" t="s">
        <v>2646</v>
      </c>
      <c r="C2986" s="162">
        <v>1970</v>
      </c>
      <c r="D2986" s="234"/>
      <c r="E2986" s="273" t="s">
        <v>3123</v>
      </c>
      <c r="F2986" s="50">
        <v>5</v>
      </c>
      <c r="G2986" s="234">
        <v>2732.4</v>
      </c>
      <c r="H2986" s="10">
        <v>123</v>
      </c>
      <c r="I2986" s="273">
        <f>SUMIF('2020'!B:B,B2986,'2020'!C:C)+SUMIF('2021'!B:B,B2986,'2021'!C:C)+SUMIF('2022'!B:B,B2986,'2022'!C:C)</f>
        <v>11140004.4</v>
      </c>
      <c r="J2986" s="59">
        <v>44925</v>
      </c>
      <c r="K2986" s="273" t="s">
        <v>3118</v>
      </c>
    </row>
    <row r="2987" spans="1:11" x14ac:dyDescent="0.3">
      <c r="A2987" s="259">
        <f t="shared" si="111"/>
        <v>2666</v>
      </c>
      <c r="B2987" s="20" t="s">
        <v>2647</v>
      </c>
      <c r="C2987" s="162">
        <v>1969</v>
      </c>
      <c r="D2987" s="234"/>
      <c r="E2987" s="273" t="s">
        <v>3123</v>
      </c>
      <c r="F2987" s="50">
        <v>5</v>
      </c>
      <c r="G2987" s="234">
        <v>3341.9</v>
      </c>
      <c r="H2987" s="10">
        <v>169</v>
      </c>
      <c r="I2987" s="273">
        <f>SUMIF('2020'!B:B,B2987,'2020'!C:C)+SUMIF('2021'!B:B,B2987,'2021'!C:C)+SUMIF('2022'!B:B,B2987,'2022'!C:C)</f>
        <v>11806312.800000001</v>
      </c>
      <c r="J2987" s="59">
        <v>44925</v>
      </c>
      <c r="K2987" s="273" t="s">
        <v>3118</v>
      </c>
    </row>
    <row r="2988" spans="1:11" x14ac:dyDescent="0.3">
      <c r="A2988" s="259">
        <f t="shared" si="111"/>
        <v>2667</v>
      </c>
      <c r="B2988" s="20" t="s">
        <v>2648</v>
      </c>
      <c r="C2988" s="162">
        <v>1968</v>
      </c>
      <c r="D2988" s="234"/>
      <c r="E2988" s="273" t="s">
        <v>3123</v>
      </c>
      <c r="F2988" s="50">
        <v>5</v>
      </c>
      <c r="G2988" s="234">
        <v>5969.2</v>
      </c>
      <c r="H2988" s="10">
        <v>309</v>
      </c>
      <c r="I2988" s="273">
        <f>SUMIF('2020'!B:B,B2988,'2020'!C:C)+SUMIF('2021'!B:B,B2988,'2021'!C:C)+SUMIF('2022'!B:B,B2988,'2022'!C:C)</f>
        <v>17796384</v>
      </c>
      <c r="J2988" s="59">
        <v>44925</v>
      </c>
      <c r="K2988" s="273" t="s">
        <v>3118</v>
      </c>
    </row>
    <row r="2989" spans="1:11" x14ac:dyDescent="0.3">
      <c r="A2989" s="259">
        <f t="shared" si="111"/>
        <v>2668</v>
      </c>
      <c r="B2989" s="20" t="s">
        <v>2649</v>
      </c>
      <c r="C2989" s="162">
        <v>1964</v>
      </c>
      <c r="D2989" s="234"/>
      <c r="E2989" s="273" t="s">
        <v>3119</v>
      </c>
      <c r="F2989" s="50">
        <v>5</v>
      </c>
      <c r="G2989" s="234">
        <v>3803.9</v>
      </c>
      <c r="H2989" s="10">
        <v>172</v>
      </c>
      <c r="I2989" s="273">
        <f>SUMIF('2020'!B:B,B2989,'2020'!C:C)+SUMIF('2021'!B:B,B2989,'2021'!C:C)+SUMIF('2022'!B:B,B2989,'2022'!C:C)</f>
        <v>2239692</v>
      </c>
      <c r="J2989" s="59">
        <v>44925</v>
      </c>
      <c r="K2989" s="273" t="s">
        <v>3118</v>
      </c>
    </row>
    <row r="2990" spans="1:11" x14ac:dyDescent="0.3">
      <c r="A2990" s="259">
        <f t="shared" si="111"/>
        <v>2669</v>
      </c>
      <c r="B2990" s="20" t="s">
        <v>2650</v>
      </c>
      <c r="C2990" s="162">
        <v>1971</v>
      </c>
      <c r="D2990" s="234"/>
      <c r="E2990" s="273" t="s">
        <v>3123</v>
      </c>
      <c r="F2990" s="50">
        <v>9</v>
      </c>
      <c r="G2990" s="234">
        <v>3136.6</v>
      </c>
      <c r="H2990" s="10">
        <v>87</v>
      </c>
      <c r="I2990" s="273">
        <f>SUMIF('2020'!B:B,B2990,'2020'!C:C)+SUMIF('2021'!B:B,B2990,'2021'!C:C)+SUMIF('2022'!B:B,B2990,'2022'!C:C)</f>
        <v>5661967.2000000002</v>
      </c>
      <c r="J2990" s="59">
        <v>44925</v>
      </c>
      <c r="K2990" s="273" t="s">
        <v>3118</v>
      </c>
    </row>
    <row r="2991" spans="1:11" x14ac:dyDescent="0.3">
      <c r="A2991" s="259">
        <f t="shared" si="111"/>
        <v>2670</v>
      </c>
      <c r="B2991" s="20" t="s">
        <v>2651</v>
      </c>
      <c r="C2991" s="162">
        <v>1970</v>
      </c>
      <c r="D2991" s="234"/>
      <c r="E2991" s="273" t="s">
        <v>3123</v>
      </c>
      <c r="F2991" s="50">
        <v>5</v>
      </c>
      <c r="G2991" s="234">
        <v>5881.8</v>
      </c>
      <c r="H2991" s="10">
        <v>310</v>
      </c>
      <c r="I2991" s="273">
        <f>SUMIF('2020'!B:B,B2991,'2020'!C:C)+SUMIF('2021'!B:B,B2991,'2021'!C:C)+SUMIF('2022'!B:B,B2991,'2022'!C:C)</f>
        <v>19356933.600000001</v>
      </c>
      <c r="J2991" s="59">
        <v>44925</v>
      </c>
      <c r="K2991" s="273" t="s">
        <v>3118</v>
      </c>
    </row>
    <row r="2992" spans="1:11" x14ac:dyDescent="0.3">
      <c r="A2992" s="259">
        <f t="shared" si="111"/>
        <v>2671</v>
      </c>
      <c r="B2992" s="20" t="s">
        <v>2652</v>
      </c>
      <c r="C2992" s="162">
        <v>1969</v>
      </c>
      <c r="D2992" s="234"/>
      <c r="E2992" s="273" t="s">
        <v>3123</v>
      </c>
      <c r="F2992" s="50">
        <v>5</v>
      </c>
      <c r="G2992" s="234">
        <v>6087.1</v>
      </c>
      <c r="H2992" s="10">
        <v>289</v>
      </c>
      <c r="I2992" s="273">
        <f>SUMIF('2020'!B:B,B2992,'2020'!C:C)+SUMIF('2021'!B:B,B2992,'2021'!C:C)+SUMIF('2022'!B:B,B2992,'2022'!C:C)</f>
        <v>13208974.800000001</v>
      </c>
      <c r="J2992" s="59">
        <v>44925</v>
      </c>
      <c r="K2992" s="273" t="s">
        <v>3118</v>
      </c>
    </row>
    <row r="2993" spans="1:11" x14ac:dyDescent="0.3">
      <c r="A2993" s="259">
        <f t="shared" si="111"/>
        <v>2672</v>
      </c>
      <c r="B2993" s="20" t="s">
        <v>2653</v>
      </c>
      <c r="C2993" s="162">
        <v>1969</v>
      </c>
      <c r="D2993" s="234"/>
      <c r="E2993" s="273" t="s">
        <v>3123</v>
      </c>
      <c r="F2993" s="50">
        <v>5</v>
      </c>
      <c r="G2993" s="234">
        <v>4613.8999999999996</v>
      </c>
      <c r="H2993" s="10">
        <v>205</v>
      </c>
      <c r="I2993" s="273">
        <f>SUMIF('2020'!B:B,B2993,'2020'!C:C)+SUMIF('2021'!B:B,B2993,'2021'!C:C)+SUMIF('2022'!B:B,B2993,'2022'!C:C)</f>
        <v>14305430.4</v>
      </c>
      <c r="J2993" s="59">
        <v>44925</v>
      </c>
      <c r="K2993" s="273" t="s">
        <v>3118</v>
      </c>
    </row>
    <row r="2994" spans="1:11" x14ac:dyDescent="0.3">
      <c r="A2994" s="259">
        <f t="shared" si="111"/>
        <v>2673</v>
      </c>
      <c r="B2994" s="20" t="s">
        <v>2654</v>
      </c>
      <c r="C2994" s="162">
        <v>1968</v>
      </c>
      <c r="D2994" s="234"/>
      <c r="E2994" s="273" t="s">
        <v>3123</v>
      </c>
      <c r="F2994" s="50">
        <v>5</v>
      </c>
      <c r="G2994" s="234">
        <v>4670.3999999999996</v>
      </c>
      <c r="H2994" s="10">
        <v>208</v>
      </c>
      <c r="I2994" s="273">
        <f>SUMIF('2020'!B:B,B2994,'2020'!C:C)+SUMIF('2021'!B:B,B2994,'2021'!C:C)+SUMIF('2022'!B:B,B2994,'2022'!C:C)</f>
        <v>14269515.6</v>
      </c>
      <c r="J2994" s="59">
        <v>44925</v>
      </c>
      <c r="K2994" s="273" t="s">
        <v>3118</v>
      </c>
    </row>
    <row r="2995" spans="1:11" x14ac:dyDescent="0.3">
      <c r="A2995" s="259">
        <f t="shared" si="111"/>
        <v>2674</v>
      </c>
      <c r="B2995" s="20" t="s">
        <v>2655</v>
      </c>
      <c r="C2995" s="162">
        <v>1968</v>
      </c>
      <c r="D2995" s="234"/>
      <c r="E2995" s="273" t="s">
        <v>3123</v>
      </c>
      <c r="F2995" s="50">
        <v>5</v>
      </c>
      <c r="G2995" s="234">
        <v>3132.6</v>
      </c>
      <c r="H2995" s="10">
        <v>192</v>
      </c>
      <c r="I2995" s="273">
        <f>SUMIF('2020'!B:B,B2995,'2020'!C:C)+SUMIF('2021'!B:B,B2995,'2021'!C:C)+SUMIF('2022'!B:B,B2995,'2022'!C:C)</f>
        <v>11820526.800000001</v>
      </c>
      <c r="J2995" s="59">
        <v>44925</v>
      </c>
      <c r="K2995" s="273" t="s">
        <v>3118</v>
      </c>
    </row>
    <row r="2996" spans="1:11" x14ac:dyDescent="0.3">
      <c r="A2996" s="259">
        <f t="shared" si="111"/>
        <v>2675</v>
      </c>
      <c r="B2996" s="20" t="s">
        <v>2656</v>
      </c>
      <c r="C2996" s="162">
        <v>1972</v>
      </c>
      <c r="D2996" s="234"/>
      <c r="E2996" s="273" t="s">
        <v>3123</v>
      </c>
      <c r="F2996" s="50">
        <v>9</v>
      </c>
      <c r="G2996" s="234">
        <v>2157.4</v>
      </c>
      <c r="H2996" s="10">
        <v>105</v>
      </c>
      <c r="I2996" s="273">
        <f>SUMIF('2020'!B:B,B2996,'2020'!C:C)+SUMIF('2021'!B:B,B2996,'2021'!C:C)+SUMIF('2022'!B:B,B2996,'2022'!C:C)</f>
        <v>188149.94</v>
      </c>
      <c r="J2996" s="59">
        <v>44925</v>
      </c>
      <c r="K2996" s="273" t="s">
        <v>3118</v>
      </c>
    </row>
    <row r="2997" spans="1:11" x14ac:dyDescent="0.3">
      <c r="A2997" s="259">
        <f t="shared" si="111"/>
        <v>2676</v>
      </c>
      <c r="B2997" s="20" t="s">
        <v>2657</v>
      </c>
      <c r="C2997" s="162">
        <v>1971</v>
      </c>
      <c r="D2997" s="234"/>
      <c r="E2997" s="273" t="s">
        <v>3123</v>
      </c>
      <c r="F2997" s="50">
        <v>9</v>
      </c>
      <c r="G2997" s="234">
        <v>2770.8</v>
      </c>
      <c r="H2997" s="10">
        <v>83</v>
      </c>
      <c r="I2997" s="273">
        <f>SUMIF('2020'!B:B,B2997,'2020'!C:C)+SUMIF('2021'!B:B,B2997,'2021'!C:C)+SUMIF('2022'!B:B,B2997,'2022'!C:C)</f>
        <v>200727.23</v>
      </c>
      <c r="J2997" s="59">
        <v>44925</v>
      </c>
      <c r="K2997" s="273" t="s">
        <v>3118</v>
      </c>
    </row>
    <row r="2998" spans="1:11" x14ac:dyDescent="0.3">
      <c r="A2998" s="259">
        <f t="shared" si="111"/>
        <v>2677</v>
      </c>
      <c r="B2998" s="20" t="s">
        <v>2658</v>
      </c>
      <c r="C2998" s="162">
        <v>1972</v>
      </c>
      <c r="D2998" s="234"/>
      <c r="E2998" s="273" t="s">
        <v>3123</v>
      </c>
      <c r="F2998" s="50">
        <v>9</v>
      </c>
      <c r="G2998" s="234">
        <v>2091.1</v>
      </c>
      <c r="H2998" s="10">
        <v>86</v>
      </c>
      <c r="I2998" s="273">
        <f>SUMIF('2020'!B:B,B2998,'2020'!C:C)+SUMIF('2021'!B:B,B2998,'2021'!C:C)+SUMIF('2022'!B:B,B2998,'2022'!C:C)</f>
        <v>186126.59</v>
      </c>
      <c r="J2998" s="59">
        <v>44925</v>
      </c>
      <c r="K2998" s="273" t="s">
        <v>3118</v>
      </c>
    </row>
    <row r="2999" spans="1:11" x14ac:dyDescent="0.3">
      <c r="A2999" s="259">
        <f t="shared" si="111"/>
        <v>2678</v>
      </c>
      <c r="B2999" s="20" t="s">
        <v>2659</v>
      </c>
      <c r="C2999" s="162">
        <v>1974</v>
      </c>
      <c r="D2999" s="234"/>
      <c r="E2999" s="273" t="s">
        <v>3119</v>
      </c>
      <c r="F2999" s="50">
        <v>9</v>
      </c>
      <c r="G2999" s="234">
        <v>14157.7</v>
      </c>
      <c r="H2999" s="10">
        <v>503</v>
      </c>
      <c r="I2999" s="273">
        <f>SUMIF('2020'!B:B,B2999,'2020'!C:C)+SUMIF('2021'!B:B,B2999,'2021'!C:C)+SUMIF('2022'!B:B,B2999,'2022'!C:C)</f>
        <v>731078.87</v>
      </c>
      <c r="J2999" s="59">
        <v>44925</v>
      </c>
      <c r="K2999" s="273" t="s">
        <v>3118</v>
      </c>
    </row>
    <row r="3000" spans="1:11" x14ac:dyDescent="0.3">
      <c r="A3000" s="259">
        <f t="shared" si="111"/>
        <v>2679</v>
      </c>
      <c r="B3000" s="20" t="s">
        <v>2660</v>
      </c>
      <c r="C3000" s="162">
        <v>1966</v>
      </c>
      <c r="D3000" s="234"/>
      <c r="E3000" s="273" t="s">
        <v>3123</v>
      </c>
      <c r="F3000" s="50">
        <v>5</v>
      </c>
      <c r="G3000" s="234">
        <v>5406.5</v>
      </c>
      <c r="H3000" s="10">
        <v>165</v>
      </c>
      <c r="I3000" s="273">
        <f>SUMIF('2020'!B:B,B3000,'2020'!C:C)+SUMIF('2021'!B:B,B3000,'2021'!C:C)+SUMIF('2022'!B:B,B3000,'2022'!C:C)</f>
        <v>2956338</v>
      </c>
      <c r="J3000" s="59">
        <v>44925</v>
      </c>
      <c r="K3000" s="273" t="s">
        <v>3118</v>
      </c>
    </row>
    <row r="3001" spans="1:11" x14ac:dyDescent="0.3">
      <c r="A3001" s="259">
        <f t="shared" si="111"/>
        <v>2680</v>
      </c>
      <c r="B3001" s="20" t="s">
        <v>2661</v>
      </c>
      <c r="C3001" s="162">
        <v>1967</v>
      </c>
      <c r="D3001" s="234"/>
      <c r="E3001" s="273" t="s">
        <v>3123</v>
      </c>
      <c r="F3001" s="50">
        <v>5</v>
      </c>
      <c r="G3001" s="234">
        <v>5500.2</v>
      </c>
      <c r="H3001" s="10">
        <v>157</v>
      </c>
      <c r="I3001" s="273">
        <f>SUMIF('2020'!B:B,B3001,'2020'!C:C)+SUMIF('2021'!B:B,B3001,'2021'!C:C)+SUMIF('2022'!B:B,B3001,'2022'!C:C)</f>
        <v>4474522.5599999996</v>
      </c>
      <c r="J3001" s="59">
        <v>44925</v>
      </c>
      <c r="K3001" s="273" t="s">
        <v>3118</v>
      </c>
    </row>
    <row r="3002" spans="1:11" x14ac:dyDescent="0.3">
      <c r="A3002" s="259">
        <f t="shared" si="111"/>
        <v>2681</v>
      </c>
      <c r="B3002" s="20" t="s">
        <v>2662</v>
      </c>
      <c r="C3002" s="162">
        <v>1975</v>
      </c>
      <c r="D3002" s="234"/>
      <c r="E3002" s="234" t="s">
        <v>3119</v>
      </c>
      <c r="F3002" s="50">
        <v>5</v>
      </c>
      <c r="G3002" s="234">
        <v>3869.81</v>
      </c>
      <c r="H3002" s="10">
        <v>178</v>
      </c>
      <c r="I3002" s="273">
        <f>SUMIF('2020'!B:B,B3002,'2020'!C:C)+SUMIF('2021'!B:B,B3002,'2021'!C:C)+SUMIF('2022'!B:B,B3002,'2022'!C:C)</f>
        <v>399923.27</v>
      </c>
      <c r="J3002" s="59">
        <v>44925</v>
      </c>
      <c r="K3002" s="273" t="s">
        <v>3118</v>
      </c>
    </row>
    <row r="3003" spans="1:11" x14ac:dyDescent="0.3">
      <c r="A3003" s="259">
        <f t="shared" si="111"/>
        <v>2682</v>
      </c>
      <c r="B3003" s="20" t="s">
        <v>2663</v>
      </c>
      <c r="C3003" s="162">
        <v>1974</v>
      </c>
      <c r="D3003" s="234"/>
      <c r="E3003" s="234" t="s">
        <v>3119</v>
      </c>
      <c r="F3003" s="50">
        <v>5</v>
      </c>
      <c r="G3003" s="234">
        <v>2069.96</v>
      </c>
      <c r="H3003" s="10">
        <v>105</v>
      </c>
      <c r="I3003" s="273">
        <f>SUMIF('2020'!B:B,B3003,'2020'!C:C)+SUMIF('2021'!B:B,B3003,'2021'!C:C)+SUMIF('2022'!B:B,B3003,'2022'!C:C)</f>
        <v>141164.03</v>
      </c>
      <c r="J3003" s="59">
        <v>44925</v>
      </c>
      <c r="K3003" s="273" t="s">
        <v>3118</v>
      </c>
    </row>
    <row r="3004" spans="1:11" x14ac:dyDescent="0.3">
      <c r="A3004" s="259">
        <f t="shared" si="111"/>
        <v>2683</v>
      </c>
      <c r="B3004" s="20" t="s">
        <v>2664</v>
      </c>
      <c r="C3004" s="162">
        <v>1976</v>
      </c>
      <c r="D3004" s="234"/>
      <c r="E3004" s="234" t="s">
        <v>3119</v>
      </c>
      <c r="F3004" s="50">
        <v>5</v>
      </c>
      <c r="G3004" s="234">
        <v>2088.89</v>
      </c>
      <c r="H3004" s="10">
        <v>96</v>
      </c>
      <c r="I3004" s="273">
        <f>SUMIF('2020'!B:B,B3004,'2020'!C:C)+SUMIF('2021'!B:B,B3004,'2021'!C:C)+SUMIF('2022'!B:B,B3004,'2022'!C:C)</f>
        <v>277355.93</v>
      </c>
      <c r="J3004" s="59">
        <v>44925</v>
      </c>
      <c r="K3004" s="273" t="s">
        <v>3118</v>
      </c>
    </row>
    <row r="3005" spans="1:11" x14ac:dyDescent="0.3">
      <c r="A3005" s="259">
        <f t="shared" si="111"/>
        <v>2684</v>
      </c>
      <c r="B3005" s="20" t="s">
        <v>2665</v>
      </c>
      <c r="C3005" s="162">
        <v>1975</v>
      </c>
      <c r="D3005" s="234"/>
      <c r="E3005" s="234" t="s">
        <v>3119</v>
      </c>
      <c r="F3005" s="50">
        <v>5</v>
      </c>
      <c r="G3005" s="234">
        <v>3855.23</v>
      </c>
      <c r="H3005" s="10">
        <v>186</v>
      </c>
      <c r="I3005" s="273">
        <f>SUMIF('2020'!B:B,B3005,'2020'!C:C)+SUMIF('2021'!B:B,B3005,'2021'!C:C)+SUMIF('2022'!B:B,B3005,'2022'!C:C)</f>
        <v>391938.72</v>
      </c>
      <c r="J3005" s="59">
        <v>44925</v>
      </c>
      <c r="K3005" s="273" t="s">
        <v>3118</v>
      </c>
    </row>
    <row r="3006" spans="1:11" x14ac:dyDescent="0.3">
      <c r="A3006" s="259">
        <f t="shared" si="111"/>
        <v>2685</v>
      </c>
      <c r="B3006" s="20" t="s">
        <v>2666</v>
      </c>
      <c r="C3006" s="162">
        <v>1975</v>
      </c>
      <c r="D3006" s="234"/>
      <c r="E3006" s="234" t="s">
        <v>3119</v>
      </c>
      <c r="F3006" s="50">
        <v>5</v>
      </c>
      <c r="G3006" s="234">
        <v>2074.1799999999998</v>
      </c>
      <c r="H3006" s="10">
        <v>98</v>
      </c>
      <c r="I3006" s="273">
        <f>SUMIF('2020'!B:B,B3006,'2020'!C:C)+SUMIF('2021'!B:B,B3006,'2021'!C:C)+SUMIF('2022'!B:B,B3006,'2022'!C:C)</f>
        <v>272479.33</v>
      </c>
      <c r="J3006" s="59">
        <v>44925</v>
      </c>
      <c r="K3006" s="273" t="s">
        <v>3118</v>
      </c>
    </row>
    <row r="3007" spans="1:11" x14ac:dyDescent="0.3">
      <c r="A3007" s="259">
        <f t="shared" si="111"/>
        <v>2686</v>
      </c>
      <c r="B3007" s="20" t="s">
        <v>2667</v>
      </c>
      <c r="C3007" s="162">
        <v>1977</v>
      </c>
      <c r="D3007" s="234"/>
      <c r="E3007" s="234" t="s">
        <v>3119</v>
      </c>
      <c r="F3007" s="50">
        <v>9</v>
      </c>
      <c r="G3007" s="234">
        <v>2229.4</v>
      </c>
      <c r="H3007" s="10">
        <v>122</v>
      </c>
      <c r="I3007" s="273">
        <f>SUMIF('2020'!B:B,B3007,'2020'!C:C)+SUMIF('2021'!B:B,B3007,'2021'!C:C)+SUMIF('2022'!B:B,B3007,'2022'!C:C)</f>
        <v>334491.89</v>
      </c>
      <c r="J3007" s="59">
        <v>44925</v>
      </c>
      <c r="K3007" s="273" t="s">
        <v>3118</v>
      </c>
    </row>
    <row r="3008" spans="1:11" x14ac:dyDescent="0.3">
      <c r="A3008" s="259">
        <f t="shared" si="111"/>
        <v>2687</v>
      </c>
      <c r="B3008" s="20" t="s">
        <v>2668</v>
      </c>
      <c r="C3008" s="162">
        <v>1977</v>
      </c>
      <c r="D3008" s="234"/>
      <c r="E3008" s="234" t="s">
        <v>3119</v>
      </c>
      <c r="F3008" s="50">
        <v>9</v>
      </c>
      <c r="G3008" s="234">
        <v>2226.3000000000002</v>
      </c>
      <c r="H3008" s="10">
        <v>89</v>
      </c>
      <c r="I3008" s="273">
        <f>SUMIF('2020'!B:B,B3008,'2020'!C:C)+SUMIF('2021'!B:B,B3008,'2021'!C:C)+SUMIF('2022'!B:B,B3008,'2022'!C:C)</f>
        <v>334491.89</v>
      </c>
      <c r="J3008" s="59">
        <v>44925</v>
      </c>
      <c r="K3008" s="273" t="s">
        <v>3118</v>
      </c>
    </row>
    <row r="3009" spans="1:11" x14ac:dyDescent="0.3">
      <c r="A3009" s="259">
        <f t="shared" si="111"/>
        <v>2688</v>
      </c>
      <c r="B3009" s="20" t="s">
        <v>2669</v>
      </c>
      <c r="C3009" s="162">
        <v>1974</v>
      </c>
      <c r="D3009" s="234"/>
      <c r="E3009" s="234" t="s">
        <v>3119</v>
      </c>
      <c r="F3009" s="50">
        <v>5</v>
      </c>
      <c r="G3009" s="234">
        <v>3909.92</v>
      </c>
      <c r="H3009" s="10">
        <v>176</v>
      </c>
      <c r="I3009" s="273">
        <f>SUMIF('2020'!B:B,B3009,'2020'!C:C)+SUMIF('2021'!B:B,B3009,'2021'!C:C)+SUMIF('2022'!B:B,B3009,'2022'!C:C)</f>
        <v>198793.44</v>
      </c>
      <c r="J3009" s="59">
        <v>44925</v>
      </c>
      <c r="K3009" s="273" t="s">
        <v>3118</v>
      </c>
    </row>
    <row r="3010" spans="1:11" x14ac:dyDescent="0.3">
      <c r="A3010" s="259">
        <f t="shared" si="111"/>
        <v>2689</v>
      </c>
      <c r="B3010" s="20" t="s">
        <v>2670</v>
      </c>
      <c r="C3010" s="162">
        <v>1973</v>
      </c>
      <c r="D3010" s="234"/>
      <c r="E3010" s="234" t="s">
        <v>3119</v>
      </c>
      <c r="F3010" s="50">
        <v>5</v>
      </c>
      <c r="G3010" s="234">
        <v>3878.21</v>
      </c>
      <c r="H3010" s="10">
        <v>179</v>
      </c>
      <c r="I3010" s="273">
        <f>SUMIF('2020'!B:B,B3010,'2020'!C:C)+SUMIF('2021'!B:B,B3010,'2021'!C:C)+SUMIF('2022'!B:B,B3010,'2022'!C:C)</f>
        <v>438197.66</v>
      </c>
      <c r="J3010" s="59">
        <v>44925</v>
      </c>
      <c r="K3010" s="273" t="s">
        <v>3118</v>
      </c>
    </row>
    <row r="3011" spans="1:11" x14ac:dyDescent="0.3">
      <c r="A3011" s="259">
        <f t="shared" si="111"/>
        <v>2690</v>
      </c>
      <c r="B3011" s="20" t="s">
        <v>2671</v>
      </c>
      <c r="C3011" s="162">
        <v>1973</v>
      </c>
      <c r="D3011" s="234"/>
      <c r="E3011" s="234" t="s">
        <v>3119</v>
      </c>
      <c r="F3011" s="50">
        <v>5</v>
      </c>
      <c r="G3011" s="234">
        <v>2072.5300000000002</v>
      </c>
      <c r="H3011" s="10">
        <v>85</v>
      </c>
      <c r="I3011" s="273">
        <f>SUMIF('2020'!B:B,B3011,'2020'!C:C)+SUMIF('2021'!B:B,B3011,'2021'!C:C)+SUMIF('2022'!B:B,B3011,'2022'!C:C)</f>
        <v>140491.1</v>
      </c>
      <c r="J3011" s="59">
        <v>44925</v>
      </c>
      <c r="K3011" s="273" t="s">
        <v>3118</v>
      </c>
    </row>
    <row r="3012" spans="1:11" x14ac:dyDescent="0.3">
      <c r="A3012" s="259">
        <f t="shared" si="111"/>
        <v>2691</v>
      </c>
      <c r="B3012" s="20" t="s">
        <v>2672</v>
      </c>
      <c r="C3012" s="162">
        <v>1973</v>
      </c>
      <c r="D3012" s="234"/>
      <c r="E3012" s="234" t="s">
        <v>3119</v>
      </c>
      <c r="F3012" s="50">
        <v>5</v>
      </c>
      <c r="G3012" s="234">
        <v>2078.34</v>
      </c>
      <c r="H3012" s="10">
        <v>84</v>
      </c>
      <c r="I3012" s="273">
        <f>SUMIF('2020'!B:B,B3012,'2020'!C:C)+SUMIF('2021'!B:B,B3012,'2021'!C:C)+SUMIF('2022'!B:B,B3012,'2022'!C:C)</f>
        <v>140491.1</v>
      </c>
      <c r="J3012" s="59">
        <v>44925</v>
      </c>
      <c r="K3012" s="273" t="s">
        <v>3118</v>
      </c>
    </row>
    <row r="3013" spans="1:11" x14ac:dyDescent="0.3">
      <c r="A3013" s="259">
        <f t="shared" si="111"/>
        <v>2692</v>
      </c>
      <c r="B3013" s="20" t="s">
        <v>2673</v>
      </c>
      <c r="C3013" s="162">
        <v>1973</v>
      </c>
      <c r="D3013" s="234"/>
      <c r="E3013" s="234" t="s">
        <v>3119</v>
      </c>
      <c r="F3013" s="50">
        <v>5</v>
      </c>
      <c r="G3013" s="234">
        <v>3016.31</v>
      </c>
      <c r="H3013" s="10">
        <v>138</v>
      </c>
      <c r="I3013" s="273">
        <f>SUMIF('2020'!B:B,B3013,'2020'!C:C)+SUMIF('2021'!B:B,B3013,'2021'!C:C)+SUMIF('2022'!B:B,B3013,'2022'!C:C)</f>
        <v>335085.18</v>
      </c>
      <c r="J3013" s="59">
        <v>44925</v>
      </c>
      <c r="K3013" s="273" t="s">
        <v>3118</v>
      </c>
    </row>
    <row r="3014" spans="1:11" x14ac:dyDescent="0.3">
      <c r="A3014" s="259">
        <f t="shared" si="111"/>
        <v>2693</v>
      </c>
      <c r="B3014" s="20" t="s">
        <v>2674</v>
      </c>
      <c r="C3014" s="162">
        <v>1974</v>
      </c>
      <c r="D3014" s="234"/>
      <c r="E3014" s="234" t="s">
        <v>3119</v>
      </c>
      <c r="F3014" s="50">
        <v>5</v>
      </c>
      <c r="G3014" s="234">
        <v>2065.73</v>
      </c>
      <c r="H3014" s="10">
        <v>98</v>
      </c>
      <c r="I3014" s="273">
        <f>SUMIF('2020'!B:B,B3014,'2020'!C:C)+SUMIF('2021'!B:B,B3014,'2021'!C:C)+SUMIF('2022'!B:B,B3014,'2022'!C:C)</f>
        <v>141164.03</v>
      </c>
      <c r="J3014" s="59">
        <v>44925</v>
      </c>
      <c r="K3014" s="273" t="s">
        <v>3118</v>
      </c>
    </row>
    <row r="3015" spans="1:11" x14ac:dyDescent="0.3">
      <c r="A3015" s="259">
        <f t="shared" si="111"/>
        <v>2694</v>
      </c>
      <c r="B3015" s="20" t="s">
        <v>2675</v>
      </c>
      <c r="C3015" s="162">
        <v>1974</v>
      </c>
      <c r="D3015" s="234"/>
      <c r="E3015" s="234" t="s">
        <v>3119</v>
      </c>
      <c r="F3015" s="50">
        <v>5</v>
      </c>
      <c r="G3015" s="234">
        <v>2065.67</v>
      </c>
      <c r="H3015" s="10">
        <v>112</v>
      </c>
      <c r="I3015" s="273">
        <f>SUMIF('2020'!B:B,B3015,'2020'!C:C)+SUMIF('2021'!B:B,B3015,'2021'!C:C)+SUMIF('2022'!B:B,B3015,'2022'!C:C)</f>
        <v>415463.49</v>
      </c>
      <c r="J3015" s="59">
        <v>44925</v>
      </c>
      <c r="K3015" s="273" t="s">
        <v>3118</v>
      </c>
    </row>
    <row r="3016" spans="1:11" x14ac:dyDescent="0.3">
      <c r="A3016" s="259">
        <f t="shared" si="111"/>
        <v>2695</v>
      </c>
      <c r="B3016" s="20" t="s">
        <v>2676</v>
      </c>
      <c r="C3016" s="162">
        <v>1973</v>
      </c>
      <c r="D3016" s="234"/>
      <c r="E3016" s="234" t="s">
        <v>3119</v>
      </c>
      <c r="F3016" s="50">
        <v>5</v>
      </c>
      <c r="G3016" s="234">
        <v>3032.3</v>
      </c>
      <c r="H3016" s="10">
        <v>130</v>
      </c>
      <c r="I3016" s="273">
        <f>SUMIF('2020'!B:B,B3016,'2020'!C:C)+SUMIF('2021'!B:B,B3016,'2021'!C:C)+SUMIF('2022'!B:B,B3016,'2022'!C:C)</f>
        <v>507511.69000000006</v>
      </c>
      <c r="J3016" s="59">
        <v>44925</v>
      </c>
      <c r="K3016" s="273" t="s">
        <v>3118</v>
      </c>
    </row>
    <row r="3017" spans="1:11" x14ac:dyDescent="0.3">
      <c r="A3017" s="259">
        <f t="shared" si="111"/>
        <v>2696</v>
      </c>
      <c r="B3017" s="20" t="s">
        <v>2677</v>
      </c>
      <c r="C3017" s="162">
        <v>1975</v>
      </c>
      <c r="D3017" s="234"/>
      <c r="E3017" s="234" t="s">
        <v>3119</v>
      </c>
      <c r="F3017" s="50">
        <v>5</v>
      </c>
      <c r="G3017" s="234">
        <v>2062.16</v>
      </c>
      <c r="H3017" s="10">
        <v>117</v>
      </c>
      <c r="I3017" s="273">
        <f>SUMIF('2020'!B:B,B3017,'2020'!C:C)+SUMIF('2021'!B:B,B3017,'2021'!C:C)+SUMIF('2022'!B:B,B3017,'2022'!C:C)</f>
        <v>416830.8</v>
      </c>
      <c r="J3017" s="59">
        <v>44925</v>
      </c>
      <c r="K3017" s="273" t="s">
        <v>3118</v>
      </c>
    </row>
    <row r="3018" spans="1:11" x14ac:dyDescent="0.3">
      <c r="A3018" s="259">
        <f t="shared" si="111"/>
        <v>2697</v>
      </c>
      <c r="B3018" s="20" t="s">
        <v>2678</v>
      </c>
      <c r="C3018" s="162">
        <v>1970</v>
      </c>
      <c r="D3018" s="234"/>
      <c r="E3018" s="234" t="s">
        <v>3119</v>
      </c>
      <c r="F3018" s="50">
        <v>9</v>
      </c>
      <c r="G3018" s="234">
        <v>12027</v>
      </c>
      <c r="H3018" s="10">
        <v>521</v>
      </c>
      <c r="I3018" s="273">
        <f>SUMIF('2020'!B:B,B3018,'2020'!C:C)+SUMIF('2021'!B:B,B3018,'2021'!C:C)+SUMIF('2022'!B:B,B3018,'2022'!C:C)</f>
        <v>24820587</v>
      </c>
      <c r="J3018" s="59">
        <v>44925</v>
      </c>
      <c r="K3018" s="273" t="s">
        <v>3118</v>
      </c>
    </row>
    <row r="3019" spans="1:11" x14ac:dyDescent="0.3">
      <c r="A3019" s="259">
        <f t="shared" si="111"/>
        <v>2698</v>
      </c>
      <c r="B3019" s="20" t="s">
        <v>2679</v>
      </c>
      <c r="C3019" s="162">
        <v>1972</v>
      </c>
      <c r="D3019" s="234"/>
      <c r="E3019" s="234" t="s">
        <v>3119</v>
      </c>
      <c r="F3019" s="50">
        <v>5</v>
      </c>
      <c r="G3019" s="234">
        <v>2096</v>
      </c>
      <c r="H3019" s="10">
        <v>95</v>
      </c>
      <c r="I3019" s="273">
        <f>SUMIF('2020'!B:B,B3019,'2020'!C:C)+SUMIF('2021'!B:B,B3019,'2021'!C:C)+SUMIF('2022'!B:B,B3019,'2022'!C:C)</f>
        <v>415216.26</v>
      </c>
      <c r="J3019" s="59">
        <v>44925</v>
      </c>
      <c r="K3019" s="273" t="s">
        <v>3118</v>
      </c>
    </row>
    <row r="3020" spans="1:11" x14ac:dyDescent="0.3">
      <c r="A3020" s="259">
        <f t="shared" si="111"/>
        <v>2699</v>
      </c>
      <c r="B3020" s="20" t="s">
        <v>2680</v>
      </c>
      <c r="C3020" s="162">
        <v>1972</v>
      </c>
      <c r="D3020" s="234"/>
      <c r="E3020" s="234" t="s">
        <v>3119</v>
      </c>
      <c r="F3020" s="50">
        <v>5</v>
      </c>
      <c r="G3020" s="234">
        <v>3859.4</v>
      </c>
      <c r="H3020" s="10">
        <v>157</v>
      </c>
      <c r="I3020" s="273">
        <f>SUMIF('2020'!B:B,B3020,'2020'!C:C)+SUMIF('2021'!B:B,B3020,'2021'!C:C)+SUMIF('2022'!B:B,B3020,'2022'!C:C)</f>
        <v>6406120.1600000001</v>
      </c>
      <c r="J3020" s="59">
        <v>44925</v>
      </c>
      <c r="K3020" s="273" t="s">
        <v>3118</v>
      </c>
    </row>
    <row r="3021" spans="1:11" x14ac:dyDescent="0.3">
      <c r="A3021" s="259">
        <f t="shared" ref="A3021:A3022" si="114">A3020+1</f>
        <v>2700</v>
      </c>
      <c r="B3021" s="20" t="s">
        <v>2681</v>
      </c>
      <c r="C3021" s="162">
        <v>1972</v>
      </c>
      <c r="D3021" s="234"/>
      <c r="E3021" s="234" t="s">
        <v>3119</v>
      </c>
      <c r="F3021" s="50">
        <v>5</v>
      </c>
      <c r="G3021" s="234">
        <v>3916</v>
      </c>
      <c r="H3021" s="10">
        <v>183</v>
      </c>
      <c r="I3021" s="273">
        <f>SUMIF('2020'!B:B,B3021,'2020'!C:C)+SUMIF('2021'!B:B,B3021,'2021'!C:C)+SUMIF('2022'!B:B,B3021,'2022'!C:C)</f>
        <v>6718270.1600000001</v>
      </c>
      <c r="J3021" s="59">
        <v>44925</v>
      </c>
      <c r="K3021" s="273" t="s">
        <v>3118</v>
      </c>
    </row>
    <row r="3022" spans="1:11" x14ac:dyDescent="0.3">
      <c r="A3022" s="259">
        <f t="shared" si="114"/>
        <v>2701</v>
      </c>
      <c r="B3022" s="20" t="s">
        <v>2682</v>
      </c>
      <c r="C3022" s="162">
        <v>1972</v>
      </c>
      <c r="D3022" s="234"/>
      <c r="E3022" s="234" t="s">
        <v>3119</v>
      </c>
      <c r="F3022" s="50">
        <v>5</v>
      </c>
      <c r="G3022" s="234">
        <v>3021.7</v>
      </c>
      <c r="H3022" s="10">
        <v>128</v>
      </c>
      <c r="I3022" s="273">
        <f>SUMIF('2020'!B:B,B3022,'2020'!C:C)+SUMIF('2021'!B:B,B3022,'2021'!C:C)+SUMIF('2022'!B:B,B3022,'2022'!C:C)</f>
        <v>179719.93</v>
      </c>
      <c r="J3022" s="59">
        <v>44925</v>
      </c>
      <c r="K3022" s="273" t="s">
        <v>3118</v>
      </c>
    </row>
    <row r="3023" spans="1:11" x14ac:dyDescent="0.3">
      <c r="A3023" s="259">
        <f t="shared" ref="A3023:A3083" si="115">A3022+1</f>
        <v>2702</v>
      </c>
      <c r="B3023" s="20" t="s">
        <v>2683</v>
      </c>
      <c r="C3023" s="162">
        <v>1973</v>
      </c>
      <c r="D3023" s="234"/>
      <c r="E3023" s="234" t="s">
        <v>3123</v>
      </c>
      <c r="F3023" s="50">
        <v>5</v>
      </c>
      <c r="G3023" s="234">
        <v>4078.3</v>
      </c>
      <c r="H3023" s="10">
        <v>196</v>
      </c>
      <c r="I3023" s="273">
        <f>SUMIF('2020'!B:B,B3023,'2020'!C:C)+SUMIF('2021'!B:B,B3023,'2021'!C:C)+SUMIF('2022'!B:B,B3023,'2022'!C:C)</f>
        <v>215414.95</v>
      </c>
      <c r="J3023" s="59">
        <v>44925</v>
      </c>
      <c r="K3023" s="273" t="s">
        <v>3118</v>
      </c>
    </row>
    <row r="3024" spans="1:11" x14ac:dyDescent="0.3">
      <c r="A3024" s="259">
        <f t="shared" si="115"/>
        <v>2703</v>
      </c>
      <c r="B3024" s="20" t="s">
        <v>2684</v>
      </c>
      <c r="C3024" s="162">
        <v>1973</v>
      </c>
      <c r="D3024" s="234"/>
      <c r="E3024" s="234" t="s">
        <v>3119</v>
      </c>
      <c r="F3024" s="50">
        <v>9</v>
      </c>
      <c r="G3024" s="234">
        <v>7937</v>
      </c>
      <c r="H3024" s="10">
        <v>358</v>
      </c>
      <c r="I3024" s="273">
        <f>SUMIF('2020'!B:B,B3024,'2020'!C:C)+SUMIF('2021'!B:B,B3024,'2021'!C:C)+SUMIF('2022'!B:B,B3024,'2022'!C:C)</f>
        <v>157176.64000000001</v>
      </c>
      <c r="J3024" s="59">
        <v>44925</v>
      </c>
      <c r="K3024" s="273" t="s">
        <v>3118</v>
      </c>
    </row>
    <row r="3025" spans="1:11" x14ac:dyDescent="0.3">
      <c r="A3025" s="259">
        <f t="shared" si="115"/>
        <v>2704</v>
      </c>
      <c r="B3025" s="20" t="s">
        <v>2685</v>
      </c>
      <c r="C3025" s="162">
        <v>1973</v>
      </c>
      <c r="D3025" s="234"/>
      <c r="E3025" s="234" t="s">
        <v>3123</v>
      </c>
      <c r="F3025" s="50">
        <v>5</v>
      </c>
      <c r="G3025" s="234">
        <v>3062</v>
      </c>
      <c r="H3025" s="10">
        <v>135</v>
      </c>
      <c r="I3025" s="273">
        <f>SUMIF('2020'!B:B,B3025,'2020'!C:C)+SUMIF('2021'!B:B,B3025,'2021'!C:C)+SUMIF('2022'!B:B,B3025,'2022'!C:C)</f>
        <v>187330.75</v>
      </c>
      <c r="J3025" s="59">
        <v>44925</v>
      </c>
      <c r="K3025" s="273" t="s">
        <v>3118</v>
      </c>
    </row>
    <row r="3026" spans="1:11" x14ac:dyDescent="0.3">
      <c r="A3026" s="259">
        <f t="shared" si="115"/>
        <v>2705</v>
      </c>
      <c r="B3026" s="20" t="s">
        <v>2686</v>
      </c>
      <c r="C3026" s="162">
        <v>1972</v>
      </c>
      <c r="D3026" s="234"/>
      <c r="E3026" s="234" t="s">
        <v>3119</v>
      </c>
      <c r="F3026" s="50">
        <v>5</v>
      </c>
      <c r="G3026" s="234">
        <v>3877</v>
      </c>
      <c r="H3026" s="10">
        <v>170</v>
      </c>
      <c r="I3026" s="273">
        <f>SUMIF('2020'!B:B,B3026,'2020'!C:C)+SUMIF('2021'!B:B,B3026,'2021'!C:C)+SUMIF('2022'!B:B,B3026,'2022'!C:C)</f>
        <v>212440.93</v>
      </c>
      <c r="J3026" s="59">
        <v>44925</v>
      </c>
      <c r="K3026" s="273" t="s">
        <v>3118</v>
      </c>
    </row>
    <row r="3027" spans="1:11" x14ac:dyDescent="0.3">
      <c r="A3027" s="259">
        <f t="shared" si="115"/>
        <v>2706</v>
      </c>
      <c r="B3027" s="20" t="s">
        <v>2687</v>
      </c>
      <c r="C3027" s="162">
        <v>1971</v>
      </c>
      <c r="D3027" s="234"/>
      <c r="E3027" s="234" t="s">
        <v>3119</v>
      </c>
      <c r="F3027" s="50">
        <v>5</v>
      </c>
      <c r="G3027" s="234">
        <v>3859</v>
      </c>
      <c r="H3027" s="10">
        <v>188</v>
      </c>
      <c r="I3027" s="273">
        <f>SUMIF('2020'!B:B,B3027,'2020'!C:C)+SUMIF('2021'!B:B,B3027,'2021'!C:C)+SUMIF('2022'!B:B,B3027,'2022'!C:C)</f>
        <v>18995474.800000001</v>
      </c>
      <c r="J3027" s="59">
        <v>44925</v>
      </c>
      <c r="K3027" s="273" t="s">
        <v>3118</v>
      </c>
    </row>
    <row r="3028" spans="1:11" x14ac:dyDescent="0.3">
      <c r="A3028" s="259">
        <f t="shared" si="115"/>
        <v>2707</v>
      </c>
      <c r="B3028" s="20" t="s">
        <v>2688</v>
      </c>
      <c r="C3028" s="162">
        <v>1971</v>
      </c>
      <c r="D3028" s="234"/>
      <c r="E3028" s="234" t="s">
        <v>3119</v>
      </c>
      <c r="F3028" s="50">
        <v>5</v>
      </c>
      <c r="G3028" s="234">
        <v>4395.3</v>
      </c>
      <c r="H3028" s="10">
        <v>186</v>
      </c>
      <c r="I3028" s="273">
        <f>SUMIF('2020'!B:B,B3028,'2020'!C:C)+SUMIF('2021'!B:B,B3028,'2021'!C:C)+SUMIF('2022'!B:B,B3028,'2022'!C:C)</f>
        <v>497037.24</v>
      </c>
      <c r="J3028" s="59">
        <v>44925</v>
      </c>
      <c r="K3028" s="273" t="s">
        <v>3118</v>
      </c>
    </row>
    <row r="3029" spans="1:11" x14ac:dyDescent="0.3">
      <c r="A3029" s="259">
        <f t="shared" si="115"/>
        <v>2708</v>
      </c>
      <c r="B3029" s="20" t="s">
        <v>2689</v>
      </c>
      <c r="C3029" s="162">
        <v>1974</v>
      </c>
      <c r="D3029" s="234"/>
      <c r="E3029" s="234" t="s">
        <v>3119</v>
      </c>
      <c r="F3029" s="50">
        <v>9</v>
      </c>
      <c r="G3029" s="234">
        <v>8648.6</v>
      </c>
      <c r="H3029" s="10">
        <v>356</v>
      </c>
      <c r="I3029" s="273">
        <f>SUMIF('2020'!B:B,B3029,'2020'!C:C)+SUMIF('2021'!B:B,B3029,'2021'!C:C)+SUMIF('2022'!B:B,B3029,'2022'!C:C)</f>
        <v>155825.68</v>
      </c>
      <c r="J3029" s="59">
        <v>44925</v>
      </c>
      <c r="K3029" s="273" t="s">
        <v>3118</v>
      </c>
    </row>
    <row r="3030" spans="1:11" x14ac:dyDescent="0.3">
      <c r="A3030" s="259">
        <f t="shared" si="115"/>
        <v>2709</v>
      </c>
      <c r="B3030" s="20" t="s">
        <v>2690</v>
      </c>
      <c r="C3030" s="162">
        <v>1974</v>
      </c>
      <c r="D3030" s="234"/>
      <c r="E3030" s="234" t="s">
        <v>3123</v>
      </c>
      <c r="F3030" s="50">
        <v>7</v>
      </c>
      <c r="G3030" s="234">
        <v>1895</v>
      </c>
      <c r="H3030" s="10">
        <v>70</v>
      </c>
      <c r="I3030" s="273">
        <f>SUMIF('2020'!B:B,B3030,'2020'!C:C)+SUMIF('2021'!B:B,B3030,'2021'!C:C)+SUMIF('2022'!B:B,B3030,'2022'!C:C)</f>
        <v>123743.54</v>
      </c>
      <c r="J3030" s="59">
        <v>44925</v>
      </c>
      <c r="K3030" s="273" t="s">
        <v>3118</v>
      </c>
    </row>
    <row r="3031" spans="1:11" x14ac:dyDescent="0.3">
      <c r="A3031" s="259">
        <f t="shared" si="115"/>
        <v>2710</v>
      </c>
      <c r="B3031" s="20" t="s">
        <v>2691</v>
      </c>
      <c r="C3031" s="162">
        <v>1973</v>
      </c>
      <c r="D3031" s="234"/>
      <c r="E3031" s="234" t="s">
        <v>3119</v>
      </c>
      <c r="F3031" s="50">
        <v>5</v>
      </c>
      <c r="G3031" s="234">
        <v>5088.8999999999996</v>
      </c>
      <c r="H3031" s="10">
        <v>200</v>
      </c>
      <c r="I3031" s="273">
        <f>SUMIF('2020'!B:B,B3031,'2020'!C:C)+SUMIF('2021'!B:B,B3031,'2021'!C:C)+SUMIF('2022'!B:B,B3031,'2022'!C:C)</f>
        <v>452140.61</v>
      </c>
      <c r="J3031" s="59">
        <v>44925</v>
      </c>
      <c r="K3031" s="273" t="s">
        <v>3118</v>
      </c>
    </row>
    <row r="3032" spans="1:11" x14ac:dyDescent="0.3">
      <c r="A3032" s="259">
        <f t="shared" si="115"/>
        <v>2711</v>
      </c>
      <c r="B3032" s="20" t="s">
        <v>2692</v>
      </c>
      <c r="C3032" s="162">
        <v>1975</v>
      </c>
      <c r="D3032" s="234"/>
      <c r="E3032" s="234" t="s">
        <v>3119</v>
      </c>
      <c r="F3032" s="50">
        <v>7</v>
      </c>
      <c r="G3032" s="234">
        <v>1988.9</v>
      </c>
      <c r="H3032" s="10">
        <v>61</v>
      </c>
      <c r="I3032" s="273">
        <f>SUMIF('2020'!B:B,B3032,'2020'!C:C)+SUMIF('2021'!B:B,B3032,'2021'!C:C)+SUMIF('2022'!B:B,B3032,'2022'!C:C)</f>
        <v>79675.03</v>
      </c>
      <c r="J3032" s="59">
        <v>44925</v>
      </c>
      <c r="K3032" s="273" t="s">
        <v>3118</v>
      </c>
    </row>
    <row r="3033" spans="1:11" x14ac:dyDescent="0.3">
      <c r="A3033" s="259">
        <f t="shared" si="115"/>
        <v>2712</v>
      </c>
      <c r="B3033" s="20" t="s">
        <v>2693</v>
      </c>
      <c r="C3033" s="162">
        <v>1975</v>
      </c>
      <c r="D3033" s="234"/>
      <c r="E3033" s="234" t="s">
        <v>3123</v>
      </c>
      <c r="F3033" s="50">
        <v>5</v>
      </c>
      <c r="G3033" s="234">
        <v>3596.7</v>
      </c>
      <c r="H3033" s="10">
        <v>141</v>
      </c>
      <c r="I3033" s="273">
        <f>SUMIF('2020'!B:B,B3033,'2020'!C:C)+SUMIF('2021'!B:B,B3033,'2021'!C:C)+SUMIF('2022'!B:B,B3033,'2022'!C:C)</f>
        <v>193444.61</v>
      </c>
      <c r="J3033" s="59">
        <v>44925</v>
      </c>
      <c r="K3033" s="273" t="s">
        <v>3118</v>
      </c>
    </row>
    <row r="3034" spans="1:11" x14ac:dyDescent="0.3">
      <c r="A3034" s="259">
        <f t="shared" si="115"/>
        <v>2713</v>
      </c>
      <c r="B3034" s="20" t="s">
        <v>2694</v>
      </c>
      <c r="C3034" s="162">
        <v>1977</v>
      </c>
      <c r="D3034" s="234"/>
      <c r="E3034" s="234" t="s">
        <v>3123</v>
      </c>
      <c r="F3034" s="50">
        <v>7</v>
      </c>
      <c r="G3034" s="234">
        <v>1511.5</v>
      </c>
      <c r="H3034" s="10">
        <v>56</v>
      </c>
      <c r="I3034" s="273">
        <f>SUMIF('2020'!B:B,B3034,'2020'!C:C)+SUMIF('2021'!B:B,B3034,'2021'!C:C)+SUMIF('2022'!B:B,B3034,'2022'!C:C)</f>
        <v>317628.28999999998</v>
      </c>
      <c r="J3034" s="59">
        <v>44925</v>
      </c>
      <c r="K3034" s="273" t="s">
        <v>3118</v>
      </c>
    </row>
    <row r="3035" spans="1:11" x14ac:dyDescent="0.3">
      <c r="A3035" s="259">
        <f t="shared" si="115"/>
        <v>2714</v>
      </c>
      <c r="B3035" s="20" t="s">
        <v>2695</v>
      </c>
      <c r="C3035" s="162">
        <v>1979</v>
      </c>
      <c r="D3035" s="234"/>
      <c r="E3035" s="234" t="s">
        <v>3123</v>
      </c>
      <c r="F3035" s="50">
        <v>7</v>
      </c>
      <c r="G3035" s="234">
        <v>1260.4000000000001</v>
      </c>
      <c r="H3035" s="10">
        <v>54</v>
      </c>
      <c r="I3035" s="273">
        <f>SUMIF('2020'!B:B,B3035,'2020'!C:C)+SUMIF('2021'!B:B,B3035,'2021'!C:C)+SUMIF('2022'!B:B,B3035,'2022'!C:C)</f>
        <v>497037.24</v>
      </c>
      <c r="J3035" s="59">
        <v>44925</v>
      </c>
      <c r="K3035" s="273" t="s">
        <v>3118</v>
      </c>
    </row>
    <row r="3036" spans="1:11" x14ac:dyDescent="0.3">
      <c r="A3036" s="259">
        <f t="shared" si="115"/>
        <v>2715</v>
      </c>
      <c r="B3036" s="20" t="s">
        <v>2696</v>
      </c>
      <c r="C3036" s="162">
        <v>1972</v>
      </c>
      <c r="D3036" s="234"/>
      <c r="E3036" s="234" t="s">
        <v>3123</v>
      </c>
      <c r="F3036" s="50">
        <v>5</v>
      </c>
      <c r="G3036" s="234">
        <v>3298.4</v>
      </c>
      <c r="H3036" s="10">
        <v>163</v>
      </c>
      <c r="I3036" s="273">
        <f>SUMIF('2020'!B:B,B3036,'2020'!C:C)+SUMIF('2021'!B:B,B3036,'2021'!C:C)+SUMIF('2022'!B:B,B3036,'2022'!C:C)</f>
        <v>11766006</v>
      </c>
      <c r="J3036" s="59">
        <v>44925</v>
      </c>
      <c r="K3036" s="273" t="s">
        <v>3118</v>
      </c>
    </row>
    <row r="3037" spans="1:11" x14ac:dyDescent="0.3">
      <c r="A3037" s="259">
        <f t="shared" si="115"/>
        <v>2716</v>
      </c>
      <c r="B3037" s="20" t="s">
        <v>2697</v>
      </c>
      <c r="C3037" s="162">
        <v>1972</v>
      </c>
      <c r="D3037" s="234"/>
      <c r="E3037" s="234" t="s">
        <v>3123</v>
      </c>
      <c r="F3037" s="50">
        <v>5</v>
      </c>
      <c r="G3037" s="234">
        <v>3159.2</v>
      </c>
      <c r="H3037" s="10">
        <v>189</v>
      </c>
      <c r="I3037" s="273">
        <f>SUMIF('2020'!B:B,B3037,'2020'!C:C)+SUMIF('2021'!B:B,B3037,'2021'!C:C)+SUMIF('2022'!B:B,B3037,'2022'!C:C)</f>
        <v>130000</v>
      </c>
      <c r="J3037" s="59">
        <v>44925</v>
      </c>
      <c r="K3037" s="273" t="s">
        <v>3118</v>
      </c>
    </row>
    <row r="3038" spans="1:11" x14ac:dyDescent="0.3">
      <c r="A3038" s="259">
        <f t="shared" si="115"/>
        <v>2717</v>
      </c>
      <c r="B3038" s="20" t="s">
        <v>2698</v>
      </c>
      <c r="C3038" s="162">
        <v>1972</v>
      </c>
      <c r="D3038" s="234"/>
      <c r="E3038" s="234" t="s">
        <v>3123</v>
      </c>
      <c r="F3038" s="50">
        <v>2</v>
      </c>
      <c r="G3038" s="273">
        <v>692.5</v>
      </c>
      <c r="H3038" s="10">
        <v>19</v>
      </c>
      <c r="I3038" s="273">
        <f>SUMIF('2020'!B:B,B3038,'2020'!C:C)+SUMIF('2021'!B:B,B3038,'2021'!C:C)+SUMIF('2022'!B:B,B3038,'2022'!C:C)</f>
        <v>10295354.48</v>
      </c>
      <c r="J3038" s="59">
        <v>44925</v>
      </c>
      <c r="K3038" s="273" t="s">
        <v>3118</v>
      </c>
    </row>
    <row r="3039" spans="1:11" x14ac:dyDescent="0.3">
      <c r="A3039" s="259">
        <f t="shared" si="115"/>
        <v>2718</v>
      </c>
      <c r="B3039" s="20" t="s">
        <v>2699</v>
      </c>
      <c r="C3039" s="162">
        <v>1972</v>
      </c>
      <c r="D3039" s="234"/>
      <c r="E3039" s="234" t="s">
        <v>3119</v>
      </c>
      <c r="F3039" s="50">
        <v>5</v>
      </c>
      <c r="G3039" s="234">
        <v>2385.6</v>
      </c>
      <c r="H3039" s="10">
        <v>89</v>
      </c>
      <c r="I3039" s="273">
        <f>SUMIF('2020'!B:B,B3039,'2020'!C:C)+SUMIF('2021'!B:B,B3039,'2021'!C:C)+SUMIF('2022'!B:B,B3039,'2022'!C:C)</f>
        <v>274505.51</v>
      </c>
      <c r="J3039" s="59">
        <v>44925</v>
      </c>
      <c r="K3039" s="273" t="s">
        <v>3118</v>
      </c>
    </row>
    <row r="3040" spans="1:11" x14ac:dyDescent="0.3">
      <c r="A3040" s="259">
        <f t="shared" si="115"/>
        <v>2719</v>
      </c>
      <c r="B3040" s="20" t="s">
        <v>2700</v>
      </c>
      <c r="C3040" s="162">
        <v>1973</v>
      </c>
      <c r="D3040" s="234"/>
      <c r="E3040" s="234" t="s">
        <v>3119</v>
      </c>
      <c r="F3040" s="50">
        <v>5</v>
      </c>
      <c r="G3040" s="234">
        <v>3454.9</v>
      </c>
      <c r="H3040" s="10">
        <v>139</v>
      </c>
      <c r="I3040" s="273">
        <f>SUMIF('2020'!B:B,B3040,'2020'!C:C)+SUMIF('2021'!B:B,B3040,'2021'!C:C)+SUMIF('2022'!B:B,B3040,'2022'!C:C)</f>
        <v>346366.6</v>
      </c>
      <c r="J3040" s="59">
        <v>44925</v>
      </c>
      <c r="K3040" s="273" t="s">
        <v>3118</v>
      </c>
    </row>
    <row r="3041" spans="1:11" x14ac:dyDescent="0.3">
      <c r="A3041" s="259">
        <f t="shared" si="115"/>
        <v>2720</v>
      </c>
      <c r="B3041" s="20" t="s">
        <v>2701</v>
      </c>
      <c r="C3041" s="162">
        <v>1973</v>
      </c>
      <c r="D3041" s="234"/>
      <c r="E3041" s="234" t="s">
        <v>3119</v>
      </c>
      <c r="F3041" s="50">
        <v>5</v>
      </c>
      <c r="G3041" s="234">
        <v>3038</v>
      </c>
      <c r="H3041" s="10">
        <v>138</v>
      </c>
      <c r="I3041" s="273">
        <f>SUMIF('2020'!B:B,B3041,'2020'!C:C)+SUMIF('2021'!B:B,B3041,'2021'!C:C)+SUMIF('2022'!B:B,B3041,'2022'!C:C)</f>
        <v>177001.25</v>
      </c>
      <c r="J3041" s="59">
        <v>44925</v>
      </c>
      <c r="K3041" s="273" t="s">
        <v>3118</v>
      </c>
    </row>
    <row r="3042" spans="1:11" x14ac:dyDescent="0.3">
      <c r="A3042" s="259">
        <f t="shared" si="115"/>
        <v>2721</v>
      </c>
      <c r="B3042" s="20" t="s">
        <v>2702</v>
      </c>
      <c r="C3042" s="162">
        <v>1971</v>
      </c>
      <c r="D3042" s="234"/>
      <c r="E3042" s="273" t="s">
        <v>3123</v>
      </c>
      <c r="F3042" s="50">
        <v>5</v>
      </c>
      <c r="G3042" s="234">
        <v>3617.76</v>
      </c>
      <c r="H3042" s="10">
        <v>112</v>
      </c>
      <c r="I3042" s="273">
        <f>SUMIF('2020'!B:B,B3042,'2020'!C:C)+SUMIF('2021'!B:B,B3042,'2021'!C:C)+SUMIF('2022'!B:B,B3042,'2022'!C:C)</f>
        <v>13294359.08</v>
      </c>
      <c r="J3042" s="59">
        <v>44925</v>
      </c>
      <c r="K3042" s="273" t="s">
        <v>3118</v>
      </c>
    </row>
    <row r="3043" spans="1:11" x14ac:dyDescent="0.3">
      <c r="A3043" s="259">
        <f t="shared" si="115"/>
        <v>2722</v>
      </c>
      <c r="B3043" s="20" t="s">
        <v>2703</v>
      </c>
      <c r="C3043" s="162">
        <v>1970</v>
      </c>
      <c r="D3043" s="234"/>
      <c r="E3043" s="273" t="s">
        <v>3123</v>
      </c>
      <c r="F3043" s="50">
        <v>5</v>
      </c>
      <c r="G3043" s="234">
        <v>3499.55</v>
      </c>
      <c r="H3043" s="10">
        <v>127</v>
      </c>
      <c r="I3043" s="273">
        <f>SUMIF('2020'!B:B,B3043,'2020'!C:C)+SUMIF('2021'!B:B,B3043,'2021'!C:C)+SUMIF('2022'!B:B,B3043,'2022'!C:C)</f>
        <v>12133678.800000001</v>
      </c>
      <c r="J3043" s="59">
        <v>44925</v>
      </c>
      <c r="K3043" s="273" t="s">
        <v>3118</v>
      </c>
    </row>
    <row r="3044" spans="1:11" x14ac:dyDescent="0.3">
      <c r="A3044" s="259">
        <f t="shared" si="115"/>
        <v>2723</v>
      </c>
      <c r="B3044" s="20" t="s">
        <v>2704</v>
      </c>
      <c r="C3044" s="162">
        <v>1971</v>
      </c>
      <c r="D3044" s="234"/>
      <c r="E3044" s="273" t="s">
        <v>3123</v>
      </c>
      <c r="F3044" s="50">
        <v>5</v>
      </c>
      <c r="G3044" s="234">
        <v>5030.8999999999996</v>
      </c>
      <c r="H3044" s="10">
        <v>173</v>
      </c>
      <c r="I3044" s="273">
        <f>SUMIF('2020'!B:B,B3044,'2020'!C:C)+SUMIF('2021'!B:B,B3044,'2021'!C:C)+SUMIF('2022'!B:B,B3044,'2022'!C:C)</f>
        <v>29414088.449999999</v>
      </c>
      <c r="J3044" s="59">
        <v>44925</v>
      </c>
      <c r="K3044" s="273" t="s">
        <v>3118</v>
      </c>
    </row>
    <row r="3045" spans="1:11" x14ac:dyDescent="0.3">
      <c r="A3045" s="259">
        <f t="shared" si="115"/>
        <v>2724</v>
      </c>
      <c r="B3045" s="20" t="s">
        <v>2705</v>
      </c>
      <c r="C3045" s="162">
        <v>1971</v>
      </c>
      <c r="D3045" s="234"/>
      <c r="E3045" s="273" t="s">
        <v>3123</v>
      </c>
      <c r="F3045" s="50">
        <v>5</v>
      </c>
      <c r="G3045" s="234">
        <v>5814.8</v>
      </c>
      <c r="H3045" s="10">
        <v>169</v>
      </c>
      <c r="I3045" s="273">
        <f>SUMIF('2020'!B:B,B3045,'2020'!C:C)+SUMIF('2021'!B:B,B3045,'2021'!C:C)+SUMIF('2022'!B:B,B3045,'2022'!C:C)</f>
        <v>21672297</v>
      </c>
      <c r="J3045" s="59">
        <v>44925</v>
      </c>
      <c r="K3045" s="273" t="s">
        <v>3118</v>
      </c>
    </row>
    <row r="3046" spans="1:11" x14ac:dyDescent="0.3">
      <c r="A3046" s="259">
        <f t="shared" si="115"/>
        <v>2725</v>
      </c>
      <c r="B3046" s="20" t="s">
        <v>2706</v>
      </c>
      <c r="C3046" s="162">
        <v>1970</v>
      </c>
      <c r="D3046" s="234"/>
      <c r="E3046" s="273" t="s">
        <v>3123</v>
      </c>
      <c r="F3046" s="50">
        <v>5</v>
      </c>
      <c r="G3046" s="234">
        <v>3021.38</v>
      </c>
      <c r="H3046" s="10">
        <v>202</v>
      </c>
      <c r="I3046" s="273">
        <f>SUMIF('2020'!B:B,B3046,'2020'!C:C)+SUMIF('2021'!B:B,B3046,'2021'!C:C)+SUMIF('2022'!B:B,B3046,'2022'!C:C)</f>
        <v>1746969</v>
      </c>
      <c r="J3046" s="59">
        <v>44925</v>
      </c>
      <c r="K3046" s="273" t="s">
        <v>3118</v>
      </c>
    </row>
    <row r="3047" spans="1:11" x14ac:dyDescent="0.3">
      <c r="A3047" s="259">
        <f t="shared" si="115"/>
        <v>2726</v>
      </c>
      <c r="B3047" s="20" t="s">
        <v>2707</v>
      </c>
      <c r="C3047" s="162">
        <v>1971</v>
      </c>
      <c r="D3047" s="234"/>
      <c r="E3047" s="273" t="s">
        <v>3119</v>
      </c>
      <c r="F3047" s="50">
        <v>5</v>
      </c>
      <c r="G3047" s="234">
        <v>2892.7</v>
      </c>
      <c r="H3047" s="10"/>
      <c r="I3047" s="273">
        <f>SUMIF('2020'!B:B,B3047,'2020'!C:C)+SUMIF('2021'!B:B,B3047,'2021'!C:C)+SUMIF('2022'!B:B,B3047,'2022'!C:C)</f>
        <v>8724112.8000000007</v>
      </c>
      <c r="J3047" s="59">
        <v>44925</v>
      </c>
      <c r="K3047" s="273" t="s">
        <v>3118</v>
      </c>
    </row>
    <row r="3048" spans="1:11" x14ac:dyDescent="0.3">
      <c r="A3048" s="259">
        <f t="shared" si="115"/>
        <v>2727</v>
      </c>
      <c r="B3048" s="20" t="s">
        <v>2708</v>
      </c>
      <c r="C3048" s="162">
        <v>1971</v>
      </c>
      <c r="D3048" s="234"/>
      <c r="E3048" s="273" t="s">
        <v>3119</v>
      </c>
      <c r="F3048" s="50">
        <v>5</v>
      </c>
      <c r="G3048" s="234">
        <v>2749.48</v>
      </c>
      <c r="H3048" s="10">
        <v>129</v>
      </c>
      <c r="I3048" s="273">
        <f>SUMIF('2020'!B:B,B3048,'2020'!C:C)+SUMIF('2021'!B:B,B3048,'2021'!C:C)+SUMIF('2022'!B:B,B3048,'2022'!C:C)</f>
        <v>175872.95</v>
      </c>
      <c r="J3048" s="59">
        <v>44925</v>
      </c>
      <c r="K3048" s="273" t="s">
        <v>3118</v>
      </c>
    </row>
    <row r="3049" spans="1:11" x14ac:dyDescent="0.3">
      <c r="A3049" s="259">
        <f t="shared" si="115"/>
        <v>2728</v>
      </c>
      <c r="B3049" s="20" t="s">
        <v>2709</v>
      </c>
      <c r="C3049" s="162">
        <v>1976</v>
      </c>
      <c r="D3049" s="234"/>
      <c r="E3049" s="273" t="s">
        <v>3119</v>
      </c>
      <c r="F3049" s="50">
        <v>9</v>
      </c>
      <c r="G3049" s="273">
        <v>2210.98</v>
      </c>
      <c r="H3049" s="10">
        <v>84</v>
      </c>
      <c r="I3049" s="273">
        <f>SUMIF('2020'!B:B,B3049,'2020'!C:C)+SUMIF('2021'!B:B,B3049,'2021'!C:C)+SUMIF('2022'!B:B,B3049,'2022'!C:C)</f>
        <v>1553003.9000000001</v>
      </c>
      <c r="J3049" s="59">
        <v>44925</v>
      </c>
      <c r="K3049" s="273" t="s">
        <v>3118</v>
      </c>
    </row>
    <row r="3050" spans="1:11" x14ac:dyDescent="0.3">
      <c r="A3050" s="259">
        <f t="shared" si="115"/>
        <v>2729</v>
      </c>
      <c r="B3050" s="20" t="s">
        <v>2710</v>
      </c>
      <c r="C3050" s="162">
        <v>1976</v>
      </c>
      <c r="D3050" s="234"/>
      <c r="E3050" s="273" t="s">
        <v>3119</v>
      </c>
      <c r="F3050" s="50">
        <v>9</v>
      </c>
      <c r="G3050" s="234">
        <v>2229.64</v>
      </c>
      <c r="H3050" s="10">
        <v>87</v>
      </c>
      <c r="I3050" s="273">
        <f>SUMIF('2020'!B:B,B3050,'2020'!C:C)+SUMIF('2021'!B:B,B3050,'2021'!C:C)+SUMIF('2022'!B:B,B3050,'2022'!C:C)</f>
        <v>75745.440000000002</v>
      </c>
      <c r="J3050" s="59">
        <v>44925</v>
      </c>
      <c r="K3050" s="273" t="s">
        <v>3118</v>
      </c>
    </row>
    <row r="3051" spans="1:11" x14ac:dyDescent="0.3">
      <c r="A3051" s="259">
        <f t="shared" si="115"/>
        <v>2730</v>
      </c>
      <c r="B3051" s="20" t="s">
        <v>2711</v>
      </c>
      <c r="C3051" s="162">
        <v>1976</v>
      </c>
      <c r="D3051" s="234"/>
      <c r="E3051" s="273" t="s">
        <v>3119</v>
      </c>
      <c r="F3051" s="50">
        <v>9</v>
      </c>
      <c r="G3051" s="234">
        <v>2236.5</v>
      </c>
      <c r="H3051" s="10">
        <v>91</v>
      </c>
      <c r="I3051" s="273">
        <f>SUMIF('2020'!B:B,B3051,'2020'!C:C)+SUMIF('2021'!B:B,B3051,'2021'!C:C)+SUMIF('2022'!B:B,B3051,'2022'!C:C)</f>
        <v>76271.759999999995</v>
      </c>
      <c r="J3051" s="59">
        <v>44925</v>
      </c>
      <c r="K3051" s="273" t="s">
        <v>3118</v>
      </c>
    </row>
    <row r="3052" spans="1:11" x14ac:dyDescent="0.3">
      <c r="A3052" s="259">
        <f t="shared" si="115"/>
        <v>2731</v>
      </c>
      <c r="B3052" s="20" t="s">
        <v>2712</v>
      </c>
      <c r="C3052" s="162">
        <v>1971</v>
      </c>
      <c r="D3052" s="234"/>
      <c r="E3052" s="273" t="s">
        <v>3123</v>
      </c>
      <c r="F3052" s="50">
        <v>5</v>
      </c>
      <c r="G3052" s="234">
        <v>3784.72</v>
      </c>
      <c r="H3052" s="10">
        <v>126</v>
      </c>
      <c r="I3052" s="273">
        <f>SUMIF('2020'!B:B,B3052,'2020'!C:C)+SUMIF('2021'!B:B,B3052,'2021'!C:C)+SUMIF('2022'!B:B,B3052,'2022'!C:C)</f>
        <v>15162604.800000001</v>
      </c>
      <c r="J3052" s="59">
        <v>44925</v>
      </c>
      <c r="K3052" s="273" t="s">
        <v>3118</v>
      </c>
    </row>
    <row r="3053" spans="1:11" x14ac:dyDescent="0.3">
      <c r="A3053" s="259">
        <f t="shared" si="115"/>
        <v>2732</v>
      </c>
      <c r="B3053" s="20" t="s">
        <v>2713</v>
      </c>
      <c r="C3053" s="162">
        <v>1977</v>
      </c>
      <c r="D3053" s="234"/>
      <c r="E3053" s="234" t="s">
        <v>3119</v>
      </c>
      <c r="F3053" s="50">
        <v>5</v>
      </c>
      <c r="G3053" s="234">
        <v>4954.3999999999996</v>
      </c>
      <c r="H3053" s="10">
        <v>248</v>
      </c>
      <c r="I3053" s="273">
        <f>SUMIF('2020'!B:B,B3053,'2020'!C:C)+SUMIF('2021'!B:B,B3053,'2021'!C:C)+SUMIF('2022'!B:B,B3053,'2022'!C:C)</f>
        <v>287086.57</v>
      </c>
      <c r="J3053" s="59">
        <v>44925</v>
      </c>
      <c r="K3053" s="273" t="s">
        <v>3118</v>
      </c>
    </row>
    <row r="3054" spans="1:11" x14ac:dyDescent="0.3">
      <c r="A3054" s="259">
        <f t="shared" si="115"/>
        <v>2733</v>
      </c>
      <c r="B3054" s="20" t="s">
        <v>2714</v>
      </c>
      <c r="C3054" s="162">
        <v>1976</v>
      </c>
      <c r="D3054" s="234"/>
      <c r="E3054" s="234" t="s">
        <v>3123</v>
      </c>
      <c r="F3054" s="50">
        <v>5</v>
      </c>
      <c r="G3054" s="234">
        <v>1166.98</v>
      </c>
      <c r="H3054" s="10">
        <v>35</v>
      </c>
      <c r="I3054" s="273">
        <f>SUMIF('2020'!B:B,B3054,'2020'!C:C)+SUMIF('2021'!B:B,B3054,'2021'!C:C)+SUMIF('2022'!B:B,B3054,'2022'!C:C)</f>
        <v>319284.74</v>
      </c>
      <c r="J3054" s="59">
        <v>44925</v>
      </c>
      <c r="K3054" s="273" t="s">
        <v>3118</v>
      </c>
    </row>
    <row r="3055" spans="1:11" x14ac:dyDescent="0.3">
      <c r="A3055" s="259">
        <f t="shared" si="115"/>
        <v>2734</v>
      </c>
      <c r="B3055" s="20" t="s">
        <v>2715</v>
      </c>
      <c r="C3055" s="162">
        <v>1974</v>
      </c>
      <c r="D3055" s="234"/>
      <c r="E3055" s="234" t="s">
        <v>3123</v>
      </c>
      <c r="F3055" s="50">
        <v>5</v>
      </c>
      <c r="G3055" s="234">
        <v>4432.21</v>
      </c>
      <c r="H3055" s="10">
        <v>173</v>
      </c>
      <c r="I3055" s="273">
        <f>SUMIF('2020'!B:B,B3055,'2020'!C:C)+SUMIF('2021'!B:B,B3055,'2021'!C:C)+SUMIF('2022'!B:B,B3055,'2022'!C:C)</f>
        <v>199027.1</v>
      </c>
      <c r="J3055" s="59">
        <v>44925</v>
      </c>
      <c r="K3055" s="273" t="s">
        <v>3118</v>
      </c>
    </row>
    <row r="3056" spans="1:11" x14ac:dyDescent="0.3">
      <c r="A3056" s="259">
        <f t="shared" si="115"/>
        <v>2735</v>
      </c>
      <c r="B3056" s="20" t="s">
        <v>2716</v>
      </c>
      <c r="C3056" s="162">
        <v>1975</v>
      </c>
      <c r="D3056" s="234"/>
      <c r="E3056" s="234" t="s">
        <v>3123</v>
      </c>
      <c r="F3056" s="50">
        <v>5</v>
      </c>
      <c r="G3056" s="234">
        <v>4528.29</v>
      </c>
      <c r="H3056" s="10">
        <v>198</v>
      </c>
      <c r="I3056" s="273">
        <f>SUMIF('2020'!B:B,B3056,'2020'!C:C)+SUMIF('2021'!B:B,B3056,'2021'!C:C)+SUMIF('2022'!B:B,B3056,'2022'!C:C)</f>
        <v>182650.8</v>
      </c>
      <c r="J3056" s="59">
        <v>44925</v>
      </c>
      <c r="K3056" s="273" t="s">
        <v>3118</v>
      </c>
    </row>
    <row r="3057" spans="1:11" x14ac:dyDescent="0.3">
      <c r="A3057" s="259">
        <f t="shared" si="115"/>
        <v>2736</v>
      </c>
      <c r="B3057" s="20" t="s">
        <v>2717</v>
      </c>
      <c r="C3057" s="162">
        <v>1972</v>
      </c>
      <c r="D3057" s="234"/>
      <c r="E3057" s="273" t="s">
        <v>3119</v>
      </c>
      <c r="F3057" s="50">
        <v>5</v>
      </c>
      <c r="G3057" s="234">
        <v>3874.96</v>
      </c>
      <c r="H3057" s="10">
        <v>167</v>
      </c>
      <c r="I3057" s="273">
        <f>SUMIF('2020'!B:B,B3057,'2020'!C:C)+SUMIF('2021'!B:B,B3057,'2021'!C:C)+SUMIF('2022'!B:B,B3057,'2022'!C:C)</f>
        <v>211086.95</v>
      </c>
      <c r="J3057" s="59">
        <v>44925</v>
      </c>
      <c r="K3057" s="273" t="s">
        <v>3118</v>
      </c>
    </row>
    <row r="3058" spans="1:11" x14ac:dyDescent="0.3">
      <c r="A3058" s="259">
        <f t="shared" si="115"/>
        <v>2737</v>
      </c>
      <c r="B3058" s="20" t="s">
        <v>2718</v>
      </c>
      <c r="C3058" s="162">
        <v>1974</v>
      </c>
      <c r="D3058" s="234"/>
      <c r="E3058" s="234" t="s">
        <v>3123</v>
      </c>
      <c r="F3058" s="50">
        <v>5</v>
      </c>
      <c r="G3058" s="234">
        <v>5945.5</v>
      </c>
      <c r="H3058" s="10">
        <v>257</v>
      </c>
      <c r="I3058" s="273">
        <f>SUMIF('2020'!B:B,B3058,'2020'!C:C)+SUMIF('2021'!B:B,B3058,'2021'!C:C)+SUMIF('2022'!B:B,B3058,'2022'!C:C)</f>
        <v>259199.51</v>
      </c>
      <c r="J3058" s="59">
        <v>44925</v>
      </c>
      <c r="K3058" s="273" t="s">
        <v>3118</v>
      </c>
    </row>
    <row r="3059" spans="1:11" x14ac:dyDescent="0.3">
      <c r="A3059" s="259">
        <f t="shared" si="115"/>
        <v>2738</v>
      </c>
      <c r="B3059" s="20" t="s">
        <v>2719</v>
      </c>
      <c r="C3059" s="162">
        <v>1975</v>
      </c>
      <c r="D3059" s="234"/>
      <c r="E3059" s="234" t="s">
        <v>3119</v>
      </c>
      <c r="F3059" s="50">
        <v>5</v>
      </c>
      <c r="G3059" s="234">
        <v>4928.08</v>
      </c>
      <c r="H3059" s="10">
        <v>236</v>
      </c>
      <c r="I3059" s="273">
        <f>SUMIF('2020'!B:B,B3059,'2020'!C:C)+SUMIF('2021'!B:B,B3059,'2021'!C:C)+SUMIF('2022'!B:B,B3059,'2022'!C:C)</f>
        <v>451247.72</v>
      </c>
      <c r="J3059" s="59">
        <v>44925</v>
      </c>
      <c r="K3059" s="273" t="s">
        <v>3118</v>
      </c>
    </row>
    <row r="3060" spans="1:11" x14ac:dyDescent="0.3">
      <c r="A3060" s="259">
        <f t="shared" si="115"/>
        <v>2739</v>
      </c>
      <c r="B3060" s="20" t="s">
        <v>2720</v>
      </c>
      <c r="C3060" s="162">
        <v>1969</v>
      </c>
      <c r="D3060" s="234"/>
      <c r="E3060" s="273" t="s">
        <v>3119</v>
      </c>
      <c r="F3060" s="50">
        <v>9</v>
      </c>
      <c r="G3060" s="234">
        <v>11582.57</v>
      </c>
      <c r="H3060" s="10">
        <v>493</v>
      </c>
      <c r="I3060" s="273">
        <f>SUMIF('2020'!B:B,B3060,'2020'!C:C)+SUMIF('2021'!B:B,B3060,'2021'!C:C)+SUMIF('2022'!B:B,B3060,'2022'!C:C)</f>
        <v>11328733.32</v>
      </c>
      <c r="J3060" s="59">
        <v>44925</v>
      </c>
      <c r="K3060" s="273" t="s">
        <v>3118</v>
      </c>
    </row>
    <row r="3061" spans="1:11" x14ac:dyDescent="0.3">
      <c r="A3061" s="259">
        <f t="shared" si="115"/>
        <v>2740</v>
      </c>
      <c r="B3061" s="20" t="s">
        <v>2721</v>
      </c>
      <c r="C3061" s="162">
        <v>1969</v>
      </c>
      <c r="D3061" s="234"/>
      <c r="E3061" s="273" t="s">
        <v>3119</v>
      </c>
      <c r="F3061" s="50">
        <v>9</v>
      </c>
      <c r="G3061" s="234">
        <v>11440.31</v>
      </c>
      <c r="H3061" s="10">
        <v>487</v>
      </c>
      <c r="I3061" s="273">
        <f>SUMIF('2020'!B:B,B3061,'2020'!C:C)+SUMIF('2021'!B:B,B3061,'2021'!C:C)+SUMIF('2022'!B:B,B3061,'2022'!C:C)</f>
        <v>397614.37</v>
      </c>
      <c r="J3061" s="59">
        <v>44925</v>
      </c>
      <c r="K3061" s="273" t="s">
        <v>3118</v>
      </c>
    </row>
    <row r="3062" spans="1:11" x14ac:dyDescent="0.3">
      <c r="A3062" s="259">
        <f t="shared" si="115"/>
        <v>2741</v>
      </c>
      <c r="B3062" s="20" t="s">
        <v>2722</v>
      </c>
      <c r="C3062" s="162">
        <v>1971</v>
      </c>
      <c r="D3062" s="234"/>
      <c r="E3062" s="273" t="s">
        <v>3123</v>
      </c>
      <c r="F3062" s="50">
        <v>5</v>
      </c>
      <c r="G3062" s="234">
        <v>6051.7</v>
      </c>
      <c r="H3062" s="10">
        <v>254</v>
      </c>
      <c r="I3062" s="273">
        <f>SUMIF('2020'!B:B,B3062,'2020'!C:C)+SUMIF('2021'!B:B,B3062,'2021'!C:C)+SUMIF('2022'!B:B,B3062,'2022'!C:C)</f>
        <v>554133.29</v>
      </c>
      <c r="J3062" s="59">
        <v>44925</v>
      </c>
      <c r="K3062" s="273" t="s">
        <v>3118</v>
      </c>
    </row>
    <row r="3063" spans="1:11" x14ac:dyDescent="0.3">
      <c r="A3063" s="259">
        <f t="shared" si="115"/>
        <v>2742</v>
      </c>
      <c r="B3063" s="20" t="s">
        <v>3583</v>
      </c>
      <c r="C3063" s="162">
        <v>1971</v>
      </c>
      <c r="D3063" s="234"/>
      <c r="E3063" s="273" t="s">
        <v>3123</v>
      </c>
      <c r="F3063" s="50">
        <v>5</v>
      </c>
      <c r="G3063" s="234">
        <v>3539.28</v>
      </c>
      <c r="H3063" s="10">
        <v>112</v>
      </c>
      <c r="I3063" s="273">
        <f>SUMIF('2020'!B:B,B3063,'2020'!C:C)+SUMIF('2021'!B:B,B3063,'2021'!C:C)+SUMIF('2022'!B:B,B3063,'2022'!C:C)</f>
        <v>6800180.7599999998</v>
      </c>
      <c r="J3063" s="59">
        <v>44925</v>
      </c>
      <c r="K3063" s="273" t="s">
        <v>3118</v>
      </c>
    </row>
    <row r="3064" spans="1:11" x14ac:dyDescent="0.3">
      <c r="A3064" s="259">
        <f t="shared" si="115"/>
        <v>2743</v>
      </c>
      <c r="B3064" s="20" t="s">
        <v>2723</v>
      </c>
      <c r="C3064" s="162">
        <v>1972</v>
      </c>
      <c r="D3064" s="234"/>
      <c r="E3064" s="273" t="s">
        <v>3123</v>
      </c>
      <c r="F3064" s="50">
        <v>5</v>
      </c>
      <c r="G3064" s="234">
        <v>3576.77</v>
      </c>
      <c r="H3064" s="10">
        <v>105</v>
      </c>
      <c r="I3064" s="273">
        <f>SUMIF('2020'!B:B,B3064,'2020'!C:C)+SUMIF('2021'!B:B,B3064,'2021'!C:C)+SUMIF('2022'!B:B,B3064,'2022'!C:C)</f>
        <v>334844.78000000003</v>
      </c>
      <c r="J3064" s="59">
        <v>44925</v>
      </c>
      <c r="K3064" s="273" t="s">
        <v>3118</v>
      </c>
    </row>
    <row r="3065" spans="1:11" x14ac:dyDescent="0.3">
      <c r="A3065" s="259">
        <f t="shared" si="115"/>
        <v>2744</v>
      </c>
      <c r="B3065" s="20" t="s">
        <v>2724</v>
      </c>
      <c r="C3065" s="162">
        <v>1971</v>
      </c>
      <c r="D3065" s="234"/>
      <c r="E3065" s="273" t="s">
        <v>3123</v>
      </c>
      <c r="F3065" s="50">
        <v>5</v>
      </c>
      <c r="G3065" s="234">
        <v>3329.52</v>
      </c>
      <c r="H3065" s="10">
        <v>146</v>
      </c>
      <c r="I3065" s="273">
        <f>SUMIF('2020'!B:B,B3065,'2020'!C:C)+SUMIF('2021'!B:B,B3065,'2021'!C:C)+SUMIF('2022'!B:B,B3065,'2022'!C:C)</f>
        <v>12206703.6</v>
      </c>
      <c r="J3065" s="59">
        <v>44925</v>
      </c>
      <c r="K3065" s="273" t="s">
        <v>3118</v>
      </c>
    </row>
    <row r="3066" spans="1:11" x14ac:dyDescent="0.3">
      <c r="A3066" s="259">
        <f t="shared" si="115"/>
        <v>2745</v>
      </c>
      <c r="B3066" s="20" t="s">
        <v>2725</v>
      </c>
      <c r="C3066" s="162">
        <v>1971</v>
      </c>
      <c r="D3066" s="234"/>
      <c r="E3066" s="273" t="s">
        <v>3119</v>
      </c>
      <c r="F3066" s="50">
        <v>5</v>
      </c>
      <c r="G3066" s="234">
        <v>3750.7</v>
      </c>
      <c r="H3066" s="10">
        <v>173</v>
      </c>
      <c r="I3066" s="273">
        <f>SUMIF('2020'!B:B,B3066,'2020'!C:C)+SUMIF('2021'!B:B,B3066,'2021'!C:C)+SUMIF('2022'!B:B,B3066,'2022'!C:C)</f>
        <v>11337668.4</v>
      </c>
      <c r="J3066" s="59">
        <v>44925</v>
      </c>
      <c r="K3066" s="273" t="s">
        <v>3118</v>
      </c>
    </row>
    <row r="3067" spans="1:11" x14ac:dyDescent="0.3">
      <c r="A3067" s="259">
        <f t="shared" si="115"/>
        <v>2746</v>
      </c>
      <c r="B3067" s="20" t="s">
        <v>2726</v>
      </c>
      <c r="C3067" s="162">
        <v>1972</v>
      </c>
      <c r="D3067" s="234"/>
      <c r="E3067" s="56" t="s">
        <v>3123</v>
      </c>
      <c r="F3067" s="50">
        <v>9</v>
      </c>
      <c r="G3067" s="234">
        <v>2986.7</v>
      </c>
      <c r="H3067" s="10">
        <v>199</v>
      </c>
      <c r="I3067" s="273">
        <f>SUMIF('2020'!B:B,B3067,'2020'!C:C)+SUMIF('2021'!B:B,B3067,'2021'!C:C)+SUMIF('2022'!B:B,B3067,'2022'!C:C)</f>
        <v>4016643.83</v>
      </c>
      <c r="J3067" s="59">
        <v>44925</v>
      </c>
      <c r="K3067" s="273" t="s">
        <v>3118</v>
      </c>
    </row>
    <row r="3068" spans="1:11" x14ac:dyDescent="0.3">
      <c r="A3068" s="259">
        <f t="shared" si="115"/>
        <v>2747</v>
      </c>
      <c r="B3068" s="20" t="s">
        <v>2727</v>
      </c>
      <c r="C3068" s="162">
        <v>1977</v>
      </c>
      <c r="D3068" s="234"/>
      <c r="E3068" s="234" t="s">
        <v>3123</v>
      </c>
      <c r="F3068" s="50">
        <v>9</v>
      </c>
      <c r="G3068" s="234">
        <v>7554.1</v>
      </c>
      <c r="H3068" s="10">
        <v>262</v>
      </c>
      <c r="I3068" s="273">
        <f>SUMIF('2020'!B:B,B3068,'2020'!C:C)+SUMIF('2021'!B:B,B3068,'2021'!C:C)+SUMIF('2022'!B:B,B3068,'2022'!C:C)</f>
        <v>123739.86</v>
      </c>
      <c r="J3068" s="59">
        <v>44925</v>
      </c>
      <c r="K3068" s="273" t="s">
        <v>3118</v>
      </c>
    </row>
    <row r="3069" spans="1:11" x14ac:dyDescent="0.3">
      <c r="A3069" s="259">
        <f t="shared" si="115"/>
        <v>2748</v>
      </c>
      <c r="B3069" s="20" t="s">
        <v>2728</v>
      </c>
      <c r="C3069" s="162">
        <v>1972</v>
      </c>
      <c r="D3069" s="234"/>
      <c r="E3069" s="234" t="s">
        <v>3123</v>
      </c>
      <c r="F3069" s="50">
        <v>5</v>
      </c>
      <c r="G3069" s="234">
        <v>3364.25</v>
      </c>
      <c r="H3069" s="10">
        <v>128</v>
      </c>
      <c r="I3069" s="273">
        <f>SUMIF('2020'!B:B,B3069,'2020'!C:C)+SUMIF('2021'!B:B,B3069,'2021'!C:C)+SUMIF('2022'!B:B,B3069,'2022'!C:C)</f>
        <v>210495.92</v>
      </c>
      <c r="J3069" s="59">
        <v>44925</v>
      </c>
      <c r="K3069" s="273" t="s">
        <v>3118</v>
      </c>
    </row>
    <row r="3070" spans="1:11" x14ac:dyDescent="0.3">
      <c r="A3070" s="259">
        <f t="shared" si="115"/>
        <v>2749</v>
      </c>
      <c r="B3070" s="20" t="s">
        <v>2729</v>
      </c>
      <c r="C3070" s="162">
        <v>1973</v>
      </c>
      <c r="D3070" s="234"/>
      <c r="E3070" s="234" t="s">
        <v>3123</v>
      </c>
      <c r="F3070" s="50">
        <v>5</v>
      </c>
      <c r="G3070" s="234">
        <v>3571.49</v>
      </c>
      <c r="H3070" s="10">
        <v>119</v>
      </c>
      <c r="I3070" s="273">
        <f>SUMIF('2020'!B:B,B3070,'2020'!C:C)+SUMIF('2021'!B:B,B3070,'2021'!C:C)+SUMIF('2022'!B:B,B3070,'2022'!C:C)</f>
        <v>250335.31</v>
      </c>
      <c r="J3070" s="59">
        <v>44925</v>
      </c>
      <c r="K3070" s="273" t="s">
        <v>3118</v>
      </c>
    </row>
    <row r="3071" spans="1:11" x14ac:dyDescent="0.3">
      <c r="A3071" s="259">
        <f t="shared" si="115"/>
        <v>2750</v>
      </c>
      <c r="B3071" s="20" t="s">
        <v>2730</v>
      </c>
      <c r="C3071" s="162">
        <v>1973</v>
      </c>
      <c r="D3071" s="234"/>
      <c r="E3071" s="234" t="s">
        <v>3123</v>
      </c>
      <c r="F3071" s="50">
        <v>5</v>
      </c>
      <c r="G3071" s="234">
        <v>4283.3500000000004</v>
      </c>
      <c r="H3071" s="10">
        <v>116</v>
      </c>
      <c r="I3071" s="273">
        <f>SUMIF('2020'!B:B,B3071,'2020'!C:C)+SUMIF('2021'!B:B,B3071,'2021'!C:C)+SUMIF('2022'!B:B,B3071,'2022'!C:C)</f>
        <v>320781.64</v>
      </c>
      <c r="J3071" s="59">
        <v>44925</v>
      </c>
      <c r="K3071" s="273" t="s">
        <v>3118</v>
      </c>
    </row>
    <row r="3072" spans="1:11" x14ac:dyDescent="0.3">
      <c r="A3072" s="259">
        <f t="shared" si="115"/>
        <v>2751</v>
      </c>
      <c r="B3072" s="20" t="s">
        <v>2731</v>
      </c>
      <c r="C3072" s="162">
        <v>1973</v>
      </c>
      <c r="D3072" s="234"/>
      <c r="E3072" s="234" t="s">
        <v>3123</v>
      </c>
      <c r="F3072" s="50">
        <v>5</v>
      </c>
      <c r="G3072" s="234">
        <v>3672.53</v>
      </c>
      <c r="H3072" s="10">
        <v>114</v>
      </c>
      <c r="I3072" s="273">
        <f>SUMIF('2020'!B:B,B3072,'2020'!C:C)+SUMIF('2021'!B:B,B3072,'2021'!C:C)+SUMIF('2022'!B:B,B3072,'2022'!C:C)</f>
        <v>217024.57</v>
      </c>
      <c r="J3072" s="59">
        <v>44925</v>
      </c>
      <c r="K3072" s="273" t="s">
        <v>3118</v>
      </c>
    </row>
    <row r="3073" spans="1:11" x14ac:dyDescent="0.3">
      <c r="A3073" s="259">
        <f t="shared" si="115"/>
        <v>2752</v>
      </c>
      <c r="B3073" s="20" t="s">
        <v>2732</v>
      </c>
      <c r="C3073" s="162">
        <v>1974</v>
      </c>
      <c r="D3073" s="234"/>
      <c r="E3073" s="234" t="s">
        <v>3119</v>
      </c>
      <c r="F3073" s="50">
        <v>9</v>
      </c>
      <c r="G3073" s="234">
        <v>9854.1</v>
      </c>
      <c r="H3073" s="10">
        <v>425</v>
      </c>
      <c r="I3073" s="273">
        <f>SUMIF('2020'!B:B,B3073,'2020'!C:C)+SUMIF('2021'!B:B,B3073,'2021'!C:C)+SUMIF('2022'!B:B,B3073,'2022'!C:C)</f>
        <v>173502.96</v>
      </c>
      <c r="J3073" s="59">
        <v>44925</v>
      </c>
      <c r="K3073" s="273" t="s">
        <v>3118</v>
      </c>
    </row>
    <row r="3074" spans="1:11" x14ac:dyDescent="0.3">
      <c r="A3074" s="259">
        <f t="shared" si="115"/>
        <v>2753</v>
      </c>
      <c r="B3074" s="20" t="s">
        <v>2733</v>
      </c>
      <c r="C3074" s="162">
        <v>1976</v>
      </c>
      <c r="D3074" s="234"/>
      <c r="E3074" s="234" t="s">
        <v>3119</v>
      </c>
      <c r="F3074" s="50">
        <v>5</v>
      </c>
      <c r="G3074" s="234">
        <v>2103.8000000000002</v>
      </c>
      <c r="H3074" s="10">
        <v>96</v>
      </c>
      <c r="I3074" s="273">
        <f>SUMIF('2020'!B:B,B3074,'2020'!C:C)+SUMIF('2021'!B:B,B3074,'2021'!C:C)+SUMIF('2022'!B:B,B3074,'2022'!C:C)</f>
        <v>146564.63</v>
      </c>
      <c r="J3074" s="59">
        <v>44925</v>
      </c>
      <c r="K3074" s="273" t="s">
        <v>3118</v>
      </c>
    </row>
    <row r="3075" spans="1:11" x14ac:dyDescent="0.3">
      <c r="A3075" s="259">
        <f t="shared" si="115"/>
        <v>2754</v>
      </c>
      <c r="B3075" s="20" t="s">
        <v>2734</v>
      </c>
      <c r="C3075" s="162">
        <v>1976</v>
      </c>
      <c r="D3075" s="234"/>
      <c r="E3075" s="234" t="s">
        <v>3119</v>
      </c>
      <c r="F3075" s="50">
        <v>5</v>
      </c>
      <c r="G3075" s="234">
        <v>2111</v>
      </c>
      <c r="H3075" s="10">
        <v>75</v>
      </c>
      <c r="I3075" s="273">
        <f>SUMIF('2020'!B:B,B3075,'2020'!C:C)+SUMIF('2021'!B:B,B3075,'2021'!C:C)+SUMIF('2022'!B:B,B3075,'2022'!C:C)</f>
        <v>146012.48000000001</v>
      </c>
      <c r="J3075" s="59">
        <v>44925</v>
      </c>
      <c r="K3075" s="273" t="s">
        <v>3118</v>
      </c>
    </row>
    <row r="3076" spans="1:11" x14ac:dyDescent="0.3">
      <c r="A3076" s="259">
        <f t="shared" si="115"/>
        <v>2755</v>
      </c>
      <c r="B3076" s="20" t="s">
        <v>2735</v>
      </c>
      <c r="C3076" s="162">
        <v>1975</v>
      </c>
      <c r="D3076" s="234"/>
      <c r="E3076" s="234" t="s">
        <v>3119</v>
      </c>
      <c r="F3076" s="50">
        <v>5</v>
      </c>
      <c r="G3076" s="234">
        <v>3012.3</v>
      </c>
      <c r="H3076" s="10">
        <v>138</v>
      </c>
      <c r="I3076" s="273">
        <f>SUMIF('2020'!B:B,B3076,'2020'!C:C)+SUMIF('2021'!B:B,B3076,'2021'!C:C)+SUMIF('2022'!B:B,B3076,'2022'!C:C)</f>
        <v>173084.51</v>
      </c>
      <c r="J3076" s="59">
        <v>44925</v>
      </c>
      <c r="K3076" s="273" t="s">
        <v>3118</v>
      </c>
    </row>
    <row r="3077" spans="1:11" x14ac:dyDescent="0.3">
      <c r="A3077" s="259">
        <f t="shared" si="115"/>
        <v>2756</v>
      </c>
      <c r="B3077" s="20" t="s">
        <v>2736</v>
      </c>
      <c r="C3077" s="162">
        <v>1975</v>
      </c>
      <c r="D3077" s="234"/>
      <c r="E3077" s="234" t="s">
        <v>3119</v>
      </c>
      <c r="F3077" s="50">
        <v>5</v>
      </c>
      <c r="G3077" s="234">
        <v>3054.7</v>
      </c>
      <c r="H3077" s="10">
        <v>150</v>
      </c>
      <c r="I3077" s="273">
        <f>SUMIF('2020'!B:B,B3077,'2020'!C:C)+SUMIF('2021'!B:B,B3077,'2021'!C:C)+SUMIF('2022'!B:B,B3077,'2022'!C:C)</f>
        <v>173084.51</v>
      </c>
      <c r="J3077" s="59">
        <v>44925</v>
      </c>
      <c r="K3077" s="273" t="s">
        <v>3118</v>
      </c>
    </row>
    <row r="3078" spans="1:11" x14ac:dyDescent="0.3">
      <c r="A3078" s="259">
        <f t="shared" si="115"/>
        <v>2757</v>
      </c>
      <c r="B3078" s="20" t="s">
        <v>2737</v>
      </c>
      <c r="C3078" s="162">
        <v>1976</v>
      </c>
      <c r="D3078" s="234"/>
      <c r="E3078" s="234" t="s">
        <v>3123</v>
      </c>
      <c r="F3078" s="50">
        <v>5</v>
      </c>
      <c r="G3078" s="234">
        <v>5401.5</v>
      </c>
      <c r="H3078" s="10">
        <v>202</v>
      </c>
      <c r="I3078" s="273">
        <f>SUMIF('2020'!B:B,B3078,'2020'!C:C)+SUMIF('2021'!B:B,B3078,'2021'!C:C)+SUMIF('2022'!B:B,B3078,'2022'!C:C)</f>
        <v>468985.46</v>
      </c>
      <c r="J3078" s="59">
        <v>44925</v>
      </c>
      <c r="K3078" s="273" t="s">
        <v>3118</v>
      </c>
    </row>
    <row r="3079" spans="1:11" x14ac:dyDescent="0.3">
      <c r="A3079" s="259">
        <f t="shared" si="115"/>
        <v>2758</v>
      </c>
      <c r="B3079" s="20" t="s">
        <v>2738</v>
      </c>
      <c r="C3079" s="162">
        <v>1974</v>
      </c>
      <c r="D3079" s="234"/>
      <c r="E3079" s="234" t="s">
        <v>3119</v>
      </c>
      <c r="F3079" s="50">
        <v>9</v>
      </c>
      <c r="G3079" s="234">
        <v>11699.5</v>
      </c>
      <c r="H3079" s="10">
        <v>504</v>
      </c>
      <c r="I3079" s="273">
        <f>SUMIF('2020'!B:B,B3079,'2020'!C:C)+SUMIF('2021'!B:B,B3079,'2021'!C:C)+SUMIF('2022'!B:B,B3079,'2022'!C:C)</f>
        <v>196162.45</v>
      </c>
      <c r="J3079" s="59">
        <v>44925</v>
      </c>
      <c r="K3079" s="273" t="s">
        <v>3118</v>
      </c>
    </row>
    <row r="3080" spans="1:11" x14ac:dyDescent="0.3">
      <c r="A3080" s="259">
        <f t="shared" si="115"/>
        <v>2759</v>
      </c>
      <c r="B3080" s="20" t="s">
        <v>2739</v>
      </c>
      <c r="C3080" s="162">
        <v>1975</v>
      </c>
      <c r="D3080" s="234"/>
      <c r="E3080" s="234" t="s">
        <v>3119</v>
      </c>
      <c r="F3080" s="50">
        <v>5</v>
      </c>
      <c r="G3080" s="234">
        <v>2881</v>
      </c>
      <c r="H3080" s="10">
        <v>124</v>
      </c>
      <c r="I3080" s="273">
        <f>SUMIF('2020'!B:B,B3080,'2020'!C:C)+SUMIF('2021'!B:B,B3080,'2021'!C:C)+SUMIF('2022'!B:B,B3080,'2022'!C:C)</f>
        <v>161956.56</v>
      </c>
      <c r="J3080" s="59">
        <v>44925</v>
      </c>
      <c r="K3080" s="273" t="s">
        <v>3118</v>
      </c>
    </row>
    <row r="3081" spans="1:11" x14ac:dyDescent="0.3">
      <c r="A3081" s="259">
        <f t="shared" si="115"/>
        <v>2760</v>
      </c>
      <c r="B3081" s="20" t="s">
        <v>2740</v>
      </c>
      <c r="C3081" s="162">
        <v>1975</v>
      </c>
      <c r="D3081" s="234"/>
      <c r="E3081" s="234" t="s">
        <v>3119</v>
      </c>
      <c r="F3081" s="50">
        <v>9</v>
      </c>
      <c r="G3081" s="234">
        <v>9828</v>
      </c>
      <c r="H3081" s="10">
        <v>352</v>
      </c>
      <c r="I3081" s="273">
        <f>SUMIF('2020'!B:B,B3081,'2020'!C:C)+SUMIF('2021'!B:B,B3081,'2021'!C:C)+SUMIF('2022'!B:B,B3081,'2022'!C:C)</f>
        <v>155097.51999999999</v>
      </c>
      <c r="J3081" s="59">
        <v>44925</v>
      </c>
      <c r="K3081" s="273" t="s">
        <v>3118</v>
      </c>
    </row>
    <row r="3082" spans="1:11" x14ac:dyDescent="0.3">
      <c r="A3082" s="259">
        <f t="shared" si="115"/>
        <v>2761</v>
      </c>
      <c r="B3082" s="20" t="s">
        <v>2741</v>
      </c>
      <c r="C3082" s="162">
        <v>1976</v>
      </c>
      <c r="D3082" s="234"/>
      <c r="E3082" s="234" t="s">
        <v>3119</v>
      </c>
      <c r="F3082" s="50">
        <v>5</v>
      </c>
      <c r="G3082" s="234">
        <v>2336.1</v>
      </c>
      <c r="H3082" s="10">
        <v>78</v>
      </c>
      <c r="I3082" s="273">
        <f>SUMIF('2020'!B:B,B3082,'2020'!C:C)+SUMIF('2021'!B:B,B3082,'2021'!C:C)+SUMIF('2022'!B:B,B3082,'2022'!C:C)</f>
        <v>275810.52</v>
      </c>
      <c r="J3082" s="59">
        <v>44925</v>
      </c>
      <c r="K3082" s="273" t="s">
        <v>3118</v>
      </c>
    </row>
    <row r="3083" spans="1:11" x14ac:dyDescent="0.3">
      <c r="A3083" s="259">
        <f t="shared" si="115"/>
        <v>2762</v>
      </c>
      <c r="B3083" s="20" t="s">
        <v>2742</v>
      </c>
      <c r="C3083" s="162">
        <v>1976</v>
      </c>
      <c r="D3083" s="234"/>
      <c r="E3083" s="234" t="s">
        <v>3119</v>
      </c>
      <c r="F3083" s="50">
        <v>5</v>
      </c>
      <c r="G3083" s="234">
        <v>2336.1</v>
      </c>
      <c r="H3083" s="10">
        <v>86</v>
      </c>
      <c r="I3083" s="273">
        <f>SUMIF('2020'!B:B,B3083,'2020'!C:C)+SUMIF('2021'!B:B,B3083,'2021'!C:C)+SUMIF('2022'!B:B,B3083,'2022'!C:C)</f>
        <v>275810.52</v>
      </c>
      <c r="J3083" s="59">
        <v>44925</v>
      </c>
      <c r="K3083" s="273" t="s">
        <v>3118</v>
      </c>
    </row>
    <row r="3084" spans="1:11" x14ac:dyDescent="0.3">
      <c r="A3084" s="259">
        <f t="shared" ref="A3084:A3146" si="116">A3083+1</f>
        <v>2763</v>
      </c>
      <c r="B3084" s="20" t="s">
        <v>2743</v>
      </c>
      <c r="C3084" s="162">
        <v>1970</v>
      </c>
      <c r="D3084" s="234"/>
      <c r="E3084" s="234" t="s">
        <v>3119</v>
      </c>
      <c r="F3084" s="50">
        <v>5</v>
      </c>
      <c r="G3084" s="234">
        <v>14316.8</v>
      </c>
      <c r="H3084" s="10">
        <v>527</v>
      </c>
      <c r="I3084" s="273">
        <f>SUMIF('2020'!B:B,B3084,'2020'!C:C)+SUMIF('2021'!B:B,B3084,'2021'!C:C)+SUMIF('2022'!B:B,B3084,'2022'!C:C)</f>
        <v>43905213</v>
      </c>
      <c r="J3084" s="59">
        <v>44925</v>
      </c>
      <c r="K3084" s="273" t="s">
        <v>3118</v>
      </c>
    </row>
    <row r="3085" spans="1:11" x14ac:dyDescent="0.3">
      <c r="A3085" s="259">
        <f t="shared" si="116"/>
        <v>2764</v>
      </c>
      <c r="B3085" s="20" t="s">
        <v>2744</v>
      </c>
      <c r="C3085" s="162">
        <v>1976</v>
      </c>
      <c r="D3085" s="234"/>
      <c r="E3085" s="234" t="s">
        <v>3123</v>
      </c>
      <c r="F3085" s="50">
        <v>9</v>
      </c>
      <c r="G3085" s="234">
        <v>3171.1</v>
      </c>
      <c r="H3085" s="10">
        <v>145</v>
      </c>
      <c r="I3085" s="273">
        <f>SUMIF('2020'!B:B,B3085,'2020'!C:C)+SUMIF('2021'!B:B,B3085,'2021'!C:C)+SUMIF('2022'!B:B,B3085,'2022'!C:C)</f>
        <v>7002693.5999999996</v>
      </c>
      <c r="J3085" s="59">
        <v>44925</v>
      </c>
      <c r="K3085" s="273" t="s">
        <v>3118</v>
      </c>
    </row>
    <row r="3086" spans="1:11" x14ac:dyDescent="0.3">
      <c r="A3086" s="259">
        <f t="shared" si="116"/>
        <v>2765</v>
      </c>
      <c r="B3086" s="20" t="s">
        <v>2745</v>
      </c>
      <c r="C3086" s="162">
        <v>1976</v>
      </c>
      <c r="D3086" s="234"/>
      <c r="E3086" s="234" t="s">
        <v>3123</v>
      </c>
      <c r="F3086" s="50">
        <v>9</v>
      </c>
      <c r="G3086" s="234">
        <v>3171.1</v>
      </c>
      <c r="H3086" s="10">
        <v>183</v>
      </c>
      <c r="I3086" s="273">
        <f>SUMIF('2020'!B:B,B3086,'2020'!C:C)+SUMIF('2021'!B:B,B3086,'2021'!C:C)+SUMIF('2022'!B:B,B3086,'2022'!C:C)</f>
        <v>11448570</v>
      </c>
      <c r="J3086" s="59">
        <v>44925</v>
      </c>
      <c r="K3086" s="273" t="s">
        <v>3118</v>
      </c>
    </row>
    <row r="3087" spans="1:11" x14ac:dyDescent="0.3">
      <c r="A3087" s="259">
        <f t="shared" si="116"/>
        <v>2766</v>
      </c>
      <c r="B3087" s="20" t="s">
        <v>2746</v>
      </c>
      <c r="C3087" s="162">
        <v>1974</v>
      </c>
      <c r="D3087" s="234"/>
      <c r="E3087" s="234" t="s">
        <v>3119</v>
      </c>
      <c r="F3087" s="50">
        <v>5</v>
      </c>
      <c r="G3087" s="234">
        <v>3529.2</v>
      </c>
      <c r="H3087" s="10">
        <v>114</v>
      </c>
      <c r="I3087" s="273">
        <f>SUMIF('2020'!B:B,B3087,'2020'!C:C)+SUMIF('2021'!B:B,B3087,'2021'!C:C)+SUMIF('2022'!B:B,B3087,'2022'!C:C)</f>
        <v>351792.66</v>
      </c>
      <c r="J3087" s="59">
        <v>44925</v>
      </c>
      <c r="K3087" s="273" t="s">
        <v>3118</v>
      </c>
    </row>
    <row r="3088" spans="1:11" x14ac:dyDescent="0.3">
      <c r="A3088" s="259">
        <f t="shared" si="116"/>
        <v>2767</v>
      </c>
      <c r="B3088" s="20" t="s">
        <v>2747</v>
      </c>
      <c r="C3088" s="162">
        <v>1974</v>
      </c>
      <c r="D3088" s="234"/>
      <c r="E3088" s="234" t="s">
        <v>3119</v>
      </c>
      <c r="F3088" s="50">
        <v>5</v>
      </c>
      <c r="G3088" s="234">
        <v>4488.3</v>
      </c>
      <c r="H3088" s="10">
        <v>196</v>
      </c>
      <c r="I3088" s="273">
        <f>SUMIF('2020'!B:B,B3088,'2020'!C:C)+SUMIF('2021'!B:B,B3088,'2021'!C:C)+SUMIF('2022'!B:B,B3088,'2022'!C:C)</f>
        <v>7335525</v>
      </c>
      <c r="J3088" s="59">
        <v>44925</v>
      </c>
      <c r="K3088" s="273" t="s">
        <v>3118</v>
      </c>
    </row>
    <row r="3089" spans="1:11" x14ac:dyDescent="0.3">
      <c r="A3089" s="259">
        <f t="shared" si="116"/>
        <v>2768</v>
      </c>
      <c r="B3089" s="20" t="s">
        <v>2748</v>
      </c>
      <c r="C3089" s="162">
        <v>1976</v>
      </c>
      <c r="D3089" s="234"/>
      <c r="E3089" s="234" t="s">
        <v>3123</v>
      </c>
      <c r="F3089" s="50">
        <v>5</v>
      </c>
      <c r="G3089" s="234">
        <v>880.2</v>
      </c>
      <c r="H3089" s="10">
        <v>45</v>
      </c>
      <c r="I3089" s="273">
        <f>SUMIF('2020'!B:B,B3089,'2020'!C:C)+SUMIF('2021'!B:B,B3089,'2021'!C:C)+SUMIF('2022'!B:B,B3089,'2022'!C:C)</f>
        <v>130000</v>
      </c>
      <c r="J3089" s="59">
        <v>44925</v>
      </c>
      <c r="K3089" s="273" t="s">
        <v>3118</v>
      </c>
    </row>
    <row r="3090" spans="1:11" x14ac:dyDescent="0.3">
      <c r="A3090" s="259">
        <f t="shared" si="116"/>
        <v>2769</v>
      </c>
      <c r="B3090" s="20" t="s">
        <v>2749</v>
      </c>
      <c r="C3090" s="162">
        <v>1974</v>
      </c>
      <c r="D3090" s="234"/>
      <c r="E3090" s="234" t="s">
        <v>3119</v>
      </c>
      <c r="F3090" s="50">
        <v>5</v>
      </c>
      <c r="G3090" s="234">
        <v>3139.3</v>
      </c>
      <c r="H3090" s="10">
        <v>136</v>
      </c>
      <c r="I3090" s="273">
        <f>SUMIF('2020'!B:B,B3090,'2020'!C:C)+SUMIF('2021'!B:B,B3090,'2021'!C:C)+SUMIF('2022'!B:B,B3090,'2022'!C:C)</f>
        <v>341146.58</v>
      </c>
      <c r="J3090" s="59">
        <v>44925</v>
      </c>
      <c r="K3090" s="273" t="s">
        <v>3118</v>
      </c>
    </row>
    <row r="3091" spans="1:11" x14ac:dyDescent="0.3">
      <c r="A3091" s="259">
        <f t="shared" si="116"/>
        <v>2770</v>
      </c>
      <c r="B3091" s="20" t="s">
        <v>2750</v>
      </c>
      <c r="C3091" s="162">
        <v>1973</v>
      </c>
      <c r="D3091" s="234"/>
      <c r="E3091" s="234" t="s">
        <v>3119</v>
      </c>
      <c r="F3091" s="50">
        <v>9</v>
      </c>
      <c r="G3091" s="234">
        <v>12929.8</v>
      </c>
      <c r="H3091" s="10">
        <v>217</v>
      </c>
      <c r="I3091" s="273">
        <f>SUMIF('2020'!B:B,B3091,'2020'!C:C)+SUMIF('2021'!B:B,B3091,'2021'!C:C)+SUMIF('2022'!B:B,B3091,'2022'!C:C)</f>
        <v>722052.31</v>
      </c>
      <c r="J3091" s="59">
        <v>44925</v>
      </c>
      <c r="K3091" s="273" t="s">
        <v>3118</v>
      </c>
    </row>
    <row r="3092" spans="1:11" x14ac:dyDescent="0.3">
      <c r="A3092" s="259">
        <f t="shared" si="116"/>
        <v>2771</v>
      </c>
      <c r="B3092" s="20" t="s">
        <v>2751</v>
      </c>
      <c r="C3092" s="162">
        <v>1977</v>
      </c>
      <c r="D3092" s="234"/>
      <c r="E3092" s="234" t="s">
        <v>3119</v>
      </c>
      <c r="F3092" s="50">
        <v>9</v>
      </c>
      <c r="G3092" s="234">
        <v>6126.7</v>
      </c>
      <c r="H3092" s="10">
        <v>252</v>
      </c>
      <c r="I3092" s="273">
        <f>SUMIF('2020'!B:B,B3092,'2020'!C:C)+SUMIF('2021'!B:B,B3092,'2021'!C:C)+SUMIF('2022'!B:B,B3092,'2022'!C:C)</f>
        <v>469071.7</v>
      </c>
      <c r="J3092" s="59">
        <v>44925</v>
      </c>
      <c r="K3092" s="273" t="s">
        <v>3118</v>
      </c>
    </row>
    <row r="3093" spans="1:11" x14ac:dyDescent="0.3">
      <c r="A3093" s="259">
        <f t="shared" si="116"/>
        <v>2772</v>
      </c>
      <c r="B3093" s="20" t="s">
        <v>2752</v>
      </c>
      <c r="C3093" s="162">
        <v>1977</v>
      </c>
      <c r="D3093" s="234"/>
      <c r="E3093" s="234" t="s">
        <v>3119</v>
      </c>
      <c r="F3093" s="50">
        <v>9</v>
      </c>
      <c r="G3093" s="234">
        <v>13631.5</v>
      </c>
      <c r="H3093" s="10">
        <v>513</v>
      </c>
      <c r="I3093" s="273">
        <f>SUMIF('2020'!B:B,B3093,'2020'!C:C)+SUMIF('2021'!B:B,B3093,'2021'!C:C)+SUMIF('2022'!B:B,B3093,'2022'!C:C)</f>
        <v>779188.84</v>
      </c>
      <c r="J3093" s="59">
        <v>44925</v>
      </c>
      <c r="K3093" s="273" t="s">
        <v>3118</v>
      </c>
    </row>
    <row r="3094" spans="1:11" x14ac:dyDescent="0.3">
      <c r="A3094" s="259">
        <f t="shared" si="116"/>
        <v>2773</v>
      </c>
      <c r="B3094" s="20" t="s">
        <v>2753</v>
      </c>
      <c r="C3094" s="162">
        <v>1976</v>
      </c>
      <c r="D3094" s="234"/>
      <c r="E3094" s="234" t="s">
        <v>3119</v>
      </c>
      <c r="F3094" s="50">
        <v>9</v>
      </c>
      <c r="G3094" s="234">
        <v>4549.3</v>
      </c>
      <c r="H3094" s="10">
        <v>193</v>
      </c>
      <c r="I3094" s="273">
        <f>SUMIF('2020'!B:B,B3094,'2020'!C:C)+SUMIF('2021'!B:B,B3094,'2021'!C:C)+SUMIF('2022'!B:B,B3094,'2022'!C:C)</f>
        <v>404747.15</v>
      </c>
      <c r="J3094" s="59">
        <v>44925</v>
      </c>
      <c r="K3094" s="273" t="s">
        <v>3118</v>
      </c>
    </row>
    <row r="3095" spans="1:11" x14ac:dyDescent="0.3">
      <c r="A3095" s="259">
        <f t="shared" si="116"/>
        <v>2774</v>
      </c>
      <c r="B3095" s="20" t="s">
        <v>2754</v>
      </c>
      <c r="C3095" s="162">
        <v>1977</v>
      </c>
      <c r="D3095" s="234"/>
      <c r="E3095" s="234" t="s">
        <v>3119</v>
      </c>
      <c r="F3095" s="50">
        <v>5</v>
      </c>
      <c r="G3095" s="234">
        <v>3494.2</v>
      </c>
      <c r="H3095" s="10">
        <v>147</v>
      </c>
      <c r="I3095" s="273">
        <f>SUMIF('2020'!B:B,B3095,'2020'!C:C)+SUMIF('2021'!B:B,B3095,'2021'!C:C)+SUMIF('2022'!B:B,B3095,'2022'!C:C)</f>
        <v>338399.21</v>
      </c>
      <c r="J3095" s="59">
        <v>44925</v>
      </c>
      <c r="K3095" s="273" t="s">
        <v>3118</v>
      </c>
    </row>
    <row r="3096" spans="1:11" x14ac:dyDescent="0.3">
      <c r="A3096" s="259">
        <f t="shared" si="116"/>
        <v>2775</v>
      </c>
      <c r="B3096" s="20" t="s">
        <v>2755</v>
      </c>
      <c r="C3096" s="162">
        <v>1976</v>
      </c>
      <c r="D3096" s="234"/>
      <c r="E3096" s="234" t="s">
        <v>3119</v>
      </c>
      <c r="F3096" s="50">
        <v>5</v>
      </c>
      <c r="G3096" s="234">
        <v>2357.6999999999998</v>
      </c>
      <c r="H3096" s="10">
        <v>93</v>
      </c>
      <c r="I3096" s="273">
        <f>SUMIF('2020'!B:B,B3096,'2020'!C:C)+SUMIF('2021'!B:B,B3096,'2021'!C:C)+SUMIF('2022'!B:B,B3096,'2022'!C:C)</f>
        <v>277596.31</v>
      </c>
      <c r="J3096" s="59">
        <v>44925</v>
      </c>
      <c r="K3096" s="273" t="s">
        <v>3118</v>
      </c>
    </row>
    <row r="3097" spans="1:11" x14ac:dyDescent="0.3">
      <c r="A3097" s="259">
        <f t="shared" si="116"/>
        <v>2776</v>
      </c>
      <c r="B3097" s="20" t="s">
        <v>2756</v>
      </c>
      <c r="C3097" s="162">
        <v>1977</v>
      </c>
      <c r="D3097" s="234"/>
      <c r="E3097" s="234" t="s">
        <v>3119</v>
      </c>
      <c r="F3097" s="50">
        <v>5</v>
      </c>
      <c r="G3097" s="234">
        <v>2064.9</v>
      </c>
      <c r="H3097" s="10">
        <v>90</v>
      </c>
      <c r="I3097" s="273">
        <f>SUMIF('2020'!B:B,B3097,'2020'!C:C)+SUMIF('2021'!B:B,B3097,'2021'!C:C)+SUMIF('2022'!B:B,B3097,'2022'!C:C)</f>
        <v>279965.94</v>
      </c>
      <c r="J3097" s="59">
        <v>44925</v>
      </c>
      <c r="K3097" s="273" t="s">
        <v>3118</v>
      </c>
    </row>
    <row r="3098" spans="1:11" x14ac:dyDescent="0.3">
      <c r="A3098" s="259">
        <f t="shared" si="116"/>
        <v>2777</v>
      </c>
      <c r="B3098" s="20" t="s">
        <v>2757</v>
      </c>
      <c r="C3098" s="162">
        <v>1977</v>
      </c>
      <c r="D3098" s="234"/>
      <c r="E3098" s="234" t="s">
        <v>3123</v>
      </c>
      <c r="F3098" s="50">
        <v>9</v>
      </c>
      <c r="G3098" s="234">
        <v>4624</v>
      </c>
      <c r="H3098" s="10">
        <v>247</v>
      </c>
      <c r="I3098" s="273">
        <f>SUMIF('2020'!B:B,B3098,'2020'!C:C)+SUMIF('2021'!B:B,B3098,'2021'!C:C)+SUMIF('2022'!B:B,B3098,'2022'!C:C)</f>
        <v>404747.15</v>
      </c>
      <c r="J3098" s="59">
        <v>44925</v>
      </c>
      <c r="K3098" s="273" t="s">
        <v>3118</v>
      </c>
    </row>
    <row r="3099" spans="1:11" x14ac:dyDescent="0.3">
      <c r="A3099" s="259">
        <f t="shared" si="116"/>
        <v>2778</v>
      </c>
      <c r="B3099" s="20" t="s">
        <v>2758</v>
      </c>
      <c r="C3099" s="162">
        <v>1977</v>
      </c>
      <c r="D3099" s="234"/>
      <c r="E3099" s="273" t="s">
        <v>3123</v>
      </c>
      <c r="F3099" s="50">
        <v>9</v>
      </c>
      <c r="G3099" s="234">
        <v>4384.6000000000004</v>
      </c>
      <c r="H3099" s="10">
        <v>286</v>
      </c>
      <c r="I3099" s="273">
        <f>SUMIF('2020'!B:B,B3099,'2020'!C:C)+SUMIF('2021'!B:B,B3099,'2021'!C:C)+SUMIF('2022'!B:B,B3099,'2022'!C:C)</f>
        <v>16513107.6</v>
      </c>
      <c r="J3099" s="59">
        <v>44925</v>
      </c>
      <c r="K3099" s="273" t="s">
        <v>3118</v>
      </c>
    </row>
    <row r="3100" spans="1:11" x14ac:dyDescent="0.3">
      <c r="A3100" s="259">
        <f t="shared" si="116"/>
        <v>2779</v>
      </c>
      <c r="B3100" s="20" t="s">
        <v>2759</v>
      </c>
      <c r="C3100" s="162">
        <v>1975</v>
      </c>
      <c r="D3100" s="234"/>
      <c r="E3100" s="234" t="s">
        <v>3119</v>
      </c>
      <c r="F3100" s="50">
        <v>9</v>
      </c>
      <c r="G3100" s="234">
        <v>10663.2</v>
      </c>
      <c r="H3100" s="10">
        <v>471</v>
      </c>
      <c r="I3100" s="273">
        <f>SUMIF('2020'!B:B,B3100,'2020'!C:C)+SUMIF('2021'!B:B,B3100,'2021'!C:C)+SUMIF('2022'!B:B,B3100,'2022'!C:C)</f>
        <v>635167.32999999996</v>
      </c>
      <c r="J3100" s="59">
        <v>44925</v>
      </c>
      <c r="K3100" s="273" t="s">
        <v>3118</v>
      </c>
    </row>
    <row r="3101" spans="1:11" x14ac:dyDescent="0.3">
      <c r="A3101" s="259">
        <f t="shared" si="116"/>
        <v>2780</v>
      </c>
      <c r="B3101" s="20" t="s">
        <v>2760</v>
      </c>
      <c r="C3101" s="162">
        <v>1975</v>
      </c>
      <c r="D3101" s="234"/>
      <c r="E3101" s="234" t="s">
        <v>3119</v>
      </c>
      <c r="F3101" s="50">
        <v>9</v>
      </c>
      <c r="G3101" s="234">
        <v>8596.2999999999993</v>
      </c>
      <c r="H3101" s="10">
        <v>394</v>
      </c>
      <c r="I3101" s="273">
        <f>SUMIF('2020'!B:B,B3101,'2020'!C:C)+SUMIF('2021'!B:B,B3101,'2021'!C:C)+SUMIF('2022'!B:B,B3101,'2022'!C:C)</f>
        <v>559776.06999999995</v>
      </c>
      <c r="J3101" s="59">
        <v>44925</v>
      </c>
      <c r="K3101" s="273" t="s">
        <v>3118</v>
      </c>
    </row>
    <row r="3102" spans="1:11" x14ac:dyDescent="0.3">
      <c r="A3102" s="259">
        <f t="shared" si="116"/>
        <v>2781</v>
      </c>
      <c r="B3102" s="20" t="s">
        <v>2761</v>
      </c>
      <c r="C3102" s="162">
        <v>1976</v>
      </c>
      <c r="D3102" s="234"/>
      <c r="E3102" s="234" t="s">
        <v>3119</v>
      </c>
      <c r="F3102" s="50">
        <v>9</v>
      </c>
      <c r="G3102" s="234">
        <v>9685.9</v>
      </c>
      <c r="H3102" s="10">
        <v>379</v>
      </c>
      <c r="I3102" s="273">
        <f>SUMIF('2020'!B:B,B3102,'2020'!C:C)+SUMIF('2021'!B:B,B3102,'2021'!C:C)+SUMIF('2022'!B:B,B3102,'2022'!C:C)</f>
        <v>8134473.4199999999</v>
      </c>
      <c r="J3102" s="59">
        <v>44925</v>
      </c>
      <c r="K3102" s="273" t="s">
        <v>3118</v>
      </c>
    </row>
    <row r="3103" spans="1:11" x14ac:dyDescent="0.3">
      <c r="A3103" s="259">
        <f t="shared" si="116"/>
        <v>2782</v>
      </c>
      <c r="B3103" s="20" t="s">
        <v>2762</v>
      </c>
      <c r="C3103" s="162">
        <v>1976</v>
      </c>
      <c r="D3103" s="234"/>
      <c r="E3103" s="234" t="s">
        <v>3119</v>
      </c>
      <c r="F3103" s="50">
        <v>9</v>
      </c>
      <c r="G3103" s="234">
        <v>4520.7</v>
      </c>
      <c r="H3103" s="10">
        <v>150</v>
      </c>
      <c r="I3103" s="273">
        <f>SUMIF('2020'!B:B,B3103,'2020'!C:C)+SUMIF('2021'!B:B,B3103,'2021'!C:C)+SUMIF('2022'!B:B,B3103,'2022'!C:C)</f>
        <v>112023.73</v>
      </c>
      <c r="J3103" s="59">
        <v>44925</v>
      </c>
      <c r="K3103" s="273" t="s">
        <v>3118</v>
      </c>
    </row>
    <row r="3104" spans="1:11" x14ac:dyDescent="0.3">
      <c r="A3104" s="259">
        <f t="shared" si="116"/>
        <v>2783</v>
      </c>
      <c r="B3104" s="20" t="s">
        <v>2763</v>
      </c>
      <c r="C3104" s="162">
        <v>1976</v>
      </c>
      <c r="D3104" s="234"/>
      <c r="E3104" s="234" t="s">
        <v>3119</v>
      </c>
      <c r="F3104" s="50">
        <v>9</v>
      </c>
      <c r="G3104" s="234">
        <v>4497.8</v>
      </c>
      <c r="H3104" s="10">
        <v>150</v>
      </c>
      <c r="I3104" s="273">
        <f>SUMIF('2020'!B:B,B3104,'2020'!C:C)+SUMIF('2021'!B:B,B3104,'2021'!C:C)+SUMIF('2022'!B:B,B3104,'2022'!C:C)</f>
        <v>411098.93</v>
      </c>
      <c r="J3104" s="59">
        <v>44925</v>
      </c>
      <c r="K3104" s="273" t="s">
        <v>3118</v>
      </c>
    </row>
    <row r="3105" spans="1:11" x14ac:dyDescent="0.3">
      <c r="A3105" s="259">
        <f t="shared" si="116"/>
        <v>2784</v>
      </c>
      <c r="B3105" s="20" t="s">
        <v>2764</v>
      </c>
      <c r="C3105" s="162">
        <v>1957</v>
      </c>
      <c r="D3105" s="234"/>
      <c r="E3105" s="234" t="s">
        <v>3123</v>
      </c>
      <c r="F3105" s="50">
        <v>2</v>
      </c>
      <c r="G3105" s="273">
        <v>341.3</v>
      </c>
      <c r="H3105" s="10">
        <v>21</v>
      </c>
      <c r="I3105" s="273">
        <f>SUMIF('2020'!B:B,B3105,'2020'!C:C)+SUMIF('2021'!B:B,B3105,'2021'!C:C)+SUMIF('2022'!B:B,B3105,'2022'!C:C)</f>
        <v>547578.15</v>
      </c>
      <c r="J3105" s="59">
        <v>44925</v>
      </c>
      <c r="K3105" s="273" t="s">
        <v>3118</v>
      </c>
    </row>
    <row r="3106" spans="1:11" x14ac:dyDescent="0.3">
      <c r="A3106" s="259">
        <f t="shared" si="116"/>
        <v>2785</v>
      </c>
      <c r="B3106" s="20" t="s">
        <v>2765</v>
      </c>
      <c r="C3106" s="162">
        <v>1974</v>
      </c>
      <c r="D3106" s="234"/>
      <c r="E3106" s="234" t="s">
        <v>3123</v>
      </c>
      <c r="F3106" s="50">
        <v>6</v>
      </c>
      <c r="G3106" s="273">
        <v>4664.3999999999996</v>
      </c>
      <c r="H3106" s="10">
        <v>165</v>
      </c>
      <c r="I3106" s="273">
        <f>SUMIF('2020'!B:B,B3106,'2020'!C:C)+SUMIF('2021'!B:B,B3106,'2021'!C:C)+SUMIF('2022'!B:B,B3106,'2022'!C:C)</f>
        <v>32903413.619999997</v>
      </c>
      <c r="J3106" s="59">
        <v>44925</v>
      </c>
      <c r="K3106" s="273" t="s">
        <v>3118</v>
      </c>
    </row>
    <row r="3107" spans="1:11" x14ac:dyDescent="0.3">
      <c r="A3107" s="259">
        <f t="shared" si="116"/>
        <v>2786</v>
      </c>
      <c r="B3107" s="20" t="s">
        <v>2766</v>
      </c>
      <c r="C3107" s="162">
        <v>1961</v>
      </c>
      <c r="D3107" s="234"/>
      <c r="E3107" s="273" t="s">
        <v>3123</v>
      </c>
      <c r="F3107" s="50">
        <v>5</v>
      </c>
      <c r="G3107" s="273">
        <v>4174.1400000000003</v>
      </c>
      <c r="H3107" s="10">
        <v>90</v>
      </c>
      <c r="I3107" s="273">
        <f>SUMIF('2020'!B:B,B3107,'2020'!C:C)+SUMIF('2021'!B:B,B3107,'2021'!C:C)+SUMIF('2022'!B:B,B3107,'2022'!C:C)</f>
        <v>17920477.379999999</v>
      </c>
      <c r="J3107" s="59">
        <v>44925</v>
      </c>
      <c r="K3107" s="273" t="s">
        <v>3118</v>
      </c>
    </row>
    <row r="3108" spans="1:11" x14ac:dyDescent="0.3">
      <c r="A3108" s="259">
        <f t="shared" si="116"/>
        <v>2787</v>
      </c>
      <c r="B3108" s="20" t="s">
        <v>2767</v>
      </c>
      <c r="C3108" s="162">
        <v>1953</v>
      </c>
      <c r="D3108" s="234"/>
      <c r="E3108" s="234" t="s">
        <v>3123</v>
      </c>
      <c r="F3108" s="50">
        <v>2</v>
      </c>
      <c r="G3108" s="273">
        <v>232.6</v>
      </c>
      <c r="H3108" s="10">
        <v>9</v>
      </c>
      <c r="I3108" s="273">
        <f>SUMIF('2020'!B:B,B3108,'2020'!C:C)+SUMIF('2021'!B:B,B3108,'2021'!C:C)+SUMIF('2022'!B:B,B3108,'2022'!C:C)</f>
        <v>238013.36</v>
      </c>
      <c r="J3108" s="59">
        <v>44925</v>
      </c>
      <c r="K3108" s="273" t="s">
        <v>3118</v>
      </c>
    </row>
    <row r="3109" spans="1:11" x14ac:dyDescent="0.3">
      <c r="A3109" s="259">
        <f t="shared" si="116"/>
        <v>2788</v>
      </c>
      <c r="B3109" s="20" t="s">
        <v>2769</v>
      </c>
      <c r="C3109" s="162">
        <v>1916</v>
      </c>
      <c r="D3109" s="234"/>
      <c r="E3109" s="273" t="s">
        <v>3123</v>
      </c>
      <c r="F3109" s="50">
        <v>2</v>
      </c>
      <c r="G3109" s="273">
        <v>174.4</v>
      </c>
      <c r="H3109" s="10">
        <v>11</v>
      </c>
      <c r="I3109" s="273">
        <f>SUMIF('2020'!B:B,B3109,'2020'!C:C)+SUMIF('2021'!B:B,B3109,'2021'!C:C)+SUMIF('2022'!B:B,B3109,'2022'!C:C)</f>
        <v>2383024.16</v>
      </c>
      <c r="J3109" s="59">
        <v>44925</v>
      </c>
      <c r="K3109" s="273" t="s">
        <v>3118</v>
      </c>
    </row>
    <row r="3110" spans="1:11" x14ac:dyDescent="0.3">
      <c r="A3110" s="259">
        <f t="shared" si="116"/>
        <v>2789</v>
      </c>
      <c r="B3110" s="20" t="s">
        <v>2768</v>
      </c>
      <c r="C3110" s="162">
        <v>1917</v>
      </c>
      <c r="D3110" s="234"/>
      <c r="E3110" s="273" t="s">
        <v>3123</v>
      </c>
      <c r="F3110" s="50">
        <v>2</v>
      </c>
      <c r="G3110" s="273">
        <v>174.4</v>
      </c>
      <c r="H3110" s="10">
        <v>11</v>
      </c>
      <c r="I3110" s="273">
        <f>SUMIF('2020'!B:B,B3110,'2020'!C:C)+SUMIF('2021'!B:B,B3110,'2021'!C:C)+SUMIF('2022'!B:B,B3110,'2022'!C:C)</f>
        <v>130000</v>
      </c>
      <c r="J3110" s="59">
        <v>44925</v>
      </c>
      <c r="K3110" s="273" t="s">
        <v>3118</v>
      </c>
    </row>
    <row r="3111" spans="1:11" x14ac:dyDescent="0.3">
      <c r="A3111" s="259">
        <f t="shared" si="116"/>
        <v>2790</v>
      </c>
      <c r="B3111" s="20" t="s">
        <v>2770</v>
      </c>
      <c r="C3111" s="162">
        <v>1960</v>
      </c>
      <c r="D3111" s="234"/>
      <c r="E3111" s="234" t="s">
        <v>3123</v>
      </c>
      <c r="F3111" s="50">
        <v>2</v>
      </c>
      <c r="G3111" s="273">
        <v>819.81</v>
      </c>
      <c r="H3111" s="10">
        <v>27</v>
      </c>
      <c r="I3111" s="273">
        <f>SUMIF('2020'!B:B,B3111,'2020'!C:C)+SUMIF('2021'!B:B,B3111,'2021'!C:C)+SUMIF('2022'!B:B,B3111,'2022'!C:C)</f>
        <v>803088.3</v>
      </c>
      <c r="J3111" s="59">
        <v>44925</v>
      </c>
      <c r="K3111" s="273" t="s">
        <v>3118</v>
      </c>
    </row>
    <row r="3112" spans="1:11" x14ac:dyDescent="0.3">
      <c r="A3112" s="259">
        <f t="shared" si="116"/>
        <v>2791</v>
      </c>
      <c r="B3112" s="20" t="s">
        <v>2771</v>
      </c>
      <c r="C3112" s="162">
        <v>1972</v>
      </c>
      <c r="D3112" s="234"/>
      <c r="E3112" s="273" t="s">
        <v>3123</v>
      </c>
      <c r="F3112" s="50">
        <v>2</v>
      </c>
      <c r="G3112" s="234">
        <v>1508.04</v>
      </c>
      <c r="H3112" s="10">
        <v>40</v>
      </c>
      <c r="I3112" s="273">
        <f>SUMIF('2020'!B:B,B3112,'2020'!C:C)+SUMIF('2021'!B:B,B3112,'2021'!C:C)+SUMIF('2022'!B:B,B3112,'2022'!C:C)</f>
        <v>836228.4</v>
      </c>
      <c r="J3112" s="59">
        <v>44925</v>
      </c>
      <c r="K3112" s="273" t="s">
        <v>3118</v>
      </c>
    </row>
    <row r="3113" spans="1:11" x14ac:dyDescent="0.3">
      <c r="A3113" s="259">
        <f t="shared" si="116"/>
        <v>2792</v>
      </c>
      <c r="B3113" s="20" t="s">
        <v>2772</v>
      </c>
      <c r="C3113" s="162">
        <v>1964</v>
      </c>
      <c r="D3113" s="234"/>
      <c r="E3113" s="234" t="s">
        <v>3123</v>
      </c>
      <c r="F3113" s="50">
        <v>2</v>
      </c>
      <c r="G3113" s="234">
        <v>677.9</v>
      </c>
      <c r="H3113" s="10">
        <v>25</v>
      </c>
      <c r="I3113" s="273">
        <f>SUMIF('2020'!B:B,B3113,'2020'!C:C)+SUMIF('2021'!B:B,B3113,'2021'!C:C)+SUMIF('2022'!B:B,B3113,'2022'!C:C)</f>
        <v>516650.71</v>
      </c>
      <c r="J3113" s="59">
        <v>44925</v>
      </c>
      <c r="K3113" s="273" t="s">
        <v>3118</v>
      </c>
    </row>
    <row r="3114" spans="1:11" x14ac:dyDescent="0.3">
      <c r="A3114" s="259">
        <f t="shared" si="116"/>
        <v>2793</v>
      </c>
      <c r="B3114" s="20" t="s">
        <v>2773</v>
      </c>
      <c r="C3114" s="162">
        <v>1965</v>
      </c>
      <c r="D3114" s="234"/>
      <c r="E3114" s="234" t="s">
        <v>3123</v>
      </c>
      <c r="F3114" s="50">
        <v>2</v>
      </c>
      <c r="G3114" s="234">
        <v>689.1</v>
      </c>
      <c r="H3114" s="10">
        <v>28</v>
      </c>
      <c r="I3114" s="273">
        <f>SUMIF('2020'!B:B,B3114,'2020'!C:C)+SUMIF('2021'!B:B,B3114,'2021'!C:C)+SUMIF('2022'!B:B,B3114,'2022'!C:C)</f>
        <v>185015.23</v>
      </c>
      <c r="J3114" s="59">
        <v>44925</v>
      </c>
      <c r="K3114" s="273" t="s">
        <v>3118</v>
      </c>
    </row>
    <row r="3115" spans="1:11" x14ac:dyDescent="0.3">
      <c r="A3115" s="259">
        <f t="shared" si="116"/>
        <v>2794</v>
      </c>
      <c r="B3115" s="20" t="s">
        <v>2774</v>
      </c>
      <c r="C3115" s="162">
        <v>1963</v>
      </c>
      <c r="D3115" s="234"/>
      <c r="E3115" s="234" t="s">
        <v>3437</v>
      </c>
      <c r="F3115" s="50">
        <v>2</v>
      </c>
      <c r="G3115" s="273">
        <v>342.5</v>
      </c>
      <c r="H3115" s="10">
        <v>23</v>
      </c>
      <c r="I3115" s="273">
        <f>SUMIF('2020'!B:B,B3115,'2020'!C:C)+SUMIF('2021'!B:B,B3115,'2021'!C:C)+SUMIF('2022'!B:B,B3115,'2022'!C:C)</f>
        <v>455412.54</v>
      </c>
      <c r="J3115" s="59">
        <v>44925</v>
      </c>
      <c r="K3115" s="273" t="s">
        <v>3118</v>
      </c>
    </row>
    <row r="3116" spans="1:11" x14ac:dyDescent="0.3">
      <c r="A3116" s="259">
        <f t="shared" si="116"/>
        <v>2795</v>
      </c>
      <c r="B3116" s="20" t="s">
        <v>2775</v>
      </c>
      <c r="C3116" s="162">
        <v>1977</v>
      </c>
      <c r="D3116" s="234"/>
      <c r="E3116" s="234" t="s">
        <v>3123</v>
      </c>
      <c r="F3116" s="50">
        <v>2</v>
      </c>
      <c r="G3116" s="234">
        <v>1588</v>
      </c>
      <c r="H3116" s="10">
        <v>41</v>
      </c>
      <c r="I3116" s="273">
        <f>SUMIF('2020'!B:B,B3116,'2020'!C:C)+SUMIF('2021'!B:B,B3116,'2021'!C:C)+SUMIF('2022'!B:B,B3116,'2022'!C:C)</f>
        <v>4652408.8899999997</v>
      </c>
      <c r="J3116" s="59">
        <v>44925</v>
      </c>
      <c r="K3116" s="273" t="s">
        <v>3118</v>
      </c>
    </row>
    <row r="3117" spans="1:11" x14ac:dyDescent="0.3">
      <c r="A3117" s="259">
        <f t="shared" si="116"/>
        <v>2796</v>
      </c>
      <c r="B3117" s="20" t="s">
        <v>2776</v>
      </c>
      <c r="C3117" s="162">
        <v>1976</v>
      </c>
      <c r="D3117" s="234"/>
      <c r="E3117" s="234" t="s">
        <v>3123</v>
      </c>
      <c r="F3117" s="50">
        <v>2</v>
      </c>
      <c r="G3117" s="234">
        <v>1126</v>
      </c>
      <c r="H3117" s="10">
        <v>32</v>
      </c>
      <c r="I3117" s="273">
        <f>SUMIF('2020'!B:B,B3117,'2020'!C:C)+SUMIF('2021'!B:B,B3117,'2021'!C:C)+SUMIF('2022'!B:B,B3117,'2022'!C:C)</f>
        <v>179791.82</v>
      </c>
      <c r="J3117" s="59">
        <v>44925</v>
      </c>
      <c r="K3117" s="273" t="s">
        <v>3118</v>
      </c>
    </row>
    <row r="3118" spans="1:11" x14ac:dyDescent="0.3">
      <c r="A3118" s="259">
        <f t="shared" si="116"/>
        <v>2797</v>
      </c>
      <c r="B3118" s="20" t="s">
        <v>2777</v>
      </c>
      <c r="C3118" s="162">
        <v>1956</v>
      </c>
      <c r="D3118" s="234"/>
      <c r="E3118" s="273" t="s">
        <v>3123</v>
      </c>
      <c r="F3118" s="50">
        <v>2</v>
      </c>
      <c r="G3118" s="273">
        <v>666.11</v>
      </c>
      <c r="H3118" s="10">
        <v>27</v>
      </c>
      <c r="I3118" s="273">
        <f>SUMIF('2020'!B:B,B3118,'2020'!C:C)+SUMIF('2021'!B:B,B3118,'2021'!C:C)+SUMIF('2022'!B:B,B3118,'2022'!C:C)</f>
        <v>2621451.8199999998</v>
      </c>
      <c r="J3118" s="59">
        <v>44925</v>
      </c>
      <c r="K3118" s="273" t="s">
        <v>3118</v>
      </c>
    </row>
    <row r="3119" spans="1:11" x14ac:dyDescent="0.3">
      <c r="A3119" s="259">
        <f t="shared" si="116"/>
        <v>2798</v>
      </c>
      <c r="B3119" s="20" t="s">
        <v>2778</v>
      </c>
      <c r="C3119" s="162">
        <v>1945</v>
      </c>
      <c r="D3119" s="234"/>
      <c r="E3119" s="273" t="s">
        <v>3437</v>
      </c>
      <c r="F3119" s="50">
        <v>2</v>
      </c>
      <c r="G3119" s="273">
        <v>236.3</v>
      </c>
      <c r="H3119" s="10">
        <v>10</v>
      </c>
      <c r="I3119" s="273">
        <f>SUMIF('2020'!B:B,B3119,'2020'!C:C)+SUMIF('2021'!B:B,B3119,'2021'!C:C)+SUMIF('2022'!B:B,B3119,'2022'!C:C)</f>
        <v>441508.8</v>
      </c>
      <c r="J3119" s="59">
        <v>44925</v>
      </c>
      <c r="K3119" s="273" t="s">
        <v>3118</v>
      </c>
    </row>
    <row r="3120" spans="1:11" x14ac:dyDescent="0.3">
      <c r="A3120" s="259">
        <f t="shared" si="116"/>
        <v>2799</v>
      </c>
      <c r="B3120" s="20" t="s">
        <v>2779</v>
      </c>
      <c r="C3120" s="162">
        <v>1916</v>
      </c>
      <c r="D3120" s="234"/>
      <c r="E3120" s="273" t="s">
        <v>3437</v>
      </c>
      <c r="F3120" s="50">
        <v>2</v>
      </c>
      <c r="G3120" s="273">
        <v>266.8</v>
      </c>
      <c r="H3120" s="10">
        <v>15</v>
      </c>
      <c r="I3120" s="273">
        <f>SUMIF('2020'!B:B,B3120,'2020'!C:C)+SUMIF('2021'!B:B,B3120,'2021'!C:C)+SUMIF('2022'!B:B,B3120,'2022'!C:C)</f>
        <v>215971.77999999997</v>
      </c>
      <c r="J3120" s="59">
        <v>44925</v>
      </c>
      <c r="K3120" s="273" t="s">
        <v>3118</v>
      </c>
    </row>
    <row r="3121" spans="1:11" x14ac:dyDescent="0.3">
      <c r="A3121" s="259">
        <f t="shared" si="116"/>
        <v>2800</v>
      </c>
      <c r="B3121" s="20" t="s">
        <v>2780</v>
      </c>
      <c r="C3121" s="162">
        <v>1917</v>
      </c>
      <c r="D3121" s="234"/>
      <c r="E3121" s="273" t="s">
        <v>3437</v>
      </c>
      <c r="F3121" s="50">
        <v>2</v>
      </c>
      <c r="G3121" s="273">
        <v>606.08000000000004</v>
      </c>
      <c r="H3121" s="10">
        <v>32</v>
      </c>
      <c r="I3121" s="273">
        <f>SUMIF('2020'!B:B,B3121,'2020'!C:C)+SUMIF('2021'!B:B,B3121,'2021'!C:C)+SUMIF('2022'!B:B,B3121,'2022'!C:C)</f>
        <v>891350.76</v>
      </c>
      <c r="J3121" s="59">
        <v>44925</v>
      </c>
      <c r="K3121" s="273" t="s">
        <v>3118</v>
      </c>
    </row>
    <row r="3122" spans="1:11" x14ac:dyDescent="0.3">
      <c r="A3122" s="259">
        <f t="shared" si="116"/>
        <v>2801</v>
      </c>
      <c r="B3122" s="20" t="s">
        <v>2781</v>
      </c>
      <c r="C3122" s="162">
        <v>1959</v>
      </c>
      <c r="D3122" s="234"/>
      <c r="E3122" s="234" t="s">
        <v>3123</v>
      </c>
      <c r="F3122" s="50">
        <v>2</v>
      </c>
      <c r="G3122" s="273">
        <v>703.9</v>
      </c>
      <c r="H3122" s="10">
        <v>29</v>
      </c>
      <c r="I3122" s="273">
        <f>SUMIF('2020'!B:B,B3122,'2020'!C:C)+SUMIF('2021'!B:B,B3122,'2021'!C:C)+SUMIF('2022'!B:B,B3122,'2022'!C:C)</f>
        <v>4415284.8</v>
      </c>
      <c r="J3122" s="59">
        <v>44925</v>
      </c>
      <c r="K3122" s="273" t="s">
        <v>3118</v>
      </c>
    </row>
    <row r="3123" spans="1:11" x14ac:dyDescent="0.3">
      <c r="A3123" s="259">
        <f t="shared" si="116"/>
        <v>2802</v>
      </c>
      <c r="B3123" s="20" t="s">
        <v>2782</v>
      </c>
      <c r="C3123" s="162">
        <v>1960</v>
      </c>
      <c r="D3123" s="234"/>
      <c r="E3123" s="234" t="s">
        <v>3123</v>
      </c>
      <c r="F3123" s="50">
        <v>2</v>
      </c>
      <c r="G3123" s="273">
        <v>750.5</v>
      </c>
      <c r="H3123" s="10">
        <v>27</v>
      </c>
      <c r="I3123" s="273">
        <f>SUMIF('2020'!B:B,B3123,'2020'!C:C)+SUMIF('2021'!B:B,B3123,'2021'!C:C)+SUMIF('2022'!B:B,B3123,'2022'!C:C)</f>
        <v>1258434.45</v>
      </c>
      <c r="J3123" s="59">
        <v>44925</v>
      </c>
      <c r="K3123" s="273" t="s">
        <v>3118</v>
      </c>
    </row>
    <row r="3124" spans="1:11" x14ac:dyDescent="0.3">
      <c r="A3124" s="259">
        <f t="shared" si="116"/>
        <v>2803</v>
      </c>
      <c r="B3124" s="20" t="s">
        <v>2783</v>
      </c>
      <c r="C3124" s="162">
        <v>1917</v>
      </c>
      <c r="D3124" s="234"/>
      <c r="E3124" s="273" t="s">
        <v>3437</v>
      </c>
      <c r="F3124" s="50">
        <v>2</v>
      </c>
      <c r="G3124" s="273">
        <v>478.71</v>
      </c>
      <c r="H3124" s="10">
        <v>26</v>
      </c>
      <c r="I3124" s="273">
        <f>SUMIF('2020'!B:B,B3124,'2020'!C:C)+SUMIF('2021'!B:B,B3124,'2021'!C:C)+SUMIF('2022'!B:B,B3124,'2022'!C:C)</f>
        <v>340582.22</v>
      </c>
      <c r="J3124" s="59">
        <v>44925</v>
      </c>
      <c r="K3124" s="273" t="s">
        <v>3118</v>
      </c>
    </row>
    <row r="3125" spans="1:11" x14ac:dyDescent="0.3">
      <c r="A3125" s="259">
        <f t="shared" si="116"/>
        <v>2804</v>
      </c>
      <c r="B3125" s="20" t="s">
        <v>2784</v>
      </c>
      <c r="C3125" s="162">
        <v>1961</v>
      </c>
      <c r="D3125" s="234"/>
      <c r="E3125" s="273" t="s">
        <v>3123</v>
      </c>
      <c r="F3125" s="50">
        <v>2</v>
      </c>
      <c r="G3125" s="273">
        <v>729.6</v>
      </c>
      <c r="H3125" s="10">
        <v>32</v>
      </c>
      <c r="I3125" s="273">
        <f>SUMIF('2020'!B:B,B3125,'2020'!C:C)+SUMIF('2021'!B:B,B3125,'2021'!C:C)+SUMIF('2022'!B:B,B3125,'2022'!C:C)</f>
        <v>171519.25</v>
      </c>
      <c r="J3125" s="59">
        <v>44925</v>
      </c>
      <c r="K3125" s="273" t="s">
        <v>3118</v>
      </c>
    </row>
    <row r="3126" spans="1:11" x14ac:dyDescent="0.3">
      <c r="A3126" s="259">
        <f t="shared" si="116"/>
        <v>2805</v>
      </c>
      <c r="B3126" s="20" t="s">
        <v>2785</v>
      </c>
      <c r="C3126" s="162">
        <v>1958</v>
      </c>
      <c r="D3126" s="234"/>
      <c r="E3126" s="273" t="s">
        <v>3123</v>
      </c>
      <c r="F3126" s="50">
        <v>2</v>
      </c>
      <c r="G3126" s="273">
        <v>400.95</v>
      </c>
      <c r="H3126" s="10">
        <v>13</v>
      </c>
      <c r="I3126" s="273">
        <f>SUMIF('2020'!B:B,B3126,'2020'!C:C)+SUMIF('2021'!B:B,B3126,'2021'!C:C)+SUMIF('2022'!B:B,B3126,'2022'!C:C)</f>
        <v>755847.34</v>
      </c>
      <c r="J3126" s="59">
        <v>44925</v>
      </c>
      <c r="K3126" s="273" t="s">
        <v>3118</v>
      </c>
    </row>
    <row r="3127" spans="1:11" x14ac:dyDescent="0.3">
      <c r="A3127" s="259">
        <f t="shared" si="116"/>
        <v>2806</v>
      </c>
      <c r="B3127" s="20" t="s">
        <v>2786</v>
      </c>
      <c r="C3127" s="162">
        <v>1950</v>
      </c>
      <c r="D3127" s="234"/>
      <c r="E3127" s="234" t="s">
        <v>3437</v>
      </c>
      <c r="F3127" s="50">
        <v>2</v>
      </c>
      <c r="G3127" s="273">
        <v>327.2</v>
      </c>
      <c r="H3127" s="10">
        <v>19</v>
      </c>
      <c r="I3127" s="273">
        <f>SUMIF('2020'!B:B,B3127,'2020'!C:C)+SUMIF('2021'!B:B,B3127,'2021'!C:C)+SUMIF('2022'!B:B,B3127,'2022'!C:C)</f>
        <v>2275673.94</v>
      </c>
      <c r="J3127" s="59">
        <v>44925</v>
      </c>
      <c r="K3127" s="273" t="s">
        <v>3118</v>
      </c>
    </row>
    <row r="3128" spans="1:11" x14ac:dyDescent="0.3">
      <c r="A3128" s="259">
        <f t="shared" si="116"/>
        <v>2807</v>
      </c>
      <c r="B3128" s="20" t="s">
        <v>2787</v>
      </c>
      <c r="C3128" s="162">
        <v>1979</v>
      </c>
      <c r="D3128" s="234"/>
      <c r="E3128" s="273" t="s">
        <v>3123</v>
      </c>
      <c r="F3128" s="50">
        <v>2</v>
      </c>
      <c r="G3128" s="273">
        <v>568.1</v>
      </c>
      <c r="H3128" s="10">
        <v>26</v>
      </c>
      <c r="I3128" s="273">
        <f>SUMIF('2020'!B:B,B3128,'2020'!C:C)+SUMIF('2021'!B:B,B3128,'2021'!C:C)+SUMIF('2022'!B:B,B3128,'2022'!C:C)</f>
        <v>4580698.6399999997</v>
      </c>
      <c r="J3128" s="59">
        <v>44925</v>
      </c>
      <c r="K3128" s="273" t="s">
        <v>3118</v>
      </c>
    </row>
    <row r="3129" spans="1:11" x14ac:dyDescent="0.3">
      <c r="A3129" s="259">
        <f t="shared" si="116"/>
        <v>2808</v>
      </c>
      <c r="B3129" s="20" t="s">
        <v>2788</v>
      </c>
      <c r="C3129" s="162">
        <v>1976</v>
      </c>
      <c r="D3129" s="234"/>
      <c r="E3129" s="234" t="s">
        <v>3123</v>
      </c>
      <c r="F3129" s="50">
        <v>2</v>
      </c>
      <c r="G3129" s="273">
        <v>399.77</v>
      </c>
      <c r="H3129" s="10">
        <v>20</v>
      </c>
      <c r="I3129" s="273">
        <f>SUMIF('2020'!B:B,B3129,'2020'!C:C)+SUMIF('2021'!B:B,B3129,'2021'!C:C)+SUMIF('2022'!B:B,B3129,'2022'!C:C)</f>
        <v>4190722.8</v>
      </c>
      <c r="J3129" s="59">
        <v>44925</v>
      </c>
      <c r="K3129" s="273" t="s">
        <v>3118</v>
      </c>
    </row>
    <row r="3130" spans="1:11" x14ac:dyDescent="0.3">
      <c r="A3130" s="259">
        <f t="shared" si="116"/>
        <v>2809</v>
      </c>
      <c r="B3130" s="20" t="s">
        <v>2789</v>
      </c>
      <c r="C3130" s="162">
        <v>1917</v>
      </c>
      <c r="D3130" s="234"/>
      <c r="E3130" s="273"/>
      <c r="F3130" s="50"/>
      <c r="G3130" s="234"/>
      <c r="H3130" s="10"/>
      <c r="I3130" s="273">
        <f>SUMIF('2020'!B:B,B3130,'2020'!C:C)+SUMIF('2021'!B:B,B3130,'2021'!C:C)+SUMIF('2022'!B:B,B3130,'2022'!C:C)</f>
        <v>130000</v>
      </c>
      <c r="J3130" s="59">
        <v>44925</v>
      </c>
      <c r="K3130" s="273" t="s">
        <v>3118</v>
      </c>
    </row>
    <row r="3131" spans="1:11" x14ac:dyDescent="0.3">
      <c r="A3131" s="259">
        <f t="shared" si="116"/>
        <v>2810</v>
      </c>
      <c r="B3131" s="20" t="s">
        <v>2790</v>
      </c>
      <c r="C3131" s="162">
        <v>1962</v>
      </c>
      <c r="D3131" s="234"/>
      <c r="E3131" s="273" t="s">
        <v>3123</v>
      </c>
      <c r="F3131" s="50">
        <v>2</v>
      </c>
      <c r="G3131" s="234">
        <v>844.27</v>
      </c>
      <c r="H3131" s="10">
        <v>33</v>
      </c>
      <c r="I3131" s="273">
        <f>SUMIF('2020'!B:B,B3131,'2020'!C:C)+SUMIF('2021'!B:B,B3131,'2021'!C:C)+SUMIF('2022'!B:B,B3131,'2022'!C:C)</f>
        <v>552864.92000000004</v>
      </c>
      <c r="J3131" s="59">
        <v>44925</v>
      </c>
      <c r="K3131" s="273" t="s">
        <v>3118</v>
      </c>
    </row>
    <row r="3132" spans="1:11" x14ac:dyDescent="0.3">
      <c r="A3132" s="259">
        <f t="shared" si="116"/>
        <v>2811</v>
      </c>
      <c r="B3132" s="20" t="s">
        <v>2791</v>
      </c>
      <c r="C3132" s="162">
        <v>1917</v>
      </c>
      <c r="D3132" s="234"/>
      <c r="E3132" s="234" t="s">
        <v>3437</v>
      </c>
      <c r="F3132" s="50">
        <v>2</v>
      </c>
      <c r="G3132" s="273">
        <v>553.79999999999995</v>
      </c>
      <c r="H3132" s="10">
        <v>18</v>
      </c>
      <c r="I3132" s="273">
        <f>SUMIF('2020'!B:B,B3132,'2020'!C:C)+SUMIF('2021'!B:B,B3132,'2021'!C:C)+SUMIF('2022'!B:B,B3132,'2022'!C:C)</f>
        <v>77794.03</v>
      </c>
      <c r="J3132" s="59">
        <v>44925</v>
      </c>
      <c r="K3132" s="273" t="s">
        <v>3118</v>
      </c>
    </row>
    <row r="3133" spans="1:11" x14ac:dyDescent="0.3">
      <c r="A3133" s="259">
        <f t="shared" si="116"/>
        <v>2812</v>
      </c>
      <c r="B3133" s="20" t="s">
        <v>2792</v>
      </c>
      <c r="C3133" s="162">
        <v>1961</v>
      </c>
      <c r="D3133" s="234"/>
      <c r="E3133" s="273" t="s">
        <v>3123</v>
      </c>
      <c r="F3133" s="50">
        <v>2</v>
      </c>
      <c r="G3133" s="273">
        <v>440.29</v>
      </c>
      <c r="H3133" s="10">
        <v>8</v>
      </c>
      <c r="I3133" s="273">
        <f>SUMIF('2020'!B:B,B3133,'2020'!C:C)+SUMIF('2021'!B:B,B3133,'2021'!C:C)+SUMIF('2022'!B:B,B3133,'2022'!C:C)</f>
        <v>361596</v>
      </c>
      <c r="J3133" s="59">
        <v>44925</v>
      </c>
      <c r="K3133" s="273" t="s">
        <v>3118</v>
      </c>
    </row>
    <row r="3134" spans="1:11" x14ac:dyDescent="0.3">
      <c r="A3134" s="259">
        <f t="shared" si="116"/>
        <v>2813</v>
      </c>
      <c r="B3134" s="20" t="s">
        <v>2793</v>
      </c>
      <c r="C3134" s="162">
        <v>1958</v>
      </c>
      <c r="D3134" s="234"/>
      <c r="E3134" s="234" t="s">
        <v>3437</v>
      </c>
      <c r="F3134" s="50">
        <v>2</v>
      </c>
      <c r="G3134" s="273">
        <v>215.4</v>
      </c>
      <c r="H3134" s="10">
        <v>17</v>
      </c>
      <c r="I3134" s="273">
        <f>SUMIF('2020'!B:B,B3134,'2020'!C:C)+SUMIF('2021'!B:B,B3134,'2021'!C:C)+SUMIF('2022'!B:B,B3134,'2022'!C:C)</f>
        <v>2141709</v>
      </c>
      <c r="J3134" s="59">
        <v>44925</v>
      </c>
      <c r="K3134" s="273" t="s">
        <v>3118</v>
      </c>
    </row>
    <row r="3135" spans="1:11" x14ac:dyDescent="0.3">
      <c r="A3135" s="259">
        <f t="shared" si="116"/>
        <v>2814</v>
      </c>
      <c r="B3135" s="20" t="s">
        <v>2794</v>
      </c>
      <c r="C3135" s="162">
        <v>1958</v>
      </c>
      <c r="D3135" s="234"/>
      <c r="E3135" s="273" t="s">
        <v>3437</v>
      </c>
      <c r="F3135" s="50">
        <v>2</v>
      </c>
      <c r="G3135" s="273">
        <v>211.9</v>
      </c>
      <c r="H3135" s="10">
        <v>10</v>
      </c>
      <c r="I3135" s="273">
        <f>SUMIF('2020'!B:B,B3135,'2020'!C:C)+SUMIF('2021'!B:B,B3135,'2021'!C:C)+SUMIF('2022'!B:B,B3135,'2022'!C:C)</f>
        <v>378188.82</v>
      </c>
      <c r="J3135" s="59">
        <v>44925</v>
      </c>
      <c r="K3135" s="273" t="s">
        <v>3118</v>
      </c>
    </row>
    <row r="3136" spans="1:11" x14ac:dyDescent="0.3">
      <c r="A3136" s="259">
        <f t="shared" si="116"/>
        <v>2815</v>
      </c>
      <c r="B3136" s="20" t="s">
        <v>2795</v>
      </c>
      <c r="C3136" s="162">
        <v>1916</v>
      </c>
      <c r="D3136" s="234"/>
      <c r="E3136" s="273" t="s">
        <v>3437</v>
      </c>
      <c r="F3136" s="50">
        <v>2</v>
      </c>
      <c r="G3136" s="273">
        <v>211.7</v>
      </c>
      <c r="H3136" s="10">
        <v>14</v>
      </c>
      <c r="I3136" s="273">
        <f>SUMIF('2020'!B:B,B3136,'2020'!C:C)+SUMIF('2021'!B:B,B3136,'2021'!C:C)+SUMIF('2022'!B:B,B3136,'2022'!C:C)</f>
        <v>412139.78</v>
      </c>
      <c r="J3136" s="59">
        <v>44925</v>
      </c>
      <c r="K3136" s="273" t="s">
        <v>3118</v>
      </c>
    </row>
    <row r="3137" spans="1:11" x14ac:dyDescent="0.3">
      <c r="A3137" s="259">
        <f t="shared" si="116"/>
        <v>2816</v>
      </c>
      <c r="B3137" s="20" t="s">
        <v>2796</v>
      </c>
      <c r="C3137" s="162">
        <v>1917</v>
      </c>
      <c r="D3137" s="234"/>
      <c r="E3137" s="273" t="s">
        <v>3437</v>
      </c>
      <c r="F3137" s="50">
        <v>2</v>
      </c>
      <c r="G3137" s="273">
        <v>337.6</v>
      </c>
      <c r="H3137" s="10">
        <v>23</v>
      </c>
      <c r="I3137" s="273">
        <f>SUMIF('2020'!B:B,B3137,'2020'!C:C)+SUMIF('2021'!B:B,B3137,'2021'!C:C)+SUMIF('2022'!B:B,B3137,'2022'!C:C)</f>
        <v>515047.58</v>
      </c>
      <c r="J3137" s="59">
        <v>44925</v>
      </c>
      <c r="K3137" s="273" t="s">
        <v>3118</v>
      </c>
    </row>
    <row r="3138" spans="1:11" x14ac:dyDescent="0.3">
      <c r="A3138" s="259">
        <f t="shared" si="116"/>
        <v>2817</v>
      </c>
      <c r="B3138" s="20" t="s">
        <v>2797</v>
      </c>
      <c r="C3138" s="162">
        <v>1960</v>
      </c>
      <c r="D3138" s="234"/>
      <c r="E3138" s="273" t="s">
        <v>3437</v>
      </c>
      <c r="F3138" s="50">
        <v>2</v>
      </c>
      <c r="G3138" s="273">
        <v>628.75</v>
      </c>
      <c r="H3138" s="10">
        <v>29</v>
      </c>
      <c r="I3138" s="273">
        <f>SUMIF('2020'!B:B,B3138,'2020'!C:C)+SUMIF('2021'!B:B,B3138,'2021'!C:C)+SUMIF('2022'!B:B,B3138,'2022'!C:C)</f>
        <v>134109.74</v>
      </c>
      <c r="J3138" s="59">
        <v>44925</v>
      </c>
      <c r="K3138" s="273" t="s">
        <v>3118</v>
      </c>
    </row>
    <row r="3139" spans="1:11" x14ac:dyDescent="0.3">
      <c r="A3139" s="259">
        <f t="shared" si="116"/>
        <v>2818</v>
      </c>
      <c r="B3139" s="20" t="s">
        <v>2798</v>
      </c>
      <c r="C3139" s="162">
        <v>1960</v>
      </c>
      <c r="D3139" s="234"/>
      <c r="E3139" s="273" t="s">
        <v>3123</v>
      </c>
      <c r="F3139" s="50">
        <v>2</v>
      </c>
      <c r="G3139" s="273">
        <v>792.35</v>
      </c>
      <c r="H3139" s="10">
        <v>22</v>
      </c>
      <c r="I3139" s="273">
        <f>SUMIF('2020'!B:B,B3139,'2020'!C:C)+SUMIF('2021'!B:B,B3139,'2021'!C:C)+SUMIF('2022'!B:B,B3139,'2022'!C:C)</f>
        <v>602612.4</v>
      </c>
      <c r="J3139" s="59">
        <v>44925</v>
      </c>
      <c r="K3139" s="273" t="s">
        <v>3118</v>
      </c>
    </row>
    <row r="3140" spans="1:11" x14ac:dyDescent="0.3">
      <c r="A3140" s="259">
        <f t="shared" si="116"/>
        <v>2819</v>
      </c>
      <c r="B3140" s="20" t="s">
        <v>2799</v>
      </c>
      <c r="C3140" s="162">
        <v>1916</v>
      </c>
      <c r="D3140" s="234"/>
      <c r="E3140" s="273" t="s">
        <v>3123</v>
      </c>
      <c r="F3140" s="50">
        <v>2</v>
      </c>
      <c r="G3140" s="273">
        <v>336.1</v>
      </c>
      <c r="H3140" s="10">
        <v>9</v>
      </c>
      <c r="I3140" s="273">
        <f>SUMIF('2020'!B:B,B3140,'2020'!C:C)+SUMIF('2021'!B:B,B3140,'2021'!C:C)+SUMIF('2022'!B:B,B3140,'2022'!C:C)</f>
        <v>290247.20999999996</v>
      </c>
      <c r="J3140" s="59">
        <v>44925</v>
      </c>
      <c r="K3140" s="273" t="s">
        <v>3118</v>
      </c>
    </row>
    <row r="3141" spans="1:11" x14ac:dyDescent="0.3">
      <c r="A3141" s="259">
        <f t="shared" si="116"/>
        <v>2820</v>
      </c>
      <c r="B3141" s="20" t="s">
        <v>2800</v>
      </c>
      <c r="C3141" s="162">
        <v>1953</v>
      </c>
      <c r="D3141" s="234"/>
      <c r="E3141" s="273" t="s">
        <v>3123</v>
      </c>
      <c r="F3141" s="50">
        <v>2</v>
      </c>
      <c r="G3141" s="273">
        <v>685.1</v>
      </c>
      <c r="H3141" s="10">
        <v>21</v>
      </c>
      <c r="I3141" s="273">
        <f>SUMIF('2020'!B:B,B3141,'2020'!C:C)+SUMIF('2021'!B:B,B3141,'2021'!C:C)+SUMIF('2022'!B:B,B3141,'2022'!C:C)</f>
        <v>630944.78</v>
      </c>
      <c r="J3141" s="59">
        <v>44925</v>
      </c>
      <c r="K3141" s="273" t="s">
        <v>3118</v>
      </c>
    </row>
    <row r="3142" spans="1:11" x14ac:dyDescent="0.3">
      <c r="A3142" s="259">
        <f t="shared" si="116"/>
        <v>2821</v>
      </c>
      <c r="B3142" s="20" t="s">
        <v>2801</v>
      </c>
      <c r="C3142" s="162">
        <v>1957</v>
      </c>
      <c r="D3142" s="234"/>
      <c r="E3142" s="273" t="s">
        <v>3437</v>
      </c>
      <c r="F3142" s="50">
        <v>2</v>
      </c>
      <c r="G3142" s="273">
        <v>333.8</v>
      </c>
      <c r="H3142" s="10">
        <v>17</v>
      </c>
      <c r="I3142" s="273">
        <f>SUMIF('2020'!B:B,B3142,'2020'!C:C)+SUMIF('2021'!B:B,B3142,'2021'!C:C)+SUMIF('2022'!B:B,B3142,'2022'!C:C)</f>
        <v>524106.44</v>
      </c>
      <c r="J3142" s="59">
        <v>44925</v>
      </c>
      <c r="K3142" s="273" t="s">
        <v>3118</v>
      </c>
    </row>
    <row r="3143" spans="1:11" x14ac:dyDescent="0.3">
      <c r="A3143" s="259">
        <f t="shared" si="116"/>
        <v>2822</v>
      </c>
      <c r="B3143" s="20" t="s">
        <v>2802</v>
      </c>
      <c r="C3143" s="162">
        <v>1952</v>
      </c>
      <c r="D3143" s="234"/>
      <c r="E3143" s="273" t="s">
        <v>3123</v>
      </c>
      <c r="F3143" s="50">
        <v>2</v>
      </c>
      <c r="G3143" s="273">
        <v>644.5</v>
      </c>
      <c r="H3143" s="10">
        <v>56</v>
      </c>
      <c r="I3143" s="273">
        <f>SUMIF('2020'!B:B,B3143,'2020'!C:C)+SUMIF('2021'!B:B,B3143,'2021'!C:C)+SUMIF('2022'!B:B,B3143,'2022'!C:C)</f>
        <v>366324</v>
      </c>
      <c r="J3143" s="59">
        <v>44925</v>
      </c>
      <c r="K3143" s="273" t="s">
        <v>3118</v>
      </c>
    </row>
    <row r="3144" spans="1:11" x14ac:dyDescent="0.3">
      <c r="A3144" s="259">
        <f t="shared" si="116"/>
        <v>2823</v>
      </c>
      <c r="B3144" s="20" t="s">
        <v>2803</v>
      </c>
      <c r="C3144" s="162">
        <v>1959</v>
      </c>
      <c r="D3144" s="234"/>
      <c r="E3144" s="273" t="s">
        <v>3123</v>
      </c>
      <c r="F3144" s="50">
        <v>2</v>
      </c>
      <c r="G3144" s="273">
        <v>1040.55</v>
      </c>
      <c r="H3144" s="10">
        <v>25</v>
      </c>
      <c r="I3144" s="273">
        <f>SUMIF('2020'!B:B,B3144,'2020'!C:C)+SUMIF('2021'!B:B,B3144,'2021'!C:C)+SUMIF('2022'!B:B,B3144,'2022'!C:C)</f>
        <v>590447.22</v>
      </c>
      <c r="J3144" s="59">
        <v>44925</v>
      </c>
      <c r="K3144" s="273" t="s">
        <v>3118</v>
      </c>
    </row>
    <row r="3145" spans="1:11" x14ac:dyDescent="0.3">
      <c r="A3145" s="259">
        <f t="shared" si="116"/>
        <v>2824</v>
      </c>
      <c r="B3145" s="20" t="s">
        <v>2804</v>
      </c>
      <c r="C3145" s="162">
        <v>1960</v>
      </c>
      <c r="D3145" s="234"/>
      <c r="E3145" s="273" t="s">
        <v>3123</v>
      </c>
      <c r="F3145" s="50">
        <v>2</v>
      </c>
      <c r="G3145" s="273">
        <v>270.2</v>
      </c>
      <c r="H3145" s="10">
        <v>71</v>
      </c>
      <c r="I3145" s="273">
        <f>SUMIF('2020'!B:B,B3145,'2020'!C:C)+SUMIF('2021'!B:B,B3145,'2021'!C:C)+SUMIF('2022'!B:B,B3145,'2022'!C:C)</f>
        <v>374379.6</v>
      </c>
      <c r="J3145" s="59">
        <v>44925</v>
      </c>
      <c r="K3145" s="273" t="s">
        <v>3118</v>
      </c>
    </row>
    <row r="3146" spans="1:11" x14ac:dyDescent="0.3">
      <c r="A3146" s="259">
        <f t="shared" si="116"/>
        <v>2825</v>
      </c>
      <c r="B3146" s="20" t="s">
        <v>2805</v>
      </c>
      <c r="C3146" s="162">
        <v>1961</v>
      </c>
      <c r="D3146" s="234"/>
      <c r="E3146" s="273" t="s">
        <v>3123</v>
      </c>
      <c r="F3146" s="50">
        <v>2</v>
      </c>
      <c r="G3146" s="273">
        <v>631.70000000000005</v>
      </c>
      <c r="H3146" s="10">
        <v>21</v>
      </c>
      <c r="I3146" s="273">
        <f>SUMIF('2020'!B:B,B3146,'2020'!C:C)+SUMIF('2021'!B:B,B3146,'2021'!C:C)+SUMIF('2022'!B:B,B3146,'2022'!C:C)</f>
        <v>611636.47999999998</v>
      </c>
      <c r="J3146" s="59">
        <v>44925</v>
      </c>
      <c r="K3146" s="273" t="s">
        <v>3118</v>
      </c>
    </row>
    <row r="3147" spans="1:11" x14ac:dyDescent="0.3">
      <c r="A3147" s="259">
        <f t="shared" ref="A3147:A3151" si="117">A3146+1</f>
        <v>2826</v>
      </c>
      <c r="B3147" s="20" t="s">
        <v>2806</v>
      </c>
      <c r="C3147" s="162">
        <v>1954</v>
      </c>
      <c r="D3147" s="234"/>
      <c r="E3147" s="234" t="s">
        <v>3123</v>
      </c>
      <c r="F3147" s="50">
        <v>2</v>
      </c>
      <c r="G3147" s="273">
        <v>431.73</v>
      </c>
      <c r="H3147" s="10">
        <v>27</v>
      </c>
      <c r="I3147" s="273">
        <f>SUMIF('2020'!B:B,B3147,'2020'!C:C)+SUMIF('2021'!B:B,B3147,'2021'!C:C)+SUMIF('2022'!B:B,B3147,'2022'!C:C)</f>
        <v>443920</v>
      </c>
      <c r="J3147" s="59">
        <v>44925</v>
      </c>
      <c r="K3147" s="273" t="s">
        <v>3118</v>
      </c>
    </row>
    <row r="3148" spans="1:11" x14ac:dyDescent="0.3">
      <c r="A3148" s="259">
        <f t="shared" si="117"/>
        <v>2827</v>
      </c>
      <c r="B3148" s="20" t="s">
        <v>2807</v>
      </c>
      <c r="C3148" s="162">
        <v>1963</v>
      </c>
      <c r="D3148" s="234"/>
      <c r="E3148" s="234" t="s">
        <v>3123</v>
      </c>
      <c r="F3148" s="50">
        <v>2</v>
      </c>
      <c r="G3148" s="234">
        <v>520.72</v>
      </c>
      <c r="H3148" s="10">
        <v>19</v>
      </c>
      <c r="I3148" s="273">
        <f>SUMIF('2020'!B:B,B3148,'2020'!C:C)+SUMIF('2021'!B:B,B3148,'2021'!C:C)+SUMIF('2022'!B:B,B3148,'2022'!C:C)</f>
        <v>211653.86</v>
      </c>
      <c r="J3148" s="59">
        <v>44925</v>
      </c>
      <c r="K3148" s="273" t="s">
        <v>3118</v>
      </c>
    </row>
    <row r="3149" spans="1:11" x14ac:dyDescent="0.3">
      <c r="A3149" s="259">
        <f t="shared" si="117"/>
        <v>2828</v>
      </c>
      <c r="B3149" s="20" t="s">
        <v>2808</v>
      </c>
      <c r="C3149" s="162">
        <v>1956</v>
      </c>
      <c r="D3149" s="234"/>
      <c r="E3149" s="234" t="s">
        <v>3437</v>
      </c>
      <c r="F3149" s="50">
        <v>2</v>
      </c>
      <c r="G3149" s="273">
        <v>245.7</v>
      </c>
      <c r="H3149" s="10">
        <v>18</v>
      </c>
      <c r="I3149" s="273">
        <f>SUMIF('2020'!B:B,B3149,'2020'!C:C)+SUMIF('2021'!B:B,B3149,'2021'!C:C)+SUMIF('2022'!B:B,B3149,'2022'!C:C)</f>
        <v>428445.15</v>
      </c>
      <c r="J3149" s="59">
        <v>44925</v>
      </c>
      <c r="K3149" s="273" t="s">
        <v>3118</v>
      </c>
    </row>
    <row r="3150" spans="1:11" x14ac:dyDescent="0.3">
      <c r="A3150" s="259">
        <f t="shared" si="117"/>
        <v>2829</v>
      </c>
      <c r="B3150" s="20" t="s">
        <v>2809</v>
      </c>
      <c r="C3150" s="162">
        <v>1974</v>
      </c>
      <c r="D3150" s="234"/>
      <c r="E3150" s="234" t="s">
        <v>3123</v>
      </c>
      <c r="F3150" s="50">
        <v>2</v>
      </c>
      <c r="G3150" s="234">
        <v>1225.2</v>
      </c>
      <c r="H3150" s="10">
        <v>31</v>
      </c>
      <c r="I3150" s="273">
        <f>SUMIF('2020'!B:B,B3150,'2020'!C:C)+SUMIF('2021'!B:B,B3150,'2021'!C:C)+SUMIF('2022'!B:B,B3150,'2022'!C:C)</f>
        <v>92764.08</v>
      </c>
      <c r="J3150" s="59">
        <v>44925</v>
      </c>
      <c r="K3150" s="273" t="s">
        <v>3118</v>
      </c>
    </row>
    <row r="3151" spans="1:11" x14ac:dyDescent="0.3">
      <c r="A3151" s="259">
        <f t="shared" si="117"/>
        <v>2830</v>
      </c>
      <c r="B3151" s="20" t="s">
        <v>2810</v>
      </c>
      <c r="C3151" s="162">
        <v>1961</v>
      </c>
      <c r="D3151" s="234"/>
      <c r="E3151" s="234" t="s">
        <v>3123</v>
      </c>
      <c r="F3151" s="50">
        <v>2</v>
      </c>
      <c r="G3151" s="273">
        <v>506.49</v>
      </c>
      <c r="H3151" s="10">
        <v>26</v>
      </c>
      <c r="I3151" s="273">
        <f>SUMIF('2020'!B:B,B3151,'2020'!C:C)+SUMIF('2021'!B:B,B3151,'2021'!C:C)+SUMIF('2022'!B:B,B3151,'2022'!C:C)</f>
        <v>195601.95</v>
      </c>
      <c r="J3151" s="59">
        <v>44925</v>
      </c>
      <c r="K3151" s="273" t="s">
        <v>3118</v>
      </c>
    </row>
    <row r="3152" spans="1:11" x14ac:dyDescent="0.3">
      <c r="A3152" s="259">
        <f t="shared" ref="A3152:A3178" si="118">A3151+1</f>
        <v>2831</v>
      </c>
      <c r="B3152" s="20" t="s">
        <v>2811</v>
      </c>
      <c r="C3152" s="162">
        <v>1927</v>
      </c>
      <c r="D3152" s="234"/>
      <c r="E3152" s="234" t="s">
        <v>3123</v>
      </c>
      <c r="F3152" s="50">
        <v>2</v>
      </c>
      <c r="G3152" s="273">
        <v>311</v>
      </c>
      <c r="H3152" s="10">
        <v>22</v>
      </c>
      <c r="I3152" s="273">
        <f>SUMIF('2020'!B:B,B3152,'2020'!C:C)+SUMIF('2021'!B:B,B3152,'2021'!C:C)+SUMIF('2022'!B:B,B3152,'2022'!C:C)</f>
        <v>180113.3</v>
      </c>
      <c r="J3152" s="59">
        <v>44925</v>
      </c>
      <c r="K3152" s="273" t="s">
        <v>3118</v>
      </c>
    </row>
    <row r="3153" spans="1:11" x14ac:dyDescent="0.3">
      <c r="A3153" s="259">
        <f t="shared" si="118"/>
        <v>2832</v>
      </c>
      <c r="B3153" s="20" t="s">
        <v>2812</v>
      </c>
      <c r="C3153" s="162">
        <v>1961</v>
      </c>
      <c r="D3153" s="234"/>
      <c r="E3153" s="234" t="s">
        <v>3123</v>
      </c>
      <c r="F3153" s="50">
        <v>2</v>
      </c>
      <c r="G3153" s="273">
        <v>311.7</v>
      </c>
      <c r="H3153" s="10">
        <v>8</v>
      </c>
      <c r="I3153" s="273">
        <f>SUMIF('2020'!B:B,B3153,'2020'!C:C)+SUMIF('2021'!B:B,B3153,'2021'!C:C)+SUMIF('2022'!B:B,B3153,'2022'!C:C)</f>
        <v>2534034.31</v>
      </c>
      <c r="J3153" s="59">
        <v>44925</v>
      </c>
      <c r="K3153" s="273" t="s">
        <v>3118</v>
      </c>
    </row>
    <row r="3154" spans="1:11" x14ac:dyDescent="0.3">
      <c r="A3154" s="259">
        <f t="shared" si="118"/>
        <v>2833</v>
      </c>
      <c r="B3154" s="20" t="s">
        <v>2813</v>
      </c>
      <c r="C3154" s="162">
        <v>1968</v>
      </c>
      <c r="D3154" s="234"/>
      <c r="E3154" s="234" t="s">
        <v>3437</v>
      </c>
      <c r="F3154" s="50">
        <v>2</v>
      </c>
      <c r="G3154" s="234">
        <v>628.75</v>
      </c>
      <c r="H3154" s="10">
        <v>35</v>
      </c>
      <c r="I3154" s="273">
        <f>SUMIF('2020'!B:B,B3154,'2020'!C:C)+SUMIF('2021'!B:B,B3154,'2021'!C:C)+SUMIF('2022'!B:B,B3154,'2022'!C:C)</f>
        <v>422680.65</v>
      </c>
      <c r="J3154" s="59">
        <v>44925</v>
      </c>
      <c r="K3154" s="273" t="s">
        <v>3118</v>
      </c>
    </row>
    <row r="3155" spans="1:11" x14ac:dyDescent="0.3">
      <c r="A3155" s="259">
        <f t="shared" si="118"/>
        <v>2834</v>
      </c>
      <c r="B3155" s="20" t="s">
        <v>2814</v>
      </c>
      <c r="C3155" s="162">
        <v>1977</v>
      </c>
      <c r="D3155" s="234"/>
      <c r="E3155" s="273" t="s">
        <v>3437</v>
      </c>
      <c r="F3155" s="50">
        <v>2</v>
      </c>
      <c r="G3155" s="234">
        <v>360.3</v>
      </c>
      <c r="H3155" s="10">
        <v>21</v>
      </c>
      <c r="I3155" s="273">
        <f>SUMIF('2020'!B:B,B3155,'2020'!C:C)+SUMIF('2021'!B:B,B3155,'2021'!C:C)+SUMIF('2022'!B:B,B3155,'2022'!C:C)</f>
        <v>175531.67</v>
      </c>
      <c r="J3155" s="59">
        <v>44925</v>
      </c>
      <c r="K3155" s="273" t="s">
        <v>3118</v>
      </c>
    </row>
    <row r="3156" spans="1:11" x14ac:dyDescent="0.3">
      <c r="A3156" s="259">
        <f t="shared" si="118"/>
        <v>2835</v>
      </c>
      <c r="B3156" s="20" t="s">
        <v>2815</v>
      </c>
      <c r="C3156" s="162">
        <v>1912</v>
      </c>
      <c r="D3156" s="234"/>
      <c r="E3156" s="273" t="s">
        <v>3514</v>
      </c>
      <c r="F3156" s="50">
        <v>3</v>
      </c>
      <c r="G3156" s="273">
        <v>3526.2</v>
      </c>
      <c r="H3156" s="10">
        <v>195</v>
      </c>
      <c r="I3156" s="273">
        <f>SUMIF('2020'!B:B,B3156,'2020'!C:C)+SUMIF('2021'!B:B,B3156,'2021'!C:C)+SUMIF('2022'!B:B,B3156,'2022'!C:C)</f>
        <v>290770.44</v>
      </c>
      <c r="J3156" s="59">
        <v>44925</v>
      </c>
      <c r="K3156" s="273" t="s">
        <v>3118</v>
      </c>
    </row>
    <row r="3157" spans="1:11" x14ac:dyDescent="0.3">
      <c r="A3157" s="259">
        <f t="shared" si="118"/>
        <v>2836</v>
      </c>
      <c r="B3157" s="20" t="s">
        <v>2816</v>
      </c>
      <c r="C3157" s="162">
        <v>1981</v>
      </c>
      <c r="D3157" s="234"/>
      <c r="E3157" s="273"/>
      <c r="F3157" s="50">
        <v>9</v>
      </c>
      <c r="G3157" s="234">
        <v>2226.9</v>
      </c>
      <c r="H3157" s="10">
        <v>9</v>
      </c>
      <c r="I3157" s="273">
        <f>SUMIF('2020'!B:B,B3157,'2020'!C:C)+SUMIF('2021'!B:B,B3157,'2021'!C:C)+SUMIF('2022'!B:B,B3157,'2022'!C:C)</f>
        <v>4300743.4000000004</v>
      </c>
      <c r="J3157" s="59">
        <v>44925</v>
      </c>
      <c r="K3157" s="273" t="s">
        <v>3118</v>
      </c>
    </row>
    <row r="3158" spans="1:11" x14ac:dyDescent="0.3">
      <c r="A3158" s="259">
        <f t="shared" si="118"/>
        <v>2837</v>
      </c>
      <c r="B3158" s="20" t="s">
        <v>2817</v>
      </c>
      <c r="C3158" s="162">
        <v>1981</v>
      </c>
      <c r="D3158" s="234"/>
      <c r="E3158" s="273"/>
      <c r="F3158" s="50">
        <v>9</v>
      </c>
      <c r="G3158" s="234">
        <v>2236.5</v>
      </c>
      <c r="H3158" s="10">
        <v>9</v>
      </c>
      <c r="I3158" s="273">
        <f>SUMIF('2020'!B:B,B3158,'2020'!C:C)+SUMIF('2021'!B:B,B3158,'2021'!C:C)+SUMIF('2022'!B:B,B3158,'2022'!C:C)</f>
        <v>2865167.3</v>
      </c>
      <c r="J3158" s="59">
        <v>44925</v>
      </c>
      <c r="K3158" s="273" t="s">
        <v>3118</v>
      </c>
    </row>
    <row r="3159" spans="1:11" x14ac:dyDescent="0.3">
      <c r="A3159" s="259">
        <f t="shared" si="118"/>
        <v>2838</v>
      </c>
      <c r="B3159" s="20" t="s">
        <v>2818</v>
      </c>
      <c r="C3159" s="162">
        <v>1982</v>
      </c>
      <c r="D3159" s="234"/>
      <c r="E3159" s="273"/>
      <c r="F3159" s="50">
        <v>9</v>
      </c>
      <c r="G3159" s="234">
        <v>2221.9</v>
      </c>
      <c r="H3159" s="10">
        <v>9</v>
      </c>
      <c r="I3159" s="273">
        <f>SUMIF('2020'!B:B,B3159,'2020'!C:C)+SUMIF('2021'!B:B,B3159,'2021'!C:C)+SUMIF('2022'!B:B,B3159,'2022'!C:C)</f>
        <v>4279436.4000000004</v>
      </c>
      <c r="J3159" s="59">
        <v>44925</v>
      </c>
      <c r="K3159" s="273" t="s">
        <v>3118</v>
      </c>
    </row>
    <row r="3160" spans="1:11" x14ac:dyDescent="0.3">
      <c r="A3160" s="259">
        <f t="shared" si="118"/>
        <v>2839</v>
      </c>
      <c r="B3160" s="20" t="s">
        <v>2819</v>
      </c>
      <c r="C3160" s="162">
        <v>1969</v>
      </c>
      <c r="D3160" s="234"/>
      <c r="E3160" s="273" t="s">
        <v>3129</v>
      </c>
      <c r="F3160" s="50">
        <v>5</v>
      </c>
      <c r="G3160" s="273">
        <v>3490.1</v>
      </c>
      <c r="H3160" s="10">
        <v>140</v>
      </c>
      <c r="I3160" s="273">
        <f>SUMIF('2020'!B:B,B3160,'2020'!C:C)+SUMIF('2021'!B:B,B3160,'2021'!C:C)+SUMIF('2022'!B:B,B3160,'2022'!C:C)</f>
        <v>548296.19999999995</v>
      </c>
      <c r="J3160" s="59">
        <v>44925</v>
      </c>
      <c r="K3160" s="273" t="s">
        <v>3118</v>
      </c>
    </row>
    <row r="3161" spans="1:11" x14ac:dyDescent="0.3">
      <c r="A3161" s="259">
        <f t="shared" si="118"/>
        <v>2840</v>
      </c>
      <c r="B3161" s="20" t="s">
        <v>2820</v>
      </c>
      <c r="C3161" s="162">
        <v>1931</v>
      </c>
      <c r="D3161" s="234"/>
      <c r="E3161" s="273" t="s">
        <v>3437</v>
      </c>
      <c r="F3161" s="50">
        <v>2</v>
      </c>
      <c r="G3161" s="273">
        <v>740</v>
      </c>
      <c r="H3161" s="10">
        <v>42</v>
      </c>
      <c r="I3161" s="273">
        <f>SUMIF('2020'!B:B,B3161,'2020'!C:C)+SUMIF('2021'!B:B,B3161,'2021'!C:C)+SUMIF('2022'!B:B,B3161,'2022'!C:C)</f>
        <v>109746.53</v>
      </c>
      <c r="J3161" s="59">
        <v>44925</v>
      </c>
      <c r="K3161" s="273" t="s">
        <v>3118</v>
      </c>
    </row>
    <row r="3162" spans="1:11" x14ac:dyDescent="0.3">
      <c r="A3162" s="259">
        <f t="shared" si="118"/>
        <v>2841</v>
      </c>
      <c r="B3162" s="20" t="s">
        <v>2821</v>
      </c>
      <c r="C3162" s="162">
        <v>1924</v>
      </c>
      <c r="D3162" s="234"/>
      <c r="E3162" s="273" t="s">
        <v>3123</v>
      </c>
      <c r="F3162" s="50">
        <v>2</v>
      </c>
      <c r="G3162" s="273">
        <v>340.19</v>
      </c>
      <c r="H3162" s="10">
        <v>23</v>
      </c>
      <c r="I3162" s="273">
        <f>SUMIF('2020'!B:B,B3162,'2020'!C:C)+SUMIF('2021'!B:B,B3162,'2021'!C:C)+SUMIF('2022'!B:B,B3162,'2022'!C:C)</f>
        <v>179298.78</v>
      </c>
      <c r="J3162" s="59">
        <v>44925</v>
      </c>
      <c r="K3162" s="273" t="s">
        <v>3118</v>
      </c>
    </row>
    <row r="3163" spans="1:11" x14ac:dyDescent="0.3">
      <c r="A3163" s="259">
        <f t="shared" si="118"/>
        <v>2842</v>
      </c>
      <c r="B3163" s="20" t="s">
        <v>2822</v>
      </c>
      <c r="C3163" s="162">
        <v>1936</v>
      </c>
      <c r="D3163" s="234"/>
      <c r="E3163" s="273" t="s">
        <v>3437</v>
      </c>
      <c r="F3163" s="50">
        <v>2</v>
      </c>
      <c r="G3163" s="273">
        <v>418.5</v>
      </c>
      <c r="H3163" s="10"/>
      <c r="I3163" s="273">
        <f>SUMIF('2020'!B:B,B3163,'2020'!C:C)+SUMIF('2021'!B:B,B3163,'2021'!C:C)+SUMIF('2022'!B:B,B3163,'2022'!C:C)</f>
        <v>99955.94</v>
      </c>
      <c r="J3163" s="59">
        <v>44925</v>
      </c>
      <c r="K3163" s="273" t="s">
        <v>3118</v>
      </c>
    </row>
    <row r="3164" spans="1:11" x14ac:dyDescent="0.3">
      <c r="A3164" s="259">
        <f t="shared" si="118"/>
        <v>2843</v>
      </c>
      <c r="B3164" s="20" t="s">
        <v>2823</v>
      </c>
      <c r="C3164" s="162">
        <v>1955</v>
      </c>
      <c r="D3164" s="234"/>
      <c r="E3164" s="234" t="s">
        <v>3123</v>
      </c>
      <c r="F3164" s="50">
        <v>2</v>
      </c>
      <c r="G3164" s="273">
        <v>428.7</v>
      </c>
      <c r="H3164" s="10">
        <v>27</v>
      </c>
      <c r="I3164" s="273">
        <f>SUMIF('2020'!B:B,B3164,'2020'!C:C)+SUMIF('2021'!B:B,B3164,'2021'!C:C)+SUMIF('2022'!B:B,B3164,'2022'!C:C)</f>
        <v>298649.61</v>
      </c>
      <c r="J3164" s="59">
        <v>44925</v>
      </c>
      <c r="K3164" s="273" t="s">
        <v>3118</v>
      </c>
    </row>
    <row r="3165" spans="1:11" x14ac:dyDescent="0.3">
      <c r="A3165" s="259">
        <f t="shared" si="118"/>
        <v>2844</v>
      </c>
      <c r="B3165" s="20" t="s">
        <v>2824</v>
      </c>
      <c r="C3165" s="162">
        <v>1954</v>
      </c>
      <c r="D3165" s="234"/>
      <c r="E3165" s="234" t="s">
        <v>3123</v>
      </c>
      <c r="F3165" s="50">
        <v>2</v>
      </c>
      <c r="G3165" s="273">
        <v>394.3</v>
      </c>
      <c r="H3165" s="10">
        <v>20</v>
      </c>
      <c r="I3165" s="273">
        <f>SUMIF('2020'!B:B,B3165,'2020'!C:C)+SUMIF('2021'!B:B,B3165,'2021'!C:C)+SUMIF('2022'!B:B,B3165,'2022'!C:C)</f>
        <v>249487.94</v>
      </c>
      <c r="J3165" s="59">
        <v>44925</v>
      </c>
      <c r="K3165" s="273" t="s">
        <v>3118</v>
      </c>
    </row>
    <row r="3166" spans="1:11" x14ac:dyDescent="0.3">
      <c r="A3166" s="259">
        <f t="shared" si="118"/>
        <v>2845</v>
      </c>
      <c r="B3166" s="20" t="s">
        <v>2825</v>
      </c>
      <c r="C3166" s="162">
        <v>1958</v>
      </c>
      <c r="D3166" s="234"/>
      <c r="E3166" s="234" t="s">
        <v>3123</v>
      </c>
      <c r="F3166" s="50">
        <v>2</v>
      </c>
      <c r="G3166" s="273">
        <v>637.79999999999995</v>
      </c>
      <c r="H3166" s="10">
        <v>30</v>
      </c>
      <c r="I3166" s="273">
        <f>SUMIF('2020'!B:B,B3166,'2020'!C:C)+SUMIF('2021'!B:B,B3166,'2021'!C:C)+SUMIF('2022'!B:B,B3166,'2022'!C:C)</f>
        <v>6882468.6800000006</v>
      </c>
      <c r="J3166" s="59">
        <v>44925</v>
      </c>
      <c r="K3166" s="273" t="s">
        <v>3118</v>
      </c>
    </row>
    <row r="3167" spans="1:11" x14ac:dyDescent="0.3">
      <c r="A3167" s="259">
        <f t="shared" si="118"/>
        <v>2846</v>
      </c>
      <c r="B3167" s="20" t="s">
        <v>2826</v>
      </c>
      <c r="C3167" s="162">
        <v>1968</v>
      </c>
      <c r="D3167" s="234"/>
      <c r="E3167" s="273" t="s">
        <v>3123</v>
      </c>
      <c r="F3167" s="50">
        <v>2</v>
      </c>
      <c r="G3167" s="234">
        <v>697.7</v>
      </c>
      <c r="H3167" s="10">
        <v>29</v>
      </c>
      <c r="I3167" s="273">
        <f>SUMIF('2020'!B:B,B3167,'2020'!C:C)+SUMIF('2021'!B:B,B3167,'2021'!C:C)+SUMIF('2022'!B:B,B3167,'2022'!C:C)</f>
        <v>5367254.3000000007</v>
      </c>
      <c r="J3167" s="59">
        <v>44925</v>
      </c>
      <c r="K3167" s="273" t="s">
        <v>3118</v>
      </c>
    </row>
    <row r="3168" spans="1:11" x14ac:dyDescent="0.3">
      <c r="A3168" s="259">
        <f t="shared" si="118"/>
        <v>2847</v>
      </c>
      <c r="B3168" s="20" t="s">
        <v>2827</v>
      </c>
      <c r="C3168" s="162"/>
      <c r="D3168" s="234"/>
      <c r="E3168" s="273" t="s">
        <v>3119</v>
      </c>
      <c r="F3168" s="50">
        <v>3</v>
      </c>
      <c r="G3168" s="234">
        <v>1235.5999999999999</v>
      </c>
      <c r="H3168" s="10">
        <v>67</v>
      </c>
      <c r="I3168" s="273">
        <f>SUMIF('2020'!B:B,B3168,'2020'!C:C)+SUMIF('2021'!B:B,B3168,'2021'!C:C)+SUMIF('2022'!B:B,B3168,'2022'!C:C)</f>
        <v>201409.33</v>
      </c>
      <c r="J3168" s="59">
        <v>44925</v>
      </c>
      <c r="K3168" s="273" t="s">
        <v>3118</v>
      </c>
    </row>
    <row r="3169" spans="1:11" x14ac:dyDescent="0.3">
      <c r="A3169" s="259">
        <f t="shared" si="118"/>
        <v>2848</v>
      </c>
      <c r="B3169" s="20" t="s">
        <v>2828</v>
      </c>
      <c r="C3169" s="162">
        <v>1975</v>
      </c>
      <c r="D3169" s="234"/>
      <c r="E3169" s="234" t="s">
        <v>3119</v>
      </c>
      <c r="F3169" s="50">
        <v>3</v>
      </c>
      <c r="G3169" s="234">
        <v>1221.5999999999999</v>
      </c>
      <c r="H3169" s="10">
        <v>51</v>
      </c>
      <c r="I3169" s="273">
        <f>SUMIF('2020'!B:B,B3169,'2020'!C:C)+SUMIF('2021'!B:B,B3169,'2021'!C:C)+SUMIF('2022'!B:B,B3169,'2022'!C:C)</f>
        <v>3473605.1999999997</v>
      </c>
      <c r="J3169" s="59">
        <v>44925</v>
      </c>
      <c r="K3169" s="273" t="s">
        <v>3118</v>
      </c>
    </row>
    <row r="3170" spans="1:11" x14ac:dyDescent="0.3">
      <c r="A3170" s="259">
        <f t="shared" si="118"/>
        <v>2849</v>
      </c>
      <c r="B3170" s="20" t="s">
        <v>2829</v>
      </c>
      <c r="C3170" s="162">
        <v>1954</v>
      </c>
      <c r="D3170" s="234"/>
      <c r="E3170" s="234" t="s">
        <v>3123</v>
      </c>
      <c r="F3170" s="50">
        <v>2</v>
      </c>
      <c r="G3170" s="273">
        <v>421.7</v>
      </c>
      <c r="H3170" s="10">
        <v>25</v>
      </c>
      <c r="I3170" s="273">
        <f>SUMIF('2020'!B:B,B3170,'2020'!C:C)+SUMIF('2021'!B:B,B3170,'2021'!C:C)+SUMIF('2022'!B:B,B3170,'2022'!C:C)</f>
        <v>5387580.5600000005</v>
      </c>
      <c r="J3170" s="59">
        <v>44925</v>
      </c>
      <c r="K3170" s="273" t="s">
        <v>3118</v>
      </c>
    </row>
    <row r="3171" spans="1:11" x14ac:dyDescent="0.3">
      <c r="A3171" s="259">
        <f t="shared" si="118"/>
        <v>2850</v>
      </c>
      <c r="B3171" s="20" t="s">
        <v>2830</v>
      </c>
      <c r="C3171" s="162">
        <v>1953</v>
      </c>
      <c r="D3171" s="234"/>
      <c r="E3171" s="234" t="s">
        <v>3123</v>
      </c>
      <c r="F3171" s="50">
        <v>2</v>
      </c>
      <c r="G3171" s="273">
        <v>409.4</v>
      </c>
      <c r="H3171" s="10">
        <v>33</v>
      </c>
      <c r="I3171" s="273">
        <f>SUMIF('2020'!B:B,B3171,'2020'!C:C)+SUMIF('2021'!B:B,B3171,'2021'!C:C)+SUMIF('2022'!B:B,B3171,'2022'!C:C)</f>
        <v>5398565.8600000003</v>
      </c>
      <c r="J3171" s="59">
        <v>44925</v>
      </c>
      <c r="K3171" s="273" t="s">
        <v>3118</v>
      </c>
    </row>
    <row r="3172" spans="1:11" x14ac:dyDescent="0.3">
      <c r="A3172" s="259">
        <f t="shared" si="118"/>
        <v>2851</v>
      </c>
      <c r="B3172" s="20" t="s">
        <v>2831</v>
      </c>
      <c r="C3172" s="162">
        <v>1955</v>
      </c>
      <c r="D3172" s="234"/>
      <c r="E3172" s="234" t="s">
        <v>3123</v>
      </c>
      <c r="F3172" s="50">
        <v>2</v>
      </c>
      <c r="G3172" s="273">
        <v>816.5</v>
      </c>
      <c r="H3172" s="10">
        <v>43</v>
      </c>
      <c r="I3172" s="273">
        <f>SUMIF('2020'!B:B,B3172,'2020'!C:C)+SUMIF('2021'!B:B,B3172,'2021'!C:C)+SUMIF('2022'!B:B,B3172,'2022'!C:C)</f>
        <v>103931.28</v>
      </c>
      <c r="J3172" s="59">
        <v>44925</v>
      </c>
      <c r="K3172" s="273" t="s">
        <v>3118</v>
      </c>
    </row>
    <row r="3173" spans="1:11" x14ac:dyDescent="0.3">
      <c r="A3173" s="259">
        <f t="shared" si="118"/>
        <v>2852</v>
      </c>
      <c r="B3173" s="20" t="s">
        <v>2832</v>
      </c>
      <c r="C3173" s="162">
        <v>1956</v>
      </c>
      <c r="D3173" s="234"/>
      <c r="E3173" s="234" t="s">
        <v>3123</v>
      </c>
      <c r="F3173" s="50">
        <v>2</v>
      </c>
      <c r="G3173" s="273">
        <v>874.4</v>
      </c>
      <c r="H3173" s="10">
        <v>37</v>
      </c>
      <c r="I3173" s="273">
        <f>SUMIF('2020'!B:B,B3173,'2020'!C:C)+SUMIF('2021'!B:B,B3173,'2021'!C:C)+SUMIF('2022'!B:B,B3173,'2022'!C:C)</f>
        <v>8539628.8099999987</v>
      </c>
      <c r="J3173" s="59">
        <v>44925</v>
      </c>
      <c r="K3173" s="273" t="s">
        <v>3118</v>
      </c>
    </row>
    <row r="3174" spans="1:11" x14ac:dyDescent="0.3">
      <c r="A3174" s="259">
        <f t="shared" si="118"/>
        <v>2853</v>
      </c>
      <c r="B3174" s="20" t="s">
        <v>2833</v>
      </c>
      <c r="C3174" s="162">
        <v>1953</v>
      </c>
      <c r="D3174" s="234"/>
      <c r="E3174" s="234" t="s">
        <v>3123</v>
      </c>
      <c r="F3174" s="50">
        <v>2</v>
      </c>
      <c r="G3174" s="273">
        <v>379.3</v>
      </c>
      <c r="H3174" s="10">
        <v>23</v>
      </c>
      <c r="I3174" s="273">
        <f>SUMIF('2020'!B:B,B3174,'2020'!C:C)+SUMIF('2021'!B:B,B3174,'2021'!C:C)+SUMIF('2022'!B:B,B3174,'2022'!C:C)</f>
        <v>13896458.41</v>
      </c>
      <c r="J3174" s="59">
        <v>44925</v>
      </c>
      <c r="K3174" s="273" t="s">
        <v>3118</v>
      </c>
    </row>
    <row r="3175" spans="1:11" x14ac:dyDescent="0.3">
      <c r="A3175" s="259">
        <f t="shared" si="118"/>
        <v>2854</v>
      </c>
      <c r="B3175" s="20" t="s">
        <v>2834</v>
      </c>
      <c r="C3175" s="162">
        <v>1963</v>
      </c>
      <c r="D3175" s="234"/>
      <c r="E3175" s="234" t="s">
        <v>3123</v>
      </c>
      <c r="F3175" s="50">
        <v>2</v>
      </c>
      <c r="G3175" s="273">
        <v>218.9</v>
      </c>
      <c r="H3175" s="10">
        <v>10</v>
      </c>
      <c r="I3175" s="273">
        <f>SUMIF('2020'!B:B,B3175,'2020'!C:C)+SUMIF('2021'!B:B,B3175,'2021'!C:C)+SUMIF('2022'!B:B,B3175,'2022'!C:C)</f>
        <v>190453.95</v>
      </c>
      <c r="J3175" s="59">
        <v>44925</v>
      </c>
      <c r="K3175" s="273" t="s">
        <v>3118</v>
      </c>
    </row>
    <row r="3176" spans="1:11" x14ac:dyDescent="0.3">
      <c r="A3176" s="259">
        <f t="shared" si="118"/>
        <v>2855</v>
      </c>
      <c r="B3176" s="20" t="s">
        <v>2835</v>
      </c>
      <c r="C3176" s="162">
        <v>1950</v>
      </c>
      <c r="D3176" s="234"/>
      <c r="E3176" s="273" t="s">
        <v>3437</v>
      </c>
      <c r="F3176" s="50">
        <v>2</v>
      </c>
      <c r="G3176" s="273">
        <v>97.7</v>
      </c>
      <c r="H3176" s="10">
        <v>9</v>
      </c>
      <c r="I3176" s="273">
        <f>SUMIF('2020'!B:B,B3176,'2020'!C:C)+SUMIF('2021'!B:B,B3176,'2021'!C:C)+SUMIF('2022'!B:B,B3176,'2022'!C:C)</f>
        <v>131523</v>
      </c>
      <c r="J3176" s="59">
        <v>44925</v>
      </c>
      <c r="K3176" s="273" t="s">
        <v>3118</v>
      </c>
    </row>
    <row r="3177" spans="1:11" x14ac:dyDescent="0.3">
      <c r="A3177" s="259">
        <f t="shared" si="118"/>
        <v>2856</v>
      </c>
      <c r="B3177" s="20" t="s">
        <v>2836</v>
      </c>
      <c r="C3177" s="162">
        <v>1961</v>
      </c>
      <c r="D3177" s="234"/>
      <c r="E3177" s="273" t="s">
        <v>3123</v>
      </c>
      <c r="F3177" s="50">
        <v>4</v>
      </c>
      <c r="G3177" s="273">
        <v>1239.2</v>
      </c>
      <c r="H3177" s="10">
        <v>77</v>
      </c>
      <c r="I3177" s="273">
        <f>SUMIF('2020'!B:B,B3177,'2020'!C:C)+SUMIF('2021'!B:B,B3177,'2021'!C:C)+SUMIF('2022'!B:B,B3177,'2022'!C:C)</f>
        <v>1724881.34</v>
      </c>
      <c r="J3177" s="59">
        <v>44925</v>
      </c>
      <c r="K3177" s="273" t="s">
        <v>3118</v>
      </c>
    </row>
    <row r="3178" spans="1:11" x14ac:dyDescent="0.3">
      <c r="A3178" s="259">
        <f t="shared" si="118"/>
        <v>2857</v>
      </c>
      <c r="B3178" s="20" t="s">
        <v>2837</v>
      </c>
      <c r="C3178" s="162">
        <v>1963</v>
      </c>
      <c r="D3178" s="234"/>
      <c r="E3178" s="273" t="s">
        <v>3123</v>
      </c>
      <c r="F3178" s="50">
        <v>4</v>
      </c>
      <c r="G3178" s="273">
        <v>1247.8</v>
      </c>
      <c r="H3178" s="10">
        <v>66</v>
      </c>
      <c r="I3178" s="273">
        <f>SUMIF('2020'!B:B,B3178,'2020'!C:C)+SUMIF('2021'!B:B,B3178,'2021'!C:C)+SUMIF('2022'!B:B,B3178,'2022'!C:C)</f>
        <v>2038554.06</v>
      </c>
      <c r="J3178" s="59">
        <v>44925</v>
      </c>
      <c r="K3178" s="273" t="s">
        <v>3118</v>
      </c>
    </row>
    <row r="3179" spans="1:11" x14ac:dyDescent="0.3">
      <c r="A3179" s="302" t="s">
        <v>208</v>
      </c>
      <c r="B3179" s="302"/>
      <c r="C3179" s="273" t="s">
        <v>3558</v>
      </c>
      <c r="D3179" s="273" t="s">
        <v>3558</v>
      </c>
      <c r="E3179" s="273" t="s">
        <v>3558</v>
      </c>
      <c r="F3179" s="273" t="s">
        <v>3558</v>
      </c>
      <c r="G3179" s="273">
        <f>SUM(G2970:G3178)</f>
        <v>652789.83999999973</v>
      </c>
      <c r="H3179" s="10">
        <f>SUM(H2970:H3178)</f>
        <v>26728</v>
      </c>
      <c r="I3179" s="273">
        <f>SUM(I2970:I3178)</f>
        <v>714981224.91999984</v>
      </c>
      <c r="J3179" s="273" t="s">
        <v>3558</v>
      </c>
      <c r="K3179" s="273" t="s">
        <v>3558</v>
      </c>
    </row>
    <row r="3180" spans="1:11" x14ac:dyDescent="0.3">
      <c r="A3180" s="301" t="s">
        <v>2838</v>
      </c>
      <c r="B3180" s="301"/>
      <c r="C3180" s="273"/>
      <c r="D3180" s="234"/>
      <c r="E3180" s="234"/>
      <c r="F3180" s="234"/>
      <c r="G3180" s="234"/>
      <c r="H3180" s="10"/>
      <c r="I3180" s="273"/>
      <c r="J3180" s="273"/>
      <c r="K3180" s="251"/>
    </row>
    <row r="3181" spans="1:11" x14ac:dyDescent="0.3">
      <c r="A3181" s="259">
        <f>A3178+1</f>
        <v>2858</v>
      </c>
      <c r="B3181" s="20" t="s">
        <v>2839</v>
      </c>
      <c r="C3181" s="162">
        <v>1982</v>
      </c>
      <c r="D3181" s="234"/>
      <c r="E3181" s="234" t="s">
        <v>3119</v>
      </c>
      <c r="F3181" s="28">
        <v>2</v>
      </c>
      <c r="G3181" s="46">
        <v>814.4</v>
      </c>
      <c r="H3181" s="10">
        <v>42</v>
      </c>
      <c r="I3181" s="273">
        <f>SUMIF('2020'!B:B,B3181,'2020'!C:C)+SUMIF('2021'!B:B,B3181,'2021'!C:C)+SUMIF('2022'!B:B,B3181,'2022'!C:C)</f>
        <v>130000</v>
      </c>
      <c r="J3181" s="59">
        <v>44925</v>
      </c>
      <c r="K3181" s="273" t="s">
        <v>3118</v>
      </c>
    </row>
    <row r="3182" spans="1:11" x14ac:dyDescent="0.3">
      <c r="A3182" s="259">
        <f t="shared" ref="A3182:A3192" si="119">A3181+1</f>
        <v>2859</v>
      </c>
      <c r="B3182" s="20" t="s">
        <v>2840</v>
      </c>
      <c r="C3182" s="162">
        <v>1967</v>
      </c>
      <c r="D3182" s="234"/>
      <c r="E3182" s="234" t="s">
        <v>3123</v>
      </c>
      <c r="F3182" s="28">
        <v>2</v>
      </c>
      <c r="G3182" s="46">
        <v>505.18</v>
      </c>
      <c r="H3182" s="10">
        <v>21</v>
      </c>
      <c r="I3182" s="273">
        <f>SUMIF('2020'!B:B,B3182,'2020'!C:C)+SUMIF('2021'!B:B,B3182,'2021'!C:C)+SUMIF('2022'!B:B,B3182,'2022'!C:C)</f>
        <v>130000</v>
      </c>
      <c r="J3182" s="59">
        <v>44925</v>
      </c>
      <c r="K3182" s="273" t="s">
        <v>3118</v>
      </c>
    </row>
    <row r="3183" spans="1:11" x14ac:dyDescent="0.3">
      <c r="A3183" s="259">
        <f t="shared" si="119"/>
        <v>2860</v>
      </c>
      <c r="B3183" s="20" t="s">
        <v>2841</v>
      </c>
      <c r="C3183" s="162">
        <v>1972</v>
      </c>
      <c r="D3183" s="234"/>
      <c r="E3183" s="234"/>
      <c r="F3183" s="28">
        <v>2</v>
      </c>
      <c r="G3183" s="46">
        <v>190.1</v>
      </c>
      <c r="H3183" s="10"/>
      <c r="I3183" s="273">
        <f>SUMIF('2020'!B:B,B3183,'2020'!C:C)+SUMIF('2021'!B:B,B3183,'2021'!C:C)+SUMIF('2022'!B:B,B3183,'2022'!C:C)</f>
        <v>130000</v>
      </c>
      <c r="J3183" s="59">
        <v>44925</v>
      </c>
      <c r="K3183" s="273" t="s">
        <v>3118</v>
      </c>
    </row>
    <row r="3184" spans="1:11" x14ac:dyDescent="0.3">
      <c r="A3184" s="259">
        <f t="shared" si="119"/>
        <v>2861</v>
      </c>
      <c r="B3184" s="20" t="s">
        <v>2842</v>
      </c>
      <c r="C3184" s="162">
        <v>1968</v>
      </c>
      <c r="D3184" s="234"/>
      <c r="E3184" s="234" t="s">
        <v>3123</v>
      </c>
      <c r="F3184" s="28">
        <v>2</v>
      </c>
      <c r="G3184" s="46">
        <v>524.29999999999995</v>
      </c>
      <c r="H3184" s="10">
        <v>17</v>
      </c>
      <c r="I3184" s="273">
        <f>SUMIF('2020'!B:B,B3184,'2020'!C:C)+SUMIF('2021'!B:B,B3184,'2021'!C:C)+SUMIF('2022'!B:B,B3184,'2022'!C:C)</f>
        <v>130000</v>
      </c>
      <c r="J3184" s="59">
        <v>44925</v>
      </c>
      <c r="K3184" s="273" t="s">
        <v>3118</v>
      </c>
    </row>
    <row r="3185" spans="1:11" x14ac:dyDescent="0.3">
      <c r="A3185" s="259">
        <f t="shared" si="119"/>
        <v>2862</v>
      </c>
      <c r="B3185" s="20" t="s">
        <v>2843</v>
      </c>
      <c r="C3185" s="162">
        <v>1969</v>
      </c>
      <c r="D3185" s="234"/>
      <c r="E3185" s="234" t="s">
        <v>3123</v>
      </c>
      <c r="F3185" s="28">
        <v>2</v>
      </c>
      <c r="G3185" s="46">
        <v>506.3</v>
      </c>
      <c r="H3185" s="10">
        <v>26</v>
      </c>
      <c r="I3185" s="273">
        <f>SUMIF('2020'!B:B,B3185,'2020'!C:C)+SUMIF('2021'!B:B,B3185,'2021'!C:C)+SUMIF('2022'!B:B,B3185,'2022'!C:C)</f>
        <v>130000</v>
      </c>
      <c r="J3185" s="59">
        <v>44925</v>
      </c>
      <c r="K3185" s="273" t="s">
        <v>3118</v>
      </c>
    </row>
    <row r="3186" spans="1:11" x14ac:dyDescent="0.3">
      <c r="A3186" s="259">
        <f t="shared" si="119"/>
        <v>2863</v>
      </c>
      <c r="B3186" s="20" t="s">
        <v>2844</v>
      </c>
      <c r="C3186" s="162">
        <v>1937</v>
      </c>
      <c r="D3186" s="234"/>
      <c r="E3186" s="273" t="s">
        <v>3437</v>
      </c>
      <c r="F3186" s="28">
        <v>2</v>
      </c>
      <c r="G3186" s="46">
        <v>169.5</v>
      </c>
      <c r="H3186" s="10">
        <v>6</v>
      </c>
      <c r="I3186" s="273">
        <f>SUMIF('2020'!B:B,B3186,'2020'!C:C)+SUMIF('2021'!B:B,B3186,'2021'!C:C)+SUMIF('2022'!B:B,B3186,'2022'!C:C)</f>
        <v>720409</v>
      </c>
      <c r="J3186" s="59">
        <v>44925</v>
      </c>
      <c r="K3186" s="273" t="s">
        <v>3118</v>
      </c>
    </row>
    <row r="3187" spans="1:11" x14ac:dyDescent="0.3">
      <c r="A3187" s="259">
        <f t="shared" si="119"/>
        <v>2864</v>
      </c>
      <c r="B3187" s="20" t="s">
        <v>2845</v>
      </c>
      <c r="C3187" s="162">
        <v>1960</v>
      </c>
      <c r="D3187" s="234"/>
      <c r="E3187" s="273" t="s">
        <v>3437</v>
      </c>
      <c r="F3187" s="28">
        <v>2</v>
      </c>
      <c r="G3187" s="46">
        <v>395.08</v>
      </c>
      <c r="H3187" s="10">
        <v>10</v>
      </c>
      <c r="I3187" s="273">
        <f>SUMIF('2020'!B:B,B3187,'2020'!C:C)+SUMIF('2021'!B:B,B3187,'2021'!C:C)+SUMIF('2022'!B:B,B3187,'2022'!C:C)</f>
        <v>130000</v>
      </c>
      <c r="J3187" s="59">
        <v>44925</v>
      </c>
      <c r="K3187" s="273" t="s">
        <v>3118</v>
      </c>
    </row>
    <row r="3188" spans="1:11" x14ac:dyDescent="0.3">
      <c r="A3188" s="259">
        <f t="shared" si="119"/>
        <v>2865</v>
      </c>
      <c r="B3188" s="20" t="s">
        <v>2846</v>
      </c>
      <c r="C3188" s="162">
        <v>1963</v>
      </c>
      <c r="D3188" s="234"/>
      <c r="E3188" s="273" t="s">
        <v>3437</v>
      </c>
      <c r="F3188" s="28">
        <v>2</v>
      </c>
      <c r="G3188" s="46">
        <v>327.97</v>
      </c>
      <c r="H3188" s="10">
        <v>8</v>
      </c>
      <c r="I3188" s="273">
        <f>SUMIF('2020'!B:B,B3188,'2020'!C:C)+SUMIF('2021'!B:B,B3188,'2021'!C:C)+SUMIF('2022'!B:B,B3188,'2022'!C:C)</f>
        <v>130000</v>
      </c>
      <c r="J3188" s="59">
        <v>44925</v>
      </c>
      <c r="K3188" s="273" t="s">
        <v>3118</v>
      </c>
    </row>
    <row r="3189" spans="1:11" x14ac:dyDescent="0.3">
      <c r="A3189" s="259">
        <f t="shared" si="119"/>
        <v>2866</v>
      </c>
      <c r="B3189" s="20" t="s">
        <v>2847</v>
      </c>
      <c r="C3189" s="162">
        <v>1968</v>
      </c>
      <c r="D3189" s="234"/>
      <c r="E3189" s="273" t="s">
        <v>3437</v>
      </c>
      <c r="F3189" s="28">
        <v>2</v>
      </c>
      <c r="G3189" s="46">
        <v>263.5</v>
      </c>
      <c r="H3189" s="10">
        <v>6</v>
      </c>
      <c r="I3189" s="273">
        <f>SUMIF('2020'!B:B,B3189,'2020'!C:C)+SUMIF('2021'!B:B,B3189,'2021'!C:C)+SUMIF('2022'!B:B,B3189,'2022'!C:C)</f>
        <v>130000</v>
      </c>
      <c r="J3189" s="59">
        <v>44925</v>
      </c>
      <c r="K3189" s="273" t="s">
        <v>3118</v>
      </c>
    </row>
    <row r="3190" spans="1:11" x14ac:dyDescent="0.3">
      <c r="A3190" s="259">
        <f t="shared" si="119"/>
        <v>2867</v>
      </c>
      <c r="B3190" s="20" t="s">
        <v>2848</v>
      </c>
      <c r="C3190" s="162">
        <v>1968</v>
      </c>
      <c r="D3190" s="234"/>
      <c r="E3190" s="234" t="s">
        <v>3123</v>
      </c>
      <c r="F3190" s="28">
        <v>2</v>
      </c>
      <c r="G3190" s="46">
        <v>486.5</v>
      </c>
      <c r="H3190" s="10">
        <v>15</v>
      </c>
      <c r="I3190" s="273">
        <f>SUMIF('2020'!B:B,B3190,'2020'!C:C)+SUMIF('2021'!B:B,B3190,'2021'!C:C)+SUMIF('2022'!B:B,B3190,'2022'!C:C)</f>
        <v>130000</v>
      </c>
      <c r="J3190" s="59">
        <v>44925</v>
      </c>
      <c r="K3190" s="273" t="s">
        <v>3118</v>
      </c>
    </row>
    <row r="3191" spans="1:11" x14ac:dyDescent="0.3">
      <c r="A3191" s="259">
        <f t="shared" si="119"/>
        <v>2868</v>
      </c>
      <c r="B3191" s="20" t="s">
        <v>2849</v>
      </c>
      <c r="C3191" s="162">
        <v>1962</v>
      </c>
      <c r="D3191" s="234"/>
      <c r="E3191" s="234"/>
      <c r="F3191" s="28">
        <v>2</v>
      </c>
      <c r="G3191" s="46">
        <v>328.2</v>
      </c>
      <c r="H3191" s="10"/>
      <c r="I3191" s="273">
        <f>SUMIF('2020'!B:B,B3191,'2020'!C:C)+SUMIF('2021'!B:B,B3191,'2021'!C:C)+SUMIF('2022'!B:B,B3191,'2022'!C:C)</f>
        <v>130000</v>
      </c>
      <c r="J3191" s="59">
        <v>44925</v>
      </c>
      <c r="K3191" s="273" t="s">
        <v>3118</v>
      </c>
    </row>
    <row r="3192" spans="1:11" x14ac:dyDescent="0.3">
      <c r="A3192" s="259">
        <f t="shared" si="119"/>
        <v>2869</v>
      </c>
      <c r="B3192" s="20" t="s">
        <v>2850</v>
      </c>
      <c r="C3192" s="162">
        <v>1973</v>
      </c>
      <c r="D3192" s="234"/>
      <c r="E3192" s="234" t="s">
        <v>3123</v>
      </c>
      <c r="F3192" s="28">
        <v>2</v>
      </c>
      <c r="G3192" s="46">
        <v>724.1</v>
      </c>
      <c r="H3192" s="10">
        <v>27</v>
      </c>
      <c r="I3192" s="273">
        <f>SUMIF('2020'!B:B,B3192,'2020'!C:C)+SUMIF('2021'!B:B,B3192,'2021'!C:C)+SUMIF('2022'!B:B,B3192,'2022'!C:C)</f>
        <v>130000</v>
      </c>
      <c r="J3192" s="59">
        <v>44925</v>
      </c>
      <c r="K3192" s="273" t="s">
        <v>3118</v>
      </c>
    </row>
    <row r="3193" spans="1:11" x14ac:dyDescent="0.3">
      <c r="A3193" s="259">
        <f t="shared" ref="A3193:A3205" si="120">A3192+1</f>
        <v>2870</v>
      </c>
      <c r="B3193" s="20" t="s">
        <v>2851</v>
      </c>
      <c r="C3193" s="162">
        <v>1962</v>
      </c>
      <c r="D3193" s="234"/>
      <c r="E3193" s="234" t="s">
        <v>3123</v>
      </c>
      <c r="F3193" s="28">
        <v>2</v>
      </c>
      <c r="G3193" s="46">
        <v>308.14999999999998</v>
      </c>
      <c r="H3193" s="10">
        <v>19</v>
      </c>
      <c r="I3193" s="273">
        <f>SUMIF('2020'!B:B,B3193,'2020'!C:C)+SUMIF('2021'!B:B,B3193,'2021'!C:C)+SUMIF('2022'!B:B,B3193,'2022'!C:C)</f>
        <v>130000</v>
      </c>
      <c r="J3193" s="59">
        <v>44925</v>
      </c>
      <c r="K3193" s="273" t="s">
        <v>3118</v>
      </c>
    </row>
    <row r="3194" spans="1:11" x14ac:dyDescent="0.3">
      <c r="A3194" s="259">
        <f t="shared" si="120"/>
        <v>2871</v>
      </c>
      <c r="B3194" s="20" t="s">
        <v>2852</v>
      </c>
      <c r="C3194" s="162">
        <v>1974</v>
      </c>
      <c r="D3194" s="234"/>
      <c r="E3194" s="234" t="s">
        <v>3123</v>
      </c>
      <c r="F3194" s="28">
        <v>2</v>
      </c>
      <c r="G3194" s="46">
        <v>750.2</v>
      </c>
      <c r="H3194" s="10">
        <v>31</v>
      </c>
      <c r="I3194" s="273">
        <f>SUMIF('2020'!B:B,B3194,'2020'!C:C)+SUMIF('2021'!B:B,B3194,'2021'!C:C)+SUMIF('2022'!B:B,B3194,'2022'!C:C)</f>
        <v>130000</v>
      </c>
      <c r="J3194" s="59">
        <v>44925</v>
      </c>
      <c r="K3194" s="273" t="s">
        <v>3118</v>
      </c>
    </row>
    <row r="3195" spans="1:11" x14ac:dyDescent="0.3">
      <c r="A3195" s="259">
        <f t="shared" si="120"/>
        <v>2872</v>
      </c>
      <c r="B3195" s="20" t="s">
        <v>2853</v>
      </c>
      <c r="C3195" s="162">
        <v>1935</v>
      </c>
      <c r="D3195" s="234"/>
      <c r="E3195" s="234" t="s">
        <v>3437</v>
      </c>
      <c r="F3195" s="28">
        <v>2</v>
      </c>
      <c r="G3195" s="46">
        <v>230.7</v>
      </c>
      <c r="H3195" s="10">
        <v>15</v>
      </c>
      <c r="I3195" s="273">
        <f>SUMIF('2020'!B:B,B3195,'2020'!C:C)+SUMIF('2021'!B:B,B3195,'2021'!C:C)+SUMIF('2022'!B:B,B3195,'2022'!C:C)</f>
        <v>41522</v>
      </c>
      <c r="J3195" s="59">
        <v>44925</v>
      </c>
      <c r="K3195" s="273" t="s">
        <v>3118</v>
      </c>
    </row>
    <row r="3196" spans="1:11" x14ac:dyDescent="0.3">
      <c r="A3196" s="259">
        <f t="shared" si="120"/>
        <v>2873</v>
      </c>
      <c r="B3196" s="20" t="s">
        <v>2854</v>
      </c>
      <c r="C3196" s="162">
        <v>1975</v>
      </c>
      <c r="D3196" s="234"/>
      <c r="E3196" s="234" t="s">
        <v>3123</v>
      </c>
      <c r="F3196" s="28">
        <v>2</v>
      </c>
      <c r="G3196" s="46">
        <v>745.9</v>
      </c>
      <c r="H3196" s="10">
        <v>19</v>
      </c>
      <c r="I3196" s="273">
        <f>SUMIF('2020'!B:B,B3196,'2020'!C:C)+SUMIF('2021'!B:B,B3196,'2021'!C:C)+SUMIF('2022'!B:B,B3196,'2022'!C:C)</f>
        <v>130000</v>
      </c>
      <c r="J3196" s="59">
        <v>44925</v>
      </c>
      <c r="K3196" s="273" t="s">
        <v>3118</v>
      </c>
    </row>
    <row r="3197" spans="1:11" x14ac:dyDescent="0.3">
      <c r="A3197" s="259">
        <f t="shared" si="120"/>
        <v>2874</v>
      </c>
      <c r="B3197" s="20" t="s">
        <v>2855</v>
      </c>
      <c r="C3197" s="162">
        <v>1975</v>
      </c>
      <c r="D3197" s="234"/>
      <c r="E3197" s="234" t="s">
        <v>3123</v>
      </c>
      <c r="F3197" s="28">
        <v>2</v>
      </c>
      <c r="G3197" s="46">
        <v>779.98</v>
      </c>
      <c r="H3197" s="10">
        <v>29</v>
      </c>
      <c r="I3197" s="273">
        <f>SUMIF('2020'!B:B,B3197,'2020'!C:C)+SUMIF('2021'!B:B,B3197,'2021'!C:C)+SUMIF('2022'!B:B,B3197,'2022'!C:C)</f>
        <v>130000</v>
      </c>
      <c r="J3197" s="59">
        <v>44925</v>
      </c>
      <c r="K3197" s="273" t="s">
        <v>3118</v>
      </c>
    </row>
    <row r="3198" spans="1:11" x14ac:dyDescent="0.3">
      <c r="A3198" s="259">
        <f t="shared" si="120"/>
        <v>2875</v>
      </c>
      <c r="B3198" s="20" t="s">
        <v>2856</v>
      </c>
      <c r="C3198" s="162">
        <v>1939</v>
      </c>
      <c r="D3198" s="234"/>
      <c r="E3198" s="234" t="s">
        <v>3437</v>
      </c>
      <c r="F3198" s="28">
        <v>2</v>
      </c>
      <c r="G3198" s="46">
        <v>114.31</v>
      </c>
      <c r="H3198" s="10">
        <v>9</v>
      </c>
      <c r="I3198" s="273">
        <f>SUMIF('2020'!B:B,B3198,'2020'!C:C)+SUMIF('2021'!B:B,B3198,'2021'!C:C)+SUMIF('2022'!B:B,B3198,'2022'!C:C)</f>
        <v>41522</v>
      </c>
      <c r="J3198" s="59">
        <v>44925</v>
      </c>
      <c r="K3198" s="273" t="s">
        <v>3118</v>
      </c>
    </row>
    <row r="3199" spans="1:11" x14ac:dyDescent="0.3">
      <c r="A3199" s="259">
        <f t="shared" si="120"/>
        <v>2876</v>
      </c>
      <c r="B3199" s="20" t="s">
        <v>2857</v>
      </c>
      <c r="C3199" s="162">
        <v>1975</v>
      </c>
      <c r="D3199" s="234"/>
      <c r="E3199" s="234" t="s">
        <v>3123</v>
      </c>
      <c r="F3199" s="28">
        <v>2</v>
      </c>
      <c r="G3199" s="46">
        <v>774.88</v>
      </c>
      <c r="H3199" s="10">
        <v>35</v>
      </c>
      <c r="I3199" s="273">
        <f>SUMIF('2020'!B:B,B3199,'2020'!C:C)+SUMIF('2021'!B:B,B3199,'2021'!C:C)+SUMIF('2022'!B:B,B3199,'2022'!C:C)</f>
        <v>130000</v>
      </c>
      <c r="J3199" s="59">
        <v>44925</v>
      </c>
      <c r="K3199" s="273" t="s">
        <v>3118</v>
      </c>
    </row>
    <row r="3200" spans="1:11" x14ac:dyDescent="0.3">
      <c r="A3200" s="259">
        <f t="shared" si="120"/>
        <v>2877</v>
      </c>
      <c r="B3200" s="20" t="s">
        <v>2858</v>
      </c>
      <c r="C3200" s="162">
        <v>1980</v>
      </c>
      <c r="D3200" s="234"/>
      <c r="E3200" s="234" t="s">
        <v>3437</v>
      </c>
      <c r="F3200" s="28">
        <v>2</v>
      </c>
      <c r="G3200" s="46">
        <v>322.39999999999998</v>
      </c>
      <c r="H3200" s="10">
        <v>12</v>
      </c>
      <c r="I3200" s="273">
        <f>SUMIF('2020'!B:B,B3200,'2020'!C:C)+SUMIF('2021'!B:B,B3200,'2021'!C:C)+SUMIF('2022'!B:B,B3200,'2022'!C:C)</f>
        <v>130000</v>
      </c>
      <c r="J3200" s="59">
        <v>44925</v>
      </c>
      <c r="K3200" s="273" t="s">
        <v>3118</v>
      </c>
    </row>
    <row r="3201" spans="1:13" x14ac:dyDescent="0.3">
      <c r="A3201" s="259">
        <f t="shared" si="120"/>
        <v>2878</v>
      </c>
      <c r="B3201" s="20" t="s">
        <v>2859</v>
      </c>
      <c r="C3201" s="162">
        <v>1948</v>
      </c>
      <c r="D3201" s="234"/>
      <c r="E3201" s="234" t="s">
        <v>3437</v>
      </c>
      <c r="F3201" s="28">
        <v>2</v>
      </c>
      <c r="G3201" s="46">
        <v>292.2</v>
      </c>
      <c r="H3201" s="10">
        <v>14</v>
      </c>
      <c r="I3201" s="273">
        <f>SUMIF('2020'!B:B,B3201,'2020'!C:C)+SUMIF('2021'!B:B,B3201,'2021'!C:C)+SUMIF('2022'!B:B,B3201,'2022'!C:C)</f>
        <v>41522</v>
      </c>
      <c r="J3201" s="59">
        <v>44925</v>
      </c>
      <c r="K3201" s="273" t="s">
        <v>3118</v>
      </c>
    </row>
    <row r="3202" spans="1:13" x14ac:dyDescent="0.3">
      <c r="A3202" s="259">
        <f t="shared" si="120"/>
        <v>2879</v>
      </c>
      <c r="B3202" s="20" t="s">
        <v>2860</v>
      </c>
      <c r="C3202" s="162">
        <v>1940</v>
      </c>
      <c r="D3202" s="234"/>
      <c r="E3202" s="273" t="s">
        <v>3437</v>
      </c>
      <c r="F3202" s="28">
        <v>2</v>
      </c>
      <c r="G3202" s="46">
        <v>250.9</v>
      </c>
      <c r="H3202" s="10">
        <v>8</v>
      </c>
      <c r="I3202" s="273">
        <f>SUMIF('2020'!B:B,B3202,'2020'!C:C)+SUMIF('2021'!B:B,B3202,'2021'!C:C)+SUMIF('2022'!B:B,B3202,'2022'!C:C)</f>
        <v>130000</v>
      </c>
      <c r="J3202" s="59">
        <v>44925</v>
      </c>
      <c r="K3202" s="273" t="s">
        <v>3118</v>
      </c>
    </row>
    <row r="3203" spans="1:13" x14ac:dyDescent="0.3">
      <c r="A3203" s="259">
        <f t="shared" si="120"/>
        <v>2880</v>
      </c>
      <c r="B3203" s="20" t="s">
        <v>2861</v>
      </c>
      <c r="C3203" s="162">
        <v>1964</v>
      </c>
      <c r="D3203" s="234"/>
      <c r="E3203" s="56" t="s">
        <v>3437</v>
      </c>
      <c r="F3203" s="28">
        <v>2</v>
      </c>
      <c r="G3203" s="46">
        <v>351.9</v>
      </c>
      <c r="H3203" s="10">
        <v>10</v>
      </c>
      <c r="I3203" s="273">
        <f>SUMIF('2020'!B:B,B3203,'2020'!C:C)+SUMIF('2021'!B:B,B3203,'2021'!C:C)+SUMIF('2022'!B:B,B3203,'2022'!C:C)</f>
        <v>130000</v>
      </c>
      <c r="J3203" s="59">
        <v>44925</v>
      </c>
      <c r="K3203" s="273" t="s">
        <v>3118</v>
      </c>
    </row>
    <row r="3204" spans="1:13" x14ac:dyDescent="0.3">
      <c r="A3204" s="259">
        <f t="shared" si="120"/>
        <v>2881</v>
      </c>
      <c r="B3204" s="20" t="s">
        <v>2862</v>
      </c>
      <c r="C3204" s="162">
        <v>1940</v>
      </c>
      <c r="D3204" s="234"/>
      <c r="E3204" s="66" t="s">
        <v>3437</v>
      </c>
      <c r="F3204" s="28">
        <v>2</v>
      </c>
      <c r="G3204" s="46">
        <v>256</v>
      </c>
      <c r="H3204" s="10">
        <v>7</v>
      </c>
      <c r="I3204" s="273">
        <f>SUMIF('2020'!B:B,B3204,'2020'!C:C)+SUMIF('2021'!B:B,B3204,'2021'!C:C)+SUMIF('2022'!B:B,B3204,'2022'!C:C)</f>
        <v>41522</v>
      </c>
      <c r="J3204" s="59">
        <v>44925</v>
      </c>
      <c r="K3204" s="273" t="s">
        <v>3118</v>
      </c>
    </row>
    <row r="3205" spans="1:13" x14ac:dyDescent="0.3">
      <c r="A3205" s="259">
        <f t="shared" si="120"/>
        <v>2882</v>
      </c>
      <c r="B3205" s="20" t="s">
        <v>2863</v>
      </c>
      <c r="C3205" s="162">
        <v>1980</v>
      </c>
      <c r="D3205" s="234"/>
      <c r="E3205" s="56" t="s">
        <v>3437</v>
      </c>
      <c r="F3205" s="28">
        <v>2</v>
      </c>
      <c r="G3205" s="46">
        <v>213.4</v>
      </c>
      <c r="H3205" s="10">
        <v>12</v>
      </c>
      <c r="I3205" s="273">
        <f>SUMIF('2020'!B:B,B3205,'2020'!C:C)+SUMIF('2021'!B:B,B3205,'2021'!C:C)+SUMIF('2022'!B:B,B3205,'2022'!C:C)</f>
        <v>416342.4</v>
      </c>
      <c r="J3205" s="59">
        <v>44925</v>
      </c>
      <c r="K3205" s="273" t="s">
        <v>3118</v>
      </c>
    </row>
    <row r="3206" spans="1:13" x14ac:dyDescent="0.3">
      <c r="A3206" s="302" t="s">
        <v>208</v>
      </c>
      <c r="B3206" s="302"/>
      <c r="C3206" s="273" t="s">
        <v>3558</v>
      </c>
      <c r="D3206" s="273" t="s">
        <v>3558</v>
      </c>
      <c r="E3206" s="273" t="s">
        <v>3558</v>
      </c>
      <c r="F3206" s="273" t="s">
        <v>3558</v>
      </c>
      <c r="G3206" s="273">
        <f>SUM(G3181:G3205)</f>
        <v>10626.05</v>
      </c>
      <c r="H3206" s="10">
        <f t="shared" ref="H3206" si="121">SUM(H3181:H3205)</f>
        <v>398</v>
      </c>
      <c r="I3206" s="273">
        <f>SUM(I3181:I3205)</f>
        <v>3772839.4</v>
      </c>
      <c r="J3206" s="273" t="s">
        <v>3558</v>
      </c>
      <c r="K3206" s="273" t="s">
        <v>3558</v>
      </c>
    </row>
    <row r="3207" spans="1:13" s="43" customFormat="1" x14ac:dyDescent="0.3">
      <c r="A3207" s="304" t="s">
        <v>2864</v>
      </c>
      <c r="B3207" s="304"/>
      <c r="C3207" s="251" t="s">
        <v>3558</v>
      </c>
      <c r="D3207" s="251" t="s">
        <v>3558</v>
      </c>
      <c r="E3207" s="251" t="s">
        <v>3558</v>
      </c>
      <c r="F3207" s="251" t="s">
        <v>3558</v>
      </c>
      <c r="G3207" s="251">
        <f>G3206+G3179+G2968+G2958</f>
        <v>674005.58999999973</v>
      </c>
      <c r="H3207" s="132">
        <f>H3206+H3179+H2968+H2958</f>
        <v>27639</v>
      </c>
      <c r="I3207" s="251">
        <f>I3206+I3179+I2968+I2958</f>
        <v>725909071.52999985</v>
      </c>
      <c r="J3207" s="251" t="s">
        <v>3558</v>
      </c>
      <c r="K3207" s="251" t="s">
        <v>3558</v>
      </c>
      <c r="L3207" s="196">
        <f>I3207-'2020'!C723-'2021'!C2246-'2022'!C1034</f>
        <v>0</v>
      </c>
      <c r="M3207" s="196"/>
    </row>
    <row r="3208" spans="1:13" s="43" customFormat="1" x14ac:dyDescent="0.3">
      <c r="A3208" s="292" t="s">
        <v>2865</v>
      </c>
      <c r="B3208" s="292"/>
      <c r="C3208" s="292"/>
      <c r="D3208" s="292"/>
      <c r="E3208" s="292"/>
      <c r="F3208" s="292"/>
      <c r="G3208" s="292"/>
      <c r="H3208" s="292"/>
      <c r="I3208" s="292"/>
      <c r="J3208" s="292"/>
      <c r="K3208" s="292"/>
      <c r="L3208" s="198"/>
      <c r="M3208" s="198"/>
    </row>
    <row r="3209" spans="1:13" x14ac:dyDescent="0.3">
      <c r="A3209" s="291" t="s">
        <v>2866</v>
      </c>
      <c r="B3209" s="291"/>
      <c r="C3209" s="273"/>
      <c r="D3209" s="234"/>
      <c r="E3209" s="234"/>
      <c r="F3209" s="234"/>
      <c r="G3209" s="234"/>
      <c r="H3209" s="10"/>
      <c r="I3209" s="273"/>
      <c r="J3209" s="273"/>
      <c r="K3209" s="273"/>
    </row>
    <row r="3210" spans="1:13" x14ac:dyDescent="0.3">
      <c r="A3210" s="259">
        <f>A3205+1</f>
        <v>2883</v>
      </c>
      <c r="B3210" s="20" t="s">
        <v>2867</v>
      </c>
      <c r="C3210" s="162">
        <v>1972</v>
      </c>
      <c r="D3210" s="234"/>
      <c r="E3210" s="162" t="s">
        <v>3123</v>
      </c>
      <c r="F3210" s="10">
        <v>2</v>
      </c>
      <c r="G3210" s="46">
        <v>492.9</v>
      </c>
      <c r="H3210" s="10">
        <v>25</v>
      </c>
      <c r="I3210" s="273">
        <f>SUMIF('2020'!B:B,B3210,'2020'!C:C)+SUMIF('2021'!B:B,B3210,'2021'!C:C)+SUMIF('2022'!B:B,B3210,'2022'!C:C)</f>
        <v>113641.48</v>
      </c>
      <c r="J3210" s="59">
        <v>44925</v>
      </c>
      <c r="K3210" s="273" t="s">
        <v>3118</v>
      </c>
    </row>
    <row r="3211" spans="1:13" x14ac:dyDescent="0.3">
      <c r="A3211" s="259">
        <f>A3210+1</f>
        <v>2884</v>
      </c>
      <c r="B3211" s="20" t="s">
        <v>2868</v>
      </c>
      <c r="C3211" s="162">
        <v>1956</v>
      </c>
      <c r="D3211" s="234"/>
      <c r="E3211" s="162" t="s">
        <v>3123</v>
      </c>
      <c r="F3211" s="10">
        <v>2</v>
      </c>
      <c r="G3211" s="46">
        <v>388.8</v>
      </c>
      <c r="H3211" s="10">
        <v>15</v>
      </c>
      <c r="I3211" s="273">
        <f>SUMIF('2020'!B:B,B3211,'2020'!C:C)+SUMIF('2021'!B:B,B3211,'2021'!C:C)+SUMIF('2022'!B:B,B3211,'2022'!C:C)</f>
        <v>114256.81</v>
      </c>
      <c r="J3211" s="59">
        <v>44925</v>
      </c>
      <c r="K3211" s="273" t="s">
        <v>3118</v>
      </c>
    </row>
    <row r="3212" spans="1:13" x14ac:dyDescent="0.3">
      <c r="A3212" s="259">
        <f t="shared" ref="A3212:A3257" si="122">A3211+1</f>
        <v>2885</v>
      </c>
      <c r="B3212" s="20" t="s">
        <v>2869</v>
      </c>
      <c r="C3212" s="162">
        <v>1972</v>
      </c>
      <c r="D3212" s="234"/>
      <c r="E3212" s="162" t="s">
        <v>3123</v>
      </c>
      <c r="F3212" s="10">
        <v>2</v>
      </c>
      <c r="G3212" s="259">
        <v>389.8</v>
      </c>
      <c r="H3212" s="10">
        <v>20</v>
      </c>
      <c r="I3212" s="273">
        <f>SUMIF('2020'!B:B,B3212,'2020'!C:C)+SUMIF('2021'!B:B,B3212,'2021'!C:C)+SUMIF('2022'!B:B,B3212,'2022'!C:C)</f>
        <v>115466.98</v>
      </c>
      <c r="J3212" s="59">
        <v>44925</v>
      </c>
      <c r="K3212" s="273" t="s">
        <v>3118</v>
      </c>
    </row>
    <row r="3213" spans="1:13" x14ac:dyDescent="0.3">
      <c r="A3213" s="259">
        <f t="shared" si="122"/>
        <v>2886</v>
      </c>
      <c r="B3213" s="20" t="s">
        <v>2870</v>
      </c>
      <c r="C3213" s="162">
        <v>1966</v>
      </c>
      <c r="D3213" s="234"/>
      <c r="E3213" s="162" t="s">
        <v>3123</v>
      </c>
      <c r="F3213" s="10">
        <v>2</v>
      </c>
      <c r="G3213" s="259">
        <v>532.29999999999995</v>
      </c>
      <c r="H3213" s="10">
        <v>33</v>
      </c>
      <c r="I3213" s="273">
        <f>SUMIF('2020'!B:B,B3213,'2020'!C:C)+SUMIF('2021'!B:B,B3213,'2021'!C:C)+SUMIF('2022'!B:B,B3213,'2022'!C:C)</f>
        <v>241669.34</v>
      </c>
      <c r="J3213" s="59">
        <v>44925</v>
      </c>
      <c r="K3213" s="273" t="s">
        <v>3118</v>
      </c>
    </row>
    <row r="3214" spans="1:13" x14ac:dyDescent="0.3">
      <c r="A3214" s="259">
        <f t="shared" si="122"/>
        <v>2887</v>
      </c>
      <c r="B3214" s="20" t="s">
        <v>2871</v>
      </c>
      <c r="C3214" s="162">
        <v>1960</v>
      </c>
      <c r="D3214" s="234"/>
      <c r="E3214" s="162" t="s">
        <v>3123</v>
      </c>
      <c r="F3214" s="10">
        <v>2</v>
      </c>
      <c r="G3214" s="259">
        <v>430.9</v>
      </c>
      <c r="H3214" s="10">
        <v>16</v>
      </c>
      <c r="I3214" s="273">
        <f>SUMIF('2020'!B:B,B3214,'2020'!C:C)+SUMIF('2021'!B:B,B3214,'2021'!C:C)+SUMIF('2022'!B:B,B3214,'2022'!C:C)</f>
        <v>260885.02000000002</v>
      </c>
      <c r="J3214" s="59">
        <v>44925</v>
      </c>
      <c r="K3214" s="273" t="s">
        <v>3118</v>
      </c>
    </row>
    <row r="3215" spans="1:13" x14ac:dyDescent="0.3">
      <c r="A3215" s="259">
        <f t="shared" si="122"/>
        <v>2888</v>
      </c>
      <c r="B3215" s="20" t="s">
        <v>2872</v>
      </c>
      <c r="C3215" s="162">
        <v>1958</v>
      </c>
      <c r="D3215" s="234"/>
      <c r="E3215" s="162" t="s">
        <v>3123</v>
      </c>
      <c r="F3215" s="10">
        <v>2</v>
      </c>
      <c r="G3215" s="259">
        <v>476.5</v>
      </c>
      <c r="H3215" s="10">
        <v>16</v>
      </c>
      <c r="I3215" s="273">
        <f>SUMIF('2020'!B:B,B3215,'2020'!C:C)+SUMIF('2021'!B:B,B3215,'2021'!C:C)+SUMIF('2022'!B:B,B3215,'2022'!C:C)</f>
        <v>5704589.4199999999</v>
      </c>
      <c r="J3215" s="59">
        <v>44925</v>
      </c>
      <c r="K3215" s="273" t="s">
        <v>3118</v>
      </c>
    </row>
    <row r="3216" spans="1:13" x14ac:dyDescent="0.3">
      <c r="A3216" s="259">
        <f t="shared" si="122"/>
        <v>2889</v>
      </c>
      <c r="B3216" s="20" t="s">
        <v>2873</v>
      </c>
      <c r="C3216" s="162">
        <v>1960</v>
      </c>
      <c r="D3216" s="234"/>
      <c r="E3216" s="162" t="s">
        <v>3123</v>
      </c>
      <c r="F3216" s="10">
        <v>2</v>
      </c>
      <c r="G3216" s="259">
        <v>465.5</v>
      </c>
      <c r="H3216" s="10">
        <v>27</v>
      </c>
      <c r="I3216" s="273">
        <f>SUMIF('2020'!B:B,B3216,'2020'!C:C)+SUMIF('2021'!B:B,B3216,'2021'!C:C)+SUMIF('2022'!B:B,B3216,'2022'!C:C)</f>
        <v>259603.24</v>
      </c>
      <c r="J3216" s="59">
        <v>44925</v>
      </c>
      <c r="K3216" s="273" t="s">
        <v>3118</v>
      </c>
    </row>
    <row r="3217" spans="1:11" x14ac:dyDescent="0.3">
      <c r="A3217" s="259">
        <f t="shared" si="122"/>
        <v>2890</v>
      </c>
      <c r="B3217" s="20" t="s">
        <v>2874</v>
      </c>
      <c r="C3217" s="162">
        <v>1957</v>
      </c>
      <c r="D3217" s="234"/>
      <c r="E3217" s="162" t="s">
        <v>3123</v>
      </c>
      <c r="F3217" s="10">
        <v>2</v>
      </c>
      <c r="G3217" s="259">
        <v>477.9</v>
      </c>
      <c r="H3217" s="10">
        <v>13</v>
      </c>
      <c r="I3217" s="273">
        <f>SUMIF('2020'!B:B,B3217,'2020'!C:C)+SUMIF('2021'!B:B,B3217,'2021'!C:C)+SUMIF('2022'!B:B,B3217,'2022'!C:C)</f>
        <v>259349.34000000003</v>
      </c>
      <c r="J3217" s="59">
        <v>44925</v>
      </c>
      <c r="K3217" s="273" t="s">
        <v>3118</v>
      </c>
    </row>
    <row r="3218" spans="1:11" x14ac:dyDescent="0.3">
      <c r="A3218" s="259">
        <f t="shared" si="122"/>
        <v>2891</v>
      </c>
      <c r="B3218" s="20" t="s">
        <v>2875</v>
      </c>
      <c r="C3218" s="162">
        <v>1957</v>
      </c>
      <c r="D3218" s="234"/>
      <c r="E3218" s="162" t="s">
        <v>3123</v>
      </c>
      <c r="F3218" s="10">
        <v>2</v>
      </c>
      <c r="G3218" s="259">
        <v>463.5</v>
      </c>
      <c r="H3218" s="10">
        <v>17</v>
      </c>
      <c r="I3218" s="273">
        <f>SUMIF('2020'!B:B,B3218,'2020'!C:C)+SUMIF('2021'!B:B,B3218,'2021'!C:C)+SUMIF('2022'!B:B,B3218,'2022'!C:C)</f>
        <v>5617226.9800000004</v>
      </c>
      <c r="J3218" s="59">
        <v>44925</v>
      </c>
      <c r="K3218" s="273" t="s">
        <v>3118</v>
      </c>
    </row>
    <row r="3219" spans="1:11" x14ac:dyDescent="0.3">
      <c r="A3219" s="259">
        <f t="shared" si="122"/>
        <v>2892</v>
      </c>
      <c r="B3219" s="20" t="s">
        <v>2876</v>
      </c>
      <c r="C3219" s="162">
        <v>1953</v>
      </c>
      <c r="D3219" s="234"/>
      <c r="E3219" s="234" t="s">
        <v>3515</v>
      </c>
      <c r="F3219" s="10">
        <v>2</v>
      </c>
      <c r="G3219" s="259">
        <v>440.8</v>
      </c>
      <c r="H3219" s="10">
        <v>20</v>
      </c>
      <c r="I3219" s="273">
        <f>SUMIF('2020'!B:B,B3219,'2020'!C:C)+SUMIF('2021'!B:B,B3219,'2021'!C:C)+SUMIF('2022'!B:B,B3219,'2022'!C:C)</f>
        <v>173414.78</v>
      </c>
      <c r="J3219" s="59">
        <v>44925</v>
      </c>
      <c r="K3219" s="273" t="s">
        <v>3118</v>
      </c>
    </row>
    <row r="3220" spans="1:11" x14ac:dyDescent="0.3">
      <c r="A3220" s="259">
        <f t="shared" si="122"/>
        <v>2893</v>
      </c>
      <c r="B3220" s="20" t="s">
        <v>2877</v>
      </c>
      <c r="C3220" s="162">
        <v>1981</v>
      </c>
      <c r="D3220" s="234"/>
      <c r="E3220" s="234" t="s">
        <v>3123</v>
      </c>
      <c r="F3220" s="10">
        <v>2</v>
      </c>
      <c r="G3220" s="234">
        <v>545</v>
      </c>
      <c r="H3220" s="10">
        <v>24</v>
      </c>
      <c r="I3220" s="273">
        <f>SUMIF('2020'!B:B,B3220,'2020'!C:C)+SUMIF('2021'!B:B,B3220,'2021'!C:C)+SUMIF('2022'!B:B,B3220,'2022'!C:C)</f>
        <v>207728.14</v>
      </c>
      <c r="J3220" s="59">
        <v>44925</v>
      </c>
      <c r="K3220" s="273" t="s">
        <v>3118</v>
      </c>
    </row>
    <row r="3221" spans="1:11" x14ac:dyDescent="0.3">
      <c r="A3221" s="259">
        <f t="shared" si="122"/>
        <v>2894</v>
      </c>
      <c r="B3221" s="20" t="s">
        <v>2878</v>
      </c>
      <c r="C3221" s="162">
        <v>1974</v>
      </c>
      <c r="D3221" s="234"/>
      <c r="E3221" s="234" t="s">
        <v>3129</v>
      </c>
      <c r="F3221" s="10">
        <v>5</v>
      </c>
      <c r="G3221" s="234">
        <v>3103.6</v>
      </c>
      <c r="H3221" s="10">
        <v>159</v>
      </c>
      <c r="I3221" s="273">
        <f>SUMIF('2020'!B:B,B3221,'2020'!C:C)+SUMIF('2021'!B:B,B3221,'2021'!C:C)+SUMIF('2022'!B:B,B3221,'2022'!C:C)</f>
        <v>204613.01</v>
      </c>
      <c r="J3221" s="59">
        <v>44925</v>
      </c>
      <c r="K3221" s="273" t="s">
        <v>3118</v>
      </c>
    </row>
    <row r="3222" spans="1:11" x14ac:dyDescent="0.3">
      <c r="A3222" s="259">
        <f t="shared" si="122"/>
        <v>2895</v>
      </c>
      <c r="B3222" s="20" t="s">
        <v>2879</v>
      </c>
      <c r="C3222" s="162">
        <v>1961</v>
      </c>
      <c r="D3222" s="234"/>
      <c r="E3222" s="234" t="s">
        <v>3123</v>
      </c>
      <c r="F3222" s="10">
        <v>2</v>
      </c>
      <c r="G3222" s="234">
        <v>366.3</v>
      </c>
      <c r="H3222" s="10">
        <v>25</v>
      </c>
      <c r="I3222" s="273">
        <f>SUMIF('2020'!B:B,B3222,'2020'!C:C)+SUMIF('2021'!B:B,B3222,'2021'!C:C)+SUMIF('2022'!B:B,B3222,'2022'!C:C)</f>
        <v>283997</v>
      </c>
      <c r="J3222" s="59">
        <v>44925</v>
      </c>
      <c r="K3222" s="273" t="s">
        <v>3118</v>
      </c>
    </row>
    <row r="3223" spans="1:11" x14ac:dyDescent="0.3">
      <c r="A3223" s="259">
        <f t="shared" si="122"/>
        <v>2896</v>
      </c>
      <c r="B3223" s="20" t="s">
        <v>2880</v>
      </c>
      <c r="C3223" s="162">
        <v>1978</v>
      </c>
      <c r="D3223" s="234"/>
      <c r="E3223" s="234" t="s">
        <v>3121</v>
      </c>
      <c r="F3223" s="10">
        <v>5</v>
      </c>
      <c r="G3223" s="234">
        <v>3245.6</v>
      </c>
      <c r="H3223" s="10">
        <v>158</v>
      </c>
      <c r="I3223" s="273">
        <f>SUMIF('2020'!B:B,B3223,'2020'!C:C)+SUMIF('2021'!B:B,B3223,'2021'!C:C)+SUMIF('2022'!B:B,B3223,'2022'!C:C)</f>
        <v>200819.39</v>
      </c>
      <c r="J3223" s="59">
        <v>44925</v>
      </c>
      <c r="K3223" s="273" t="s">
        <v>3118</v>
      </c>
    </row>
    <row r="3224" spans="1:11" x14ac:dyDescent="0.3">
      <c r="A3224" s="259">
        <f t="shared" si="122"/>
        <v>2897</v>
      </c>
      <c r="B3224" s="20" t="s">
        <v>2881</v>
      </c>
      <c r="C3224" s="162">
        <v>1978</v>
      </c>
      <c r="D3224" s="234"/>
      <c r="E3224" s="234" t="s">
        <v>3123</v>
      </c>
      <c r="F3224" s="10">
        <v>5</v>
      </c>
      <c r="G3224" s="234">
        <v>2819.1</v>
      </c>
      <c r="H3224" s="10">
        <v>126</v>
      </c>
      <c r="I3224" s="273">
        <f>SUMIF('2020'!B:B,B3224,'2020'!C:C)+SUMIF('2021'!B:B,B3224,'2021'!C:C)+SUMIF('2022'!B:B,B3224,'2022'!C:C)</f>
        <v>349457.41</v>
      </c>
      <c r="J3224" s="59">
        <v>44925</v>
      </c>
      <c r="K3224" s="273" t="s">
        <v>3118</v>
      </c>
    </row>
    <row r="3225" spans="1:11" x14ac:dyDescent="0.3">
      <c r="A3225" s="259">
        <f t="shared" si="122"/>
        <v>2898</v>
      </c>
      <c r="B3225" s="20" t="s">
        <v>2882</v>
      </c>
      <c r="C3225" s="162">
        <v>1963</v>
      </c>
      <c r="D3225" s="234"/>
      <c r="E3225" s="234" t="s">
        <v>3123</v>
      </c>
      <c r="F3225" s="10">
        <v>2</v>
      </c>
      <c r="G3225" s="234">
        <v>351.3</v>
      </c>
      <c r="H3225" s="10">
        <v>16</v>
      </c>
      <c r="I3225" s="273">
        <f>SUMIF('2020'!B:B,B3225,'2020'!C:C)+SUMIF('2021'!B:B,B3225,'2021'!C:C)+SUMIF('2022'!B:B,B3225,'2022'!C:C)</f>
        <v>189194.17</v>
      </c>
      <c r="J3225" s="59">
        <v>44925</v>
      </c>
      <c r="K3225" s="273" t="s">
        <v>3118</v>
      </c>
    </row>
    <row r="3226" spans="1:11" x14ac:dyDescent="0.3">
      <c r="A3226" s="259">
        <f t="shared" si="122"/>
        <v>2899</v>
      </c>
      <c r="B3226" s="20" t="s">
        <v>2883</v>
      </c>
      <c r="C3226" s="162">
        <v>1983</v>
      </c>
      <c r="D3226" s="234"/>
      <c r="E3226" s="234" t="s">
        <v>3121</v>
      </c>
      <c r="F3226" s="10">
        <v>5</v>
      </c>
      <c r="G3226" s="234">
        <v>3723</v>
      </c>
      <c r="H3226" s="10">
        <v>193</v>
      </c>
      <c r="I3226" s="273">
        <f>SUMIF('2020'!B:B,B3226,'2020'!C:C)+SUMIF('2021'!B:B,B3226,'2021'!C:C)+SUMIF('2022'!B:B,B3226,'2022'!C:C)</f>
        <v>410603.72</v>
      </c>
      <c r="J3226" s="59">
        <v>44925</v>
      </c>
      <c r="K3226" s="273" t="s">
        <v>3118</v>
      </c>
    </row>
    <row r="3227" spans="1:11" x14ac:dyDescent="0.3">
      <c r="A3227" s="259">
        <f t="shared" si="122"/>
        <v>2900</v>
      </c>
      <c r="B3227" s="20" t="s">
        <v>2884</v>
      </c>
      <c r="C3227" s="162">
        <v>1963</v>
      </c>
      <c r="D3227" s="234"/>
      <c r="E3227" s="234" t="s">
        <v>3123</v>
      </c>
      <c r="F3227" s="10">
        <v>2</v>
      </c>
      <c r="G3227" s="234">
        <v>365.5</v>
      </c>
      <c r="H3227" s="10">
        <v>19</v>
      </c>
      <c r="I3227" s="273">
        <f>SUMIF('2020'!B:B,B3227,'2020'!C:C)+SUMIF('2021'!B:B,B3227,'2021'!C:C)+SUMIF('2022'!B:B,B3227,'2022'!C:C)</f>
        <v>192855.46</v>
      </c>
      <c r="J3227" s="59">
        <v>44925</v>
      </c>
      <c r="K3227" s="273" t="s">
        <v>3118</v>
      </c>
    </row>
    <row r="3228" spans="1:11" x14ac:dyDescent="0.3">
      <c r="A3228" s="259">
        <f t="shared" si="122"/>
        <v>2901</v>
      </c>
      <c r="B3228" s="20" t="s">
        <v>2885</v>
      </c>
      <c r="C3228" s="162">
        <v>1963</v>
      </c>
      <c r="D3228" s="234"/>
      <c r="E3228" s="234" t="s">
        <v>3123</v>
      </c>
      <c r="F3228" s="10">
        <v>2</v>
      </c>
      <c r="G3228" s="234">
        <v>357.6</v>
      </c>
      <c r="H3228" s="10">
        <v>20</v>
      </c>
      <c r="I3228" s="273">
        <f>SUMIF('2020'!B:B,B3228,'2020'!C:C)+SUMIF('2021'!B:B,B3228,'2021'!C:C)+SUMIF('2022'!B:B,B3228,'2022'!C:C)</f>
        <v>184736.99</v>
      </c>
      <c r="J3228" s="59">
        <v>44925</v>
      </c>
      <c r="K3228" s="273" t="s">
        <v>3118</v>
      </c>
    </row>
    <row r="3229" spans="1:11" x14ac:dyDescent="0.3">
      <c r="A3229" s="259">
        <f t="shared" si="122"/>
        <v>2902</v>
      </c>
      <c r="B3229" s="20" t="s">
        <v>2886</v>
      </c>
      <c r="C3229" s="162">
        <v>1963</v>
      </c>
      <c r="D3229" s="234"/>
      <c r="E3229" s="234" t="s">
        <v>3123</v>
      </c>
      <c r="F3229" s="10">
        <v>2</v>
      </c>
      <c r="G3229" s="234">
        <v>366.2</v>
      </c>
      <c r="H3229" s="10">
        <v>16</v>
      </c>
      <c r="I3229" s="273">
        <f>SUMIF('2020'!B:B,B3229,'2020'!C:C)+SUMIF('2021'!B:B,B3229,'2021'!C:C)+SUMIF('2022'!B:B,B3229,'2022'!C:C)</f>
        <v>188239.07</v>
      </c>
      <c r="J3229" s="59">
        <v>44925</v>
      </c>
      <c r="K3229" s="273" t="s">
        <v>3118</v>
      </c>
    </row>
    <row r="3230" spans="1:11" x14ac:dyDescent="0.3">
      <c r="A3230" s="259">
        <f t="shared" si="122"/>
        <v>2903</v>
      </c>
      <c r="B3230" s="20" t="s">
        <v>2887</v>
      </c>
      <c r="C3230" s="162">
        <v>1989</v>
      </c>
      <c r="D3230" s="234"/>
      <c r="E3230" s="234" t="s">
        <v>3123</v>
      </c>
      <c r="F3230" s="10">
        <v>2</v>
      </c>
      <c r="G3230" s="234">
        <v>648.70000000000005</v>
      </c>
      <c r="H3230" s="10">
        <v>27</v>
      </c>
      <c r="I3230" s="273">
        <f>SUMIF('2020'!B:B,B3230,'2020'!C:C)+SUMIF('2021'!B:B,B3230,'2021'!C:C)+SUMIF('2022'!B:B,B3230,'2022'!C:C)</f>
        <v>204362.47</v>
      </c>
      <c r="J3230" s="59">
        <v>44925</v>
      </c>
      <c r="K3230" s="273" t="s">
        <v>3118</v>
      </c>
    </row>
    <row r="3231" spans="1:11" x14ac:dyDescent="0.3">
      <c r="A3231" s="259">
        <f t="shared" si="122"/>
        <v>2904</v>
      </c>
      <c r="B3231" s="20" t="s">
        <v>2888</v>
      </c>
      <c r="C3231" s="162">
        <v>1991</v>
      </c>
      <c r="D3231" s="234"/>
      <c r="E3231" s="234" t="s">
        <v>3121</v>
      </c>
      <c r="F3231" s="10">
        <v>5</v>
      </c>
      <c r="G3231" s="234">
        <v>3371</v>
      </c>
      <c r="H3231" s="10">
        <v>150</v>
      </c>
      <c r="I3231" s="273">
        <f>SUMIF('2020'!B:B,B3231,'2020'!C:C)+SUMIF('2021'!B:B,B3231,'2021'!C:C)+SUMIF('2022'!B:B,B3231,'2022'!C:C)</f>
        <v>347345.35</v>
      </c>
      <c r="J3231" s="59">
        <v>44925</v>
      </c>
      <c r="K3231" s="273" t="s">
        <v>3118</v>
      </c>
    </row>
    <row r="3232" spans="1:11" x14ac:dyDescent="0.3">
      <c r="A3232" s="259">
        <f t="shared" si="122"/>
        <v>2905</v>
      </c>
      <c r="B3232" s="20" t="s">
        <v>2889</v>
      </c>
      <c r="C3232" s="162">
        <v>1990</v>
      </c>
      <c r="D3232" s="234"/>
      <c r="E3232" s="234" t="s">
        <v>3123</v>
      </c>
      <c r="F3232" s="10">
        <v>3</v>
      </c>
      <c r="G3232" s="234">
        <v>1016.3</v>
      </c>
      <c r="H3232" s="10">
        <v>47</v>
      </c>
      <c r="I3232" s="273">
        <f>SUMIF('2020'!B:B,B3232,'2020'!C:C)+SUMIF('2021'!B:B,B3232,'2021'!C:C)+SUMIF('2022'!B:B,B3232,'2022'!C:C)</f>
        <v>578808.31999999995</v>
      </c>
      <c r="J3232" s="59">
        <v>44925</v>
      </c>
      <c r="K3232" s="273" t="s">
        <v>3118</v>
      </c>
    </row>
    <row r="3233" spans="1:11" x14ac:dyDescent="0.3">
      <c r="A3233" s="259">
        <f t="shared" si="122"/>
        <v>2906</v>
      </c>
      <c r="B3233" s="20" t="s">
        <v>2890</v>
      </c>
      <c r="C3233" s="162">
        <v>1959</v>
      </c>
      <c r="D3233" s="234"/>
      <c r="E3233" s="234" t="s">
        <v>3437</v>
      </c>
      <c r="F3233" s="10">
        <v>2</v>
      </c>
      <c r="G3233" s="234">
        <v>471.5</v>
      </c>
      <c r="H3233" s="10">
        <v>26</v>
      </c>
      <c r="I3233" s="273">
        <f>SUMIF('2020'!B:B,B3233,'2020'!C:C)+SUMIF('2021'!B:B,B3233,'2021'!C:C)+SUMIF('2022'!B:B,B3233,'2022'!C:C)</f>
        <v>195322.84</v>
      </c>
      <c r="J3233" s="59">
        <v>44925</v>
      </c>
      <c r="K3233" s="273" t="s">
        <v>3118</v>
      </c>
    </row>
    <row r="3234" spans="1:11" x14ac:dyDescent="0.3">
      <c r="A3234" s="259">
        <f t="shared" si="122"/>
        <v>2907</v>
      </c>
      <c r="B3234" s="20" t="s">
        <v>2891</v>
      </c>
      <c r="C3234" s="162">
        <v>1964</v>
      </c>
      <c r="D3234" s="234"/>
      <c r="E3234" s="234" t="s">
        <v>3123</v>
      </c>
      <c r="F3234" s="10">
        <v>2</v>
      </c>
      <c r="G3234" s="234">
        <v>359.2</v>
      </c>
      <c r="H3234" s="10">
        <v>10</v>
      </c>
      <c r="I3234" s="273">
        <f>SUMIF('2020'!B:B,B3234,'2020'!C:C)+SUMIF('2021'!B:B,B3234,'2021'!C:C)+SUMIF('2022'!B:B,B3234,'2022'!C:C)</f>
        <v>286335.7</v>
      </c>
      <c r="J3234" s="59">
        <v>44925</v>
      </c>
      <c r="K3234" s="273" t="s">
        <v>3118</v>
      </c>
    </row>
    <row r="3235" spans="1:11" x14ac:dyDescent="0.3">
      <c r="A3235" s="259">
        <f t="shared" si="122"/>
        <v>2908</v>
      </c>
      <c r="B3235" s="20" t="s">
        <v>2892</v>
      </c>
      <c r="C3235" s="162">
        <v>1966</v>
      </c>
      <c r="D3235" s="234"/>
      <c r="E3235" s="234" t="s">
        <v>3123</v>
      </c>
      <c r="F3235" s="10">
        <v>4</v>
      </c>
      <c r="G3235" s="234">
        <v>1929.1</v>
      </c>
      <c r="H3235" s="10">
        <v>104</v>
      </c>
      <c r="I3235" s="273">
        <f>SUMIF('2020'!B:B,B3235,'2020'!C:C)+SUMIF('2021'!B:B,B3235,'2021'!C:C)+SUMIF('2022'!B:B,B3235,'2022'!C:C)</f>
        <v>297429.07999999996</v>
      </c>
      <c r="J3235" s="59">
        <v>44925</v>
      </c>
      <c r="K3235" s="273" t="s">
        <v>3118</v>
      </c>
    </row>
    <row r="3236" spans="1:11" x14ac:dyDescent="0.3">
      <c r="A3236" s="259">
        <f t="shared" si="122"/>
        <v>2909</v>
      </c>
      <c r="B3236" s="20" t="s">
        <v>2893</v>
      </c>
      <c r="C3236" s="162">
        <v>1959</v>
      </c>
      <c r="D3236" s="234"/>
      <c r="E3236" s="234" t="s">
        <v>3437</v>
      </c>
      <c r="F3236" s="10">
        <v>2</v>
      </c>
      <c r="G3236" s="234">
        <v>462.5</v>
      </c>
      <c r="H3236" s="10">
        <v>20</v>
      </c>
      <c r="I3236" s="273">
        <f>SUMIF('2020'!B:B,B3236,'2020'!C:C)+SUMIF('2021'!B:B,B3236,'2021'!C:C)+SUMIF('2022'!B:B,B3236,'2022'!C:C)</f>
        <v>219584.47999999998</v>
      </c>
      <c r="J3236" s="59">
        <v>44925</v>
      </c>
      <c r="K3236" s="273" t="s">
        <v>3118</v>
      </c>
    </row>
    <row r="3237" spans="1:11" x14ac:dyDescent="0.3">
      <c r="A3237" s="259">
        <f t="shared" si="122"/>
        <v>2910</v>
      </c>
      <c r="B3237" s="20" t="s">
        <v>2894</v>
      </c>
      <c r="C3237" s="162">
        <v>1989</v>
      </c>
      <c r="D3237" s="234"/>
      <c r="E3237" s="234" t="s">
        <v>3123</v>
      </c>
      <c r="F3237" s="10">
        <v>2</v>
      </c>
      <c r="G3237" s="234">
        <v>645.29999999999995</v>
      </c>
      <c r="H3237" s="10">
        <v>27</v>
      </c>
      <c r="I3237" s="273">
        <f>SUMIF('2020'!B:B,B3237,'2020'!C:C)+SUMIF('2021'!B:B,B3237,'2021'!C:C)+SUMIF('2022'!B:B,B3237,'2022'!C:C)</f>
        <v>525153.81999999995</v>
      </c>
      <c r="J3237" s="59">
        <v>44925</v>
      </c>
      <c r="K3237" s="273" t="s">
        <v>3118</v>
      </c>
    </row>
    <row r="3238" spans="1:11" x14ac:dyDescent="0.3">
      <c r="A3238" s="259">
        <f>A3237+1</f>
        <v>2911</v>
      </c>
      <c r="B3238" s="20" t="s">
        <v>2895</v>
      </c>
      <c r="C3238" s="162">
        <v>1963</v>
      </c>
      <c r="D3238" s="234"/>
      <c r="E3238" s="234" t="s">
        <v>3123</v>
      </c>
      <c r="F3238" s="10">
        <v>2</v>
      </c>
      <c r="G3238" s="234">
        <v>359.7</v>
      </c>
      <c r="H3238" s="10">
        <v>17</v>
      </c>
      <c r="I3238" s="273">
        <f>SUMIF('2020'!B:B,B3238,'2020'!C:C)+SUMIF('2021'!B:B,B3238,'2021'!C:C)+SUMIF('2022'!B:B,B3238,'2022'!C:C)</f>
        <v>97426.64</v>
      </c>
      <c r="J3238" s="59">
        <v>44925</v>
      </c>
      <c r="K3238" s="273" t="s">
        <v>3118</v>
      </c>
    </row>
    <row r="3239" spans="1:11" x14ac:dyDescent="0.3">
      <c r="A3239" s="259">
        <f t="shared" si="122"/>
        <v>2912</v>
      </c>
      <c r="B3239" s="20" t="s">
        <v>2896</v>
      </c>
      <c r="C3239" s="162">
        <v>1961</v>
      </c>
      <c r="D3239" s="234"/>
      <c r="E3239" s="234" t="s">
        <v>3123</v>
      </c>
      <c r="F3239" s="10">
        <v>2</v>
      </c>
      <c r="G3239" s="234">
        <v>363.2</v>
      </c>
      <c r="H3239" s="10">
        <v>14</v>
      </c>
      <c r="I3239" s="273">
        <f>SUMIF('2020'!B:B,B3239,'2020'!C:C)+SUMIF('2021'!B:B,B3239,'2021'!C:C)+SUMIF('2022'!B:B,B3239,'2022'!C:C)</f>
        <v>100765.36</v>
      </c>
      <c r="J3239" s="59">
        <v>44925</v>
      </c>
      <c r="K3239" s="273" t="s">
        <v>3118</v>
      </c>
    </row>
    <row r="3240" spans="1:11" x14ac:dyDescent="0.3">
      <c r="A3240" s="259">
        <f t="shared" si="122"/>
        <v>2913</v>
      </c>
      <c r="B3240" s="20" t="s">
        <v>2897</v>
      </c>
      <c r="C3240" s="162">
        <v>1962</v>
      </c>
      <c r="D3240" s="234"/>
      <c r="E3240" s="234" t="s">
        <v>3123</v>
      </c>
      <c r="F3240" s="10">
        <v>2</v>
      </c>
      <c r="G3240" s="234">
        <v>362.7</v>
      </c>
      <c r="H3240" s="10">
        <v>16</v>
      </c>
      <c r="I3240" s="273">
        <f>SUMIF('2020'!B:B,B3240,'2020'!C:C)+SUMIF('2021'!B:B,B3240,'2021'!C:C)+SUMIF('2022'!B:B,B3240,'2022'!C:C)</f>
        <v>100312.34</v>
      </c>
      <c r="J3240" s="59">
        <v>44925</v>
      </c>
      <c r="K3240" s="273" t="s">
        <v>3118</v>
      </c>
    </row>
    <row r="3241" spans="1:11" x14ac:dyDescent="0.3">
      <c r="A3241" s="259">
        <f t="shared" si="122"/>
        <v>2914</v>
      </c>
      <c r="B3241" s="20" t="s">
        <v>2898</v>
      </c>
      <c r="C3241" s="162">
        <v>1961</v>
      </c>
      <c r="D3241" s="234"/>
      <c r="E3241" s="234" t="s">
        <v>3123</v>
      </c>
      <c r="F3241" s="10">
        <v>2</v>
      </c>
      <c r="G3241" s="234">
        <v>364.5</v>
      </c>
      <c r="H3241" s="10">
        <v>11</v>
      </c>
      <c r="I3241" s="273">
        <f>SUMIF('2020'!B:B,B3241,'2020'!C:C)+SUMIF('2021'!B:B,B3241,'2021'!C:C)+SUMIF('2022'!B:B,B3241,'2022'!C:C)</f>
        <v>99654.52</v>
      </c>
      <c r="J3241" s="59">
        <v>44925</v>
      </c>
      <c r="K3241" s="273" t="s">
        <v>3118</v>
      </c>
    </row>
    <row r="3242" spans="1:11" x14ac:dyDescent="0.3">
      <c r="A3242" s="259">
        <f t="shared" si="122"/>
        <v>2915</v>
      </c>
      <c r="B3242" s="20" t="s">
        <v>2899</v>
      </c>
      <c r="C3242" s="162">
        <v>1988</v>
      </c>
      <c r="D3242" s="234"/>
      <c r="E3242" s="234" t="s">
        <v>3123</v>
      </c>
      <c r="F3242" s="10">
        <v>2</v>
      </c>
      <c r="G3242" s="234">
        <v>594.29999999999995</v>
      </c>
      <c r="H3242" s="10">
        <v>26</v>
      </c>
      <c r="I3242" s="273">
        <f>SUMIF('2020'!B:B,B3242,'2020'!C:C)+SUMIF('2021'!B:B,B3242,'2021'!C:C)+SUMIF('2022'!B:B,B3242,'2022'!C:C)</f>
        <v>200786.44</v>
      </c>
      <c r="J3242" s="59">
        <v>44925</v>
      </c>
      <c r="K3242" s="273" t="s">
        <v>3118</v>
      </c>
    </row>
    <row r="3243" spans="1:11" x14ac:dyDescent="0.3">
      <c r="A3243" s="259">
        <f t="shared" si="122"/>
        <v>2916</v>
      </c>
      <c r="B3243" s="20" t="s">
        <v>2900</v>
      </c>
      <c r="C3243" s="162">
        <v>1964</v>
      </c>
      <c r="D3243" s="234"/>
      <c r="E3243" s="234" t="s">
        <v>3121</v>
      </c>
      <c r="F3243" s="10">
        <v>3</v>
      </c>
      <c r="G3243" s="259">
        <v>488.2</v>
      </c>
      <c r="H3243" s="10">
        <v>36</v>
      </c>
      <c r="I3243" s="273">
        <f>SUMIF('2020'!B:B,B3243,'2020'!C:C)+SUMIF('2021'!B:B,B3243,'2021'!C:C)+SUMIF('2022'!B:B,B3243,'2022'!C:C)</f>
        <v>256525.71000000002</v>
      </c>
      <c r="J3243" s="59">
        <v>44925</v>
      </c>
      <c r="K3243" s="273" t="s">
        <v>3118</v>
      </c>
    </row>
    <row r="3244" spans="1:11" x14ac:dyDescent="0.3">
      <c r="A3244" s="259">
        <f t="shared" si="122"/>
        <v>2917</v>
      </c>
      <c r="B3244" s="20" t="s">
        <v>2901</v>
      </c>
      <c r="C3244" s="162">
        <v>1964</v>
      </c>
      <c r="D3244" s="234"/>
      <c r="E3244" s="234" t="s">
        <v>3516</v>
      </c>
      <c r="F3244" s="10">
        <v>3</v>
      </c>
      <c r="G3244" s="259">
        <v>481.9</v>
      </c>
      <c r="H3244" s="10">
        <v>26</v>
      </c>
      <c r="I3244" s="273">
        <f>SUMIF('2020'!B:B,B3244,'2020'!C:C)+SUMIF('2021'!B:B,B3244,'2021'!C:C)+SUMIF('2022'!B:B,B3244,'2022'!C:C)</f>
        <v>86665.18</v>
      </c>
      <c r="J3244" s="59">
        <v>44925</v>
      </c>
      <c r="K3244" s="273" t="s">
        <v>3118</v>
      </c>
    </row>
    <row r="3245" spans="1:11" x14ac:dyDescent="0.3">
      <c r="A3245" s="259">
        <f t="shared" si="122"/>
        <v>2918</v>
      </c>
      <c r="B3245" s="20" t="s">
        <v>2902</v>
      </c>
      <c r="C3245" s="162">
        <v>1957</v>
      </c>
      <c r="D3245" s="234"/>
      <c r="E3245" s="234" t="s">
        <v>3123</v>
      </c>
      <c r="F3245" s="10">
        <v>2</v>
      </c>
      <c r="G3245" s="259">
        <v>391.8</v>
      </c>
      <c r="H3245" s="10">
        <v>27</v>
      </c>
      <c r="I3245" s="273">
        <f>SUMIF('2020'!B:B,B3245,'2020'!C:C)+SUMIF('2021'!B:B,B3245,'2021'!C:C)+SUMIF('2022'!B:B,B3245,'2022'!C:C)</f>
        <v>202088.22</v>
      </c>
      <c r="J3245" s="59">
        <v>44925</v>
      </c>
      <c r="K3245" s="273" t="s">
        <v>3118</v>
      </c>
    </row>
    <row r="3246" spans="1:11" x14ac:dyDescent="0.3">
      <c r="A3246" s="259">
        <f t="shared" si="122"/>
        <v>2919</v>
      </c>
      <c r="B3246" s="20" t="s">
        <v>2903</v>
      </c>
      <c r="C3246" s="162">
        <v>1952</v>
      </c>
      <c r="D3246" s="234"/>
      <c r="E3246" s="234" t="s">
        <v>3437</v>
      </c>
      <c r="F3246" s="10">
        <v>2</v>
      </c>
      <c r="G3246" s="259">
        <v>430.1</v>
      </c>
      <c r="H3246" s="10">
        <v>27</v>
      </c>
      <c r="I3246" s="273">
        <f>SUMIF('2020'!B:B,B3246,'2020'!C:C)+SUMIF('2021'!B:B,B3246,'2021'!C:C)+SUMIF('2022'!B:B,B3246,'2022'!C:C)</f>
        <v>6494474.7599999998</v>
      </c>
      <c r="J3246" s="59">
        <v>44925</v>
      </c>
      <c r="K3246" s="273" t="s">
        <v>3118</v>
      </c>
    </row>
    <row r="3247" spans="1:11" x14ac:dyDescent="0.3">
      <c r="A3247" s="259">
        <f t="shared" si="122"/>
        <v>2920</v>
      </c>
      <c r="B3247" s="20" t="s">
        <v>2904</v>
      </c>
      <c r="C3247" s="162">
        <v>1952</v>
      </c>
      <c r="D3247" s="234"/>
      <c r="E3247" s="234" t="s">
        <v>3437</v>
      </c>
      <c r="F3247" s="10">
        <v>2</v>
      </c>
      <c r="G3247" s="259">
        <v>410.6</v>
      </c>
      <c r="H3247" s="10">
        <v>18</v>
      </c>
      <c r="I3247" s="273">
        <f>SUMIF('2020'!B:B,B3247,'2020'!C:C)+SUMIF('2021'!B:B,B3247,'2021'!C:C)+SUMIF('2022'!B:B,B3247,'2022'!C:C)</f>
        <v>188716.62</v>
      </c>
      <c r="J3247" s="59">
        <v>44925</v>
      </c>
      <c r="K3247" s="273" t="s">
        <v>3118</v>
      </c>
    </row>
    <row r="3248" spans="1:11" x14ac:dyDescent="0.3">
      <c r="A3248" s="259">
        <f t="shared" si="122"/>
        <v>2921</v>
      </c>
      <c r="B3248" s="20" t="s">
        <v>2905</v>
      </c>
      <c r="C3248" s="162">
        <v>1952</v>
      </c>
      <c r="D3248" s="234"/>
      <c r="E3248" s="234" t="s">
        <v>3437</v>
      </c>
      <c r="F3248" s="10">
        <v>2</v>
      </c>
      <c r="G3248" s="259">
        <v>438.1</v>
      </c>
      <c r="H3248" s="10">
        <v>23</v>
      </c>
      <c r="I3248" s="273">
        <f>SUMIF('2020'!B:B,B3248,'2020'!C:C)+SUMIF('2021'!B:B,B3248,'2021'!C:C)+SUMIF('2022'!B:B,B3248,'2022'!C:C)</f>
        <v>188398.24</v>
      </c>
      <c r="J3248" s="59">
        <v>44925</v>
      </c>
      <c r="K3248" s="273" t="s">
        <v>3118</v>
      </c>
    </row>
    <row r="3249" spans="1:11" x14ac:dyDescent="0.3">
      <c r="A3249" s="259">
        <f t="shared" si="122"/>
        <v>2922</v>
      </c>
      <c r="B3249" s="20" t="s">
        <v>2906</v>
      </c>
      <c r="C3249" s="162">
        <v>1964</v>
      </c>
      <c r="D3249" s="234"/>
      <c r="E3249" s="234" t="s">
        <v>3516</v>
      </c>
      <c r="F3249" s="10">
        <v>3</v>
      </c>
      <c r="G3249" s="259">
        <v>483.9</v>
      </c>
      <c r="H3249" s="10">
        <v>23</v>
      </c>
      <c r="I3249" s="273">
        <f>SUMIF('2020'!B:B,B3249,'2020'!C:C)+SUMIF('2021'!B:B,B3249,'2021'!C:C)+SUMIF('2022'!B:B,B3249,'2022'!C:C)</f>
        <v>169233.23</v>
      </c>
      <c r="J3249" s="59">
        <v>44925</v>
      </c>
      <c r="K3249" s="273" t="s">
        <v>3118</v>
      </c>
    </row>
    <row r="3250" spans="1:11" x14ac:dyDescent="0.3">
      <c r="A3250" s="259">
        <f t="shared" si="122"/>
        <v>2923</v>
      </c>
      <c r="B3250" s="20" t="s">
        <v>2907</v>
      </c>
      <c r="C3250" s="162">
        <v>1951</v>
      </c>
      <c r="D3250" s="234"/>
      <c r="E3250" s="234" t="s">
        <v>3437</v>
      </c>
      <c r="F3250" s="10">
        <v>2</v>
      </c>
      <c r="G3250" s="259">
        <v>433.2</v>
      </c>
      <c r="H3250" s="10">
        <v>18</v>
      </c>
      <c r="I3250" s="273">
        <f>SUMIF('2020'!B:B,B3250,'2020'!C:C)+SUMIF('2021'!B:B,B3250,'2021'!C:C)+SUMIF('2022'!B:B,B3250,'2022'!C:C)</f>
        <v>183463.5</v>
      </c>
      <c r="J3250" s="59">
        <v>44925</v>
      </c>
      <c r="K3250" s="273" t="s">
        <v>3118</v>
      </c>
    </row>
    <row r="3251" spans="1:11" x14ac:dyDescent="0.3">
      <c r="A3251" s="259">
        <f t="shared" si="122"/>
        <v>2924</v>
      </c>
      <c r="B3251" s="20" t="s">
        <v>2908</v>
      </c>
      <c r="C3251" s="162">
        <v>1957</v>
      </c>
      <c r="D3251" s="234"/>
      <c r="E3251" s="234" t="s">
        <v>3123</v>
      </c>
      <c r="F3251" s="10">
        <v>2</v>
      </c>
      <c r="G3251" s="259">
        <v>461.1</v>
      </c>
      <c r="H3251" s="10">
        <v>20</v>
      </c>
      <c r="I3251" s="273">
        <f>SUMIF('2020'!B:B,B3251,'2020'!C:C)+SUMIF('2021'!B:B,B3251,'2021'!C:C)+SUMIF('2022'!B:B,B3251,'2022'!C:C)</f>
        <v>170547.92</v>
      </c>
      <c r="J3251" s="59">
        <v>44925</v>
      </c>
      <c r="K3251" s="273" t="s">
        <v>3118</v>
      </c>
    </row>
    <row r="3252" spans="1:11" x14ac:dyDescent="0.3">
      <c r="A3252" s="259">
        <f t="shared" si="122"/>
        <v>2925</v>
      </c>
      <c r="B3252" s="20" t="s">
        <v>2909</v>
      </c>
      <c r="C3252" s="162">
        <v>1957</v>
      </c>
      <c r="D3252" s="234"/>
      <c r="E3252" s="234" t="s">
        <v>3123</v>
      </c>
      <c r="F3252" s="10">
        <v>2</v>
      </c>
      <c r="G3252" s="259">
        <v>461.2</v>
      </c>
      <c r="H3252" s="10">
        <v>21</v>
      </c>
      <c r="I3252" s="273">
        <f>SUMIF('2020'!B:B,B3252,'2020'!C:C)+SUMIF('2021'!B:B,B3252,'2021'!C:C)+SUMIF('2022'!B:B,B3252,'2022'!C:C)</f>
        <v>171336.77</v>
      </c>
      <c r="J3252" s="59">
        <v>44925</v>
      </c>
      <c r="K3252" s="273" t="s">
        <v>3118</v>
      </c>
    </row>
    <row r="3253" spans="1:11" x14ac:dyDescent="0.3">
      <c r="A3253" s="259">
        <f t="shared" si="122"/>
        <v>2926</v>
      </c>
      <c r="B3253" s="20" t="s">
        <v>2910</v>
      </c>
      <c r="C3253" s="162">
        <v>1957</v>
      </c>
      <c r="D3253" s="234"/>
      <c r="E3253" s="234" t="s">
        <v>3123</v>
      </c>
      <c r="F3253" s="10">
        <v>2</v>
      </c>
      <c r="G3253" s="259">
        <v>386.8</v>
      </c>
      <c r="H3253" s="10">
        <v>26</v>
      </c>
      <c r="I3253" s="273">
        <f>SUMIF('2020'!B:B,B3253,'2020'!C:C)+SUMIF('2021'!B:B,B3253,'2021'!C:C)+SUMIF('2022'!B:B,B3253,'2022'!C:C)</f>
        <v>109099.8</v>
      </c>
      <c r="J3253" s="59">
        <v>44925</v>
      </c>
      <c r="K3253" s="273" t="s">
        <v>3118</v>
      </c>
    </row>
    <row r="3254" spans="1:11" x14ac:dyDescent="0.3">
      <c r="A3254" s="259">
        <f t="shared" si="122"/>
        <v>2927</v>
      </c>
      <c r="B3254" s="20" t="s">
        <v>2911</v>
      </c>
      <c r="C3254" s="162">
        <v>1951</v>
      </c>
      <c r="D3254" s="234"/>
      <c r="E3254" s="234" t="s">
        <v>3515</v>
      </c>
      <c r="F3254" s="10">
        <v>2</v>
      </c>
      <c r="G3254" s="259">
        <v>529</v>
      </c>
      <c r="H3254" s="10">
        <v>28</v>
      </c>
      <c r="I3254" s="273">
        <f>SUMIF('2020'!B:B,B3254,'2020'!C:C)+SUMIF('2021'!B:B,B3254,'2021'!C:C)+SUMIF('2022'!B:B,B3254,'2022'!C:C)</f>
        <v>529197.59</v>
      </c>
      <c r="J3254" s="59">
        <v>44925</v>
      </c>
      <c r="K3254" s="273" t="s">
        <v>3118</v>
      </c>
    </row>
    <row r="3255" spans="1:11" x14ac:dyDescent="0.3">
      <c r="A3255" s="259">
        <f t="shared" si="122"/>
        <v>2928</v>
      </c>
      <c r="B3255" s="20" t="s">
        <v>2912</v>
      </c>
      <c r="C3255" s="162">
        <v>1950</v>
      </c>
      <c r="D3255" s="234"/>
      <c r="E3255" s="234" t="s">
        <v>3515</v>
      </c>
      <c r="F3255" s="10">
        <v>2</v>
      </c>
      <c r="G3255" s="259">
        <v>475.8</v>
      </c>
      <c r="H3255" s="10">
        <v>25</v>
      </c>
      <c r="I3255" s="273">
        <f>SUMIF('2020'!B:B,B3255,'2020'!C:C)+SUMIF('2021'!B:B,B3255,'2021'!C:C)+SUMIF('2022'!B:B,B3255,'2022'!C:C)</f>
        <v>113952.76</v>
      </c>
      <c r="J3255" s="59">
        <v>44925</v>
      </c>
      <c r="K3255" s="273" t="s">
        <v>3118</v>
      </c>
    </row>
    <row r="3256" spans="1:11" x14ac:dyDescent="0.3">
      <c r="A3256" s="259">
        <f t="shared" si="122"/>
        <v>2929</v>
      </c>
      <c r="B3256" s="20" t="s">
        <v>2913</v>
      </c>
      <c r="C3256" s="162">
        <v>1951</v>
      </c>
      <c r="D3256" s="234"/>
      <c r="E3256" s="234" t="s">
        <v>3515</v>
      </c>
      <c r="F3256" s="10">
        <v>2</v>
      </c>
      <c r="G3256" s="259">
        <v>363.8</v>
      </c>
      <c r="H3256" s="10">
        <v>16</v>
      </c>
      <c r="I3256" s="273">
        <f>SUMIF('2020'!B:B,B3256,'2020'!C:C)+SUMIF('2021'!B:B,B3256,'2021'!C:C)+SUMIF('2022'!B:B,B3256,'2022'!C:C)</f>
        <v>185778.32</v>
      </c>
      <c r="J3256" s="59">
        <v>44925</v>
      </c>
      <c r="K3256" s="273" t="s">
        <v>3118</v>
      </c>
    </row>
    <row r="3257" spans="1:11" x14ac:dyDescent="0.3">
      <c r="A3257" s="259">
        <f t="shared" si="122"/>
        <v>2930</v>
      </c>
      <c r="B3257" s="20" t="s">
        <v>2914</v>
      </c>
      <c r="C3257" s="162">
        <v>1951</v>
      </c>
      <c r="D3257" s="234"/>
      <c r="E3257" s="234" t="s">
        <v>3515</v>
      </c>
      <c r="F3257" s="10">
        <v>2</v>
      </c>
      <c r="G3257" s="259">
        <v>507.8</v>
      </c>
      <c r="H3257" s="10">
        <v>26</v>
      </c>
      <c r="I3257" s="273">
        <f>SUMIF('2020'!B:B,B3257,'2020'!C:C)+SUMIF('2021'!B:B,B3257,'2021'!C:C)+SUMIF('2022'!B:B,B3257,'2022'!C:C)</f>
        <v>167392.57999999999</v>
      </c>
      <c r="J3257" s="59">
        <v>44925</v>
      </c>
      <c r="K3257" s="273" t="s">
        <v>3118</v>
      </c>
    </row>
    <row r="3258" spans="1:11" x14ac:dyDescent="0.3">
      <c r="A3258" s="259"/>
      <c r="B3258" s="20" t="s">
        <v>208</v>
      </c>
      <c r="C3258" s="273" t="s">
        <v>3558</v>
      </c>
      <c r="D3258" s="273" t="s">
        <v>3558</v>
      </c>
      <c r="E3258" s="273" t="s">
        <v>3558</v>
      </c>
      <c r="F3258" s="273" t="s">
        <v>3558</v>
      </c>
      <c r="G3258" s="273">
        <f>SUM(G3210:G3257)</f>
        <v>37493.4</v>
      </c>
      <c r="H3258" s="10">
        <f t="shared" ref="H3258:I3258" si="123">SUM(H3210:H3257)</f>
        <v>1813</v>
      </c>
      <c r="I3258" s="273">
        <f t="shared" si="123"/>
        <v>27742506.310000006</v>
      </c>
      <c r="J3258" s="59" t="s">
        <v>3558</v>
      </c>
      <c r="K3258" s="273" t="s">
        <v>3558</v>
      </c>
    </row>
    <row r="3259" spans="1:11" x14ac:dyDescent="0.3">
      <c r="A3259" s="291" t="s">
        <v>2915</v>
      </c>
      <c r="B3259" s="291"/>
      <c r="C3259" s="273"/>
      <c r="D3259" s="234"/>
      <c r="E3259" s="234"/>
      <c r="F3259" s="10"/>
      <c r="G3259" s="234"/>
      <c r="H3259" s="10"/>
      <c r="I3259" s="273"/>
      <c r="J3259" s="59"/>
      <c r="K3259" s="273"/>
    </row>
    <row r="3260" spans="1:11" x14ac:dyDescent="0.3">
      <c r="A3260" s="259">
        <f>A3257+1</f>
        <v>2931</v>
      </c>
      <c r="B3260" s="20" t="s">
        <v>2916</v>
      </c>
      <c r="C3260" s="162">
        <v>1978</v>
      </c>
      <c r="D3260" s="234"/>
      <c r="E3260" s="234" t="s">
        <v>3123</v>
      </c>
      <c r="F3260" s="10">
        <v>2</v>
      </c>
      <c r="G3260" s="234">
        <v>627.29999999999995</v>
      </c>
      <c r="H3260" s="10">
        <v>25</v>
      </c>
      <c r="I3260" s="273">
        <f>SUMIF('2020'!B:B,B3260,'2020'!C:C)+SUMIF('2021'!B:B,B3260,'2021'!C:C)+SUMIF('2022'!B:B,B3260,'2022'!C:C)</f>
        <v>5753944.8000000007</v>
      </c>
      <c r="J3260" s="59">
        <v>44925</v>
      </c>
      <c r="K3260" s="273" t="s">
        <v>3118</v>
      </c>
    </row>
    <row r="3261" spans="1:11" x14ac:dyDescent="0.3">
      <c r="A3261" s="259">
        <f>A3260+1</f>
        <v>2932</v>
      </c>
      <c r="B3261" s="20" t="s">
        <v>2917</v>
      </c>
      <c r="C3261" s="162">
        <v>1967</v>
      </c>
      <c r="D3261" s="234"/>
      <c r="E3261" s="234" t="s">
        <v>3437</v>
      </c>
      <c r="F3261" s="10">
        <v>2</v>
      </c>
      <c r="G3261" s="234">
        <v>517.79999999999995</v>
      </c>
      <c r="H3261" s="10">
        <v>28</v>
      </c>
      <c r="I3261" s="273">
        <f>SUMIF('2020'!B:B,B3261,'2020'!C:C)+SUMIF('2021'!B:B,B3261,'2021'!C:C)+SUMIF('2022'!B:B,B3261,'2022'!C:C)</f>
        <v>867911.41999999993</v>
      </c>
      <c r="J3261" s="59">
        <v>44925</v>
      </c>
      <c r="K3261" s="273" t="s">
        <v>3118</v>
      </c>
    </row>
    <row r="3262" spans="1:11" x14ac:dyDescent="0.3">
      <c r="A3262" s="259">
        <f>A3261+1</f>
        <v>2933</v>
      </c>
      <c r="B3262" s="20" t="s">
        <v>2918</v>
      </c>
      <c r="C3262" s="162">
        <v>1965</v>
      </c>
      <c r="D3262" s="234"/>
      <c r="E3262" s="234" t="s">
        <v>3123</v>
      </c>
      <c r="F3262" s="10">
        <v>2</v>
      </c>
      <c r="G3262" s="234">
        <v>312.39999999999998</v>
      </c>
      <c r="H3262" s="10">
        <v>14</v>
      </c>
      <c r="I3262" s="273">
        <f>SUMIF('2020'!B:B,B3262,'2020'!C:C)+SUMIF('2021'!B:B,B3262,'2021'!C:C)+SUMIF('2022'!B:B,B3262,'2022'!C:C)</f>
        <v>654455.22</v>
      </c>
      <c r="J3262" s="59">
        <v>44925</v>
      </c>
      <c r="K3262" s="273" t="s">
        <v>3118</v>
      </c>
    </row>
    <row r="3263" spans="1:11" x14ac:dyDescent="0.3">
      <c r="A3263" s="259"/>
      <c r="B3263" s="20" t="s">
        <v>208</v>
      </c>
      <c r="C3263" s="273" t="s">
        <v>3558</v>
      </c>
      <c r="D3263" s="273" t="s">
        <v>3558</v>
      </c>
      <c r="E3263" s="273" t="s">
        <v>3558</v>
      </c>
      <c r="F3263" s="273" t="s">
        <v>3558</v>
      </c>
      <c r="G3263" s="273">
        <f>SUM(G3260:G3262)</f>
        <v>1457.5</v>
      </c>
      <c r="H3263" s="10">
        <f>SUM(H3260:H3262)</f>
        <v>67</v>
      </c>
      <c r="I3263" s="273">
        <f t="shared" ref="I3263" si="124">SUM(I3260:I3262)</f>
        <v>7276311.4400000004</v>
      </c>
      <c r="J3263" s="59" t="s">
        <v>3558</v>
      </c>
      <c r="K3263" s="273" t="s">
        <v>3558</v>
      </c>
    </row>
    <row r="3264" spans="1:11" x14ac:dyDescent="0.3">
      <c r="A3264" s="291" t="s">
        <v>2919</v>
      </c>
      <c r="B3264" s="291"/>
      <c r="C3264" s="273"/>
      <c r="D3264" s="234"/>
      <c r="E3264" s="234"/>
      <c r="F3264" s="10"/>
      <c r="G3264" s="234"/>
      <c r="H3264" s="10"/>
      <c r="I3264" s="273"/>
      <c r="J3264" s="59"/>
      <c r="K3264" s="273"/>
    </row>
    <row r="3265" spans="1:11" x14ac:dyDescent="0.3">
      <c r="A3265" s="259">
        <f>A3262+1</f>
        <v>2934</v>
      </c>
      <c r="B3265" s="20" t="s">
        <v>3284</v>
      </c>
      <c r="C3265" s="273"/>
      <c r="D3265" s="234"/>
      <c r="E3265" s="234"/>
      <c r="F3265" s="10"/>
      <c r="G3265" s="234"/>
      <c r="H3265" s="10"/>
      <c r="I3265" s="273">
        <f>SUMIF('2020'!B:B,B3265,'2020'!C:C)+SUMIF('2021'!B:B,B3265,'2021'!C:C)+SUMIF('2022'!B:B,B3265,'2022'!C:C)</f>
        <v>5171082.5999999996</v>
      </c>
      <c r="J3265" s="59">
        <v>44925</v>
      </c>
      <c r="K3265" s="273" t="s">
        <v>3118</v>
      </c>
    </row>
    <row r="3266" spans="1:11" x14ac:dyDescent="0.3">
      <c r="A3266" s="259">
        <f>A3265+1</f>
        <v>2935</v>
      </c>
      <c r="B3266" s="20" t="s">
        <v>2920</v>
      </c>
      <c r="C3266" s="10">
        <v>1948</v>
      </c>
      <c r="D3266" s="234"/>
      <c r="E3266" s="234" t="s">
        <v>3123</v>
      </c>
      <c r="F3266" s="10">
        <v>2</v>
      </c>
      <c r="G3266" s="234">
        <v>515.20000000000005</v>
      </c>
      <c r="H3266" s="10">
        <v>28</v>
      </c>
      <c r="I3266" s="273">
        <f>SUMIF('2020'!B:B,B3266,'2020'!C:C)+SUMIF('2021'!B:B,B3266,'2021'!C:C)+SUMIF('2022'!B:B,B3266,'2022'!C:C)</f>
        <v>130000</v>
      </c>
      <c r="J3266" s="59">
        <v>44925</v>
      </c>
      <c r="K3266" s="273" t="s">
        <v>3118</v>
      </c>
    </row>
    <row r="3267" spans="1:11" x14ac:dyDescent="0.3">
      <c r="A3267" s="259">
        <f>A3266+1</f>
        <v>2936</v>
      </c>
      <c r="B3267" s="20" t="s">
        <v>2921</v>
      </c>
      <c r="C3267" s="10">
        <v>1904</v>
      </c>
      <c r="D3267" s="234"/>
      <c r="E3267" s="234" t="s">
        <v>3437</v>
      </c>
      <c r="F3267" s="10">
        <v>2</v>
      </c>
      <c r="G3267" s="234">
        <v>141.30000000000001</v>
      </c>
      <c r="H3267" s="10">
        <v>7</v>
      </c>
      <c r="I3267" s="273">
        <f>SUMIF('2020'!B:B,B3267,'2020'!C:C)+SUMIF('2021'!B:B,B3267,'2021'!C:C)+SUMIF('2022'!B:B,B3267,'2022'!C:C)</f>
        <v>130000</v>
      </c>
      <c r="J3267" s="59">
        <v>44925</v>
      </c>
      <c r="K3267" s="273" t="s">
        <v>3118</v>
      </c>
    </row>
    <row r="3268" spans="1:11" x14ac:dyDescent="0.3">
      <c r="A3268" s="259">
        <f>A3267+1</f>
        <v>2937</v>
      </c>
      <c r="B3268" s="20" t="s">
        <v>3283</v>
      </c>
      <c r="C3268" s="10"/>
      <c r="D3268" s="234"/>
      <c r="E3268" s="234"/>
      <c r="F3268" s="10"/>
      <c r="G3268" s="234"/>
      <c r="H3268" s="10"/>
      <c r="I3268" s="273">
        <f>SUMIF('2020'!B:B,B3268,'2020'!C:C)+SUMIF('2021'!B:B,B3268,'2021'!C:C)+SUMIF('2022'!B:B,B3268,'2022'!C:C)</f>
        <v>5288483.66</v>
      </c>
      <c r="J3268" s="59">
        <v>44925</v>
      </c>
      <c r="K3268" s="273" t="s">
        <v>3118</v>
      </c>
    </row>
    <row r="3269" spans="1:11" x14ac:dyDescent="0.3">
      <c r="A3269" s="259">
        <f>A3268+1</f>
        <v>2938</v>
      </c>
      <c r="B3269" s="20" t="s">
        <v>2922</v>
      </c>
      <c r="C3269" s="10">
        <v>1945</v>
      </c>
      <c r="D3269" s="234"/>
      <c r="E3269" s="234" t="s">
        <v>3123</v>
      </c>
      <c r="F3269" s="10">
        <v>2</v>
      </c>
      <c r="G3269" s="234">
        <v>666.3</v>
      </c>
      <c r="H3269" s="10">
        <v>25</v>
      </c>
      <c r="I3269" s="273">
        <f>SUMIF('2020'!B:B,B3269,'2020'!C:C)+SUMIF('2021'!B:B,B3269,'2021'!C:C)+SUMIF('2022'!B:B,B3269,'2022'!C:C)</f>
        <v>130000</v>
      </c>
      <c r="J3269" s="59">
        <v>44925</v>
      </c>
      <c r="K3269" s="273" t="s">
        <v>3118</v>
      </c>
    </row>
    <row r="3270" spans="1:11" x14ac:dyDescent="0.3">
      <c r="A3270" s="259">
        <f>A3269+1</f>
        <v>2939</v>
      </c>
      <c r="B3270" s="20" t="s">
        <v>258</v>
      </c>
      <c r="C3270" s="10"/>
      <c r="D3270" s="234"/>
      <c r="E3270" s="234"/>
      <c r="F3270" s="10"/>
      <c r="G3270" s="234"/>
      <c r="H3270" s="10"/>
      <c r="I3270" s="273">
        <f>'2020'!C736+'2022'!C1047</f>
        <v>10845325.439999999</v>
      </c>
      <c r="J3270" s="59">
        <v>44925</v>
      </c>
      <c r="K3270" s="273" t="s">
        <v>3118</v>
      </c>
    </row>
    <row r="3271" spans="1:11" x14ac:dyDescent="0.3">
      <c r="A3271" s="259"/>
      <c r="B3271" s="20" t="s">
        <v>208</v>
      </c>
      <c r="C3271" s="273" t="s">
        <v>3558</v>
      </c>
      <c r="D3271" s="273" t="s">
        <v>3558</v>
      </c>
      <c r="E3271" s="273" t="s">
        <v>3558</v>
      </c>
      <c r="F3271" s="273" t="s">
        <v>3558</v>
      </c>
      <c r="G3271" s="273">
        <f>SUM(G3265:G3270)</f>
        <v>1322.8</v>
      </c>
      <c r="H3271" s="10">
        <f>SUM(H3265:H3270)</f>
        <v>60</v>
      </c>
      <c r="I3271" s="273">
        <f t="shared" ref="I3271" si="125">SUM(I3265:I3270)</f>
        <v>21694891.699999999</v>
      </c>
      <c r="J3271" s="59" t="s">
        <v>3558</v>
      </c>
      <c r="K3271" s="273" t="s">
        <v>3558</v>
      </c>
    </row>
    <row r="3272" spans="1:11" x14ac:dyDescent="0.3">
      <c r="A3272" s="291" t="s">
        <v>2204</v>
      </c>
      <c r="B3272" s="291"/>
      <c r="C3272" s="273"/>
      <c r="D3272" s="234"/>
      <c r="E3272" s="234"/>
      <c r="F3272" s="10"/>
      <c r="G3272" s="234"/>
      <c r="H3272" s="10"/>
      <c r="I3272" s="273"/>
      <c r="J3272" s="59"/>
      <c r="K3272" s="273"/>
    </row>
    <row r="3273" spans="1:11" x14ac:dyDescent="0.3">
      <c r="A3273" s="259">
        <f>A3270+1</f>
        <v>2940</v>
      </c>
      <c r="B3273" s="20" t="s">
        <v>2923</v>
      </c>
      <c r="C3273" s="67">
        <v>1952</v>
      </c>
      <c r="D3273" s="234"/>
      <c r="E3273" s="234" t="s">
        <v>3123</v>
      </c>
      <c r="F3273" s="10">
        <v>2</v>
      </c>
      <c r="G3273" s="234">
        <v>553.5</v>
      </c>
      <c r="H3273" s="10">
        <v>23</v>
      </c>
      <c r="I3273" s="273">
        <f>SUMIF('2020'!B:B,B3273,'2020'!C:C)+SUMIF('2021'!B:B,B3273,'2021'!C:C)+SUMIF('2022'!B:B,B3273,'2022'!C:C)</f>
        <v>186219.35</v>
      </c>
      <c r="J3273" s="59">
        <v>44925</v>
      </c>
      <c r="K3273" s="273" t="s">
        <v>3118</v>
      </c>
    </row>
    <row r="3274" spans="1:11" x14ac:dyDescent="0.3">
      <c r="A3274" s="259">
        <f>A3273+1</f>
        <v>2941</v>
      </c>
      <c r="B3274" s="20" t="s">
        <v>2924</v>
      </c>
      <c r="C3274" s="67">
        <v>1952</v>
      </c>
      <c r="D3274" s="234"/>
      <c r="E3274" s="234" t="s">
        <v>3123</v>
      </c>
      <c r="F3274" s="10">
        <v>2</v>
      </c>
      <c r="G3274" s="234">
        <v>557.5</v>
      </c>
      <c r="H3274" s="10">
        <v>30</v>
      </c>
      <c r="I3274" s="273">
        <f>SUMIF('2020'!B:B,B3274,'2020'!C:C)+SUMIF('2021'!B:B,B3274,'2021'!C:C)+SUMIF('2022'!B:B,B3274,'2022'!C:C)</f>
        <v>187008.18</v>
      </c>
      <c r="J3274" s="59">
        <v>44925</v>
      </c>
      <c r="K3274" s="273" t="s">
        <v>3118</v>
      </c>
    </row>
    <row r="3275" spans="1:11" x14ac:dyDescent="0.3">
      <c r="A3275" s="259">
        <f t="shared" ref="A3275:A3284" si="126">A3274+1</f>
        <v>2942</v>
      </c>
      <c r="B3275" s="20" t="s">
        <v>2925</v>
      </c>
      <c r="C3275" s="67">
        <v>1952</v>
      </c>
      <c r="D3275" s="234"/>
      <c r="E3275" s="234" t="s">
        <v>3123</v>
      </c>
      <c r="F3275" s="10">
        <v>2</v>
      </c>
      <c r="G3275" s="234">
        <v>560.9</v>
      </c>
      <c r="H3275" s="10">
        <v>27</v>
      </c>
      <c r="I3275" s="273">
        <f>SUMIF('2020'!B:B,B3275,'2020'!C:C)+SUMIF('2021'!B:B,B3275,'2021'!C:C)+SUMIF('2022'!B:B,B3275,'2022'!C:C)</f>
        <v>198893.23</v>
      </c>
      <c r="J3275" s="59">
        <v>44925</v>
      </c>
      <c r="K3275" s="273" t="s">
        <v>3118</v>
      </c>
    </row>
    <row r="3276" spans="1:11" x14ac:dyDescent="0.3">
      <c r="A3276" s="259">
        <f t="shared" si="126"/>
        <v>2943</v>
      </c>
      <c r="B3276" s="20" t="s">
        <v>2926</v>
      </c>
      <c r="C3276" s="67">
        <v>1952</v>
      </c>
      <c r="D3276" s="234"/>
      <c r="E3276" s="234" t="s">
        <v>3123</v>
      </c>
      <c r="F3276" s="10">
        <v>2</v>
      </c>
      <c r="G3276" s="234">
        <v>618.85</v>
      </c>
      <c r="H3276" s="10">
        <v>28</v>
      </c>
      <c r="I3276" s="273">
        <f>SUMIF('2020'!B:B,B3276,'2020'!C:C)+SUMIF('2021'!B:B,B3276,'2021'!C:C)+SUMIF('2022'!B:B,B3276,'2022'!C:C)</f>
        <v>198209.58</v>
      </c>
      <c r="J3276" s="59">
        <v>44925</v>
      </c>
      <c r="K3276" s="273" t="s">
        <v>3118</v>
      </c>
    </row>
    <row r="3277" spans="1:11" x14ac:dyDescent="0.3">
      <c r="A3277" s="259">
        <f t="shared" si="126"/>
        <v>2944</v>
      </c>
      <c r="B3277" s="20" t="s">
        <v>2927</v>
      </c>
      <c r="C3277" s="67">
        <v>1958</v>
      </c>
      <c r="D3277" s="234"/>
      <c r="E3277" s="234" t="s">
        <v>3123</v>
      </c>
      <c r="F3277" s="10">
        <v>3</v>
      </c>
      <c r="G3277" s="234">
        <v>1724.57</v>
      </c>
      <c r="H3277" s="10">
        <v>106</v>
      </c>
      <c r="I3277" s="273">
        <f>SUMIF('2020'!B:B,B3277,'2020'!C:C)+SUMIF('2021'!B:B,B3277,'2021'!C:C)+SUMIF('2022'!B:B,B3277,'2022'!C:C)</f>
        <v>30016822.800000001</v>
      </c>
      <c r="J3277" s="59">
        <v>44925</v>
      </c>
      <c r="K3277" s="273" t="s">
        <v>3118</v>
      </c>
    </row>
    <row r="3278" spans="1:11" x14ac:dyDescent="0.3">
      <c r="A3278" s="259">
        <f t="shared" si="126"/>
        <v>2945</v>
      </c>
      <c r="B3278" s="20" t="s">
        <v>2929</v>
      </c>
      <c r="C3278" s="67">
        <v>1980</v>
      </c>
      <c r="D3278" s="234"/>
      <c r="E3278" s="234" t="s">
        <v>3123</v>
      </c>
      <c r="F3278" s="10">
        <v>4</v>
      </c>
      <c r="G3278" s="234">
        <v>3016.54</v>
      </c>
      <c r="H3278" s="10">
        <v>151</v>
      </c>
      <c r="I3278" s="273">
        <f>SUMIF('2020'!B:B,B3278,'2020'!C:C)+SUMIF('2021'!B:B,B3278,'2021'!C:C)+SUMIF('2022'!B:B,B3278,'2022'!C:C)</f>
        <v>29596314.840000004</v>
      </c>
      <c r="J3278" s="59">
        <v>44925</v>
      </c>
      <c r="K3278" s="273" t="s">
        <v>3118</v>
      </c>
    </row>
    <row r="3279" spans="1:11" x14ac:dyDescent="0.3">
      <c r="A3279" s="259">
        <f t="shared" si="126"/>
        <v>2946</v>
      </c>
      <c r="B3279" s="20" t="s">
        <v>2930</v>
      </c>
      <c r="C3279" s="67">
        <v>1970</v>
      </c>
      <c r="D3279" s="234"/>
      <c r="E3279" s="234" t="s">
        <v>3123</v>
      </c>
      <c r="F3279" s="10">
        <v>5</v>
      </c>
      <c r="G3279" s="234">
        <v>4678.8999999999996</v>
      </c>
      <c r="H3279" s="10">
        <v>330</v>
      </c>
      <c r="I3279" s="273">
        <f>SUMIF('2020'!B:B,B3279,'2020'!C:C)+SUMIF('2021'!B:B,B3279,'2021'!C:C)+SUMIF('2022'!B:B,B3279,'2022'!C:C)</f>
        <v>18932373.600000001</v>
      </c>
      <c r="J3279" s="59">
        <v>44925</v>
      </c>
      <c r="K3279" s="273" t="s">
        <v>3118</v>
      </c>
    </row>
    <row r="3280" spans="1:11" x14ac:dyDescent="0.3">
      <c r="A3280" s="259">
        <f t="shared" si="126"/>
        <v>2947</v>
      </c>
      <c r="B3280" s="20" t="s">
        <v>2931</v>
      </c>
      <c r="C3280" s="67">
        <v>1971</v>
      </c>
      <c r="D3280" s="234"/>
      <c r="E3280" s="234" t="s">
        <v>3123</v>
      </c>
      <c r="F3280" s="10">
        <v>5</v>
      </c>
      <c r="G3280" s="259">
        <v>4828.4399999999996</v>
      </c>
      <c r="H3280" s="10">
        <v>321</v>
      </c>
      <c r="I3280" s="273">
        <f>SUMIF('2020'!B:B,B3280,'2020'!C:C)+SUMIF('2021'!B:B,B3280,'2021'!C:C)+SUMIF('2022'!B:B,B3280,'2022'!C:C)</f>
        <v>1112449.2</v>
      </c>
      <c r="J3280" s="59">
        <v>44925</v>
      </c>
      <c r="K3280" s="273" t="s">
        <v>3118</v>
      </c>
    </row>
    <row r="3281" spans="1:11" x14ac:dyDescent="0.3">
      <c r="A3281" s="259">
        <f t="shared" si="126"/>
        <v>2948</v>
      </c>
      <c r="B3281" s="20" t="s">
        <v>2932</v>
      </c>
      <c r="C3281" s="67">
        <v>1983</v>
      </c>
      <c r="D3281" s="234"/>
      <c r="E3281" s="234" t="s">
        <v>3123</v>
      </c>
      <c r="F3281" s="10">
        <v>9</v>
      </c>
      <c r="G3281" s="234">
        <v>6919</v>
      </c>
      <c r="H3281" s="10">
        <v>412</v>
      </c>
      <c r="I3281" s="273">
        <f>SUMIF('2020'!B:B,B3281,'2020'!C:C)+SUMIF('2021'!B:B,B3281,'2021'!C:C)+SUMIF('2022'!B:B,B3281,'2022'!C:C)</f>
        <v>5283571.2</v>
      </c>
      <c r="J3281" s="59">
        <v>44925</v>
      </c>
      <c r="K3281" s="273" t="s">
        <v>3118</v>
      </c>
    </row>
    <row r="3282" spans="1:11" x14ac:dyDescent="0.3">
      <c r="A3282" s="259">
        <f t="shared" si="126"/>
        <v>2949</v>
      </c>
      <c r="B3282" s="20" t="s">
        <v>2933</v>
      </c>
      <c r="C3282" s="67">
        <v>1974</v>
      </c>
      <c r="D3282" s="234"/>
      <c r="E3282" s="234" t="s">
        <v>3123</v>
      </c>
      <c r="F3282" s="10">
        <v>7</v>
      </c>
      <c r="G3282" s="234">
        <v>7981</v>
      </c>
      <c r="H3282" s="10">
        <v>294</v>
      </c>
      <c r="I3282" s="273">
        <f>SUMIF('2020'!B:B,B3282,'2020'!C:C)+SUMIF('2021'!B:B,B3282,'2021'!C:C)+SUMIF('2022'!B:B,B3282,'2022'!C:C)</f>
        <v>498444.68</v>
      </c>
      <c r="J3282" s="59">
        <v>44925</v>
      </c>
      <c r="K3282" s="273" t="s">
        <v>3118</v>
      </c>
    </row>
    <row r="3283" spans="1:11" x14ac:dyDescent="0.3">
      <c r="A3283" s="259">
        <f t="shared" si="126"/>
        <v>2950</v>
      </c>
      <c r="B3283" s="20" t="s">
        <v>2934</v>
      </c>
      <c r="C3283" s="67">
        <v>1973</v>
      </c>
      <c r="D3283" s="234"/>
      <c r="E3283" s="234" t="s">
        <v>3123</v>
      </c>
      <c r="F3283" s="10">
        <v>5</v>
      </c>
      <c r="G3283" s="234">
        <v>6433.9</v>
      </c>
      <c r="H3283" s="10">
        <v>350</v>
      </c>
      <c r="I3283" s="273">
        <f>SUMIF('2020'!B:B,B3283,'2020'!C:C)+SUMIF('2021'!B:B,B3283,'2021'!C:C)+SUMIF('2022'!B:B,B3283,'2022'!C:C)</f>
        <v>538717.31999999995</v>
      </c>
      <c r="J3283" s="59">
        <v>44925</v>
      </c>
      <c r="K3283" s="273" t="s">
        <v>3118</v>
      </c>
    </row>
    <row r="3284" spans="1:11" x14ac:dyDescent="0.3">
      <c r="A3284" s="259">
        <f t="shared" si="126"/>
        <v>2951</v>
      </c>
      <c r="B3284" s="20" t="s">
        <v>2935</v>
      </c>
      <c r="C3284" s="67">
        <v>1969</v>
      </c>
      <c r="D3284" s="234"/>
      <c r="E3284" s="234" t="s">
        <v>3123</v>
      </c>
      <c r="F3284" s="10">
        <v>5</v>
      </c>
      <c r="G3284" s="234">
        <v>3777.08</v>
      </c>
      <c r="H3284" s="10">
        <v>178</v>
      </c>
      <c r="I3284" s="273">
        <f>SUMIF('2020'!B:B,B3284,'2020'!C:C)+SUMIF('2021'!B:B,B3284,'2021'!C:C)+SUMIF('2022'!B:B,B3284,'2022'!C:C)</f>
        <v>4217338.03</v>
      </c>
      <c r="J3284" s="59">
        <v>44925</v>
      </c>
      <c r="K3284" s="273" t="s">
        <v>3118</v>
      </c>
    </row>
    <row r="3285" spans="1:11" x14ac:dyDescent="0.3">
      <c r="A3285" s="259"/>
      <c r="B3285" s="20" t="s">
        <v>208</v>
      </c>
      <c r="C3285" s="273" t="s">
        <v>3558</v>
      </c>
      <c r="D3285" s="273" t="s">
        <v>3558</v>
      </c>
      <c r="E3285" s="273" t="s">
        <v>3558</v>
      </c>
      <c r="F3285" s="273" t="s">
        <v>3558</v>
      </c>
      <c r="G3285" s="273">
        <f>SUM(G3273:G3284)</f>
        <v>41650.18</v>
      </c>
      <c r="H3285" s="10">
        <f>SUM(H3273:H3284)</f>
        <v>2250</v>
      </c>
      <c r="I3285" s="273">
        <f t="shared" ref="I3285" si="127">SUM(I3273:I3284)</f>
        <v>90966362.01000002</v>
      </c>
      <c r="J3285" s="59" t="s">
        <v>3558</v>
      </c>
      <c r="K3285" s="273" t="s">
        <v>3558</v>
      </c>
    </row>
    <row r="3286" spans="1:11" x14ac:dyDescent="0.3">
      <c r="A3286" s="291" t="s">
        <v>2936</v>
      </c>
      <c r="B3286" s="291"/>
      <c r="C3286" s="273"/>
      <c r="D3286" s="234"/>
      <c r="E3286" s="234"/>
      <c r="F3286" s="10"/>
      <c r="G3286" s="234"/>
      <c r="H3286" s="10"/>
      <c r="I3286" s="273"/>
      <c r="J3286" s="59"/>
      <c r="K3286" s="273"/>
    </row>
    <row r="3287" spans="1:11" ht="26.25" customHeight="1" x14ac:dyDescent="0.3">
      <c r="A3287" s="259">
        <f>A3284+1</f>
        <v>2952</v>
      </c>
      <c r="B3287" s="20" t="s">
        <v>2937</v>
      </c>
      <c r="C3287" s="162">
        <v>1950</v>
      </c>
      <c r="D3287" s="234"/>
      <c r="E3287" s="233" t="s">
        <v>3587</v>
      </c>
      <c r="F3287" s="28">
        <v>2</v>
      </c>
      <c r="G3287" s="234">
        <v>573</v>
      </c>
      <c r="H3287" s="10">
        <v>19</v>
      </c>
      <c r="I3287" s="273">
        <f>SUMIF('2020'!B:B,B3287,'2020'!C:C)+SUMIF('2021'!B:B,B3287,'2021'!C:C)+SUMIF('2022'!B:B,B3287,'2022'!C:C)</f>
        <v>211094.75</v>
      </c>
      <c r="J3287" s="59">
        <v>44925</v>
      </c>
      <c r="K3287" s="273" t="s">
        <v>3118</v>
      </c>
    </row>
    <row r="3288" spans="1:11" ht="24" customHeight="1" x14ac:dyDescent="0.3">
      <c r="A3288" s="259">
        <f t="shared" ref="A3288:A3294" si="128">A3287+1</f>
        <v>2953</v>
      </c>
      <c r="B3288" s="20" t="s">
        <v>2938</v>
      </c>
      <c r="C3288" s="162">
        <v>1950</v>
      </c>
      <c r="D3288" s="234"/>
      <c r="E3288" s="233" t="s">
        <v>3587</v>
      </c>
      <c r="F3288" s="28">
        <v>2</v>
      </c>
      <c r="G3288" s="234">
        <v>575.20000000000005</v>
      </c>
      <c r="H3288" s="10">
        <v>22</v>
      </c>
      <c r="I3288" s="273">
        <f>SUMIF('2020'!B:B,B3288,'2020'!C:C)+SUMIF('2021'!B:B,B3288,'2021'!C:C)+SUMIF('2022'!B:B,B3288,'2022'!C:C)</f>
        <v>195331.16</v>
      </c>
      <c r="J3288" s="59">
        <v>44925</v>
      </c>
      <c r="K3288" s="273" t="s">
        <v>3118</v>
      </c>
    </row>
    <row r="3289" spans="1:11" ht="39.6" x14ac:dyDescent="0.3">
      <c r="A3289" s="259">
        <f t="shared" si="128"/>
        <v>2954</v>
      </c>
      <c r="B3289" s="20" t="s">
        <v>2939</v>
      </c>
      <c r="C3289" s="162">
        <v>1953</v>
      </c>
      <c r="D3289" s="234"/>
      <c r="E3289" s="233" t="s">
        <v>3588</v>
      </c>
      <c r="F3289" s="28">
        <v>2</v>
      </c>
      <c r="G3289" s="234">
        <v>598.4</v>
      </c>
      <c r="H3289" s="10">
        <v>19</v>
      </c>
      <c r="I3289" s="273">
        <f>SUMIF('2020'!B:B,B3289,'2020'!C:C)+SUMIF('2021'!B:B,B3289,'2021'!C:C)+SUMIF('2022'!B:B,B3289,'2022'!C:C)</f>
        <v>220969.14</v>
      </c>
      <c r="J3289" s="59">
        <v>44925</v>
      </c>
      <c r="K3289" s="273" t="s">
        <v>3118</v>
      </c>
    </row>
    <row r="3290" spans="1:11" ht="33" customHeight="1" x14ac:dyDescent="0.3">
      <c r="A3290" s="259">
        <f t="shared" si="128"/>
        <v>2955</v>
      </c>
      <c r="B3290" s="20" t="s">
        <v>2940</v>
      </c>
      <c r="C3290" s="162">
        <v>1956</v>
      </c>
      <c r="D3290" s="234"/>
      <c r="E3290" s="233" t="s">
        <v>3587</v>
      </c>
      <c r="F3290" s="28">
        <v>2</v>
      </c>
      <c r="G3290" s="234">
        <v>786.3</v>
      </c>
      <c r="H3290" s="10">
        <v>25</v>
      </c>
      <c r="I3290" s="273">
        <f>SUMIF('2020'!B:B,B3290,'2020'!C:C)+SUMIF('2021'!B:B,B3290,'2021'!C:C)+SUMIF('2022'!B:B,B3290,'2022'!C:C)</f>
        <v>7580964.3999999994</v>
      </c>
      <c r="J3290" s="59">
        <v>44925</v>
      </c>
      <c r="K3290" s="273" t="s">
        <v>3118</v>
      </c>
    </row>
    <row r="3291" spans="1:11" x14ac:dyDescent="0.3">
      <c r="A3291" s="259">
        <f t="shared" si="128"/>
        <v>2956</v>
      </c>
      <c r="B3291" s="20" t="s">
        <v>2942</v>
      </c>
      <c r="C3291" s="162">
        <v>1951</v>
      </c>
      <c r="D3291" s="234"/>
      <c r="E3291" s="234" t="s">
        <v>3589</v>
      </c>
      <c r="F3291" s="28">
        <v>2</v>
      </c>
      <c r="G3291" s="234">
        <v>524.4</v>
      </c>
      <c r="H3291" s="10">
        <v>29</v>
      </c>
      <c r="I3291" s="273">
        <f>SUMIF('2020'!B:B,B3291,'2020'!C:C)+SUMIF('2021'!B:B,B3291,'2021'!C:C)+SUMIF('2022'!B:B,B3291,'2022'!C:C)</f>
        <v>171967.8</v>
      </c>
      <c r="J3291" s="59">
        <v>44925</v>
      </c>
      <c r="K3291" s="273" t="s">
        <v>3118</v>
      </c>
    </row>
    <row r="3292" spans="1:11" x14ac:dyDescent="0.3">
      <c r="A3292" s="259">
        <f t="shared" si="128"/>
        <v>2957</v>
      </c>
      <c r="B3292" s="20" t="s">
        <v>2943</v>
      </c>
      <c r="C3292" s="162">
        <v>1951</v>
      </c>
      <c r="D3292" s="234"/>
      <c r="E3292" s="234" t="s">
        <v>3589</v>
      </c>
      <c r="F3292" s="28">
        <v>2</v>
      </c>
      <c r="G3292" s="234">
        <v>474.6</v>
      </c>
      <c r="H3292" s="10">
        <v>19</v>
      </c>
      <c r="I3292" s="273">
        <f>SUMIF('2020'!B:B,B3292,'2020'!C:C)+SUMIF('2021'!B:B,B3292,'2021'!C:C)+SUMIF('2022'!B:B,B3292,'2022'!C:C)</f>
        <v>171967.8</v>
      </c>
      <c r="J3292" s="59">
        <v>44925</v>
      </c>
      <c r="K3292" s="273" t="s">
        <v>3118</v>
      </c>
    </row>
    <row r="3293" spans="1:11" x14ac:dyDescent="0.3">
      <c r="A3293" s="259">
        <f t="shared" si="128"/>
        <v>2958</v>
      </c>
      <c r="B3293" s="20" t="s">
        <v>2944</v>
      </c>
      <c r="C3293" s="162">
        <v>1951</v>
      </c>
      <c r="D3293" s="234"/>
      <c r="E3293" s="234" t="s">
        <v>3589</v>
      </c>
      <c r="F3293" s="28">
        <v>2</v>
      </c>
      <c r="G3293" s="234">
        <v>470.9</v>
      </c>
      <c r="H3293" s="10">
        <v>27</v>
      </c>
      <c r="I3293" s="273">
        <f>SUMIF('2020'!B:B,B3293,'2020'!C:C)+SUMIF('2021'!B:B,B3293,'2021'!C:C)+SUMIF('2022'!B:B,B3293,'2022'!C:C)</f>
        <v>171967.8</v>
      </c>
      <c r="J3293" s="59">
        <v>44925</v>
      </c>
      <c r="K3293" s="273" t="s">
        <v>3118</v>
      </c>
    </row>
    <row r="3294" spans="1:11" x14ac:dyDescent="0.3">
      <c r="A3294" s="259">
        <f t="shared" si="128"/>
        <v>2959</v>
      </c>
      <c r="B3294" s="20" t="s">
        <v>2945</v>
      </c>
      <c r="C3294" s="162">
        <v>1952</v>
      </c>
      <c r="D3294" s="234"/>
      <c r="E3294" s="234" t="s">
        <v>3589</v>
      </c>
      <c r="F3294" s="28">
        <v>2</v>
      </c>
      <c r="G3294" s="234">
        <v>522.70000000000005</v>
      </c>
      <c r="H3294" s="10">
        <v>29</v>
      </c>
      <c r="I3294" s="273">
        <f>SUMIF('2020'!B:B,B3294,'2020'!C:C)+SUMIF('2021'!B:B,B3294,'2021'!C:C)+SUMIF('2022'!B:B,B3294,'2022'!C:C)</f>
        <v>171967.8</v>
      </c>
      <c r="J3294" s="59">
        <v>44925</v>
      </c>
      <c r="K3294" s="273" t="s">
        <v>3118</v>
      </c>
    </row>
    <row r="3295" spans="1:11" x14ac:dyDescent="0.3">
      <c r="A3295" s="259"/>
      <c r="B3295" s="20" t="s">
        <v>208</v>
      </c>
      <c r="C3295" s="273" t="s">
        <v>3558</v>
      </c>
      <c r="D3295" s="273" t="s">
        <v>3558</v>
      </c>
      <c r="E3295" s="273" t="s">
        <v>3558</v>
      </c>
      <c r="F3295" s="273" t="s">
        <v>3558</v>
      </c>
      <c r="G3295" s="273">
        <f>SUM(G3287:G3294)</f>
        <v>4525.5</v>
      </c>
      <c r="H3295" s="10">
        <f>SUM(H3287:H3294)</f>
        <v>189</v>
      </c>
      <c r="I3295" s="273">
        <f t="shared" ref="I3295" si="129">SUM(I3287:I3294)</f>
        <v>8896230.6500000004</v>
      </c>
      <c r="J3295" s="59" t="s">
        <v>3558</v>
      </c>
      <c r="K3295" s="273" t="s">
        <v>3558</v>
      </c>
    </row>
    <row r="3296" spans="1:11" x14ac:dyDescent="0.3">
      <c r="A3296" s="291" t="s">
        <v>2946</v>
      </c>
      <c r="B3296" s="291"/>
      <c r="C3296" s="273"/>
      <c r="D3296" s="234"/>
      <c r="E3296" s="234"/>
      <c r="F3296" s="10"/>
      <c r="G3296" s="234"/>
      <c r="H3296" s="10"/>
      <c r="I3296" s="273"/>
      <c r="J3296" s="59"/>
      <c r="K3296" s="273"/>
    </row>
    <row r="3297" spans="1:11" x14ac:dyDescent="0.3">
      <c r="A3297" s="259">
        <f>A3294+1</f>
        <v>2960</v>
      </c>
      <c r="B3297" s="20" t="s">
        <v>2947</v>
      </c>
      <c r="C3297" s="162">
        <v>1964</v>
      </c>
      <c r="D3297" s="234"/>
      <c r="E3297" s="234" t="s">
        <v>3123</v>
      </c>
      <c r="F3297" s="10">
        <v>2</v>
      </c>
      <c r="G3297" s="234">
        <v>907.68</v>
      </c>
      <c r="H3297" s="10">
        <v>50</v>
      </c>
      <c r="I3297" s="273">
        <f>SUMIF('2020'!B:B,B3297,'2020'!C:C)+SUMIF('2021'!B:B,B3297,'2021'!C:C)+SUMIF('2022'!B:B,B3297,'2022'!C:C)</f>
        <v>6427127.2400000002</v>
      </c>
      <c r="J3297" s="59">
        <v>44925</v>
      </c>
      <c r="K3297" s="273" t="s">
        <v>3118</v>
      </c>
    </row>
    <row r="3298" spans="1:11" x14ac:dyDescent="0.3">
      <c r="A3298" s="259">
        <f t="shared" ref="A3298:A3316" si="130">A3297+1</f>
        <v>2961</v>
      </c>
      <c r="B3298" s="20" t="s">
        <v>2948</v>
      </c>
      <c r="C3298" s="162">
        <v>1964</v>
      </c>
      <c r="D3298" s="234"/>
      <c r="E3298" s="234" t="s">
        <v>3123</v>
      </c>
      <c r="F3298" s="10">
        <v>2</v>
      </c>
      <c r="G3298" s="234">
        <v>852.4</v>
      </c>
      <c r="H3298" s="10">
        <v>60</v>
      </c>
      <c r="I3298" s="273">
        <f>SUMIF('2020'!B:B,B3298,'2020'!C:C)+SUMIF('2021'!B:B,B3298,'2021'!C:C)+SUMIF('2022'!B:B,B3298,'2022'!C:C)</f>
        <v>6628881.2800000003</v>
      </c>
      <c r="J3298" s="59">
        <v>44925</v>
      </c>
      <c r="K3298" s="273" t="s">
        <v>3118</v>
      </c>
    </row>
    <row r="3299" spans="1:11" x14ac:dyDescent="0.3">
      <c r="A3299" s="259">
        <f>A3298+1</f>
        <v>2962</v>
      </c>
      <c r="B3299" s="20" t="s">
        <v>3561</v>
      </c>
      <c r="C3299" s="162">
        <v>1961</v>
      </c>
      <c r="D3299" s="234" t="s">
        <v>3558</v>
      </c>
      <c r="E3299" s="234" t="s">
        <v>3123</v>
      </c>
      <c r="F3299" s="10">
        <v>2</v>
      </c>
      <c r="G3299" s="234">
        <v>520.85</v>
      </c>
      <c r="H3299" s="10">
        <v>22</v>
      </c>
      <c r="I3299" s="273">
        <f>SUMIF('2020'!B:B,B3299,'2020'!C:C)+SUMIF('2021'!B:B,B3299,'2021'!C:C)+SUMIF('2022'!B:B,B3299,'2022'!C:C)</f>
        <v>16308060.43</v>
      </c>
      <c r="J3299" s="59">
        <v>44925</v>
      </c>
      <c r="K3299" s="273" t="s">
        <v>3118</v>
      </c>
    </row>
    <row r="3300" spans="1:11" x14ac:dyDescent="0.3">
      <c r="A3300" s="259">
        <f t="shared" ref="A3300:A3301" si="131">A3299+1</f>
        <v>2963</v>
      </c>
      <c r="B3300" s="20" t="s">
        <v>3560</v>
      </c>
      <c r="C3300" s="162">
        <v>1960</v>
      </c>
      <c r="D3300" s="234" t="s">
        <v>3558</v>
      </c>
      <c r="E3300" s="234" t="s">
        <v>3121</v>
      </c>
      <c r="F3300" s="10">
        <v>2</v>
      </c>
      <c r="G3300" s="234">
        <v>510.5</v>
      </c>
      <c r="H3300" s="10">
        <v>11</v>
      </c>
      <c r="I3300" s="273">
        <f>SUMIF('2020'!B:B,B3300,'2020'!C:C)+SUMIF('2021'!B:B,B3300,'2021'!C:C)+SUMIF('2022'!B:B,B3300,'2022'!C:C)</f>
        <v>17576093.25</v>
      </c>
      <c r="J3300" s="59">
        <v>44925</v>
      </c>
      <c r="K3300" s="273" t="s">
        <v>3118</v>
      </c>
    </row>
    <row r="3301" spans="1:11" x14ac:dyDescent="0.3">
      <c r="A3301" s="259">
        <f t="shared" si="131"/>
        <v>2964</v>
      </c>
      <c r="B3301" s="20" t="s">
        <v>2949</v>
      </c>
      <c r="C3301" s="162">
        <v>1968</v>
      </c>
      <c r="D3301" s="234"/>
      <c r="E3301" s="234" t="s">
        <v>3437</v>
      </c>
      <c r="F3301" s="10">
        <v>2</v>
      </c>
      <c r="G3301" s="234">
        <v>308.5</v>
      </c>
      <c r="H3301" s="10">
        <v>13</v>
      </c>
      <c r="I3301" s="273">
        <f>SUMIF('2020'!B:B,B3301,'2020'!C:C)+SUMIF('2021'!B:B,B3301,'2021'!C:C)+SUMIF('2022'!B:B,B3301,'2022'!C:C)</f>
        <v>3472590.64</v>
      </c>
      <c r="J3301" s="59">
        <v>44925</v>
      </c>
      <c r="K3301" s="273" t="s">
        <v>3118</v>
      </c>
    </row>
    <row r="3302" spans="1:11" x14ac:dyDescent="0.3">
      <c r="A3302" s="259">
        <f t="shared" si="130"/>
        <v>2965</v>
      </c>
      <c r="B3302" s="20" t="s">
        <v>2950</v>
      </c>
      <c r="C3302" s="162">
        <v>1980</v>
      </c>
      <c r="D3302" s="234"/>
      <c r="E3302" s="234" t="s">
        <v>3123</v>
      </c>
      <c r="F3302" s="10">
        <v>2</v>
      </c>
      <c r="G3302" s="234">
        <v>405.9</v>
      </c>
      <c r="H3302" s="10">
        <v>31</v>
      </c>
      <c r="I3302" s="273">
        <f>SUMIF('2020'!B:B,B3302,'2020'!C:C)+SUMIF('2021'!B:B,B3302,'2021'!C:C)+SUMIF('2022'!B:B,B3302,'2022'!C:C)</f>
        <v>2053243.07</v>
      </c>
      <c r="J3302" s="59">
        <v>44925</v>
      </c>
      <c r="K3302" s="273" t="s">
        <v>3118</v>
      </c>
    </row>
    <row r="3303" spans="1:11" x14ac:dyDescent="0.3">
      <c r="A3303" s="259">
        <f t="shared" si="130"/>
        <v>2966</v>
      </c>
      <c r="B3303" s="20" t="s">
        <v>2951</v>
      </c>
      <c r="C3303" s="162">
        <v>1956</v>
      </c>
      <c r="D3303" s="234"/>
      <c r="E3303" s="234" t="s">
        <v>3123</v>
      </c>
      <c r="F3303" s="10">
        <v>2</v>
      </c>
      <c r="G3303" s="234">
        <v>733.09</v>
      </c>
      <c r="H3303" s="10">
        <v>34</v>
      </c>
      <c r="I3303" s="273">
        <f>SUMIF('2020'!B:B,B3303,'2020'!C:C)+SUMIF('2021'!B:B,B3303,'2021'!C:C)+SUMIF('2022'!B:B,B3303,'2022'!C:C)</f>
        <v>447727.2</v>
      </c>
      <c r="J3303" s="59">
        <v>44925</v>
      </c>
      <c r="K3303" s="273" t="s">
        <v>3118</v>
      </c>
    </row>
    <row r="3304" spans="1:11" x14ac:dyDescent="0.3">
      <c r="A3304" s="259">
        <f t="shared" si="130"/>
        <v>2967</v>
      </c>
      <c r="B3304" s="20" t="s">
        <v>2952</v>
      </c>
      <c r="C3304" s="162">
        <v>1959</v>
      </c>
      <c r="D3304" s="234"/>
      <c r="E3304" s="234" t="s">
        <v>3123</v>
      </c>
      <c r="F3304" s="10">
        <v>2</v>
      </c>
      <c r="G3304" s="234">
        <v>656.51</v>
      </c>
      <c r="H3304" s="10">
        <v>25</v>
      </c>
      <c r="I3304" s="273">
        <f>SUMIF('2020'!B:B,B3304,'2020'!C:C)+SUMIF('2021'!B:B,B3304,'2021'!C:C)+SUMIF('2022'!B:B,B3304,'2022'!C:C)</f>
        <v>23341217.900000002</v>
      </c>
      <c r="J3304" s="59">
        <v>44925</v>
      </c>
      <c r="K3304" s="273" t="s">
        <v>3118</v>
      </c>
    </row>
    <row r="3305" spans="1:11" x14ac:dyDescent="0.3">
      <c r="A3305" s="259">
        <f t="shared" si="130"/>
        <v>2968</v>
      </c>
      <c r="B3305" s="20" t="s">
        <v>2953</v>
      </c>
      <c r="C3305" s="162">
        <v>1961</v>
      </c>
      <c r="D3305" s="234"/>
      <c r="E3305" s="234" t="s">
        <v>3123</v>
      </c>
      <c r="F3305" s="10">
        <v>2</v>
      </c>
      <c r="G3305" s="234">
        <v>519.21</v>
      </c>
      <c r="H3305" s="10">
        <v>30</v>
      </c>
      <c r="I3305" s="273">
        <f>SUMIF('2020'!B:B,B3305,'2020'!C:C)+SUMIF('2021'!B:B,B3305,'2021'!C:C)+SUMIF('2022'!B:B,B3305,'2022'!C:C)</f>
        <v>4715606.5999999996</v>
      </c>
      <c r="J3305" s="59">
        <v>44925</v>
      </c>
      <c r="K3305" s="273" t="s">
        <v>3118</v>
      </c>
    </row>
    <row r="3306" spans="1:11" x14ac:dyDescent="0.3">
      <c r="A3306" s="259">
        <f t="shared" si="130"/>
        <v>2969</v>
      </c>
      <c r="B3306" s="20" t="s">
        <v>2954</v>
      </c>
      <c r="C3306" s="162">
        <v>1961</v>
      </c>
      <c r="D3306" s="234"/>
      <c r="E3306" s="234" t="s">
        <v>3123</v>
      </c>
      <c r="F3306" s="10">
        <v>2</v>
      </c>
      <c r="G3306" s="234">
        <v>512.1</v>
      </c>
      <c r="H3306" s="10">
        <v>17</v>
      </c>
      <c r="I3306" s="273">
        <f>SUMIF('2020'!B:B,B3306,'2020'!C:C)+SUMIF('2021'!B:B,B3306,'2021'!C:C)+SUMIF('2022'!B:B,B3306,'2022'!C:C)</f>
        <v>1393196</v>
      </c>
      <c r="J3306" s="59">
        <v>44925</v>
      </c>
      <c r="K3306" s="273" t="s">
        <v>3118</v>
      </c>
    </row>
    <row r="3307" spans="1:11" x14ac:dyDescent="0.3">
      <c r="A3307" s="259">
        <f t="shared" si="130"/>
        <v>2970</v>
      </c>
      <c r="B3307" s="20" t="s">
        <v>2955</v>
      </c>
      <c r="C3307" s="162">
        <v>1970</v>
      </c>
      <c r="D3307" s="234"/>
      <c r="E3307" s="234" t="s">
        <v>3123</v>
      </c>
      <c r="F3307" s="10">
        <v>2</v>
      </c>
      <c r="G3307" s="234">
        <v>537</v>
      </c>
      <c r="H3307" s="10">
        <v>42</v>
      </c>
      <c r="I3307" s="273">
        <f>SUMIF('2020'!B:B,B3307,'2020'!C:C)+SUMIF('2021'!B:B,B3307,'2021'!C:C)+SUMIF('2022'!B:B,B3307,'2022'!C:C)</f>
        <v>3040072</v>
      </c>
      <c r="J3307" s="59">
        <v>44925</v>
      </c>
      <c r="K3307" s="273" t="s">
        <v>3118</v>
      </c>
    </row>
    <row r="3308" spans="1:11" x14ac:dyDescent="0.3">
      <c r="A3308" s="259">
        <f t="shared" si="130"/>
        <v>2971</v>
      </c>
      <c r="B3308" s="20" t="s">
        <v>2956</v>
      </c>
      <c r="C3308" s="162">
        <v>1970</v>
      </c>
      <c r="D3308" s="234"/>
      <c r="E3308" s="234" t="s">
        <v>3123</v>
      </c>
      <c r="F3308" s="10">
        <v>2</v>
      </c>
      <c r="G3308" s="234">
        <v>560.9</v>
      </c>
      <c r="H3308" s="10">
        <v>36</v>
      </c>
      <c r="I3308" s="273">
        <f>SUMIF('2020'!B:B,B3308,'2020'!C:C)+SUMIF('2021'!B:B,B3308,'2021'!C:C)+SUMIF('2022'!B:B,B3308,'2022'!C:C)</f>
        <v>3040072</v>
      </c>
      <c r="J3308" s="59">
        <v>44925</v>
      </c>
      <c r="K3308" s="273" t="s">
        <v>3118</v>
      </c>
    </row>
    <row r="3309" spans="1:11" x14ac:dyDescent="0.3">
      <c r="A3309" s="259">
        <f t="shared" si="130"/>
        <v>2972</v>
      </c>
      <c r="B3309" s="20" t="s">
        <v>2957</v>
      </c>
      <c r="C3309" s="162">
        <v>1970</v>
      </c>
      <c r="D3309" s="234"/>
      <c r="E3309" s="234" t="s">
        <v>3123</v>
      </c>
      <c r="F3309" s="10">
        <v>2</v>
      </c>
      <c r="G3309" s="234">
        <v>575.5</v>
      </c>
      <c r="H3309" s="10">
        <v>28</v>
      </c>
      <c r="I3309" s="273">
        <f>SUMIF('2020'!B:B,B3309,'2020'!C:C)+SUMIF('2021'!B:B,B3309,'2021'!C:C)+SUMIF('2022'!B:B,B3309,'2022'!C:C)</f>
        <v>3040072</v>
      </c>
      <c r="J3309" s="59">
        <v>44925</v>
      </c>
      <c r="K3309" s="273" t="s">
        <v>3118</v>
      </c>
    </row>
    <row r="3310" spans="1:11" x14ac:dyDescent="0.3">
      <c r="A3310" s="259">
        <f t="shared" si="130"/>
        <v>2973</v>
      </c>
      <c r="B3310" s="20" t="s">
        <v>2958</v>
      </c>
      <c r="C3310" s="162">
        <v>1970</v>
      </c>
      <c r="D3310" s="234"/>
      <c r="E3310" s="234" t="s">
        <v>3123</v>
      </c>
      <c r="F3310" s="10">
        <v>2</v>
      </c>
      <c r="G3310" s="234">
        <v>578.12</v>
      </c>
      <c r="H3310" s="10">
        <v>30</v>
      </c>
      <c r="I3310" s="273">
        <f>SUMIF('2020'!B:B,B3310,'2020'!C:C)+SUMIF('2021'!B:B,B3310,'2021'!C:C)+SUMIF('2022'!B:B,B3310,'2022'!C:C)</f>
        <v>1429036</v>
      </c>
      <c r="J3310" s="59">
        <v>44925</v>
      </c>
      <c r="K3310" s="273" t="s">
        <v>3118</v>
      </c>
    </row>
    <row r="3311" spans="1:11" x14ac:dyDescent="0.3">
      <c r="A3311" s="259">
        <f t="shared" si="130"/>
        <v>2974</v>
      </c>
      <c r="B3311" s="20" t="s">
        <v>2959</v>
      </c>
      <c r="C3311" s="162">
        <v>1987</v>
      </c>
      <c r="D3311" s="234"/>
      <c r="E3311" s="234" t="s">
        <v>3121</v>
      </c>
      <c r="F3311" s="10">
        <v>2</v>
      </c>
      <c r="G3311" s="234">
        <v>567.79999999999995</v>
      </c>
      <c r="H3311" s="10">
        <v>22</v>
      </c>
      <c r="I3311" s="273">
        <f>SUMIF('2020'!B:B,B3311,'2020'!C:C)+SUMIF('2021'!B:B,B3311,'2021'!C:C)+SUMIF('2022'!B:B,B3311,'2022'!C:C)</f>
        <v>8893426.8000000007</v>
      </c>
      <c r="J3311" s="59">
        <v>44925</v>
      </c>
      <c r="K3311" s="273" t="s">
        <v>3118</v>
      </c>
    </row>
    <row r="3312" spans="1:11" x14ac:dyDescent="0.3">
      <c r="A3312" s="259">
        <f t="shared" si="130"/>
        <v>2975</v>
      </c>
      <c r="B3312" s="20" t="s">
        <v>2960</v>
      </c>
      <c r="C3312" s="162">
        <v>1968</v>
      </c>
      <c r="D3312" s="234"/>
      <c r="E3312" s="234" t="s">
        <v>3123</v>
      </c>
      <c r="F3312" s="10">
        <v>2</v>
      </c>
      <c r="G3312" s="234">
        <v>798.2</v>
      </c>
      <c r="H3312" s="10">
        <v>41</v>
      </c>
      <c r="I3312" s="273">
        <f>SUMIF('2020'!B:B,B3312,'2020'!C:C)+SUMIF('2021'!B:B,B3312,'2021'!C:C)+SUMIF('2022'!B:B,B3312,'2022'!C:C)</f>
        <v>2208085.2000000002</v>
      </c>
      <c r="J3312" s="59">
        <v>44925</v>
      </c>
      <c r="K3312" s="273" t="s">
        <v>3118</v>
      </c>
    </row>
    <row r="3313" spans="1:12" x14ac:dyDescent="0.3">
      <c r="A3313" s="259">
        <f t="shared" si="130"/>
        <v>2976</v>
      </c>
      <c r="B3313" s="20" t="s">
        <v>2961</v>
      </c>
      <c r="C3313" s="162">
        <v>1960</v>
      </c>
      <c r="D3313" s="234"/>
      <c r="E3313" s="234" t="s">
        <v>3123</v>
      </c>
      <c r="F3313" s="10">
        <v>2</v>
      </c>
      <c r="G3313" s="234">
        <v>666.66</v>
      </c>
      <c r="H3313" s="10">
        <v>44</v>
      </c>
      <c r="I3313" s="273">
        <f>SUMIF('2020'!B:B,B3313,'2020'!C:C)+SUMIF('2021'!B:B,B3313,'2021'!C:C)+SUMIF('2022'!B:B,B3313,'2022'!C:C)</f>
        <v>1498064.4</v>
      </c>
      <c r="J3313" s="59">
        <v>44925</v>
      </c>
      <c r="K3313" s="273" t="s">
        <v>3118</v>
      </c>
    </row>
    <row r="3314" spans="1:12" x14ac:dyDescent="0.3">
      <c r="A3314" s="259">
        <f t="shared" si="130"/>
        <v>2977</v>
      </c>
      <c r="B3314" s="20" t="s">
        <v>2962</v>
      </c>
      <c r="C3314" s="162">
        <v>1962</v>
      </c>
      <c r="D3314" s="234"/>
      <c r="E3314" s="234" t="s">
        <v>3123</v>
      </c>
      <c r="F3314" s="10">
        <v>2</v>
      </c>
      <c r="G3314" s="234">
        <v>670.31</v>
      </c>
      <c r="H3314" s="10">
        <v>43</v>
      </c>
      <c r="I3314" s="273">
        <f>SUMIF('2020'!B:B,B3314,'2020'!C:C)+SUMIF('2021'!B:B,B3314,'2021'!C:C)+SUMIF('2022'!B:B,B3314,'2022'!C:C)</f>
        <v>1743656.4</v>
      </c>
      <c r="J3314" s="59">
        <v>44925</v>
      </c>
      <c r="K3314" s="273" t="s">
        <v>3118</v>
      </c>
    </row>
    <row r="3315" spans="1:12" x14ac:dyDescent="0.3">
      <c r="A3315" s="259">
        <f t="shared" si="130"/>
        <v>2978</v>
      </c>
      <c r="B3315" s="20" t="s">
        <v>2963</v>
      </c>
      <c r="C3315" s="162">
        <v>1964</v>
      </c>
      <c r="D3315" s="234"/>
      <c r="E3315" s="234" t="s">
        <v>3123</v>
      </c>
      <c r="F3315" s="10">
        <v>2</v>
      </c>
      <c r="G3315" s="234">
        <v>643.94000000000005</v>
      </c>
      <c r="H3315" s="10">
        <v>29</v>
      </c>
      <c r="I3315" s="273">
        <f>SUMIF('2020'!B:B,B3315,'2020'!C:C)+SUMIF('2021'!B:B,B3315,'2021'!C:C)+SUMIF('2022'!B:B,B3315,'2022'!C:C)</f>
        <v>1750953.6</v>
      </c>
      <c r="J3315" s="59">
        <v>44925</v>
      </c>
      <c r="K3315" s="273" t="s">
        <v>3118</v>
      </c>
    </row>
    <row r="3316" spans="1:12" x14ac:dyDescent="0.3">
      <c r="A3316" s="259">
        <f t="shared" si="130"/>
        <v>2979</v>
      </c>
      <c r="B3316" s="20" t="s">
        <v>2964</v>
      </c>
      <c r="C3316" s="162">
        <v>1970</v>
      </c>
      <c r="D3316" s="234"/>
      <c r="E3316" s="234" t="s">
        <v>3121</v>
      </c>
      <c r="F3316" s="10">
        <v>2</v>
      </c>
      <c r="G3316" s="234">
        <v>4814.37</v>
      </c>
      <c r="H3316" s="10">
        <v>230</v>
      </c>
      <c r="I3316" s="273">
        <f>SUMIF('2020'!B:B,B3316,'2020'!C:C)+SUMIF('2021'!B:B,B3316,'2021'!C:C)+SUMIF('2022'!B:B,B3316,'2022'!C:C)</f>
        <v>10525678.800000001</v>
      </c>
      <c r="J3316" s="59">
        <v>44925</v>
      </c>
      <c r="K3316" s="273" t="s">
        <v>3118</v>
      </c>
    </row>
    <row r="3317" spans="1:12" x14ac:dyDescent="0.3">
      <c r="A3317" s="259"/>
      <c r="B3317" s="20" t="s">
        <v>208</v>
      </c>
      <c r="C3317" s="273" t="s">
        <v>3558</v>
      </c>
      <c r="D3317" s="273" t="s">
        <v>3558</v>
      </c>
      <c r="E3317" s="273" t="s">
        <v>3558</v>
      </c>
      <c r="F3317" s="273" t="s">
        <v>3558</v>
      </c>
      <c r="G3317" s="273">
        <f t="shared" ref="G3317:H3317" si="132">SUM(G3297:G3316)</f>
        <v>16339.54</v>
      </c>
      <c r="H3317" s="10">
        <f t="shared" si="132"/>
        <v>838</v>
      </c>
      <c r="I3317" s="273">
        <f>SUM(I3297:I3316)</f>
        <v>119532860.81</v>
      </c>
      <c r="J3317" s="59" t="s">
        <v>3558</v>
      </c>
      <c r="K3317" s="273" t="s">
        <v>3558</v>
      </c>
      <c r="L3317" s="197">
        <f>I3317-'2020'!C762-'2021'!C2328-'2022'!C1066</f>
        <v>0</v>
      </c>
    </row>
    <row r="3318" spans="1:12" x14ac:dyDescent="0.3">
      <c r="A3318" s="291" t="s">
        <v>2965</v>
      </c>
      <c r="B3318" s="291"/>
      <c r="C3318" s="273"/>
      <c r="D3318" s="234"/>
      <c r="E3318" s="234"/>
      <c r="F3318" s="10"/>
      <c r="G3318" s="234"/>
      <c r="H3318" s="10"/>
      <c r="I3318" s="273"/>
      <c r="J3318" s="59"/>
      <c r="K3318" s="273"/>
    </row>
    <row r="3319" spans="1:12" x14ac:dyDescent="0.3">
      <c r="A3319" s="259">
        <f>A3316+1</f>
        <v>2980</v>
      </c>
      <c r="B3319" s="20" t="s">
        <v>2966</v>
      </c>
      <c r="C3319" s="162">
        <v>1938</v>
      </c>
      <c r="D3319" s="234"/>
      <c r="E3319" s="234" t="s">
        <v>3123</v>
      </c>
      <c r="F3319" s="10">
        <v>2</v>
      </c>
      <c r="G3319" s="234">
        <v>1058.7</v>
      </c>
      <c r="H3319" s="10">
        <v>53</v>
      </c>
      <c r="I3319" s="273">
        <f>SUMIF('2020'!B:B,B3319,'2020'!C:C)+SUMIF('2021'!B:B,B3319,'2021'!C:C)+SUMIF('2022'!B:B,B3319,'2022'!C:C)</f>
        <v>216389.95</v>
      </c>
      <c r="J3319" s="59">
        <v>44925</v>
      </c>
      <c r="K3319" s="273" t="s">
        <v>3118</v>
      </c>
    </row>
    <row r="3320" spans="1:12" x14ac:dyDescent="0.3">
      <c r="A3320" s="259">
        <f>A3319+1</f>
        <v>2981</v>
      </c>
      <c r="B3320" s="20" t="s">
        <v>2967</v>
      </c>
      <c r="C3320" s="162">
        <v>1930</v>
      </c>
      <c r="D3320" s="234"/>
      <c r="E3320" s="234" t="s">
        <v>3123</v>
      </c>
      <c r="F3320" s="10">
        <v>2</v>
      </c>
      <c r="G3320" s="234">
        <v>1064.7</v>
      </c>
      <c r="H3320" s="10">
        <v>61</v>
      </c>
      <c r="I3320" s="273">
        <f>SUMIF('2020'!B:B,B3320,'2020'!C:C)+SUMIF('2021'!B:B,B3320,'2021'!C:C)+SUMIF('2022'!B:B,B3320,'2022'!C:C)</f>
        <v>216389.95</v>
      </c>
      <c r="J3320" s="59">
        <v>44925</v>
      </c>
      <c r="K3320" s="273" t="s">
        <v>3118</v>
      </c>
    </row>
    <row r="3321" spans="1:12" x14ac:dyDescent="0.3">
      <c r="A3321" s="259">
        <f>A3320+1</f>
        <v>2982</v>
      </c>
      <c r="B3321" s="20" t="s">
        <v>2968</v>
      </c>
      <c r="C3321" s="162">
        <v>1938</v>
      </c>
      <c r="D3321" s="234"/>
      <c r="E3321" s="234" t="s">
        <v>3123</v>
      </c>
      <c r="F3321" s="10">
        <v>3</v>
      </c>
      <c r="G3321" s="234">
        <v>1342.4</v>
      </c>
      <c r="H3321" s="10">
        <v>66</v>
      </c>
      <c r="I3321" s="273">
        <f>SUMIF('2020'!B:B,B3321,'2020'!C:C)+SUMIF('2021'!B:B,B3321,'2021'!C:C)+SUMIF('2022'!B:B,B3321,'2022'!C:C)</f>
        <v>274524.14</v>
      </c>
      <c r="J3321" s="59">
        <v>44925</v>
      </c>
      <c r="K3321" s="273" t="s">
        <v>3118</v>
      </c>
    </row>
    <row r="3322" spans="1:12" x14ac:dyDescent="0.3">
      <c r="A3322" s="259">
        <f>A3321+1</f>
        <v>2983</v>
      </c>
      <c r="B3322" s="20" t="s">
        <v>2969</v>
      </c>
      <c r="C3322" s="162">
        <v>1952</v>
      </c>
      <c r="D3322" s="234"/>
      <c r="E3322" s="234" t="s">
        <v>3123</v>
      </c>
      <c r="F3322" s="10">
        <v>2</v>
      </c>
      <c r="G3322" s="234">
        <v>421.4</v>
      </c>
      <c r="H3322" s="10">
        <v>11</v>
      </c>
      <c r="I3322" s="273">
        <f>SUMIF('2020'!B:B,B3322,'2020'!C:C)+SUMIF('2021'!B:B,B3322,'2021'!C:C)+SUMIF('2022'!B:B,B3322,'2022'!C:C)</f>
        <v>208853.62</v>
      </c>
      <c r="J3322" s="59">
        <v>44925</v>
      </c>
      <c r="K3322" s="273" t="s">
        <v>3118</v>
      </c>
    </row>
    <row r="3323" spans="1:12" x14ac:dyDescent="0.3">
      <c r="A3323" s="259">
        <f>A3322+1</f>
        <v>2984</v>
      </c>
      <c r="B3323" s="20" t="s">
        <v>2970</v>
      </c>
      <c r="C3323" s="162">
        <v>1940</v>
      </c>
      <c r="D3323" s="234"/>
      <c r="E3323" s="234" t="s">
        <v>3123</v>
      </c>
      <c r="F3323" s="10">
        <v>1</v>
      </c>
      <c r="G3323" s="234">
        <v>616.20000000000005</v>
      </c>
      <c r="H3323" s="10">
        <v>36</v>
      </c>
      <c r="I3323" s="273">
        <f>SUMIF('2020'!B:B,B3323,'2020'!C:C)+SUMIF('2021'!B:B,B3323,'2021'!C:C)+SUMIF('2022'!B:B,B3323,'2022'!C:C)</f>
        <v>119061.78</v>
      </c>
      <c r="J3323" s="59">
        <v>44925</v>
      </c>
      <c r="K3323" s="273" t="s">
        <v>3118</v>
      </c>
    </row>
    <row r="3324" spans="1:12" x14ac:dyDescent="0.3">
      <c r="A3324" s="259"/>
      <c r="B3324" s="20" t="s">
        <v>208</v>
      </c>
      <c r="C3324" s="273" t="s">
        <v>3558</v>
      </c>
      <c r="D3324" s="273" t="s">
        <v>3558</v>
      </c>
      <c r="E3324" s="273" t="s">
        <v>3558</v>
      </c>
      <c r="F3324" s="273" t="s">
        <v>3558</v>
      </c>
      <c r="G3324" s="273">
        <f>SUM(G3319:G3323)</f>
        <v>4503.4000000000005</v>
      </c>
      <c r="H3324" s="10">
        <f>SUM(H3319:H3323)</f>
        <v>227</v>
      </c>
      <c r="I3324" s="273">
        <f t="shared" ref="I3324" si="133">SUM(I3319:I3323)</f>
        <v>1035219.4400000001</v>
      </c>
      <c r="J3324" s="59" t="s">
        <v>3558</v>
      </c>
      <c r="K3324" s="273" t="s">
        <v>3558</v>
      </c>
      <c r="L3324" s="197">
        <f>I3324-'2022'!C1073</f>
        <v>0</v>
      </c>
    </row>
    <row r="3325" spans="1:12" x14ac:dyDescent="0.3">
      <c r="A3325" s="291" t="s">
        <v>2971</v>
      </c>
      <c r="B3325" s="291"/>
      <c r="C3325" s="273"/>
      <c r="D3325" s="234"/>
      <c r="E3325" s="234"/>
      <c r="F3325" s="10"/>
      <c r="G3325" s="234"/>
      <c r="H3325" s="10"/>
      <c r="I3325" s="273"/>
      <c r="J3325" s="59"/>
      <c r="K3325" s="273"/>
    </row>
    <row r="3326" spans="1:12" x14ac:dyDescent="0.3">
      <c r="A3326" s="259">
        <f>A3323+1</f>
        <v>2985</v>
      </c>
      <c r="B3326" s="20" t="s">
        <v>2972</v>
      </c>
      <c r="C3326" s="162">
        <v>1973</v>
      </c>
      <c r="D3326" s="234"/>
      <c r="E3326" s="234" t="s">
        <v>3123</v>
      </c>
      <c r="F3326" s="10">
        <v>5</v>
      </c>
      <c r="G3326" s="234">
        <v>3736.4</v>
      </c>
      <c r="H3326" s="10">
        <v>147</v>
      </c>
      <c r="I3326" s="273">
        <f>SUMIF('2020'!B:B,B3326,'2020'!C:C)+SUMIF('2021'!B:B,B3326,'2021'!C:C)+SUMIF('2022'!B:B,B3326,'2022'!C:C)</f>
        <v>130000</v>
      </c>
      <c r="J3326" s="59">
        <v>44925</v>
      </c>
      <c r="K3326" s="273" t="s">
        <v>3118</v>
      </c>
    </row>
    <row r="3327" spans="1:12" x14ac:dyDescent="0.3">
      <c r="A3327" s="259">
        <f t="shared" ref="A3327:A3339" si="134">A3326+1</f>
        <v>2986</v>
      </c>
      <c r="B3327" s="20" t="s">
        <v>2973</v>
      </c>
      <c r="C3327" s="162">
        <v>1967</v>
      </c>
      <c r="D3327" s="234"/>
      <c r="E3327" s="234" t="s">
        <v>3123</v>
      </c>
      <c r="F3327" s="10">
        <v>5</v>
      </c>
      <c r="G3327" s="234">
        <v>2784.8</v>
      </c>
      <c r="H3327" s="10">
        <v>121</v>
      </c>
      <c r="I3327" s="273">
        <f>SUMIF('2020'!B:B,B3327,'2020'!C:C)+SUMIF('2021'!B:B,B3327,'2021'!C:C)+SUMIF('2022'!B:B,B3327,'2022'!C:C)</f>
        <v>130000</v>
      </c>
      <c r="J3327" s="59">
        <v>44925</v>
      </c>
      <c r="K3327" s="273" t="s">
        <v>3118</v>
      </c>
    </row>
    <row r="3328" spans="1:12" x14ac:dyDescent="0.3">
      <c r="A3328" s="259">
        <f t="shared" si="134"/>
        <v>2987</v>
      </c>
      <c r="B3328" s="20" t="s">
        <v>2974</v>
      </c>
      <c r="C3328" s="162">
        <v>1966</v>
      </c>
      <c r="D3328" s="234"/>
      <c r="E3328" s="234" t="s">
        <v>3123</v>
      </c>
      <c r="F3328" s="10">
        <v>4</v>
      </c>
      <c r="G3328" s="234">
        <v>2232.1999999999998</v>
      </c>
      <c r="H3328" s="10">
        <v>96</v>
      </c>
      <c r="I3328" s="273">
        <f>SUMIF('2020'!B:B,B3328,'2020'!C:C)+SUMIF('2021'!B:B,B3328,'2021'!C:C)+SUMIF('2022'!B:B,B3328,'2022'!C:C)</f>
        <v>361985.7</v>
      </c>
      <c r="J3328" s="59">
        <v>44925</v>
      </c>
      <c r="K3328" s="273" t="s">
        <v>3118</v>
      </c>
    </row>
    <row r="3329" spans="1:12" x14ac:dyDescent="0.3">
      <c r="A3329" s="259">
        <f t="shared" si="134"/>
        <v>2988</v>
      </c>
      <c r="B3329" s="20" t="s">
        <v>2975</v>
      </c>
      <c r="C3329" s="162">
        <v>1966</v>
      </c>
      <c r="D3329" s="234"/>
      <c r="E3329" s="234" t="s">
        <v>3123</v>
      </c>
      <c r="F3329" s="10">
        <v>4</v>
      </c>
      <c r="G3329" s="234">
        <v>2232.1999999999998</v>
      </c>
      <c r="H3329" s="10">
        <v>93</v>
      </c>
      <c r="I3329" s="273">
        <f>SUMIF('2020'!B:B,B3329,'2020'!C:C)+SUMIF('2021'!B:B,B3329,'2021'!C:C)+SUMIF('2022'!B:B,B3329,'2022'!C:C)</f>
        <v>361985.7</v>
      </c>
      <c r="J3329" s="59">
        <v>44925</v>
      </c>
      <c r="K3329" s="273" t="s">
        <v>3118</v>
      </c>
    </row>
    <row r="3330" spans="1:12" x14ac:dyDescent="0.3">
      <c r="A3330" s="259">
        <f t="shared" si="134"/>
        <v>2989</v>
      </c>
      <c r="B3330" s="20" t="s">
        <v>2976</v>
      </c>
      <c r="C3330" s="162">
        <v>1969</v>
      </c>
      <c r="D3330" s="234"/>
      <c r="E3330" s="234" t="s">
        <v>3123</v>
      </c>
      <c r="F3330" s="10">
        <v>5</v>
      </c>
      <c r="G3330" s="234">
        <v>3768.8</v>
      </c>
      <c r="H3330" s="10">
        <v>156</v>
      </c>
      <c r="I3330" s="273">
        <f>SUMIF('2020'!B:B,B3330,'2020'!C:C)+SUMIF('2021'!B:B,B3330,'2021'!C:C)+SUMIF('2022'!B:B,B3330,'2022'!C:C)</f>
        <v>130000</v>
      </c>
      <c r="J3330" s="59">
        <v>44925</v>
      </c>
      <c r="K3330" s="273" t="s">
        <v>3118</v>
      </c>
    </row>
    <row r="3331" spans="1:12" x14ac:dyDescent="0.3">
      <c r="A3331" s="259">
        <f t="shared" si="134"/>
        <v>2990</v>
      </c>
      <c r="B3331" s="20" t="s">
        <v>2977</v>
      </c>
      <c r="C3331" s="162">
        <v>1972</v>
      </c>
      <c r="D3331" s="234"/>
      <c r="E3331" s="234" t="s">
        <v>3123</v>
      </c>
      <c r="F3331" s="10">
        <v>5</v>
      </c>
      <c r="G3331" s="234">
        <v>3719.19</v>
      </c>
      <c r="H3331" s="10">
        <v>177</v>
      </c>
      <c r="I3331" s="273">
        <f>SUMIF('2020'!B:B,B3331,'2020'!C:C)+SUMIF('2021'!B:B,B3331,'2021'!C:C)+SUMIF('2022'!B:B,B3331,'2022'!C:C)</f>
        <v>130000</v>
      </c>
      <c r="J3331" s="59">
        <v>44925</v>
      </c>
      <c r="K3331" s="273" t="s">
        <v>3118</v>
      </c>
    </row>
    <row r="3332" spans="1:12" x14ac:dyDescent="0.3">
      <c r="A3332" s="259">
        <f t="shared" si="134"/>
        <v>2991</v>
      </c>
      <c r="B3332" s="20" t="s">
        <v>2978</v>
      </c>
      <c r="C3332" s="162">
        <v>1978</v>
      </c>
      <c r="D3332" s="234"/>
      <c r="E3332" s="234" t="s">
        <v>3123</v>
      </c>
      <c r="F3332" s="10">
        <v>5</v>
      </c>
      <c r="G3332" s="234">
        <v>3580.6</v>
      </c>
      <c r="H3332" s="10">
        <v>105</v>
      </c>
      <c r="I3332" s="273">
        <f>SUMIF('2020'!B:B,B3332,'2020'!C:C)+SUMIF('2021'!B:B,B3332,'2021'!C:C)+SUMIF('2022'!B:B,B3332,'2022'!C:C)</f>
        <v>130000</v>
      </c>
      <c r="J3332" s="59">
        <v>44925</v>
      </c>
      <c r="K3332" s="273" t="s">
        <v>3118</v>
      </c>
    </row>
    <row r="3333" spans="1:12" x14ac:dyDescent="0.3">
      <c r="A3333" s="259">
        <f t="shared" si="134"/>
        <v>2992</v>
      </c>
      <c r="B3333" s="20" t="s">
        <v>2979</v>
      </c>
      <c r="C3333" s="162">
        <v>1975</v>
      </c>
      <c r="D3333" s="234"/>
      <c r="E3333" s="234" t="s">
        <v>3123</v>
      </c>
      <c r="F3333" s="10">
        <v>5</v>
      </c>
      <c r="G3333" s="234">
        <v>3784.9</v>
      </c>
      <c r="H3333" s="10">
        <v>172</v>
      </c>
      <c r="I3333" s="273">
        <f>SUMIF('2020'!B:B,B3333,'2020'!C:C)+SUMIF('2021'!B:B,B3333,'2021'!C:C)+SUMIF('2022'!B:B,B3333,'2022'!C:C)</f>
        <v>130000</v>
      </c>
      <c r="J3333" s="59">
        <v>44925</v>
      </c>
      <c r="K3333" s="273" t="s">
        <v>3118</v>
      </c>
    </row>
    <row r="3334" spans="1:12" x14ac:dyDescent="0.3">
      <c r="A3334" s="259">
        <f t="shared" si="134"/>
        <v>2993</v>
      </c>
      <c r="B3334" s="20" t="s">
        <v>2980</v>
      </c>
      <c r="C3334" s="162">
        <v>1954</v>
      </c>
      <c r="D3334" s="234"/>
      <c r="E3334" s="234" t="s">
        <v>3123</v>
      </c>
      <c r="F3334" s="10">
        <v>2</v>
      </c>
      <c r="G3334" s="234">
        <v>435.7</v>
      </c>
      <c r="H3334" s="10">
        <v>22</v>
      </c>
      <c r="I3334" s="273">
        <f>SUMIF('2020'!B:B,B3334,'2020'!C:C)+SUMIF('2021'!B:B,B3334,'2021'!C:C)+SUMIF('2022'!B:B,B3334,'2022'!C:C)</f>
        <v>179803.51999999999</v>
      </c>
      <c r="J3334" s="59">
        <v>44925</v>
      </c>
      <c r="K3334" s="273" t="s">
        <v>3118</v>
      </c>
    </row>
    <row r="3335" spans="1:12" x14ac:dyDescent="0.3">
      <c r="A3335" s="259">
        <f t="shared" si="134"/>
        <v>2994</v>
      </c>
      <c r="B3335" s="20" t="s">
        <v>2981</v>
      </c>
      <c r="C3335" s="162">
        <v>1961</v>
      </c>
      <c r="D3335" s="234"/>
      <c r="E3335" s="234" t="s">
        <v>3123</v>
      </c>
      <c r="F3335" s="10">
        <v>2</v>
      </c>
      <c r="G3335" s="234">
        <v>515.20000000000005</v>
      </c>
      <c r="H3335" s="10">
        <v>25</v>
      </c>
      <c r="I3335" s="273">
        <f>SUMIF('2020'!B:B,B3335,'2020'!C:C)+SUMIF('2021'!B:B,B3335,'2021'!C:C)+SUMIF('2022'!B:B,B3335,'2022'!C:C)</f>
        <v>179803.51999999999</v>
      </c>
      <c r="J3335" s="59">
        <v>44925</v>
      </c>
      <c r="K3335" s="273" t="s">
        <v>3118</v>
      </c>
    </row>
    <row r="3336" spans="1:12" x14ac:dyDescent="0.3">
      <c r="A3336" s="259">
        <f t="shared" si="134"/>
        <v>2995</v>
      </c>
      <c r="B3336" s="20" t="s">
        <v>2982</v>
      </c>
      <c r="C3336" s="162">
        <v>1960</v>
      </c>
      <c r="D3336" s="234"/>
      <c r="E3336" s="234" t="s">
        <v>3123</v>
      </c>
      <c r="F3336" s="10">
        <v>2</v>
      </c>
      <c r="G3336" s="234">
        <v>514.5</v>
      </c>
      <c r="H3336" s="10">
        <v>28</v>
      </c>
      <c r="I3336" s="273">
        <f>SUMIF('2020'!B:B,B3336,'2020'!C:C)+SUMIF('2021'!B:B,B3336,'2021'!C:C)+SUMIF('2022'!B:B,B3336,'2022'!C:C)</f>
        <v>179803.51999999999</v>
      </c>
      <c r="J3336" s="59">
        <v>44925</v>
      </c>
      <c r="K3336" s="273" t="s">
        <v>3118</v>
      </c>
    </row>
    <row r="3337" spans="1:12" x14ac:dyDescent="0.3">
      <c r="A3337" s="259">
        <f t="shared" si="134"/>
        <v>2996</v>
      </c>
      <c r="B3337" s="20" t="s">
        <v>2983</v>
      </c>
      <c r="C3337" s="162">
        <v>1959</v>
      </c>
      <c r="D3337" s="234"/>
      <c r="E3337" s="234" t="s">
        <v>3123</v>
      </c>
      <c r="F3337" s="10">
        <v>2</v>
      </c>
      <c r="G3337" s="234">
        <v>515.70000000000005</v>
      </c>
      <c r="H3337" s="10">
        <v>27</v>
      </c>
      <c r="I3337" s="273">
        <f>SUMIF('2020'!B:B,B3337,'2020'!C:C)+SUMIF('2021'!B:B,B3337,'2021'!C:C)+SUMIF('2022'!B:B,B3337,'2022'!C:C)</f>
        <v>179803.51999999999</v>
      </c>
      <c r="J3337" s="59">
        <v>44925</v>
      </c>
      <c r="K3337" s="273" t="s">
        <v>3118</v>
      </c>
    </row>
    <row r="3338" spans="1:12" x14ac:dyDescent="0.3">
      <c r="A3338" s="259">
        <f t="shared" si="134"/>
        <v>2997</v>
      </c>
      <c r="B3338" s="20" t="s">
        <v>2984</v>
      </c>
      <c r="C3338" s="162">
        <v>1970</v>
      </c>
      <c r="D3338" s="234"/>
      <c r="E3338" s="234" t="s">
        <v>3123</v>
      </c>
      <c r="F3338" s="10">
        <v>5</v>
      </c>
      <c r="G3338" s="234">
        <v>4558.6000000000004</v>
      </c>
      <c r="H3338" s="10">
        <v>182</v>
      </c>
      <c r="I3338" s="273">
        <f>SUMIF('2020'!B:B,B3338,'2020'!C:C)+SUMIF('2021'!B:B,B3338,'2021'!C:C)+SUMIF('2022'!B:B,B3338,'2022'!C:C)</f>
        <v>130000</v>
      </c>
      <c r="J3338" s="59">
        <v>44925</v>
      </c>
      <c r="K3338" s="273" t="s">
        <v>3118</v>
      </c>
    </row>
    <row r="3339" spans="1:12" x14ac:dyDescent="0.3">
      <c r="A3339" s="259">
        <f t="shared" si="134"/>
        <v>2998</v>
      </c>
      <c r="B3339" s="20" t="s">
        <v>2985</v>
      </c>
      <c r="C3339" s="162">
        <v>1955</v>
      </c>
      <c r="D3339" s="234"/>
      <c r="E3339" s="234" t="s">
        <v>3123</v>
      </c>
      <c r="F3339" s="10">
        <v>2</v>
      </c>
      <c r="G3339" s="234">
        <v>429.4</v>
      </c>
      <c r="H3339" s="10">
        <v>27</v>
      </c>
      <c r="I3339" s="273">
        <f>SUMIF('2020'!B:B,B3339,'2020'!C:C)+SUMIF('2021'!B:B,B3339,'2021'!C:C)+SUMIF('2022'!B:B,B3339,'2022'!C:C)</f>
        <v>179803.51999999999</v>
      </c>
      <c r="J3339" s="59">
        <v>44925</v>
      </c>
      <c r="K3339" s="273" t="s">
        <v>3118</v>
      </c>
    </row>
    <row r="3340" spans="1:12" x14ac:dyDescent="0.3">
      <c r="A3340" s="259"/>
      <c r="B3340" s="20" t="s">
        <v>208</v>
      </c>
      <c r="C3340" s="273" t="s">
        <v>3558</v>
      </c>
      <c r="D3340" s="273" t="s">
        <v>3558</v>
      </c>
      <c r="E3340" s="273" t="s">
        <v>3558</v>
      </c>
      <c r="F3340" s="273" t="s">
        <v>3558</v>
      </c>
      <c r="G3340" s="273">
        <f>SUM(G3326:G3339)</f>
        <v>32808.19</v>
      </c>
      <c r="H3340" s="10">
        <f t="shared" ref="H3340:I3340" si="135">SUM(H3326:H3339)</f>
        <v>1378</v>
      </c>
      <c r="I3340" s="273">
        <f t="shared" si="135"/>
        <v>2532989</v>
      </c>
      <c r="J3340" s="59" t="s">
        <v>3558</v>
      </c>
      <c r="K3340" s="273" t="s">
        <v>3558</v>
      </c>
      <c r="L3340" s="197">
        <f>I3340-'2021'!C2344</f>
        <v>0</v>
      </c>
    </row>
    <row r="3341" spans="1:12" x14ac:dyDescent="0.3">
      <c r="A3341" s="291" t="s">
        <v>2986</v>
      </c>
      <c r="B3341" s="291"/>
      <c r="C3341" s="273"/>
      <c r="D3341" s="234"/>
      <c r="E3341" s="234"/>
      <c r="F3341" s="10"/>
      <c r="G3341" s="234"/>
      <c r="H3341" s="10"/>
      <c r="I3341" s="273"/>
      <c r="J3341" s="59"/>
      <c r="K3341" s="273"/>
    </row>
    <row r="3342" spans="1:12" x14ac:dyDescent="0.3">
      <c r="A3342" s="259">
        <f>A3339+1</f>
        <v>2999</v>
      </c>
      <c r="B3342" s="20" t="s">
        <v>2987</v>
      </c>
      <c r="C3342" s="162">
        <v>1976</v>
      </c>
      <c r="D3342" s="234"/>
      <c r="E3342" s="234" t="s">
        <v>3123</v>
      </c>
      <c r="F3342" s="10">
        <v>3</v>
      </c>
      <c r="G3342" s="234">
        <v>1511.6</v>
      </c>
      <c r="H3342" s="10">
        <v>40</v>
      </c>
      <c r="I3342" s="273">
        <f>SUMIF('2020'!B:B,B3342,'2020'!C:C)+SUMIF('2021'!B:B,B3342,'2021'!C:C)+SUMIF('2022'!B:B,B3342,'2022'!C:C)</f>
        <v>297838.2</v>
      </c>
      <c r="J3342" s="59">
        <v>44925</v>
      </c>
      <c r="K3342" s="273" t="s">
        <v>3118</v>
      </c>
    </row>
    <row r="3343" spans="1:12" x14ac:dyDescent="0.3">
      <c r="A3343" s="259">
        <f t="shared" ref="A3343:A3377" si="136">A3342+1</f>
        <v>3000</v>
      </c>
      <c r="B3343" s="20" t="s">
        <v>2988</v>
      </c>
      <c r="C3343" s="162">
        <v>1976</v>
      </c>
      <c r="D3343" s="234"/>
      <c r="E3343" s="234" t="s">
        <v>3123</v>
      </c>
      <c r="F3343" s="10">
        <v>3</v>
      </c>
      <c r="G3343" s="234">
        <v>1491.8</v>
      </c>
      <c r="H3343" s="10">
        <v>40</v>
      </c>
      <c r="I3343" s="273">
        <f>SUMIF('2020'!B:B,B3343,'2020'!C:C)+SUMIF('2021'!B:B,B3343,'2021'!C:C)+SUMIF('2022'!B:B,B3343,'2022'!C:C)</f>
        <v>239780.4</v>
      </c>
      <c r="J3343" s="59">
        <v>44925</v>
      </c>
      <c r="K3343" s="273" t="s">
        <v>3118</v>
      </c>
    </row>
    <row r="3344" spans="1:12" x14ac:dyDescent="0.3">
      <c r="A3344" s="259">
        <f t="shared" si="136"/>
        <v>3001</v>
      </c>
      <c r="B3344" s="20" t="s">
        <v>2989</v>
      </c>
      <c r="C3344" s="162">
        <v>1976</v>
      </c>
      <c r="D3344" s="234"/>
      <c r="E3344" s="234" t="s">
        <v>3123</v>
      </c>
      <c r="F3344" s="10">
        <v>3</v>
      </c>
      <c r="G3344" s="234">
        <v>1511.6</v>
      </c>
      <c r="H3344" s="10">
        <v>40</v>
      </c>
      <c r="I3344" s="273">
        <f>SUMIF('2020'!B:B,B3344,'2020'!C:C)+SUMIF('2021'!B:B,B3344,'2021'!C:C)+SUMIF('2022'!B:B,B3344,'2022'!C:C)</f>
        <v>234490.37</v>
      </c>
      <c r="J3344" s="59">
        <v>44925</v>
      </c>
      <c r="K3344" s="273" t="s">
        <v>3118</v>
      </c>
    </row>
    <row r="3345" spans="1:11" x14ac:dyDescent="0.3">
      <c r="A3345" s="259">
        <f t="shared" si="136"/>
        <v>3002</v>
      </c>
      <c r="B3345" s="20" t="s">
        <v>2990</v>
      </c>
      <c r="C3345" s="162">
        <v>1966</v>
      </c>
      <c r="D3345" s="234"/>
      <c r="E3345" s="234" t="s">
        <v>3123</v>
      </c>
      <c r="F3345" s="10">
        <v>3</v>
      </c>
      <c r="G3345" s="234">
        <v>455.6</v>
      </c>
      <c r="H3345" s="10">
        <v>24</v>
      </c>
      <c r="I3345" s="273">
        <f>SUMIF('2020'!B:B,B3345,'2020'!C:C)+SUMIF('2021'!B:B,B3345,'2021'!C:C)+SUMIF('2022'!B:B,B3345,'2022'!C:C)</f>
        <v>224331.83</v>
      </c>
      <c r="J3345" s="59">
        <v>44925</v>
      </c>
      <c r="K3345" s="273" t="s">
        <v>3118</v>
      </c>
    </row>
    <row r="3346" spans="1:11" x14ac:dyDescent="0.3">
      <c r="A3346" s="259">
        <f t="shared" si="136"/>
        <v>3003</v>
      </c>
      <c r="B3346" s="20" t="s">
        <v>2991</v>
      </c>
      <c r="C3346" s="162">
        <v>1950</v>
      </c>
      <c r="D3346" s="234"/>
      <c r="E3346" s="234" t="s">
        <v>3121</v>
      </c>
      <c r="F3346" s="10">
        <v>3</v>
      </c>
      <c r="G3346" s="234">
        <v>523</v>
      </c>
      <c r="H3346" s="10">
        <v>24</v>
      </c>
      <c r="I3346" s="273">
        <f>SUMIF('2020'!B:B,B3346,'2020'!C:C)+SUMIF('2021'!B:B,B3346,'2021'!C:C)+SUMIF('2022'!B:B,B3346,'2022'!C:C)</f>
        <v>235944.18</v>
      </c>
      <c r="J3346" s="59">
        <v>44925</v>
      </c>
      <c r="K3346" s="273" t="s">
        <v>3118</v>
      </c>
    </row>
    <row r="3347" spans="1:11" x14ac:dyDescent="0.3">
      <c r="A3347" s="259">
        <f t="shared" si="136"/>
        <v>3004</v>
      </c>
      <c r="B3347" s="20" t="s">
        <v>2992</v>
      </c>
      <c r="C3347" s="162">
        <v>1950</v>
      </c>
      <c r="D3347" s="234"/>
      <c r="E3347" s="234" t="s">
        <v>3123</v>
      </c>
      <c r="F3347" s="10">
        <v>1</v>
      </c>
      <c r="G3347" s="259">
        <v>298.2</v>
      </c>
      <c r="H3347" s="10">
        <v>8</v>
      </c>
      <c r="I3347" s="273">
        <f>SUMIF('2020'!B:B,B3347,'2020'!C:C)+SUMIF('2021'!B:B,B3347,'2021'!C:C)+SUMIF('2022'!B:B,B3347,'2022'!C:C)</f>
        <v>1003443</v>
      </c>
      <c r="J3347" s="59">
        <v>44925</v>
      </c>
      <c r="K3347" s="273" t="s">
        <v>3118</v>
      </c>
    </row>
    <row r="3348" spans="1:11" x14ac:dyDescent="0.3">
      <c r="A3348" s="259">
        <f t="shared" si="136"/>
        <v>3005</v>
      </c>
      <c r="B3348" s="20" t="s">
        <v>2993</v>
      </c>
      <c r="C3348" s="162">
        <v>1986</v>
      </c>
      <c r="D3348" s="234"/>
      <c r="E3348" s="234" t="s">
        <v>3123</v>
      </c>
      <c r="F3348" s="10">
        <v>1</v>
      </c>
      <c r="G3348" s="234">
        <v>726.8</v>
      </c>
      <c r="H3348" s="10">
        <v>50</v>
      </c>
      <c r="I3348" s="273">
        <f>SUMIF('2020'!B:B,B3348,'2020'!C:C)+SUMIF('2021'!B:B,B3348,'2021'!C:C)+SUMIF('2022'!B:B,B3348,'2022'!C:C)</f>
        <v>235961.84</v>
      </c>
      <c r="J3348" s="59">
        <v>44925</v>
      </c>
      <c r="K3348" s="273" t="s">
        <v>3118</v>
      </c>
    </row>
    <row r="3349" spans="1:11" x14ac:dyDescent="0.3">
      <c r="A3349" s="259">
        <f t="shared" si="136"/>
        <v>3006</v>
      </c>
      <c r="B3349" s="20" t="s">
        <v>2994</v>
      </c>
      <c r="C3349" s="162">
        <v>1971</v>
      </c>
      <c r="D3349" s="234"/>
      <c r="E3349" s="234" t="s">
        <v>3123</v>
      </c>
      <c r="F3349" s="10">
        <v>2</v>
      </c>
      <c r="G3349" s="259">
        <v>506</v>
      </c>
      <c r="H3349" s="10">
        <v>40</v>
      </c>
      <c r="I3349" s="273">
        <f>SUMIF('2020'!B:B,B3349,'2020'!C:C)+SUMIF('2021'!B:B,B3349,'2021'!C:C)+SUMIF('2022'!B:B,B3349,'2022'!C:C)</f>
        <v>1254246</v>
      </c>
      <c r="J3349" s="59">
        <v>44925</v>
      </c>
      <c r="K3349" s="273" t="s">
        <v>3118</v>
      </c>
    </row>
    <row r="3350" spans="1:11" x14ac:dyDescent="0.3">
      <c r="A3350" s="259">
        <f t="shared" si="136"/>
        <v>3007</v>
      </c>
      <c r="B3350" s="20" t="s">
        <v>2995</v>
      </c>
      <c r="C3350" s="162">
        <v>1972</v>
      </c>
      <c r="D3350" s="234"/>
      <c r="E3350" s="234" t="s">
        <v>3123</v>
      </c>
      <c r="F3350" s="10">
        <v>4</v>
      </c>
      <c r="G3350" s="259">
        <v>534.70000000000005</v>
      </c>
      <c r="H3350" s="10">
        <v>40</v>
      </c>
      <c r="I3350" s="273">
        <f>SUMIF('2020'!B:B,B3350,'2020'!C:C)+SUMIF('2021'!B:B,B3350,'2021'!C:C)+SUMIF('2022'!B:B,B3350,'2022'!C:C)</f>
        <v>128687.8</v>
      </c>
      <c r="J3350" s="59">
        <v>44925</v>
      </c>
      <c r="K3350" s="273" t="s">
        <v>3118</v>
      </c>
    </row>
    <row r="3351" spans="1:11" x14ac:dyDescent="0.3">
      <c r="A3351" s="259">
        <f t="shared" si="136"/>
        <v>3008</v>
      </c>
      <c r="B3351" s="20" t="s">
        <v>2996</v>
      </c>
      <c r="C3351" s="162">
        <v>1973</v>
      </c>
      <c r="D3351" s="234"/>
      <c r="E3351" s="234" t="s">
        <v>3123</v>
      </c>
      <c r="F3351" s="10">
        <v>2</v>
      </c>
      <c r="G3351" s="234">
        <v>740.3</v>
      </c>
      <c r="H3351" s="10">
        <v>40</v>
      </c>
      <c r="I3351" s="273">
        <f>SUMIF('2020'!B:B,B3351,'2020'!C:C)+SUMIF('2021'!B:B,B3351,'2021'!C:C)+SUMIF('2022'!B:B,B3351,'2022'!C:C)</f>
        <v>1523046</v>
      </c>
      <c r="J3351" s="59">
        <v>44925</v>
      </c>
      <c r="K3351" s="273" t="s">
        <v>3118</v>
      </c>
    </row>
    <row r="3352" spans="1:11" x14ac:dyDescent="0.3">
      <c r="A3352" s="259">
        <f t="shared" si="136"/>
        <v>3009</v>
      </c>
      <c r="B3352" s="20" t="s">
        <v>2997</v>
      </c>
      <c r="C3352" s="162">
        <v>1974</v>
      </c>
      <c r="D3352" s="234"/>
      <c r="E3352" s="234" t="s">
        <v>3123</v>
      </c>
      <c r="F3352" s="10">
        <v>2</v>
      </c>
      <c r="G3352" s="234">
        <v>858.2</v>
      </c>
      <c r="H3352" s="10">
        <v>50</v>
      </c>
      <c r="I3352" s="273">
        <f>SUMIF('2020'!B:B,B3352,'2020'!C:C)+SUMIF('2021'!B:B,B3352,'2021'!C:C)+SUMIF('2022'!B:B,B3352,'2022'!C:C)</f>
        <v>218084.21</v>
      </c>
      <c r="J3352" s="59">
        <v>44925</v>
      </c>
      <c r="K3352" s="273" t="s">
        <v>3118</v>
      </c>
    </row>
    <row r="3353" spans="1:11" x14ac:dyDescent="0.3">
      <c r="A3353" s="259">
        <f t="shared" si="136"/>
        <v>3010</v>
      </c>
      <c r="B3353" s="20" t="s">
        <v>2998</v>
      </c>
      <c r="C3353" s="162">
        <v>1966</v>
      </c>
      <c r="D3353" s="234"/>
      <c r="E3353" s="234" t="s">
        <v>3123</v>
      </c>
      <c r="F3353" s="10">
        <v>2</v>
      </c>
      <c r="G3353" s="234">
        <v>337</v>
      </c>
      <c r="H3353" s="10">
        <v>20</v>
      </c>
      <c r="I3353" s="273">
        <f>SUMIF('2020'!B:B,B3353,'2020'!C:C)+SUMIF('2021'!B:B,B3353,'2021'!C:C)+SUMIF('2022'!B:B,B3353,'2022'!C:C)</f>
        <v>394765.46</v>
      </c>
      <c r="J3353" s="59">
        <v>44925</v>
      </c>
      <c r="K3353" s="273" t="s">
        <v>3118</v>
      </c>
    </row>
    <row r="3354" spans="1:11" x14ac:dyDescent="0.3">
      <c r="A3354" s="259">
        <f t="shared" si="136"/>
        <v>3011</v>
      </c>
      <c r="B3354" s="20" t="s">
        <v>2999</v>
      </c>
      <c r="C3354" s="162">
        <v>1966</v>
      </c>
      <c r="D3354" s="234"/>
      <c r="E3354" s="234" t="s">
        <v>3123</v>
      </c>
      <c r="F3354" s="10">
        <v>2</v>
      </c>
      <c r="G3354" s="234">
        <v>320.89999999999998</v>
      </c>
      <c r="H3354" s="10">
        <v>20</v>
      </c>
      <c r="I3354" s="273">
        <f>SUMIF('2020'!B:B,B3354,'2020'!C:C)+SUMIF('2021'!B:B,B3354,'2021'!C:C)+SUMIF('2022'!B:B,B3354,'2022'!C:C)</f>
        <v>184498.21</v>
      </c>
      <c r="J3354" s="59">
        <v>44925</v>
      </c>
      <c r="K3354" s="273" t="s">
        <v>3118</v>
      </c>
    </row>
    <row r="3355" spans="1:11" x14ac:dyDescent="0.3">
      <c r="A3355" s="259">
        <f t="shared" si="136"/>
        <v>3012</v>
      </c>
      <c r="B3355" s="20" t="s">
        <v>3000</v>
      </c>
      <c r="C3355" s="162">
        <v>1947</v>
      </c>
      <c r="D3355" s="234"/>
      <c r="E3355" s="234" t="s">
        <v>3437</v>
      </c>
      <c r="F3355" s="10">
        <v>2</v>
      </c>
      <c r="G3355" s="234">
        <v>488.3</v>
      </c>
      <c r="H3355" s="10">
        <v>25</v>
      </c>
      <c r="I3355" s="273">
        <f>SUMIF('2020'!B:B,B3355,'2020'!C:C)+SUMIF('2021'!B:B,B3355,'2021'!C:C)+SUMIF('2022'!B:B,B3355,'2022'!C:C)</f>
        <v>832300</v>
      </c>
      <c r="J3355" s="59">
        <v>44925</v>
      </c>
      <c r="K3355" s="273" t="s">
        <v>3118</v>
      </c>
    </row>
    <row r="3356" spans="1:11" x14ac:dyDescent="0.3">
      <c r="A3356" s="259">
        <f t="shared" si="136"/>
        <v>3013</v>
      </c>
      <c r="B3356" s="20" t="s">
        <v>3001</v>
      </c>
      <c r="C3356" s="162">
        <v>1947</v>
      </c>
      <c r="D3356" s="234"/>
      <c r="E3356" s="234" t="s">
        <v>3437</v>
      </c>
      <c r="F3356" s="10">
        <v>2</v>
      </c>
      <c r="G3356" s="234">
        <v>476.6</v>
      </c>
      <c r="H3356" s="10">
        <v>25</v>
      </c>
      <c r="I3356" s="273">
        <f>SUMIF('2020'!B:B,B3356,'2020'!C:C)+SUMIF('2021'!B:B,B3356,'2021'!C:C)+SUMIF('2022'!B:B,B3356,'2022'!C:C)</f>
        <v>891750</v>
      </c>
      <c r="J3356" s="59">
        <v>44925</v>
      </c>
      <c r="K3356" s="273" t="s">
        <v>3118</v>
      </c>
    </row>
    <row r="3357" spans="1:11" x14ac:dyDescent="0.3">
      <c r="A3357" s="259">
        <f t="shared" si="136"/>
        <v>3014</v>
      </c>
      <c r="B3357" s="20" t="s">
        <v>3002</v>
      </c>
      <c r="C3357" s="162">
        <v>1947</v>
      </c>
      <c r="D3357" s="234"/>
      <c r="E3357" s="234" t="s">
        <v>3437</v>
      </c>
      <c r="F3357" s="10">
        <v>2</v>
      </c>
      <c r="G3357" s="234">
        <v>466.5</v>
      </c>
      <c r="H3357" s="10">
        <v>30</v>
      </c>
      <c r="I3357" s="273">
        <f>SUMIF('2020'!B:B,B3357,'2020'!C:C)+SUMIF('2021'!B:B,B3357,'2021'!C:C)+SUMIF('2022'!B:B,B3357,'2022'!C:C)</f>
        <v>4291230</v>
      </c>
      <c r="J3357" s="59">
        <v>44925</v>
      </c>
      <c r="K3357" s="273" t="s">
        <v>3118</v>
      </c>
    </row>
    <row r="3358" spans="1:11" x14ac:dyDescent="0.3">
      <c r="A3358" s="259">
        <f t="shared" si="136"/>
        <v>3015</v>
      </c>
      <c r="B3358" s="20" t="s">
        <v>3003</v>
      </c>
      <c r="C3358" s="162">
        <v>1967</v>
      </c>
      <c r="D3358" s="234"/>
      <c r="E3358" s="234" t="s">
        <v>3123</v>
      </c>
      <c r="F3358" s="10">
        <v>2</v>
      </c>
      <c r="G3358" s="234">
        <v>498.5</v>
      </c>
      <c r="H3358" s="10">
        <v>25</v>
      </c>
      <c r="I3358" s="273">
        <f>SUMIF('2020'!B:B,B3358,'2020'!C:C)+SUMIF('2021'!B:B,B3358,'2021'!C:C)+SUMIF('2022'!B:B,B3358,'2022'!C:C)</f>
        <v>946949.11999999988</v>
      </c>
      <c r="J3358" s="59">
        <v>44925</v>
      </c>
      <c r="K3358" s="273" t="s">
        <v>3118</v>
      </c>
    </row>
    <row r="3359" spans="1:11" x14ac:dyDescent="0.3">
      <c r="A3359" s="259">
        <f t="shared" si="136"/>
        <v>3016</v>
      </c>
      <c r="B3359" s="20" t="s">
        <v>3004</v>
      </c>
      <c r="C3359" s="162">
        <v>1984</v>
      </c>
      <c r="D3359" s="234"/>
      <c r="E3359" s="234" t="s">
        <v>3123</v>
      </c>
      <c r="F3359" s="10">
        <v>2</v>
      </c>
      <c r="G3359" s="234">
        <v>5670.9</v>
      </c>
      <c r="H3359" s="10">
        <v>300</v>
      </c>
      <c r="I3359" s="273">
        <f>SUMIF('2020'!B:B,B3359,'2020'!C:C)+SUMIF('2021'!B:B,B3359,'2021'!C:C)+SUMIF('2022'!B:B,B3359,'2022'!C:C)</f>
        <v>797555.07000000007</v>
      </c>
      <c r="J3359" s="59">
        <v>44925</v>
      </c>
      <c r="K3359" s="273" t="s">
        <v>3118</v>
      </c>
    </row>
    <row r="3360" spans="1:11" x14ac:dyDescent="0.3">
      <c r="A3360" s="259">
        <f t="shared" si="136"/>
        <v>3017</v>
      </c>
      <c r="B3360" s="20" t="s">
        <v>3005</v>
      </c>
      <c r="C3360" s="162">
        <v>1981</v>
      </c>
      <c r="D3360" s="234"/>
      <c r="E3360" s="234" t="s">
        <v>3123</v>
      </c>
      <c r="F3360" s="10">
        <v>5</v>
      </c>
      <c r="G3360" s="234">
        <v>4282.3</v>
      </c>
      <c r="H3360" s="10">
        <v>250</v>
      </c>
      <c r="I3360" s="273">
        <f>SUMIF('2020'!B:B,B3360,'2020'!C:C)+SUMIF('2021'!B:B,B3360,'2021'!C:C)+SUMIF('2022'!B:B,B3360,'2022'!C:C)</f>
        <v>256448.05</v>
      </c>
      <c r="J3360" s="59">
        <v>44925</v>
      </c>
      <c r="K3360" s="273" t="s">
        <v>3118</v>
      </c>
    </row>
    <row r="3361" spans="1:11" x14ac:dyDescent="0.3">
      <c r="A3361" s="259">
        <f t="shared" si="136"/>
        <v>3018</v>
      </c>
      <c r="B3361" s="20" t="s">
        <v>3006</v>
      </c>
      <c r="C3361" s="162">
        <v>1991</v>
      </c>
      <c r="D3361" s="234"/>
      <c r="E3361" s="234" t="s">
        <v>3123</v>
      </c>
      <c r="F3361" s="10">
        <v>3</v>
      </c>
      <c r="G3361" s="234">
        <v>1607.3</v>
      </c>
      <c r="H3361" s="10">
        <v>50</v>
      </c>
      <c r="I3361" s="273">
        <f>SUMIF('2020'!B:B,B3361,'2020'!C:C)+SUMIF('2021'!B:B,B3361,'2021'!C:C)+SUMIF('2022'!B:B,B3361,'2022'!C:C)</f>
        <v>260711.67999999999</v>
      </c>
      <c r="J3361" s="59">
        <v>44925</v>
      </c>
      <c r="K3361" s="273" t="s">
        <v>3118</v>
      </c>
    </row>
    <row r="3362" spans="1:11" x14ac:dyDescent="0.3">
      <c r="A3362" s="259">
        <f t="shared" si="136"/>
        <v>3019</v>
      </c>
      <c r="B3362" s="20" t="s">
        <v>3007</v>
      </c>
      <c r="C3362" s="162">
        <v>1987</v>
      </c>
      <c r="D3362" s="234"/>
      <c r="E3362" s="234" t="s">
        <v>3123</v>
      </c>
      <c r="F3362" s="10">
        <v>5</v>
      </c>
      <c r="G3362" s="234">
        <v>1369.5</v>
      </c>
      <c r="H3362" s="10">
        <v>50</v>
      </c>
      <c r="I3362" s="273">
        <f>SUMIF('2020'!B:B,B3362,'2020'!C:C)+SUMIF('2021'!B:B,B3362,'2021'!C:C)+SUMIF('2022'!B:B,B3362,'2022'!C:C)</f>
        <v>235355.08</v>
      </c>
      <c r="J3362" s="59">
        <v>44925</v>
      </c>
      <c r="K3362" s="273" t="s">
        <v>3118</v>
      </c>
    </row>
    <row r="3363" spans="1:11" x14ac:dyDescent="0.3">
      <c r="A3363" s="259">
        <f t="shared" si="136"/>
        <v>3020</v>
      </c>
      <c r="B3363" s="20" t="s">
        <v>3008</v>
      </c>
      <c r="C3363" s="162">
        <v>1987</v>
      </c>
      <c r="D3363" s="234"/>
      <c r="E3363" s="234" t="s">
        <v>3123</v>
      </c>
      <c r="F3363" s="10">
        <v>3</v>
      </c>
      <c r="G3363" s="234">
        <v>1709.2</v>
      </c>
      <c r="H3363" s="10">
        <v>60</v>
      </c>
      <c r="I3363" s="273">
        <f>SUMIF('2020'!B:B,B3363,'2020'!C:C)+SUMIF('2021'!B:B,B3363,'2021'!C:C)+SUMIF('2022'!B:B,B3363,'2022'!C:C)</f>
        <v>235355.08</v>
      </c>
      <c r="J3363" s="59">
        <v>44925</v>
      </c>
      <c r="K3363" s="273" t="s">
        <v>3118</v>
      </c>
    </row>
    <row r="3364" spans="1:11" x14ac:dyDescent="0.3">
      <c r="A3364" s="259">
        <f t="shared" si="136"/>
        <v>3021</v>
      </c>
      <c r="B3364" s="20" t="s">
        <v>3009</v>
      </c>
      <c r="C3364" s="162">
        <v>1986</v>
      </c>
      <c r="D3364" s="234"/>
      <c r="E3364" s="234" t="s">
        <v>3123</v>
      </c>
      <c r="F3364" s="10">
        <v>3</v>
      </c>
      <c r="G3364" s="234">
        <v>1310.3</v>
      </c>
      <c r="H3364" s="10">
        <v>48</v>
      </c>
      <c r="I3364" s="273">
        <f>SUMIF('2020'!B:B,B3364,'2020'!C:C)+SUMIF('2021'!B:B,B3364,'2021'!C:C)+SUMIF('2022'!B:B,B3364,'2022'!C:C)</f>
        <v>228411.92</v>
      </c>
      <c r="J3364" s="59">
        <v>44925</v>
      </c>
      <c r="K3364" s="273" t="s">
        <v>3118</v>
      </c>
    </row>
    <row r="3365" spans="1:11" x14ac:dyDescent="0.3">
      <c r="A3365" s="259">
        <f t="shared" si="136"/>
        <v>3022</v>
      </c>
      <c r="B3365" s="20" t="s">
        <v>3010</v>
      </c>
      <c r="C3365" s="162">
        <v>1983</v>
      </c>
      <c r="D3365" s="234"/>
      <c r="E3365" s="234" t="s">
        <v>3123</v>
      </c>
      <c r="F3365" s="10">
        <v>3</v>
      </c>
      <c r="G3365" s="234">
        <v>1349.1</v>
      </c>
      <c r="H3365" s="10">
        <v>48</v>
      </c>
      <c r="I3365" s="273">
        <f>SUMIF('2020'!B:B,B3365,'2020'!C:C)+SUMIF('2021'!B:B,B3365,'2021'!C:C)+SUMIF('2022'!B:B,B3365,'2022'!C:C)</f>
        <v>258320.98</v>
      </c>
      <c r="J3365" s="59">
        <v>44925</v>
      </c>
      <c r="K3365" s="273" t="s">
        <v>3118</v>
      </c>
    </row>
    <row r="3366" spans="1:11" x14ac:dyDescent="0.3">
      <c r="A3366" s="259">
        <f t="shared" si="136"/>
        <v>3023</v>
      </c>
      <c r="B3366" s="20" t="s">
        <v>3011</v>
      </c>
      <c r="C3366" s="162">
        <v>1980</v>
      </c>
      <c r="D3366" s="234"/>
      <c r="E3366" s="234" t="s">
        <v>3123</v>
      </c>
      <c r="F3366" s="10">
        <v>3</v>
      </c>
      <c r="G3366" s="234">
        <v>1369.3</v>
      </c>
      <c r="H3366" s="10">
        <v>45</v>
      </c>
      <c r="I3366" s="273">
        <f>SUMIF('2020'!B:B,B3366,'2020'!C:C)+SUMIF('2021'!B:B,B3366,'2021'!C:C)+SUMIF('2022'!B:B,B3366,'2022'!C:C)</f>
        <v>1523046</v>
      </c>
      <c r="J3366" s="59">
        <v>44925</v>
      </c>
      <c r="K3366" s="273" t="s">
        <v>3118</v>
      </c>
    </row>
    <row r="3367" spans="1:11" x14ac:dyDescent="0.3">
      <c r="A3367" s="259">
        <f t="shared" si="136"/>
        <v>3024</v>
      </c>
      <c r="B3367" s="20" t="s">
        <v>3012</v>
      </c>
      <c r="C3367" s="162">
        <v>1967</v>
      </c>
      <c r="D3367" s="234"/>
      <c r="E3367" s="234" t="s">
        <v>3123</v>
      </c>
      <c r="F3367" s="10">
        <v>3</v>
      </c>
      <c r="G3367" s="234">
        <v>530.70000000000005</v>
      </c>
      <c r="H3367" s="10">
        <v>20</v>
      </c>
      <c r="I3367" s="273">
        <f>SUMIF('2020'!B:B,B3367,'2020'!C:C)+SUMIF('2021'!B:B,B3367,'2021'!C:C)+SUMIF('2022'!B:B,B3367,'2022'!C:C)</f>
        <v>1523046</v>
      </c>
      <c r="J3367" s="59">
        <v>44925</v>
      </c>
      <c r="K3367" s="273" t="s">
        <v>3118</v>
      </c>
    </row>
    <row r="3368" spans="1:11" x14ac:dyDescent="0.3">
      <c r="A3368" s="259">
        <f t="shared" si="136"/>
        <v>3025</v>
      </c>
      <c r="B3368" s="20" t="s">
        <v>3013</v>
      </c>
      <c r="C3368" s="162">
        <v>1968</v>
      </c>
      <c r="D3368" s="234"/>
      <c r="E3368" s="234" t="s">
        <v>3123</v>
      </c>
      <c r="F3368" s="10">
        <v>3</v>
      </c>
      <c r="G3368" s="234">
        <v>545.4</v>
      </c>
      <c r="H3368" s="10">
        <v>24</v>
      </c>
      <c r="I3368" s="273">
        <f>SUMIF('2020'!B:B,B3368,'2020'!C:C)+SUMIF('2021'!B:B,B3368,'2021'!C:C)+SUMIF('2022'!B:B,B3368,'2022'!C:C)</f>
        <v>1523046</v>
      </c>
      <c r="J3368" s="59">
        <v>44925</v>
      </c>
      <c r="K3368" s="273" t="s">
        <v>3118</v>
      </c>
    </row>
    <row r="3369" spans="1:11" x14ac:dyDescent="0.3">
      <c r="A3369" s="259">
        <f t="shared" si="136"/>
        <v>3026</v>
      </c>
      <c r="B3369" s="20" t="s">
        <v>3014</v>
      </c>
      <c r="C3369" s="162">
        <v>1970</v>
      </c>
      <c r="D3369" s="234"/>
      <c r="E3369" s="234" t="s">
        <v>3123</v>
      </c>
      <c r="F3369" s="10">
        <v>2</v>
      </c>
      <c r="G3369" s="234">
        <v>513.20000000000005</v>
      </c>
      <c r="H3369" s="10">
        <v>20</v>
      </c>
      <c r="I3369" s="273">
        <f>SUMIF('2020'!B:B,B3369,'2020'!C:C)+SUMIF('2021'!B:B,B3369,'2021'!C:C)+SUMIF('2022'!B:B,B3369,'2022'!C:C)</f>
        <v>195527.57</v>
      </c>
      <c r="J3369" s="59">
        <v>44925</v>
      </c>
      <c r="K3369" s="273" t="s">
        <v>3118</v>
      </c>
    </row>
    <row r="3370" spans="1:11" x14ac:dyDescent="0.3">
      <c r="A3370" s="259">
        <f t="shared" si="136"/>
        <v>3027</v>
      </c>
      <c r="B3370" s="20" t="s">
        <v>3015</v>
      </c>
      <c r="C3370" s="162">
        <v>1947</v>
      </c>
      <c r="D3370" s="234"/>
      <c r="E3370" s="234" t="s">
        <v>3437</v>
      </c>
      <c r="F3370" s="10">
        <v>2</v>
      </c>
      <c r="G3370" s="259">
        <v>504.8</v>
      </c>
      <c r="H3370" s="10">
        <v>25</v>
      </c>
      <c r="I3370" s="273">
        <f>SUMIF('2020'!B:B,B3370,'2020'!C:C)+SUMIF('2021'!B:B,B3370,'2021'!C:C)+SUMIF('2022'!B:B,B3370,'2022'!C:C)</f>
        <v>266582.33999999997</v>
      </c>
      <c r="J3370" s="59">
        <v>44925</v>
      </c>
      <c r="K3370" s="273" t="s">
        <v>3118</v>
      </c>
    </row>
    <row r="3371" spans="1:11" x14ac:dyDescent="0.3">
      <c r="A3371" s="259">
        <f t="shared" si="136"/>
        <v>3028</v>
      </c>
      <c r="B3371" s="20" t="s">
        <v>3016</v>
      </c>
      <c r="C3371" s="162">
        <v>1947</v>
      </c>
      <c r="D3371" s="234"/>
      <c r="E3371" s="234" t="s">
        <v>3437</v>
      </c>
      <c r="F3371" s="10">
        <v>2</v>
      </c>
      <c r="G3371" s="259">
        <v>483</v>
      </c>
      <c r="H3371" s="10">
        <v>25</v>
      </c>
      <c r="I3371" s="273">
        <f>SUMIF('2020'!B:B,B3371,'2020'!C:C)+SUMIF('2021'!B:B,B3371,'2021'!C:C)+SUMIF('2022'!B:B,B3371,'2022'!C:C)</f>
        <v>96750.64</v>
      </c>
      <c r="J3371" s="59">
        <v>44925</v>
      </c>
      <c r="K3371" s="273" t="s">
        <v>3118</v>
      </c>
    </row>
    <row r="3372" spans="1:11" x14ac:dyDescent="0.3">
      <c r="A3372" s="259">
        <f t="shared" si="136"/>
        <v>3029</v>
      </c>
      <c r="B3372" s="20" t="s">
        <v>3017</v>
      </c>
      <c r="C3372" s="162">
        <v>1947</v>
      </c>
      <c r="D3372" s="234"/>
      <c r="E3372" s="234" t="s">
        <v>3437</v>
      </c>
      <c r="F3372" s="10">
        <v>2</v>
      </c>
      <c r="G3372" s="259">
        <v>478.7</v>
      </c>
      <c r="H3372" s="10">
        <v>2</v>
      </c>
      <c r="I3372" s="273">
        <f>SUMIF('2020'!B:B,B3372,'2020'!C:C)+SUMIF('2021'!B:B,B3372,'2021'!C:C)+SUMIF('2022'!B:B,B3372,'2022'!C:C)</f>
        <v>119487</v>
      </c>
      <c r="J3372" s="59">
        <v>44925</v>
      </c>
      <c r="K3372" s="273" t="s">
        <v>3118</v>
      </c>
    </row>
    <row r="3373" spans="1:11" x14ac:dyDescent="0.3">
      <c r="A3373" s="259">
        <f t="shared" si="136"/>
        <v>3030</v>
      </c>
      <c r="B3373" s="20" t="s">
        <v>3018</v>
      </c>
      <c r="C3373" s="162">
        <v>1954</v>
      </c>
      <c r="D3373" s="234"/>
      <c r="E3373" s="234" t="s">
        <v>3437</v>
      </c>
      <c r="F3373" s="10">
        <v>2</v>
      </c>
      <c r="G3373" s="234">
        <v>428.9</v>
      </c>
      <c r="H3373" s="10">
        <v>15</v>
      </c>
      <c r="I3373" s="273">
        <f>SUMIF('2020'!B:B,B3373,'2020'!C:C)+SUMIF('2021'!B:B,B3373,'2021'!C:C)+SUMIF('2022'!B:B,B3373,'2022'!C:C)</f>
        <v>130000</v>
      </c>
      <c r="J3373" s="59">
        <v>44925</v>
      </c>
      <c r="K3373" s="273" t="s">
        <v>3118</v>
      </c>
    </row>
    <row r="3374" spans="1:11" x14ac:dyDescent="0.3">
      <c r="A3374" s="259">
        <f t="shared" si="136"/>
        <v>3031</v>
      </c>
      <c r="B3374" s="20" t="s">
        <v>3019</v>
      </c>
      <c r="C3374" s="162">
        <v>1965</v>
      </c>
      <c r="D3374" s="234"/>
      <c r="E3374" s="234" t="s">
        <v>3123</v>
      </c>
      <c r="F3374" s="10">
        <v>1</v>
      </c>
      <c r="G3374" s="234">
        <v>628.29999999999995</v>
      </c>
      <c r="H3374" s="10">
        <v>24</v>
      </c>
      <c r="I3374" s="273">
        <f>SUMIF('2020'!B:B,B3374,'2020'!C:C)+SUMIF('2021'!B:B,B3374,'2021'!C:C)+SUMIF('2022'!B:B,B3374,'2022'!C:C)</f>
        <v>316265.01</v>
      </c>
      <c r="J3374" s="59">
        <v>44925</v>
      </c>
      <c r="K3374" s="273" t="s">
        <v>3118</v>
      </c>
    </row>
    <row r="3375" spans="1:11" x14ac:dyDescent="0.3">
      <c r="A3375" s="259">
        <f t="shared" si="136"/>
        <v>3032</v>
      </c>
      <c r="B3375" s="20" t="s">
        <v>3020</v>
      </c>
      <c r="C3375" s="162">
        <v>1966</v>
      </c>
      <c r="D3375" s="234"/>
      <c r="E3375" s="234" t="s">
        <v>3123</v>
      </c>
      <c r="F3375" s="10">
        <v>2</v>
      </c>
      <c r="G3375" s="234">
        <v>651.1</v>
      </c>
      <c r="H3375" s="10">
        <v>20</v>
      </c>
      <c r="I3375" s="273">
        <f>SUMIF('2020'!B:B,B3375,'2020'!C:C)+SUMIF('2021'!B:B,B3375,'2021'!C:C)+SUMIF('2022'!B:B,B3375,'2022'!C:C)</f>
        <v>298242.92000000004</v>
      </c>
      <c r="J3375" s="59">
        <v>44925</v>
      </c>
      <c r="K3375" s="273" t="s">
        <v>3118</v>
      </c>
    </row>
    <row r="3376" spans="1:11" x14ac:dyDescent="0.3">
      <c r="A3376" s="259">
        <f t="shared" si="136"/>
        <v>3033</v>
      </c>
      <c r="B3376" s="20" t="s">
        <v>3021</v>
      </c>
      <c r="C3376" s="162">
        <v>1970</v>
      </c>
      <c r="D3376" s="234"/>
      <c r="E3376" s="234" t="s">
        <v>3123</v>
      </c>
      <c r="F3376" s="10">
        <v>2</v>
      </c>
      <c r="G3376" s="234">
        <v>527.9</v>
      </c>
      <c r="H3376" s="10">
        <v>25</v>
      </c>
      <c r="I3376" s="273">
        <f>SUMIF('2020'!B:B,B3376,'2020'!C:C)+SUMIF('2021'!B:B,B3376,'2021'!C:C)+SUMIF('2022'!B:B,B3376,'2022'!C:C)</f>
        <v>298242.92000000004</v>
      </c>
      <c r="J3376" s="59">
        <v>44925</v>
      </c>
      <c r="K3376" s="273" t="s">
        <v>3118</v>
      </c>
    </row>
    <row r="3377" spans="1:13" x14ac:dyDescent="0.3">
      <c r="A3377" s="259">
        <f t="shared" si="136"/>
        <v>3034</v>
      </c>
      <c r="B3377" s="20" t="s">
        <v>3022</v>
      </c>
      <c r="C3377" s="162">
        <v>1965</v>
      </c>
      <c r="D3377" s="234"/>
      <c r="E3377" s="234" t="s">
        <v>3123</v>
      </c>
      <c r="F3377" s="10">
        <v>2</v>
      </c>
      <c r="G3377" s="234">
        <v>648.1</v>
      </c>
      <c r="H3377" s="10">
        <v>20</v>
      </c>
      <c r="I3377" s="273">
        <f>SUMIF('2020'!B:B,B3377,'2020'!C:C)+SUMIF('2021'!B:B,B3377,'2021'!C:C)+SUMIF('2022'!B:B,B3377,'2022'!C:C)</f>
        <v>78485.86</v>
      </c>
      <c r="J3377" s="59">
        <v>44925</v>
      </c>
      <c r="K3377" s="273" t="s">
        <v>3118</v>
      </c>
    </row>
    <row r="3378" spans="1:13" x14ac:dyDescent="0.3">
      <c r="A3378" s="259"/>
      <c r="B3378" s="20" t="s">
        <v>208</v>
      </c>
      <c r="C3378" s="273" t="s">
        <v>3558</v>
      </c>
      <c r="D3378" s="273" t="s">
        <v>3558</v>
      </c>
      <c r="E3378" s="273" t="s">
        <v>3558</v>
      </c>
      <c r="F3378" s="273" t="s">
        <v>3558</v>
      </c>
      <c r="G3378" s="273">
        <f>SUM(G3342:G3377)</f>
        <v>36353.599999999999</v>
      </c>
      <c r="H3378" s="10">
        <f t="shared" ref="H3378" si="137">SUM(H3342:H3377)</f>
        <v>1612</v>
      </c>
      <c r="I3378" s="273">
        <f>SUM(I3342:I3377)</f>
        <v>21778226.740000006</v>
      </c>
      <c r="J3378" s="273" t="s">
        <v>3558</v>
      </c>
      <c r="K3378" s="273" t="s">
        <v>3558</v>
      </c>
      <c r="L3378" s="197">
        <f>I3378-'2020'!C766-'2021'!C2361-'2022'!C1095</f>
        <v>0</v>
      </c>
    </row>
    <row r="3379" spans="1:13" x14ac:dyDescent="0.3">
      <c r="A3379" s="163"/>
      <c r="B3379" s="166" t="s">
        <v>3285</v>
      </c>
      <c r="C3379" s="251" t="s">
        <v>3558</v>
      </c>
      <c r="D3379" s="251" t="s">
        <v>3558</v>
      </c>
      <c r="E3379" s="251" t="s">
        <v>3558</v>
      </c>
      <c r="F3379" s="251" t="s">
        <v>3558</v>
      </c>
      <c r="G3379" s="251">
        <f t="shared" ref="G3379:I3379" si="138">G3378+G3340+G3324+G3317+G3295+G3285+G3271+G3263+G3258</f>
        <v>176454.11</v>
      </c>
      <c r="H3379" s="132">
        <f t="shared" si="138"/>
        <v>8434</v>
      </c>
      <c r="I3379" s="251">
        <f t="shared" si="138"/>
        <v>301455598.10000002</v>
      </c>
      <c r="J3379" s="251" t="s">
        <v>3558</v>
      </c>
      <c r="K3379" s="251" t="s">
        <v>3558</v>
      </c>
      <c r="L3379" s="197">
        <f>I3379-'2020'!C767-'2021'!C2362-'2022'!C1096</f>
        <v>0</v>
      </c>
      <c r="M3379" s="197"/>
    </row>
    <row r="3380" spans="1:13" x14ac:dyDescent="0.3">
      <c r="A3380" s="163"/>
      <c r="B3380" s="166" t="s">
        <v>3023</v>
      </c>
      <c r="C3380" s="251" t="s">
        <v>3558</v>
      </c>
      <c r="D3380" s="251" t="s">
        <v>3558</v>
      </c>
      <c r="E3380" s="251" t="s">
        <v>3558</v>
      </c>
      <c r="F3380" s="251" t="s">
        <v>3558</v>
      </c>
      <c r="G3380" s="251">
        <f>G3379+G3207+G2950+G2795+G2672+G2527+G2494+G2276+G2149+G1978+G1719+G1639+G1585+G1118+G761+G464+G249+G176</f>
        <v>6191199.8400000008</v>
      </c>
      <c r="H3380" s="132">
        <f>H3379+H3207+H2950+H2795+H2672+H2527+H2494+H2276+H2149+H1978+H1719+H1639+H1585+H1118+H761+H464+H249+H176</f>
        <v>213103</v>
      </c>
      <c r="I3380" s="251">
        <f>I3379+I3207+I2950+I2795+I2672+I2527+I2494+I2276+I2149+I1978+I1719+I1639+I1585+I1118+I761+I464+I249+I176</f>
        <v>8577378845.2400017</v>
      </c>
      <c r="J3380" s="251" t="s">
        <v>3558</v>
      </c>
      <c r="K3380" s="251" t="s">
        <v>3558</v>
      </c>
      <c r="L3380" s="197">
        <f>I3380-'2020'!C768-'2021'!C2363-'2022'!C1097</f>
        <v>0</v>
      </c>
      <c r="M3380" s="197"/>
    </row>
    <row r="3381" spans="1:13" x14ac:dyDescent="0.3">
      <c r="A3381" s="163"/>
      <c r="B3381" s="167" t="s">
        <v>3520</v>
      </c>
      <c r="C3381" s="251" t="s">
        <v>3558</v>
      </c>
      <c r="D3381" s="251" t="s">
        <v>3558</v>
      </c>
      <c r="E3381" s="251" t="s">
        <v>3558</v>
      </c>
      <c r="F3381" s="251" t="s">
        <v>3558</v>
      </c>
      <c r="G3381" s="165"/>
      <c r="H3381" s="177"/>
      <c r="I3381" s="164">
        <f>'2020'!C769+'2021'!C2364+'2022'!C1098</f>
        <v>170080692.60068798</v>
      </c>
      <c r="J3381" s="251" t="s">
        <v>3558</v>
      </c>
      <c r="K3381" s="251" t="s">
        <v>3558</v>
      </c>
      <c r="L3381" s="197">
        <f>I3381-'2020'!C769-'2021'!C2364-'2022'!C1098</f>
        <v>0</v>
      </c>
    </row>
    <row r="3382" spans="1:13" x14ac:dyDescent="0.3">
      <c r="A3382" s="163"/>
      <c r="B3382" s="168" t="s">
        <v>3521</v>
      </c>
      <c r="C3382" s="251" t="s">
        <v>3558</v>
      </c>
      <c r="D3382" s="251" t="s">
        <v>3558</v>
      </c>
      <c r="E3382" s="251" t="s">
        <v>3558</v>
      </c>
      <c r="F3382" s="251" t="s">
        <v>3558</v>
      </c>
      <c r="G3382" s="164"/>
      <c r="H3382" s="177"/>
      <c r="I3382" s="164">
        <f>I3381+I3380</f>
        <v>8747459537.8406906</v>
      </c>
      <c r="J3382" s="251" t="s">
        <v>3558</v>
      </c>
      <c r="K3382" s="251" t="s">
        <v>3558</v>
      </c>
      <c r="L3382" s="197">
        <f>I3382-'2020'!C770-'2021'!C2365-'2022'!C1099</f>
        <v>0</v>
      </c>
    </row>
    <row r="3383" spans="1:13" x14ac:dyDescent="0.3">
      <c r="I3383" s="35">
        <f>I3382-'2020'!C770-'2021'!C2365-'2022'!C1099</f>
        <v>0</v>
      </c>
    </row>
    <row r="3384" spans="1:13" x14ac:dyDescent="0.3">
      <c r="I3384" s="35">
        <f>I3382-'2020'!C770-'2021'!C2365-'2022'!C1099</f>
        <v>0</v>
      </c>
    </row>
  </sheetData>
  <protectedRanges>
    <protectedRange password="CC6F" sqref="H1731" name="Диапазон2_2"/>
    <protectedRange password="CC6F" sqref="H1732" name="Диапазон2_1_1"/>
    <protectedRange password="CC6F" sqref="H1736" name="Диапазон2_3_1"/>
    <protectedRange password="CC6F" sqref="H1234:H1247 H1249:H1525" name="Диапазон2_9_1"/>
    <protectedRange password="CC6F" sqref="H1168" name="Диапазон2_9_12_1"/>
    <protectedRange password="CC6F" sqref="H1169" name="Диапазон2_9_13_1"/>
    <protectedRange password="CC6F" sqref="H1170" name="Диапазон2_9_14_1"/>
    <protectedRange password="CC6F" sqref="H1171" name="Диапазон2_9_15_1"/>
    <protectedRange password="CC6F" sqref="H1172" name="Диапазон2_9_16_1"/>
    <protectedRange password="CC6F" sqref="H1173" name="Диапазон2_9_17_1"/>
    <protectedRange password="CC6F" sqref="H1174" name="Диапазон2_9_18_1"/>
    <protectedRange password="CC6F" sqref="H1175" name="Диапазон2_9_21_1"/>
    <protectedRange password="CC6F" sqref="H1176" name="Диапазон2_9_22_1"/>
    <protectedRange password="CC6F" sqref="H1177" name="Диапазон2_9_23_1"/>
    <protectedRange password="CC6F" sqref="H1178" name="Диапазон2_9_24_1"/>
    <protectedRange password="CC6F" sqref="H1179" name="Диапазон2_9_25_1"/>
    <protectedRange password="CC6F" sqref="H1180" name="Диапазон2_9_26_1"/>
    <protectedRange password="CC6F" sqref="H1181" name="Диапазон2_9_27_1"/>
    <protectedRange password="CC6F" sqref="H1182" name="Диапазон2_9_28_1"/>
    <protectedRange password="CC6F" sqref="H1183" name="Диапазон2_9_30_1"/>
    <protectedRange password="CC6F" sqref="H1184" name="Диапазон2_9_31_1"/>
    <protectedRange password="CC6F" sqref="H1185" name="Диапазон2_9_32_1"/>
    <protectedRange password="CC6F" sqref="H1186" name="Диапазон2_9_33_1"/>
    <protectedRange password="CC6F" sqref="H1187" name="Диапазон2_9_34_1"/>
    <protectedRange password="CC6F" sqref="H1188" name="Диапазон2_9_35_1"/>
    <protectedRange password="CC6F" sqref="H1189" name="Диапазон2_9_36_1"/>
    <protectedRange password="CC6F" sqref="H1190" name="Диапазон2_9_39_1"/>
    <protectedRange password="CC6F" sqref="H1191" name="Диапазон2_9_40_1"/>
    <protectedRange password="CC6F" sqref="H1192" name="Диапазон2_9_41_1"/>
    <protectedRange password="CC6F" sqref="H1193" name="Диапазон2_9_43_1"/>
    <protectedRange password="CC6F" sqref="H1194" name="Диапазон2_9_44_1"/>
    <protectedRange password="CC6F" sqref="H1195" name="Диапазон2_9_45_1"/>
    <protectedRange password="CC6F" sqref="H1196" name="Диапазон2_9_46_1"/>
    <protectedRange password="CC6F" sqref="H1197" name="Диапазон2_9_47_1"/>
    <protectedRange password="CC6F" sqref="H1198" name="Диапазон2_9_48_1"/>
    <protectedRange password="CC6F" sqref="H1199" name="Диапазон2_9_49_1"/>
    <protectedRange password="CC6F" sqref="H1200" name="Диапазон2_9_50_1"/>
    <protectedRange password="CC6F" sqref="H1201" name="Диапазон2_9_52_1"/>
    <protectedRange password="CC6F" sqref="H1202" name="Диапазон2_9_53_1"/>
    <protectedRange password="CC6F" sqref="H1203" name="Диапазон2_9_54_1"/>
    <protectedRange password="CC6F" sqref="H1204" name="Диапазон2_9_57_1"/>
    <protectedRange password="CC6F" sqref="H1205" name="Диапазон2_9_60_1"/>
    <protectedRange password="CC6F" sqref="H1206" name="Диапазон2_9_73_1"/>
    <protectedRange password="CC6F" sqref="H1207" name="Диапазон2_9_74_1"/>
    <protectedRange password="CC6F" sqref="H1208" name="Диапазон2_9_75_1"/>
    <protectedRange password="CC6F" sqref="H1209" name="Диапазон2_9_76_1"/>
    <protectedRange password="CC6F" sqref="H1210" name="Диапазон2_9_77_1"/>
    <protectedRange password="CC6F" sqref="H1211" name="Диапазон2_9_78_1"/>
    <protectedRange password="CC6F" sqref="H1212" name="Диапазон2_9_79_1"/>
    <protectedRange password="CC6F" sqref="H1213" name="Диапазон2_9_80_1"/>
    <protectedRange password="CC6F" sqref="H1214" name="Диапазон2_9_81_1"/>
    <protectedRange password="CC6F" sqref="H1215" name="Диапазон2_9_82_1"/>
    <protectedRange password="CC6F" sqref="H1216" name="Диапазон2_9_83_1"/>
    <protectedRange password="CC6F" sqref="H1217" name="Диапазон2_9_84_1"/>
    <protectedRange password="CC6F" sqref="H1218" name="Диапазон2_9_85_1"/>
    <protectedRange password="CC6F" sqref="H1221" name="Диапазон2_9_86_1"/>
    <protectedRange password="CC6F" sqref="H1222" name="Диапазон2_9_87_1"/>
    <protectedRange password="CC6F" sqref="H1223" name="Диапазон2_9_88_1"/>
    <protectedRange password="CC6F" sqref="H1224" name="Диапазон2_9_89_1"/>
    <protectedRange password="CC6F" sqref="H1225" name="Диапазон2_9_90_1"/>
    <protectedRange password="CC6F" sqref="H1226" name="Диапазон2_9_91_1"/>
    <protectedRange password="CC6F" sqref="H1227" name="Диапазон2_9_92_1"/>
    <protectedRange password="CC6F" sqref="H1228" name="Диапазон2_9_93_1"/>
    <protectedRange password="CC6F" sqref="H1229" name="Диапазон2_9_94_1"/>
    <protectedRange password="CC6F" sqref="H1230" name="Диапазон2_9_96_1"/>
    <protectedRange password="CC6F" sqref="H1231" name="Диапазон2_9_97_1"/>
    <protectedRange password="CC6F" sqref="H1232" name="Диапазон2_9_98_1"/>
    <protectedRange password="CC6F" sqref="H1233" name="Диапазон2_9_99_1"/>
  </protectedRanges>
  <autoFilter ref="A10:L3384"/>
  <mergeCells count="187">
    <mergeCell ref="A2959:B2959"/>
    <mergeCell ref="A2968:B2968"/>
    <mergeCell ref="A2969:B2969"/>
    <mergeCell ref="A3179:B3179"/>
    <mergeCell ref="A3180:B3180"/>
    <mergeCell ref="A2796:K2796"/>
    <mergeCell ref="A2950:B2950"/>
    <mergeCell ref="A2951:K2951"/>
    <mergeCell ref="A2952:B2952"/>
    <mergeCell ref="A2958:B2958"/>
    <mergeCell ref="A3325:B3325"/>
    <mergeCell ref="A3341:B3341"/>
    <mergeCell ref="A3264:B3264"/>
    <mergeCell ref="A3272:B3272"/>
    <mergeCell ref="A3286:B3286"/>
    <mergeCell ref="A3296:B3296"/>
    <mergeCell ref="A3318:B3318"/>
    <mergeCell ref="A3206:B3206"/>
    <mergeCell ref="A3207:B3207"/>
    <mergeCell ref="A3208:K3208"/>
    <mergeCell ref="A3209:B3209"/>
    <mergeCell ref="A3259:B3259"/>
    <mergeCell ref="A2689:B2689"/>
    <mergeCell ref="A2794:B2794"/>
    <mergeCell ref="A2795:B2795"/>
    <mergeCell ref="A2671:B2671"/>
    <mergeCell ref="A2672:B2672"/>
    <mergeCell ref="A2673:K2673"/>
    <mergeCell ref="A2674:B2674"/>
    <mergeCell ref="A2676:B2676"/>
    <mergeCell ref="L11:N11"/>
    <mergeCell ref="A2677:B2677"/>
    <mergeCell ref="A2640:B2640"/>
    <mergeCell ref="A2641:B2641"/>
    <mergeCell ref="A2573:B2573"/>
    <mergeCell ref="A2580:B2580"/>
    <mergeCell ref="A2603:B2603"/>
    <mergeCell ref="A2604:B2604"/>
    <mergeCell ref="A2614:B2614"/>
    <mergeCell ref="A2579:B2579"/>
    <mergeCell ref="A2688:B2688"/>
    <mergeCell ref="A2446:B2446"/>
    <mergeCell ref="A2448:B2448"/>
    <mergeCell ref="A2449:B2449"/>
    <mergeCell ref="A2462:B2462"/>
    <mergeCell ref="A2463:B2463"/>
    <mergeCell ref="A2465:B2465"/>
    <mergeCell ref="A2466:B2466"/>
    <mergeCell ref="A2474:B2474"/>
    <mergeCell ref="A2615:B2615"/>
    <mergeCell ref="A2495:K2495"/>
    <mergeCell ref="A2496:B2496"/>
    <mergeCell ref="A2502:B2502"/>
    <mergeCell ref="A2503:B2503"/>
    <mergeCell ref="A2509:B2509"/>
    <mergeCell ref="A2480:B2480"/>
    <mergeCell ref="A2481:B2481"/>
    <mergeCell ref="A2493:B2493"/>
    <mergeCell ref="A2494:B2494"/>
    <mergeCell ref="A2561:B2561"/>
    <mergeCell ref="A2528:K2528"/>
    <mergeCell ref="A2529:B2529"/>
    <mergeCell ref="A2537:B2537"/>
    <mergeCell ref="A2541:B2541"/>
    <mergeCell ref="A2545:B2545"/>
    <mergeCell ref="A2510:B2510"/>
    <mergeCell ref="A2515:B2515"/>
    <mergeCell ref="A2516:B2516"/>
    <mergeCell ref="A2526:B2526"/>
    <mergeCell ref="A2527:B2527"/>
    <mergeCell ref="A2538:B2538"/>
    <mergeCell ref="A2540:B2540"/>
    <mergeCell ref="A2546:B2546"/>
    <mergeCell ref="A2553:B2553"/>
    <mergeCell ref="A2554:B2554"/>
    <mergeCell ref="A2560:B2560"/>
    <mergeCell ref="H6:H8"/>
    <mergeCell ref="A2278:B2278"/>
    <mergeCell ref="A2285:B2285"/>
    <mergeCell ref="A2286:B2286"/>
    <mergeCell ref="A2314:B2314"/>
    <mergeCell ref="A2315:B2315"/>
    <mergeCell ref="A2332:B2332"/>
    <mergeCell ref="A1119:K1119"/>
    <mergeCell ref="A1120:B1120"/>
    <mergeCell ref="A1587:B1587"/>
    <mergeCell ref="A1595:B1595"/>
    <mergeCell ref="A2171:B2171"/>
    <mergeCell ref="A1660:B1660"/>
    <mergeCell ref="A1698:B1698"/>
    <mergeCell ref="A1707:B1707"/>
    <mergeCell ref="A2150:K2150"/>
    <mergeCell ref="A2151:B2151"/>
    <mergeCell ref="A2155:B2155"/>
    <mergeCell ref="A2170:B2170"/>
    <mergeCell ref="A1899:B1899"/>
    <mergeCell ref="A1906:B1906"/>
    <mergeCell ref="A1918:B1918"/>
    <mergeCell ref="A1927:B1927"/>
    <mergeCell ref="A1979:K1979"/>
    <mergeCell ref="A2475:B2475"/>
    <mergeCell ref="A6:A8"/>
    <mergeCell ref="B6:B8"/>
    <mergeCell ref="C6:D6"/>
    <mergeCell ref="E6:E9"/>
    <mergeCell ref="F6:F9"/>
    <mergeCell ref="G6:G8"/>
    <mergeCell ref="A1833:B1833"/>
    <mergeCell ref="A1840:B1840"/>
    <mergeCell ref="A1891:B1891"/>
    <mergeCell ref="A1895:B1895"/>
    <mergeCell ref="A1885:B1885"/>
    <mergeCell ref="A11:K11"/>
    <mergeCell ref="A177:K177"/>
    <mergeCell ref="J6:J9"/>
    <mergeCell ref="K6:K9"/>
    <mergeCell ref="C7:C9"/>
    <mergeCell ref="D7:D9"/>
    <mergeCell ref="A762:K762"/>
    <mergeCell ref="A465:K465"/>
    <mergeCell ref="A250:K250"/>
    <mergeCell ref="A2198:B2198"/>
    <mergeCell ref="A2445:B2445"/>
    <mergeCell ref="A2260:B2260"/>
    <mergeCell ref="A1721:B1721"/>
    <mergeCell ref="A1627:B1627"/>
    <mergeCell ref="A1630:B1630"/>
    <mergeCell ref="A1640:K1640"/>
    <mergeCell ref="A1641:B1641"/>
    <mergeCell ref="A2434:B2434"/>
    <mergeCell ref="A2265:B2265"/>
    <mergeCell ref="A2266:B2266"/>
    <mergeCell ref="A2275:B2275"/>
    <mergeCell ref="A2276:B2276"/>
    <mergeCell ref="B2277:K2277"/>
    <mergeCell ref="A2333:B2333"/>
    <mergeCell ref="A2335:B2335"/>
    <mergeCell ref="A2336:B2336"/>
    <mergeCell ref="A2399:B2399"/>
    <mergeCell ref="A2205:B2205"/>
    <mergeCell ref="A2206:B2206"/>
    <mergeCell ref="A2208:B2208"/>
    <mergeCell ref="A2435:B2435"/>
    <mergeCell ref="A2439:B2439"/>
    <mergeCell ref="A2440:B2440"/>
    <mergeCell ref="A2178:B2178"/>
    <mergeCell ref="A2179:B2179"/>
    <mergeCell ref="A2184:B2184"/>
    <mergeCell ref="A2185:B2185"/>
    <mergeCell ref="A2246:B2246"/>
    <mergeCell ref="A2247:B2247"/>
    <mergeCell ref="A2250:B2250"/>
    <mergeCell ref="A2251:B2251"/>
    <mergeCell ref="A2259:B2259"/>
    <mergeCell ref="A2209:B2209"/>
    <mergeCell ref="A2221:B2221"/>
    <mergeCell ref="A2222:B2222"/>
    <mergeCell ref="A2231:B2231"/>
    <mergeCell ref="A2232:B2232"/>
    <mergeCell ref="A2199:B2199"/>
    <mergeCell ref="A2400:B2400"/>
    <mergeCell ref="A2411:B2411"/>
    <mergeCell ref="A2412:B2412"/>
    <mergeCell ref="A4:K4"/>
    <mergeCell ref="I6:I8"/>
    <mergeCell ref="A1646:B1646"/>
    <mergeCell ref="A1586:K1586"/>
    <mergeCell ref="A5:K5"/>
    <mergeCell ref="A1585:B1585"/>
    <mergeCell ref="A1639:B1639"/>
    <mergeCell ref="A1719:B1719"/>
    <mergeCell ref="A1978:B1978"/>
    <mergeCell ref="A1132:B1132"/>
    <mergeCell ref="A1137:B1137"/>
    <mergeCell ref="A1149:B1149"/>
    <mergeCell ref="A1167:B1167"/>
    <mergeCell ref="A1527:B1527"/>
    <mergeCell ref="A1535:B1535"/>
    <mergeCell ref="A1541:B1541"/>
    <mergeCell ref="A1549:B1549"/>
    <mergeCell ref="A1552:B1552"/>
    <mergeCell ref="A1555:B1555"/>
    <mergeCell ref="A1558:B1558"/>
    <mergeCell ref="A1561:B1561"/>
    <mergeCell ref="A1567:B1567"/>
    <mergeCell ref="A1571:B1571"/>
    <mergeCell ref="A1720:K1720"/>
  </mergeCells>
  <conditionalFormatting sqref="B1121:B1131 A1132">
    <cfRule type="duplicateValues" dxfId="125" priority="70"/>
  </conditionalFormatting>
  <conditionalFormatting sqref="B1133:B1136">
    <cfRule type="duplicateValues" dxfId="124" priority="69"/>
  </conditionalFormatting>
  <conditionalFormatting sqref="B1138:B1148">
    <cfRule type="duplicateValues" dxfId="123" priority="68"/>
  </conditionalFormatting>
  <conditionalFormatting sqref="B1169">
    <cfRule type="duplicateValues" dxfId="122" priority="65"/>
  </conditionalFormatting>
  <conditionalFormatting sqref="B1528:B1534">
    <cfRule type="duplicateValues" dxfId="121" priority="64"/>
  </conditionalFormatting>
  <conditionalFormatting sqref="B1542:B1548">
    <cfRule type="duplicateValues" dxfId="120" priority="62"/>
  </conditionalFormatting>
  <conditionalFormatting sqref="B1553:B1554 A1555">
    <cfRule type="duplicateValues" dxfId="119" priority="60"/>
  </conditionalFormatting>
  <conditionalFormatting sqref="B1556:B1557">
    <cfRule type="duplicateValues" dxfId="118" priority="59"/>
  </conditionalFormatting>
  <conditionalFormatting sqref="B1559:B1560">
    <cfRule type="duplicateValues" dxfId="117" priority="58"/>
  </conditionalFormatting>
  <conditionalFormatting sqref="B1563:B1566">
    <cfRule type="duplicateValues" dxfId="116" priority="57"/>
  </conditionalFormatting>
  <conditionalFormatting sqref="B1562">
    <cfRule type="duplicateValues" dxfId="115" priority="56"/>
  </conditionalFormatting>
  <conditionalFormatting sqref="B1568:B1570">
    <cfRule type="duplicateValues" dxfId="114" priority="54"/>
  </conditionalFormatting>
  <conditionalFormatting sqref="B1632:B1637">
    <cfRule type="duplicateValues" dxfId="113" priority="48"/>
  </conditionalFormatting>
  <conditionalFormatting sqref="B1631">
    <cfRule type="duplicateValues" dxfId="112" priority="47"/>
  </conditionalFormatting>
  <conditionalFormatting sqref="B1626">
    <cfRule type="duplicateValues" dxfId="111" priority="46"/>
  </conditionalFormatting>
  <conditionalFormatting sqref="B1629">
    <cfRule type="duplicateValues" dxfId="110" priority="45"/>
  </conditionalFormatting>
  <conditionalFormatting sqref="B1638">
    <cfRule type="duplicateValues" dxfId="109" priority="44"/>
  </conditionalFormatting>
  <conditionalFormatting sqref="B1642:B1645">
    <cfRule type="duplicateValues" dxfId="108" priority="38"/>
  </conditionalFormatting>
  <conditionalFormatting sqref="B1659">
    <cfRule type="duplicateValues" dxfId="107" priority="40"/>
  </conditionalFormatting>
  <conditionalFormatting sqref="B1697">
    <cfRule type="duplicateValues" dxfId="106" priority="41"/>
  </conditionalFormatting>
  <conditionalFormatting sqref="B1718">
    <cfRule type="duplicateValues" dxfId="105" priority="43"/>
  </conditionalFormatting>
  <conditionalFormatting sqref="B3183:B3205 B3160:B3178 B2972:B3062 B2961:B2967 B2953:B2957 B2970 B3181 B3064:B3156">
    <cfRule type="duplicateValues" dxfId="104" priority="37"/>
  </conditionalFormatting>
  <conditionalFormatting sqref="B2960">
    <cfRule type="duplicateValues" dxfId="103" priority="36"/>
  </conditionalFormatting>
  <conditionalFormatting sqref="B2971">
    <cfRule type="duplicateValues" dxfId="102" priority="35"/>
  </conditionalFormatting>
  <conditionalFormatting sqref="B3182">
    <cfRule type="duplicateValues" dxfId="101" priority="34"/>
  </conditionalFormatting>
  <conditionalFormatting sqref="B3213">
    <cfRule type="duplicateValues" dxfId="100" priority="30"/>
  </conditionalFormatting>
  <conditionalFormatting sqref="B3227:B3230">
    <cfRule type="duplicateValues" dxfId="99" priority="29"/>
  </conditionalFormatting>
  <conditionalFormatting sqref="B3232">
    <cfRule type="duplicateValues" dxfId="98" priority="28"/>
  </conditionalFormatting>
  <conditionalFormatting sqref="B3237">
    <cfRule type="duplicateValues" dxfId="97" priority="27"/>
  </conditionalFormatting>
  <conditionalFormatting sqref="B3239:B3242">
    <cfRule type="duplicateValues" dxfId="96" priority="26"/>
  </conditionalFormatting>
  <conditionalFormatting sqref="B3260:B3261">
    <cfRule type="duplicateValues" dxfId="95" priority="25"/>
  </conditionalFormatting>
  <conditionalFormatting sqref="B3262">
    <cfRule type="duplicateValues" dxfId="94" priority="24"/>
  </conditionalFormatting>
  <conditionalFormatting sqref="B3287:B3294">
    <cfRule type="duplicateValues" dxfId="93" priority="22"/>
  </conditionalFormatting>
  <conditionalFormatting sqref="B3321">
    <cfRule type="duplicateValues" dxfId="92" priority="20"/>
  </conditionalFormatting>
  <conditionalFormatting sqref="B3326:B3327 B3329:B3339">
    <cfRule type="duplicateValues" dxfId="91" priority="19"/>
  </conditionalFormatting>
  <conditionalFormatting sqref="B3328">
    <cfRule type="duplicateValues" dxfId="90" priority="18"/>
  </conditionalFormatting>
  <conditionalFormatting sqref="B3375:B3377 B3342:B3373">
    <cfRule type="duplicateValues" dxfId="89" priority="17"/>
  </conditionalFormatting>
  <conditionalFormatting sqref="B3374">
    <cfRule type="duplicateValues" dxfId="88" priority="16"/>
  </conditionalFormatting>
  <conditionalFormatting sqref="B3263">
    <cfRule type="duplicateValues" dxfId="87" priority="15"/>
  </conditionalFormatting>
  <conditionalFormatting sqref="B3285">
    <cfRule type="duplicateValues" dxfId="86" priority="13"/>
  </conditionalFormatting>
  <conditionalFormatting sqref="B3295">
    <cfRule type="duplicateValues" dxfId="85" priority="12"/>
  </conditionalFormatting>
  <conditionalFormatting sqref="B3317">
    <cfRule type="duplicateValues" dxfId="84" priority="11"/>
  </conditionalFormatting>
  <conditionalFormatting sqref="B3324">
    <cfRule type="duplicateValues" dxfId="83" priority="10"/>
  </conditionalFormatting>
  <conditionalFormatting sqref="B3340">
    <cfRule type="duplicateValues" dxfId="82" priority="9"/>
  </conditionalFormatting>
  <conditionalFormatting sqref="B3378">
    <cfRule type="duplicateValues" dxfId="81" priority="8"/>
  </conditionalFormatting>
  <conditionalFormatting sqref="B3266:B3267 B3269">
    <cfRule type="duplicateValues" dxfId="80" priority="32"/>
  </conditionalFormatting>
  <conditionalFormatting sqref="B3265">
    <cfRule type="duplicateValues" dxfId="79" priority="7"/>
  </conditionalFormatting>
  <conditionalFormatting sqref="B3268">
    <cfRule type="duplicateValues" dxfId="78" priority="6"/>
  </conditionalFormatting>
  <conditionalFormatting sqref="B3270">
    <cfRule type="duplicateValues" dxfId="77" priority="5"/>
  </conditionalFormatting>
  <conditionalFormatting sqref="B985:B986">
    <cfRule type="duplicateValues" dxfId="76" priority="4"/>
  </conditionalFormatting>
  <conditionalFormatting sqref="B1550:B1551">
    <cfRule type="duplicateValues" dxfId="75" priority="135"/>
  </conditionalFormatting>
  <conditionalFormatting sqref="B3322:B3323 B3319:B3320">
    <cfRule type="duplicateValues" dxfId="74" priority="786"/>
  </conditionalFormatting>
  <conditionalFormatting sqref="B3273:B3284">
    <cfRule type="duplicateValues" dxfId="73" priority="793"/>
  </conditionalFormatting>
  <conditionalFormatting sqref="B1596:B1625">
    <cfRule type="duplicateValues" dxfId="72" priority="858"/>
  </conditionalFormatting>
  <conditionalFormatting sqref="B1588:B1594">
    <cfRule type="duplicateValues" dxfId="71" priority="859"/>
  </conditionalFormatting>
  <conditionalFormatting sqref="B1572:B1583">
    <cfRule type="duplicateValues" dxfId="70" priority="892"/>
  </conditionalFormatting>
  <conditionalFormatting sqref="B1536:B1540">
    <cfRule type="duplicateValues" dxfId="69" priority="893"/>
  </conditionalFormatting>
  <conditionalFormatting sqref="B3238 B3243:B3258 B3231 B3233:B3236 B3210:B3212 B3214:B3226">
    <cfRule type="duplicateValues" dxfId="68" priority="1659"/>
  </conditionalFormatting>
  <conditionalFormatting sqref="B3271">
    <cfRule type="duplicateValues" dxfId="67" priority="1662"/>
  </conditionalFormatting>
  <conditionalFormatting sqref="B1584 A1585">
    <cfRule type="duplicateValues" dxfId="66" priority="1663"/>
  </conditionalFormatting>
  <conditionalFormatting sqref="B1706">
    <cfRule type="duplicateValues" dxfId="65" priority="1665"/>
  </conditionalFormatting>
  <conditionalFormatting sqref="A1719">
    <cfRule type="duplicateValues" dxfId="64" priority="1666"/>
  </conditionalFormatting>
  <conditionalFormatting sqref="B1150:B1166">
    <cfRule type="duplicateValues" dxfId="63" priority="1718"/>
  </conditionalFormatting>
  <conditionalFormatting sqref="B1628">
    <cfRule type="duplicateValues" dxfId="62" priority="1838"/>
  </conditionalFormatting>
  <conditionalFormatting sqref="B3297:B3298 B3301:B3316">
    <cfRule type="duplicateValues" dxfId="61" priority="1842"/>
  </conditionalFormatting>
  <conditionalFormatting sqref="B3063">
    <cfRule type="duplicateValues" dxfId="60" priority="1"/>
  </conditionalFormatting>
  <conditionalFormatting sqref="B1170:B1526 B1168">
    <cfRule type="duplicateValues" dxfId="59" priority="1908"/>
  </conditionalFormatting>
  <pageMargins left="0.23622047244094491" right="0.23622047244094491" top="0.74803149606299213" bottom="0.47244094488188981" header="0.31496062992125984" footer="0.31496062992125984"/>
  <pageSetup paperSize="9" scale="70" fitToHeight="0" orientation="landscape" r:id="rId1"/>
  <headerFooter>
    <oddFooter>Страница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76"/>
  <sheetViews>
    <sheetView view="pageBreakPreview" zoomScale="70" zoomScaleNormal="70" zoomScaleSheetLayoutView="70" workbookViewId="0">
      <pane xSplit="3" ySplit="10" topLeftCell="K729" activePane="bottomRight" state="frozen"/>
      <selection pane="topRight" activeCell="D1" sqref="D1"/>
      <selection pane="bottomLeft" activeCell="A11" sqref="A11"/>
      <selection pane="bottomRight" activeCell="C276" sqref="C276"/>
    </sheetView>
  </sheetViews>
  <sheetFormatPr defaultColWidth="9.109375" defaultRowHeight="15.6" x14ac:dyDescent="0.3"/>
  <cols>
    <col min="1" max="1" width="8.33203125" style="44" customWidth="1"/>
    <col min="2" max="2" width="54.33203125" style="44" customWidth="1"/>
    <col min="3" max="3" width="19.88671875" style="3" customWidth="1"/>
    <col min="4" max="4" width="18" style="3" customWidth="1"/>
    <col min="5" max="5" width="18.44140625" style="3" customWidth="1"/>
    <col min="6" max="6" width="19.109375" style="3" bestFit="1" customWidth="1"/>
    <col min="7" max="7" width="16.88671875" style="3" customWidth="1"/>
    <col min="8" max="8" width="16.5546875" style="3" customWidth="1"/>
    <col min="9" max="9" width="18.6640625" style="3" customWidth="1"/>
    <col min="10" max="10" width="12.33203125" style="3" customWidth="1"/>
    <col min="11" max="11" width="18.88671875" style="3" customWidth="1"/>
    <col min="12" max="12" width="12" style="3" customWidth="1"/>
    <col min="13" max="13" width="18" style="3" customWidth="1"/>
    <col min="14" max="14" width="11.88671875" style="3" customWidth="1"/>
    <col min="15" max="15" width="16.88671875" style="3" customWidth="1"/>
    <col min="16" max="16" width="14.33203125" style="3" customWidth="1"/>
    <col min="17" max="17" width="10.6640625" style="3" customWidth="1"/>
    <col min="18" max="18" width="16.5546875" style="3" customWidth="1"/>
    <col min="19" max="19" width="17.44140625" style="3" customWidth="1"/>
    <col min="20" max="20" width="16.88671875" style="3" customWidth="1"/>
    <col min="21" max="21" width="18.33203125" style="40" hidden="1" customWidth="1"/>
    <col min="22" max="22" width="16.44140625" style="40" hidden="1" customWidth="1"/>
    <col min="23" max="23" width="12.6640625" style="40" hidden="1" customWidth="1"/>
    <col min="24" max="24" width="14.44140625" style="40" hidden="1" customWidth="1"/>
    <col min="25" max="25" width="14.88671875" style="40" hidden="1" customWidth="1"/>
    <col min="26" max="26" width="12.44140625" style="40" hidden="1" customWidth="1"/>
    <col min="27" max="27" width="18.5546875" style="40" hidden="1" customWidth="1"/>
    <col min="28" max="28" width="16.5546875" style="40" hidden="1" customWidth="1"/>
    <col min="29" max="29" width="15.6640625" style="40" hidden="1" customWidth="1"/>
    <col min="30" max="32" width="12.44140625" style="40" hidden="1" customWidth="1"/>
    <col min="33" max="33" width="10.6640625" style="40" hidden="1" customWidth="1"/>
    <col min="34" max="34" width="9.109375" style="40" hidden="1" customWidth="1"/>
    <col min="35" max="36" width="9.109375" style="40" customWidth="1"/>
    <col min="37" max="37" width="9.33203125" style="40" customWidth="1"/>
    <col min="38" max="38" width="9.109375" style="40" customWidth="1"/>
    <col min="39" max="16384" width="9.109375" style="40"/>
  </cols>
  <sheetData>
    <row r="1" spans="1:30" x14ac:dyDescent="0.3">
      <c r="A1" s="361" t="s">
        <v>3573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266"/>
      <c r="V1" s="266"/>
      <c r="W1" s="266"/>
      <c r="X1" s="266"/>
      <c r="Y1" s="13"/>
      <c r="Z1" s="13"/>
      <c r="AA1" s="13"/>
      <c r="AB1" s="13"/>
      <c r="AC1" s="13"/>
      <c r="AD1" s="13"/>
    </row>
    <row r="2" spans="1:30" ht="0.75" customHeight="1" x14ac:dyDescent="0.3">
      <c r="A2" s="6"/>
      <c r="B2" s="27"/>
      <c r="C2" s="269"/>
      <c r="D2" s="142"/>
      <c r="E2" s="269"/>
      <c r="F2" s="269"/>
      <c r="G2" s="269"/>
      <c r="H2" s="269"/>
      <c r="I2" s="269"/>
      <c r="J2" s="142"/>
      <c r="K2" s="269"/>
      <c r="L2" s="142"/>
      <c r="M2" s="269"/>
      <c r="N2" s="142"/>
      <c r="O2" s="269"/>
      <c r="P2" s="269"/>
      <c r="Q2" s="142"/>
      <c r="R2" s="269"/>
      <c r="S2" s="142"/>
      <c r="T2" s="269"/>
      <c r="U2" s="269"/>
      <c r="V2" s="269"/>
      <c r="W2" s="7"/>
      <c r="X2" s="13"/>
      <c r="Y2" s="13"/>
      <c r="Z2" s="13"/>
      <c r="AA2" s="344" t="s">
        <v>0</v>
      </c>
      <c r="AB2" s="344"/>
      <c r="AC2" s="344"/>
      <c r="AD2" s="13"/>
    </row>
    <row r="3" spans="1:30" ht="11.25" customHeight="1" x14ac:dyDescent="0.3">
      <c r="A3" s="367" t="s">
        <v>1</v>
      </c>
      <c r="B3" s="364" t="s">
        <v>2</v>
      </c>
      <c r="C3" s="345" t="s">
        <v>3</v>
      </c>
      <c r="D3" s="362" t="s">
        <v>4</v>
      </c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271"/>
      <c r="V3" s="72"/>
      <c r="W3" s="7"/>
      <c r="X3" s="13"/>
      <c r="Y3" s="13"/>
      <c r="Z3" s="13"/>
      <c r="AA3" s="13"/>
      <c r="AB3" s="13"/>
      <c r="AC3" s="13"/>
      <c r="AD3" s="13"/>
    </row>
    <row r="4" spans="1:30" ht="30.75" customHeight="1" x14ac:dyDescent="0.3">
      <c r="A4" s="368"/>
      <c r="B4" s="365"/>
      <c r="C4" s="346"/>
      <c r="D4" s="347" t="s">
        <v>5</v>
      </c>
      <c r="E4" s="348"/>
      <c r="F4" s="348"/>
      <c r="G4" s="348"/>
      <c r="H4" s="348"/>
      <c r="I4" s="349"/>
      <c r="J4" s="350" t="s">
        <v>7</v>
      </c>
      <c r="K4" s="351"/>
      <c r="L4" s="350" t="s">
        <v>8</v>
      </c>
      <c r="M4" s="351"/>
      <c r="N4" s="350" t="s">
        <v>9</v>
      </c>
      <c r="O4" s="351"/>
      <c r="P4" s="73"/>
      <c r="Q4" s="350" t="s">
        <v>10</v>
      </c>
      <c r="R4" s="351"/>
      <c r="S4" s="356" t="s">
        <v>11</v>
      </c>
      <c r="T4" s="345" t="s">
        <v>12</v>
      </c>
      <c r="U4" s="261"/>
      <c r="V4" s="261"/>
      <c r="W4" s="261"/>
      <c r="X4" s="261"/>
      <c r="Y4" s="261"/>
      <c r="Z4" s="261"/>
      <c r="AA4" s="359" t="s">
        <v>13</v>
      </c>
      <c r="AB4" s="359" t="s">
        <v>14</v>
      </c>
      <c r="AC4" s="359" t="s">
        <v>15</v>
      </c>
      <c r="AD4" s="13"/>
    </row>
    <row r="5" spans="1:30" ht="35.25" customHeight="1" x14ac:dyDescent="0.3">
      <c r="A5" s="368"/>
      <c r="B5" s="365"/>
      <c r="C5" s="346"/>
      <c r="D5" s="356" t="s">
        <v>16</v>
      </c>
      <c r="E5" s="345" t="s">
        <v>17</v>
      </c>
      <c r="F5" s="345" t="s">
        <v>18</v>
      </c>
      <c r="G5" s="345" t="s">
        <v>19</v>
      </c>
      <c r="H5" s="345" t="s">
        <v>20</v>
      </c>
      <c r="I5" s="345" t="s">
        <v>21</v>
      </c>
      <c r="J5" s="352"/>
      <c r="K5" s="353"/>
      <c r="L5" s="352"/>
      <c r="M5" s="353"/>
      <c r="N5" s="352"/>
      <c r="O5" s="353"/>
      <c r="P5" s="74"/>
      <c r="Q5" s="352"/>
      <c r="R5" s="353"/>
      <c r="S5" s="357"/>
      <c r="T5" s="346"/>
      <c r="U5" s="261"/>
      <c r="V5" s="261"/>
      <c r="W5" s="261"/>
      <c r="X5" s="261"/>
      <c r="Y5" s="261"/>
      <c r="Z5" s="261"/>
      <c r="AA5" s="359"/>
      <c r="AB5" s="359"/>
      <c r="AC5" s="359"/>
      <c r="AD5" s="13"/>
    </row>
    <row r="6" spans="1:30" x14ac:dyDescent="0.3">
      <c r="A6" s="368"/>
      <c r="B6" s="365"/>
      <c r="C6" s="346"/>
      <c r="D6" s="357"/>
      <c r="E6" s="346"/>
      <c r="F6" s="346"/>
      <c r="G6" s="346"/>
      <c r="H6" s="346"/>
      <c r="I6" s="346"/>
      <c r="J6" s="352"/>
      <c r="K6" s="353"/>
      <c r="L6" s="352"/>
      <c r="M6" s="353"/>
      <c r="N6" s="352"/>
      <c r="O6" s="353"/>
      <c r="P6" s="74" t="s">
        <v>24</v>
      </c>
      <c r="Q6" s="352"/>
      <c r="R6" s="353"/>
      <c r="S6" s="357"/>
      <c r="T6" s="346"/>
      <c r="U6" s="261" t="s">
        <v>25</v>
      </c>
      <c r="V6" s="261" t="s">
        <v>26</v>
      </c>
      <c r="W6" s="261" t="s">
        <v>1404</v>
      </c>
      <c r="X6" s="261" t="s">
        <v>27</v>
      </c>
      <c r="Y6" s="261" t="s">
        <v>28</v>
      </c>
      <c r="Z6" s="261"/>
      <c r="AA6" s="359"/>
      <c r="AB6" s="359"/>
      <c r="AC6" s="359"/>
      <c r="AD6" s="13"/>
    </row>
    <row r="7" spans="1:30" ht="15.75" customHeight="1" x14ac:dyDescent="0.3">
      <c r="A7" s="369"/>
      <c r="B7" s="366"/>
      <c r="C7" s="268"/>
      <c r="D7" s="358"/>
      <c r="E7" s="360"/>
      <c r="F7" s="360"/>
      <c r="G7" s="360"/>
      <c r="H7" s="360"/>
      <c r="I7" s="360"/>
      <c r="J7" s="354"/>
      <c r="K7" s="355"/>
      <c r="L7" s="354"/>
      <c r="M7" s="355"/>
      <c r="N7" s="354"/>
      <c r="O7" s="355"/>
      <c r="P7" s="75"/>
      <c r="Q7" s="354"/>
      <c r="R7" s="355"/>
      <c r="S7" s="358"/>
      <c r="T7" s="360"/>
      <c r="U7" s="261"/>
      <c r="V7" s="261"/>
      <c r="W7" s="261"/>
      <c r="X7" s="261"/>
      <c r="Y7" s="261"/>
      <c r="Z7" s="261"/>
      <c r="AA7" s="359"/>
      <c r="AB7" s="359"/>
      <c r="AC7" s="359"/>
      <c r="AD7" s="13"/>
    </row>
    <row r="8" spans="1:30" x14ac:dyDescent="0.3">
      <c r="A8" s="76"/>
      <c r="B8" s="258"/>
      <c r="C8" s="261" t="s">
        <v>29</v>
      </c>
      <c r="D8" s="139" t="s">
        <v>29</v>
      </c>
      <c r="E8" s="261" t="s">
        <v>29</v>
      </c>
      <c r="F8" s="261" t="s">
        <v>29</v>
      </c>
      <c r="G8" s="261" t="s">
        <v>29</v>
      </c>
      <c r="H8" s="261" t="s">
        <v>29</v>
      </c>
      <c r="I8" s="261" t="s">
        <v>29</v>
      </c>
      <c r="J8" s="139" t="s">
        <v>31</v>
      </c>
      <c r="K8" s="261" t="s">
        <v>29</v>
      </c>
      <c r="L8" s="139" t="s">
        <v>31</v>
      </c>
      <c r="M8" s="261" t="s">
        <v>29</v>
      </c>
      <c r="N8" s="139" t="s">
        <v>31</v>
      </c>
      <c r="O8" s="261" t="s">
        <v>29</v>
      </c>
      <c r="P8" s="261" t="s">
        <v>29</v>
      </c>
      <c r="Q8" s="139" t="s">
        <v>32</v>
      </c>
      <c r="R8" s="261" t="s">
        <v>29</v>
      </c>
      <c r="S8" s="139" t="s">
        <v>29</v>
      </c>
      <c r="T8" s="261" t="s">
        <v>29</v>
      </c>
      <c r="U8" s="261"/>
      <c r="V8" s="261"/>
      <c r="W8" s="261"/>
      <c r="X8" s="261"/>
      <c r="Y8" s="261"/>
      <c r="Z8" s="261"/>
      <c r="AA8" s="359"/>
      <c r="AB8" s="359"/>
      <c r="AC8" s="359"/>
      <c r="AD8" s="3"/>
    </row>
    <row r="9" spans="1:30" ht="15.75" x14ac:dyDescent="0.25">
      <c r="A9" s="8">
        <v>1</v>
      </c>
      <c r="B9" s="38">
        <v>2</v>
      </c>
      <c r="C9" s="10">
        <v>3</v>
      </c>
      <c r="D9" s="10">
        <v>4</v>
      </c>
      <c r="E9" s="50">
        <v>5</v>
      </c>
      <c r="F9" s="50">
        <v>6</v>
      </c>
      <c r="G9" s="50">
        <v>7</v>
      </c>
      <c r="H9" s="50">
        <v>8</v>
      </c>
      <c r="I9" s="50">
        <v>9</v>
      </c>
      <c r="J9" s="50">
        <v>13</v>
      </c>
      <c r="K9" s="50">
        <v>14</v>
      </c>
      <c r="L9" s="50">
        <v>15</v>
      </c>
      <c r="M9" s="50">
        <v>16</v>
      </c>
      <c r="N9" s="50">
        <v>17</v>
      </c>
      <c r="O9" s="50">
        <v>18</v>
      </c>
      <c r="P9" s="50">
        <v>19</v>
      </c>
      <c r="Q9" s="50">
        <v>20</v>
      </c>
      <c r="R9" s="50">
        <v>21</v>
      </c>
      <c r="S9" s="50">
        <v>24</v>
      </c>
      <c r="T9" s="9">
        <v>25</v>
      </c>
      <c r="U9" s="77"/>
      <c r="V9" s="78"/>
      <c r="W9" s="78"/>
      <c r="X9" s="79"/>
      <c r="Y9" s="2"/>
      <c r="Z9" s="2"/>
      <c r="AA9" s="2"/>
      <c r="AB9" s="2"/>
      <c r="AC9" s="2"/>
      <c r="AD9" s="2"/>
    </row>
    <row r="10" spans="1:30" x14ac:dyDescent="0.3">
      <c r="A10" s="321" t="s">
        <v>33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3"/>
      <c r="U10" s="343"/>
      <c r="V10" s="254"/>
      <c r="W10" s="254"/>
      <c r="X10" s="254"/>
      <c r="Y10" s="13"/>
      <c r="Z10" s="13"/>
      <c r="AA10" s="13"/>
      <c r="AB10" s="13"/>
      <c r="AC10" s="13"/>
      <c r="AD10" s="13"/>
    </row>
    <row r="11" spans="1:30" x14ac:dyDescent="0.3">
      <c r="A11" s="249" t="s">
        <v>34</v>
      </c>
      <c r="B11" s="39"/>
      <c r="C11" s="138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343"/>
      <c r="V11" s="272"/>
      <c r="W11" s="80"/>
      <c r="X11" s="81"/>
      <c r="Y11" s="82"/>
      <c r="Z11" s="13"/>
      <c r="AA11" s="13"/>
      <c r="AB11" s="13"/>
      <c r="AC11" s="13"/>
      <c r="AD11" s="13"/>
    </row>
    <row r="12" spans="1:30" ht="19.5" customHeight="1" x14ac:dyDescent="0.3">
      <c r="A12" s="250">
        <v>1</v>
      </c>
      <c r="B12" s="20" t="s">
        <v>37</v>
      </c>
      <c r="C12" s="273">
        <f>D12+K12+M12+O12+P12+R12+S12+T12</f>
        <v>1219795.2</v>
      </c>
      <c r="D12" s="273">
        <f t="shared" ref="D12:D46" si="0">E12+F12+G12+H12+I12</f>
        <v>1219795.2</v>
      </c>
      <c r="E12" s="273">
        <v>1219795.2</v>
      </c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1"/>
      <c r="V12" s="271"/>
      <c r="W12" s="271"/>
      <c r="X12" s="271"/>
      <c r="Y12" s="271"/>
      <c r="Z12" s="271"/>
      <c r="AA12" s="269"/>
      <c r="AB12" s="7"/>
      <c r="AC12" s="13"/>
      <c r="AD12" s="13"/>
    </row>
    <row r="13" spans="1:30" ht="19.5" customHeight="1" x14ac:dyDescent="0.3">
      <c r="A13" s="250">
        <f t="shared" ref="A13:A46" si="1">A12+1</f>
        <v>2</v>
      </c>
      <c r="B13" s="20" t="s">
        <v>39</v>
      </c>
      <c r="C13" s="273">
        <f t="shared" ref="C13:C46" si="2">D13+K13+M13+O13+P13+R13+S13+T13</f>
        <v>892738.8</v>
      </c>
      <c r="D13" s="273">
        <f t="shared" si="0"/>
        <v>892738.8</v>
      </c>
      <c r="E13" s="273">
        <v>892738.8</v>
      </c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1"/>
      <c r="V13" s="271"/>
      <c r="W13" s="271"/>
      <c r="X13" s="271"/>
      <c r="Y13" s="271"/>
      <c r="Z13" s="271"/>
      <c r="AA13" s="269"/>
      <c r="AB13" s="7"/>
      <c r="AC13" s="13"/>
      <c r="AD13" s="13"/>
    </row>
    <row r="14" spans="1:30" ht="19.5" customHeight="1" x14ac:dyDescent="0.3">
      <c r="A14" s="250">
        <f t="shared" si="1"/>
        <v>3</v>
      </c>
      <c r="B14" s="20" t="s">
        <v>42</v>
      </c>
      <c r="C14" s="273">
        <f t="shared" si="2"/>
        <v>7579606.75</v>
      </c>
      <c r="D14" s="273">
        <f t="shared" si="0"/>
        <v>7579606.75</v>
      </c>
      <c r="E14" s="273">
        <v>2274447.6</v>
      </c>
      <c r="F14" s="273">
        <v>3592425.43</v>
      </c>
      <c r="G14" s="273">
        <v>455033.28</v>
      </c>
      <c r="H14" s="273">
        <v>1257700.44</v>
      </c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1"/>
      <c r="V14" s="271"/>
      <c r="W14" s="271"/>
      <c r="X14" s="271"/>
      <c r="Y14" s="271"/>
      <c r="Z14" s="271"/>
      <c r="AA14" s="269"/>
      <c r="AB14" s="7"/>
      <c r="AC14" s="13"/>
      <c r="AD14" s="13"/>
    </row>
    <row r="15" spans="1:30" ht="19.5" customHeight="1" x14ac:dyDescent="0.3">
      <c r="A15" s="250">
        <f t="shared" si="1"/>
        <v>4</v>
      </c>
      <c r="B15" s="20" t="s">
        <v>43</v>
      </c>
      <c r="C15" s="273">
        <f t="shared" si="2"/>
        <v>6713952.0600000005</v>
      </c>
      <c r="D15" s="273">
        <f t="shared" si="0"/>
        <v>6713952.0600000005</v>
      </c>
      <c r="E15" s="273">
        <v>3285661.2</v>
      </c>
      <c r="F15" s="273"/>
      <c r="G15" s="273">
        <v>946587.96</v>
      </c>
      <c r="H15" s="273">
        <v>2481702.9</v>
      </c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1"/>
      <c r="V15" s="271"/>
      <c r="W15" s="271"/>
      <c r="X15" s="271"/>
      <c r="Y15" s="271"/>
      <c r="Z15" s="271"/>
      <c r="AA15" s="269"/>
      <c r="AB15" s="7"/>
      <c r="AC15" s="13"/>
      <c r="AD15" s="13"/>
    </row>
    <row r="16" spans="1:30" ht="19.5" customHeight="1" x14ac:dyDescent="0.3">
      <c r="A16" s="250">
        <f t="shared" si="1"/>
        <v>5</v>
      </c>
      <c r="B16" s="20" t="s">
        <v>44</v>
      </c>
      <c r="C16" s="273">
        <f t="shared" si="2"/>
        <v>2176677.6</v>
      </c>
      <c r="D16" s="273">
        <f t="shared" si="0"/>
        <v>2176677.6</v>
      </c>
      <c r="E16" s="273">
        <v>2176677.6</v>
      </c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1"/>
      <c r="V16" s="271"/>
      <c r="W16" s="271"/>
      <c r="X16" s="271"/>
      <c r="Y16" s="271"/>
      <c r="Z16" s="271"/>
      <c r="AA16" s="269"/>
      <c r="AB16" s="7"/>
      <c r="AC16" s="13"/>
      <c r="AD16" s="13"/>
    </row>
    <row r="17" spans="1:30" ht="19.5" customHeight="1" x14ac:dyDescent="0.3">
      <c r="A17" s="250">
        <f t="shared" si="1"/>
        <v>6</v>
      </c>
      <c r="B17" s="20" t="s">
        <v>47</v>
      </c>
      <c r="C17" s="273">
        <f t="shared" si="2"/>
        <v>1691902.8</v>
      </c>
      <c r="D17" s="273">
        <f t="shared" si="0"/>
        <v>1691902.8</v>
      </c>
      <c r="E17" s="273">
        <v>1691902.8</v>
      </c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1"/>
      <c r="V17" s="271"/>
      <c r="W17" s="271"/>
      <c r="X17" s="271"/>
      <c r="Y17" s="271"/>
      <c r="Z17" s="271"/>
      <c r="AA17" s="269"/>
      <c r="AB17" s="7"/>
      <c r="AC17" s="13"/>
      <c r="AD17" s="13"/>
    </row>
    <row r="18" spans="1:30" ht="19.5" customHeight="1" x14ac:dyDescent="0.3">
      <c r="A18" s="250">
        <f t="shared" si="1"/>
        <v>7</v>
      </c>
      <c r="B18" s="20" t="s">
        <v>50</v>
      </c>
      <c r="C18" s="273">
        <f t="shared" si="2"/>
        <v>1060922.3999999999</v>
      </c>
      <c r="D18" s="273">
        <f t="shared" si="0"/>
        <v>1060922.3999999999</v>
      </c>
      <c r="E18" s="273">
        <v>1060922.3999999999</v>
      </c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1"/>
      <c r="V18" s="271"/>
      <c r="W18" s="271"/>
      <c r="X18" s="271"/>
      <c r="Y18" s="271"/>
      <c r="Z18" s="271"/>
      <c r="AA18" s="269"/>
      <c r="AB18" s="7"/>
      <c r="AC18" s="13"/>
      <c r="AD18" s="13"/>
    </row>
    <row r="19" spans="1:30" ht="19.5" customHeight="1" x14ac:dyDescent="0.3">
      <c r="A19" s="250">
        <f t="shared" si="1"/>
        <v>8</v>
      </c>
      <c r="B19" s="20" t="s">
        <v>51</v>
      </c>
      <c r="C19" s="273">
        <f t="shared" si="2"/>
        <v>1599806.4</v>
      </c>
      <c r="D19" s="273">
        <f t="shared" si="0"/>
        <v>1599806.4</v>
      </c>
      <c r="E19" s="273">
        <v>1599806.4</v>
      </c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1"/>
      <c r="V19" s="271"/>
      <c r="W19" s="271"/>
      <c r="X19" s="271"/>
      <c r="Y19" s="271"/>
      <c r="Z19" s="271"/>
      <c r="AA19" s="269"/>
      <c r="AB19" s="7"/>
      <c r="AC19" s="13"/>
      <c r="AD19" s="13"/>
    </row>
    <row r="20" spans="1:30" ht="19.5" customHeight="1" x14ac:dyDescent="0.3">
      <c r="A20" s="250">
        <f t="shared" si="1"/>
        <v>9</v>
      </c>
      <c r="B20" s="20" t="s">
        <v>53</v>
      </c>
      <c r="C20" s="273">
        <f t="shared" si="2"/>
        <v>1114810.8</v>
      </c>
      <c r="D20" s="273">
        <f t="shared" si="0"/>
        <v>1114810.8</v>
      </c>
      <c r="E20" s="273">
        <v>1114810.8</v>
      </c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1"/>
      <c r="V20" s="271"/>
      <c r="W20" s="271"/>
      <c r="X20" s="271"/>
      <c r="Y20" s="271"/>
      <c r="Z20" s="271"/>
      <c r="AA20" s="269"/>
      <c r="AB20" s="7"/>
      <c r="AC20" s="13"/>
      <c r="AD20" s="13"/>
    </row>
    <row r="21" spans="1:30" ht="19.5" customHeight="1" x14ac:dyDescent="0.3">
      <c r="A21" s="250">
        <f t="shared" si="1"/>
        <v>10</v>
      </c>
      <c r="B21" s="20" t="s">
        <v>55</v>
      </c>
      <c r="C21" s="273">
        <f t="shared" si="2"/>
        <v>3212533.48</v>
      </c>
      <c r="D21" s="273">
        <f t="shared" si="0"/>
        <v>3212533.48</v>
      </c>
      <c r="E21" s="273">
        <v>3212533.48</v>
      </c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1"/>
      <c r="V21" s="271"/>
      <c r="W21" s="271"/>
      <c r="X21" s="271"/>
      <c r="Y21" s="271"/>
      <c r="Z21" s="271"/>
      <c r="AA21" s="269"/>
      <c r="AB21" s="7"/>
      <c r="AC21" s="13"/>
      <c r="AD21" s="13"/>
    </row>
    <row r="22" spans="1:30" ht="19.5" customHeight="1" x14ac:dyDescent="0.3">
      <c r="A22" s="250">
        <f t="shared" si="1"/>
        <v>11</v>
      </c>
      <c r="B22" s="20" t="s">
        <v>56</v>
      </c>
      <c r="C22" s="273">
        <f t="shared" si="2"/>
        <v>1439947.2</v>
      </c>
      <c r="D22" s="273">
        <f t="shared" si="0"/>
        <v>1439947.2</v>
      </c>
      <c r="E22" s="273">
        <v>1439947.2</v>
      </c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1"/>
      <c r="V22" s="271"/>
      <c r="W22" s="271"/>
      <c r="X22" s="271"/>
      <c r="Y22" s="271"/>
      <c r="Z22" s="271"/>
      <c r="AA22" s="269"/>
      <c r="AB22" s="7"/>
      <c r="AC22" s="13"/>
      <c r="AD22" s="13"/>
    </row>
    <row r="23" spans="1:30" ht="19.5" customHeight="1" x14ac:dyDescent="0.3">
      <c r="A23" s="250">
        <f t="shared" si="1"/>
        <v>12</v>
      </c>
      <c r="B23" s="20" t="s">
        <v>58</v>
      </c>
      <c r="C23" s="273">
        <f t="shared" si="2"/>
        <v>858954</v>
      </c>
      <c r="D23" s="273">
        <f t="shared" si="0"/>
        <v>858954</v>
      </c>
      <c r="E23" s="273">
        <v>858954</v>
      </c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1"/>
      <c r="V23" s="271"/>
      <c r="W23" s="271"/>
      <c r="X23" s="271"/>
      <c r="Y23" s="271"/>
      <c r="Z23" s="271"/>
      <c r="AA23" s="269"/>
      <c r="AB23" s="7"/>
      <c r="AC23" s="13"/>
      <c r="AD23" s="13"/>
    </row>
    <row r="24" spans="1:30" ht="19.5" customHeight="1" x14ac:dyDescent="0.3">
      <c r="A24" s="250">
        <f t="shared" si="1"/>
        <v>13</v>
      </c>
      <c r="B24" s="20" t="s">
        <v>72</v>
      </c>
      <c r="C24" s="273">
        <f t="shared" si="2"/>
        <v>1064914.8</v>
      </c>
      <c r="D24" s="273">
        <f t="shared" si="0"/>
        <v>1064914.8</v>
      </c>
      <c r="E24" s="273">
        <v>1064914.8</v>
      </c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1"/>
      <c r="V24" s="271"/>
      <c r="W24" s="271"/>
      <c r="X24" s="271"/>
      <c r="Y24" s="271"/>
      <c r="Z24" s="271"/>
      <c r="AA24" s="269"/>
      <c r="AB24" s="7"/>
      <c r="AC24" s="13"/>
      <c r="AD24" s="13"/>
    </row>
    <row r="25" spans="1:30" ht="19.5" customHeight="1" x14ac:dyDescent="0.3">
      <c r="A25" s="250">
        <f t="shared" si="1"/>
        <v>14</v>
      </c>
      <c r="B25" s="20" t="s">
        <v>73</v>
      </c>
      <c r="C25" s="273">
        <f t="shared" si="2"/>
        <v>1071628.8</v>
      </c>
      <c r="D25" s="273">
        <f t="shared" si="0"/>
        <v>1071628.8</v>
      </c>
      <c r="E25" s="273">
        <v>1071628.8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1"/>
      <c r="V25" s="271"/>
      <c r="W25" s="271"/>
      <c r="X25" s="271"/>
      <c r="Y25" s="271"/>
      <c r="Z25" s="271"/>
      <c r="AA25" s="269"/>
      <c r="AB25" s="7"/>
      <c r="AC25" s="13"/>
      <c r="AD25" s="13"/>
    </row>
    <row r="26" spans="1:30" ht="19.5" customHeight="1" x14ac:dyDescent="0.3">
      <c r="A26" s="250">
        <f t="shared" si="1"/>
        <v>15</v>
      </c>
      <c r="B26" s="20" t="s">
        <v>75</v>
      </c>
      <c r="C26" s="273">
        <f t="shared" si="2"/>
        <v>885310.8</v>
      </c>
      <c r="D26" s="273">
        <f t="shared" si="0"/>
        <v>885310.8</v>
      </c>
      <c r="E26" s="273">
        <v>885310.8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1"/>
      <c r="V26" s="271"/>
      <c r="W26" s="271"/>
      <c r="X26" s="271"/>
      <c r="Y26" s="271"/>
      <c r="Z26" s="271"/>
      <c r="AA26" s="269"/>
      <c r="AB26" s="7"/>
      <c r="AC26" s="13"/>
      <c r="AD26" s="13"/>
    </row>
    <row r="27" spans="1:30" ht="19.5" customHeight="1" x14ac:dyDescent="0.3">
      <c r="A27" s="250">
        <f t="shared" si="1"/>
        <v>16</v>
      </c>
      <c r="B27" s="20" t="s">
        <v>79</v>
      </c>
      <c r="C27" s="273">
        <f t="shared" si="2"/>
        <v>1462753.2</v>
      </c>
      <c r="D27" s="273">
        <f t="shared" si="0"/>
        <v>1462753.2</v>
      </c>
      <c r="E27" s="273">
        <v>1462753.2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1"/>
      <c r="V27" s="271"/>
      <c r="W27" s="271"/>
      <c r="X27" s="271"/>
      <c r="Y27" s="271"/>
      <c r="Z27" s="271"/>
      <c r="AA27" s="269"/>
      <c r="AB27" s="7"/>
      <c r="AC27" s="13"/>
      <c r="AD27" s="13"/>
    </row>
    <row r="28" spans="1:30" ht="19.5" customHeight="1" x14ac:dyDescent="0.3">
      <c r="A28" s="250">
        <f t="shared" si="1"/>
        <v>17</v>
      </c>
      <c r="B28" s="20" t="s">
        <v>82</v>
      </c>
      <c r="C28" s="273">
        <f t="shared" si="2"/>
        <v>2405004.52</v>
      </c>
      <c r="D28" s="273">
        <f t="shared" si="0"/>
        <v>2405004.52</v>
      </c>
      <c r="E28" s="273"/>
      <c r="F28" s="273">
        <v>2405004.52</v>
      </c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1"/>
      <c r="V28" s="271"/>
      <c r="W28" s="271"/>
      <c r="X28" s="271"/>
      <c r="Y28" s="271"/>
      <c r="Z28" s="271"/>
      <c r="AA28" s="269"/>
      <c r="AB28" s="7"/>
      <c r="AC28" s="13"/>
      <c r="AD28" s="13"/>
    </row>
    <row r="29" spans="1:30" ht="19.5" customHeight="1" x14ac:dyDescent="0.3">
      <c r="A29" s="250">
        <f t="shared" si="1"/>
        <v>18</v>
      </c>
      <c r="B29" s="20" t="s">
        <v>92</v>
      </c>
      <c r="C29" s="273">
        <f t="shared" si="2"/>
        <v>1319692.8</v>
      </c>
      <c r="D29" s="273">
        <f t="shared" si="0"/>
        <v>1319692.8</v>
      </c>
      <c r="E29" s="273">
        <v>1319692.8</v>
      </c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1"/>
      <c r="V29" s="271"/>
      <c r="W29" s="271"/>
      <c r="X29" s="271"/>
      <c r="Y29" s="271"/>
      <c r="Z29" s="271"/>
      <c r="AA29" s="269"/>
      <c r="AB29" s="7"/>
      <c r="AC29" s="13"/>
      <c r="AD29" s="13"/>
    </row>
    <row r="30" spans="1:30" ht="19.5" customHeight="1" x14ac:dyDescent="0.3">
      <c r="A30" s="250">
        <f t="shared" si="1"/>
        <v>19</v>
      </c>
      <c r="B30" s="20" t="s">
        <v>93</v>
      </c>
      <c r="C30" s="273">
        <f t="shared" si="2"/>
        <v>1569486</v>
      </c>
      <c r="D30" s="273">
        <f t="shared" si="0"/>
        <v>1569486</v>
      </c>
      <c r="E30" s="273">
        <v>1569486</v>
      </c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1"/>
      <c r="V30" s="271"/>
      <c r="W30" s="271"/>
      <c r="X30" s="271"/>
      <c r="Y30" s="271"/>
      <c r="Z30" s="271"/>
      <c r="AA30" s="269"/>
      <c r="AB30" s="7"/>
      <c r="AC30" s="13"/>
      <c r="AD30" s="13"/>
    </row>
    <row r="31" spans="1:30" ht="19.5" customHeight="1" x14ac:dyDescent="0.3">
      <c r="A31" s="250">
        <f t="shared" si="1"/>
        <v>20</v>
      </c>
      <c r="B31" s="20" t="s">
        <v>94</v>
      </c>
      <c r="C31" s="273">
        <f>D31+K31+M31+O31+P31+R31+S31+T31</f>
        <v>796387.2</v>
      </c>
      <c r="D31" s="273">
        <f t="shared" si="0"/>
        <v>796387.2</v>
      </c>
      <c r="E31" s="273">
        <v>796387.2</v>
      </c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1"/>
      <c r="V31" s="271"/>
      <c r="W31" s="271"/>
      <c r="X31" s="271"/>
      <c r="Y31" s="271"/>
      <c r="Z31" s="271"/>
      <c r="AA31" s="269"/>
      <c r="AB31" s="7"/>
      <c r="AC31" s="13"/>
      <c r="AD31" s="13"/>
    </row>
    <row r="32" spans="1:30" ht="19.5" customHeight="1" x14ac:dyDescent="0.3">
      <c r="A32" s="250">
        <f t="shared" si="1"/>
        <v>21</v>
      </c>
      <c r="B32" s="20" t="s">
        <v>100</v>
      </c>
      <c r="C32" s="273">
        <f t="shared" si="2"/>
        <v>4332713.53</v>
      </c>
      <c r="D32" s="273">
        <f t="shared" si="0"/>
        <v>4332713.53</v>
      </c>
      <c r="E32" s="273">
        <v>858051.6</v>
      </c>
      <c r="F32" s="273">
        <v>2348230.08</v>
      </c>
      <c r="G32" s="273">
        <v>278972.77</v>
      </c>
      <c r="H32" s="273">
        <v>847459.08</v>
      </c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1"/>
      <c r="V32" s="271"/>
      <c r="W32" s="271"/>
      <c r="X32" s="271"/>
      <c r="Y32" s="271"/>
      <c r="Z32" s="271"/>
      <c r="AA32" s="269"/>
      <c r="AB32" s="7"/>
      <c r="AC32" s="13"/>
      <c r="AD32" s="13"/>
    </row>
    <row r="33" spans="1:30" ht="19.5" customHeight="1" x14ac:dyDescent="0.3">
      <c r="A33" s="250">
        <f t="shared" si="1"/>
        <v>22</v>
      </c>
      <c r="B33" s="20" t="s">
        <v>101</v>
      </c>
      <c r="C33" s="273">
        <f t="shared" si="2"/>
        <v>1671340.06</v>
      </c>
      <c r="D33" s="273">
        <f t="shared" si="0"/>
        <v>1671340.06</v>
      </c>
      <c r="E33" s="273"/>
      <c r="F33" s="273">
        <v>1671340.06</v>
      </c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1"/>
      <c r="V33" s="271"/>
      <c r="W33" s="271"/>
      <c r="X33" s="271"/>
      <c r="Y33" s="271"/>
      <c r="Z33" s="271"/>
      <c r="AA33" s="269"/>
      <c r="AB33" s="7"/>
      <c r="AC33" s="13"/>
      <c r="AD33" s="13"/>
    </row>
    <row r="34" spans="1:30" ht="19.5" customHeight="1" x14ac:dyDescent="0.3">
      <c r="A34" s="250">
        <f t="shared" si="1"/>
        <v>23</v>
      </c>
      <c r="B34" s="20" t="s">
        <v>105</v>
      </c>
      <c r="C34" s="273">
        <f t="shared" si="2"/>
        <v>3246884.7</v>
      </c>
      <c r="D34" s="273">
        <f t="shared" si="0"/>
        <v>3246884.7</v>
      </c>
      <c r="E34" s="273">
        <v>888330</v>
      </c>
      <c r="F34" s="273">
        <v>2358554.7000000002</v>
      </c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1"/>
      <c r="V34" s="271"/>
      <c r="W34" s="271"/>
      <c r="X34" s="271"/>
      <c r="Y34" s="271"/>
      <c r="Z34" s="271"/>
      <c r="AA34" s="269"/>
      <c r="AB34" s="7"/>
      <c r="AC34" s="13"/>
      <c r="AD34" s="13"/>
    </row>
    <row r="35" spans="1:30" ht="19.5" customHeight="1" x14ac:dyDescent="0.3">
      <c r="A35" s="250">
        <f t="shared" si="1"/>
        <v>24</v>
      </c>
      <c r="B35" s="20" t="s">
        <v>106</v>
      </c>
      <c r="C35" s="273">
        <f t="shared" si="2"/>
        <v>911985.5</v>
      </c>
      <c r="D35" s="273">
        <f t="shared" si="0"/>
        <v>911985.5</v>
      </c>
      <c r="E35" s="273"/>
      <c r="F35" s="273"/>
      <c r="G35" s="273">
        <v>260156.74</v>
      </c>
      <c r="H35" s="273">
        <v>651828.76</v>
      </c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1"/>
      <c r="V35" s="271"/>
      <c r="W35" s="271"/>
      <c r="X35" s="271"/>
      <c r="Y35" s="271"/>
      <c r="Z35" s="271"/>
      <c r="AA35" s="269"/>
      <c r="AB35" s="7"/>
      <c r="AC35" s="13"/>
      <c r="AD35" s="13"/>
    </row>
    <row r="36" spans="1:30" ht="19.5" customHeight="1" x14ac:dyDescent="0.3">
      <c r="A36" s="250">
        <f t="shared" si="1"/>
        <v>25</v>
      </c>
      <c r="B36" s="20" t="s">
        <v>108</v>
      </c>
      <c r="C36" s="273">
        <f t="shared" si="2"/>
        <v>982300.8</v>
      </c>
      <c r="D36" s="273">
        <f t="shared" si="0"/>
        <v>982300.8</v>
      </c>
      <c r="E36" s="273">
        <v>982300.8</v>
      </c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1"/>
      <c r="V36" s="271"/>
      <c r="W36" s="271"/>
      <c r="X36" s="271"/>
      <c r="Y36" s="271"/>
      <c r="Z36" s="271"/>
      <c r="AA36" s="269"/>
      <c r="AB36" s="7"/>
      <c r="AC36" s="13"/>
      <c r="AD36" s="13"/>
    </row>
    <row r="37" spans="1:30" ht="19.5" customHeight="1" x14ac:dyDescent="0.3">
      <c r="A37" s="250">
        <f t="shared" si="1"/>
        <v>26</v>
      </c>
      <c r="B37" s="20" t="s">
        <v>110</v>
      </c>
      <c r="C37" s="273">
        <f t="shared" si="2"/>
        <v>5737460.9199999999</v>
      </c>
      <c r="D37" s="273">
        <f t="shared" si="0"/>
        <v>5737460.9199999999</v>
      </c>
      <c r="E37" s="273"/>
      <c r="F37" s="273">
        <v>3515128.49</v>
      </c>
      <c r="G37" s="273">
        <v>677818</v>
      </c>
      <c r="H37" s="273">
        <v>1544514.43</v>
      </c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1"/>
      <c r="V37" s="271"/>
      <c r="W37" s="271"/>
      <c r="X37" s="271"/>
      <c r="Y37" s="271"/>
      <c r="Z37" s="271"/>
      <c r="AA37" s="269"/>
      <c r="AB37" s="7"/>
      <c r="AC37" s="13"/>
      <c r="AD37" s="13"/>
    </row>
    <row r="38" spans="1:30" ht="19.5" customHeight="1" x14ac:dyDescent="0.3">
      <c r="A38" s="250">
        <f t="shared" si="1"/>
        <v>27</v>
      </c>
      <c r="B38" s="20" t="s">
        <v>112</v>
      </c>
      <c r="C38" s="273">
        <f t="shared" si="2"/>
        <v>1443946.8</v>
      </c>
      <c r="D38" s="273">
        <f t="shared" si="0"/>
        <v>1443946.8</v>
      </c>
      <c r="E38" s="273">
        <v>1443946.8</v>
      </c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1"/>
      <c r="V38" s="271"/>
      <c r="W38" s="271"/>
      <c r="X38" s="271"/>
      <c r="Y38" s="271"/>
      <c r="Z38" s="271"/>
      <c r="AA38" s="269"/>
      <c r="AB38" s="7"/>
      <c r="AC38" s="13"/>
      <c r="AD38" s="13"/>
    </row>
    <row r="39" spans="1:30" ht="19.5" customHeight="1" x14ac:dyDescent="0.3">
      <c r="A39" s="250">
        <f t="shared" si="1"/>
        <v>28</v>
      </c>
      <c r="B39" s="20" t="s">
        <v>114</v>
      </c>
      <c r="C39" s="273">
        <f t="shared" si="2"/>
        <v>3407465.8</v>
      </c>
      <c r="D39" s="273">
        <f t="shared" si="0"/>
        <v>3407465.8</v>
      </c>
      <c r="E39" s="273"/>
      <c r="F39" s="273">
        <v>3407465.8</v>
      </c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1"/>
      <c r="V39" s="271"/>
      <c r="W39" s="271"/>
      <c r="X39" s="271"/>
      <c r="Y39" s="271"/>
      <c r="Z39" s="271"/>
      <c r="AA39" s="269"/>
      <c r="AB39" s="7"/>
      <c r="AC39" s="13"/>
      <c r="AD39" s="13"/>
    </row>
    <row r="40" spans="1:30" ht="19.5" customHeight="1" x14ac:dyDescent="0.3">
      <c r="A40" s="250">
        <f t="shared" si="1"/>
        <v>29</v>
      </c>
      <c r="B40" s="20" t="s">
        <v>126</v>
      </c>
      <c r="C40" s="273">
        <f t="shared" si="2"/>
        <v>2189264.62</v>
      </c>
      <c r="D40" s="273">
        <f t="shared" si="0"/>
        <v>2189264.62</v>
      </c>
      <c r="E40" s="273">
        <v>772446</v>
      </c>
      <c r="F40" s="273">
        <v>1416818.62</v>
      </c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1"/>
      <c r="V40" s="271"/>
      <c r="W40" s="271"/>
      <c r="X40" s="271"/>
      <c r="Y40" s="271"/>
      <c r="Z40" s="271"/>
      <c r="AA40" s="269"/>
      <c r="AB40" s="7"/>
      <c r="AC40" s="13"/>
      <c r="AD40" s="13"/>
    </row>
    <row r="41" spans="1:30" ht="19.5" customHeight="1" x14ac:dyDescent="0.3">
      <c r="A41" s="250">
        <f t="shared" si="1"/>
        <v>30</v>
      </c>
      <c r="B41" s="20" t="s">
        <v>127</v>
      </c>
      <c r="C41" s="273">
        <f>D41+K41+M41+O41+P41+R41+S41+T41</f>
        <v>772518</v>
      </c>
      <c r="D41" s="273">
        <f t="shared" si="0"/>
        <v>772518</v>
      </c>
      <c r="E41" s="273">
        <v>772518</v>
      </c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1"/>
      <c r="V41" s="271"/>
      <c r="W41" s="271"/>
      <c r="X41" s="271"/>
      <c r="Y41" s="271"/>
      <c r="Z41" s="271"/>
      <c r="AA41" s="269"/>
      <c r="AB41" s="7"/>
      <c r="AC41" s="13"/>
      <c r="AD41" s="13"/>
    </row>
    <row r="42" spans="1:30" ht="19.5" customHeight="1" x14ac:dyDescent="0.3">
      <c r="A42" s="250">
        <f t="shared" si="1"/>
        <v>31</v>
      </c>
      <c r="B42" s="20" t="s">
        <v>129</v>
      </c>
      <c r="C42" s="273">
        <f t="shared" si="2"/>
        <v>984151.58</v>
      </c>
      <c r="D42" s="273">
        <f t="shared" si="0"/>
        <v>984151.58</v>
      </c>
      <c r="E42" s="273">
        <v>789067.2</v>
      </c>
      <c r="F42" s="273"/>
      <c r="G42" s="273">
        <v>195084.38</v>
      </c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1"/>
      <c r="V42" s="271"/>
      <c r="W42" s="271"/>
      <c r="X42" s="271"/>
      <c r="Y42" s="271"/>
      <c r="Z42" s="271"/>
      <c r="AA42" s="269"/>
      <c r="AB42" s="7"/>
      <c r="AC42" s="13"/>
      <c r="AD42" s="13"/>
    </row>
    <row r="43" spans="1:30" ht="19.5" customHeight="1" x14ac:dyDescent="0.3">
      <c r="A43" s="250">
        <f t="shared" si="1"/>
        <v>32</v>
      </c>
      <c r="B43" s="20" t="s">
        <v>131</v>
      </c>
      <c r="C43" s="273">
        <f t="shared" si="2"/>
        <v>971233.3</v>
      </c>
      <c r="D43" s="273">
        <f t="shared" si="0"/>
        <v>971233.3</v>
      </c>
      <c r="E43" s="273"/>
      <c r="F43" s="273">
        <v>971233.3</v>
      </c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1"/>
      <c r="V43" s="271"/>
      <c r="W43" s="271"/>
      <c r="X43" s="271"/>
      <c r="Y43" s="271"/>
      <c r="Z43" s="271"/>
      <c r="AA43" s="269"/>
      <c r="AB43" s="7"/>
      <c r="AC43" s="13"/>
      <c r="AD43" s="13"/>
    </row>
    <row r="44" spans="1:30" ht="19.5" customHeight="1" x14ac:dyDescent="0.3">
      <c r="A44" s="250">
        <f t="shared" si="1"/>
        <v>33</v>
      </c>
      <c r="B44" s="20" t="s">
        <v>133</v>
      </c>
      <c r="C44" s="273">
        <f t="shared" si="2"/>
        <v>1400276.33</v>
      </c>
      <c r="D44" s="273">
        <f t="shared" si="0"/>
        <v>1400276.33</v>
      </c>
      <c r="E44" s="273"/>
      <c r="F44" s="273">
        <v>1400276.33</v>
      </c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1"/>
      <c r="V44" s="271"/>
      <c r="W44" s="271"/>
      <c r="X44" s="271"/>
      <c r="Y44" s="271"/>
      <c r="Z44" s="271"/>
      <c r="AA44" s="269"/>
      <c r="AB44" s="7"/>
      <c r="AC44" s="13"/>
      <c r="AD44" s="13"/>
    </row>
    <row r="45" spans="1:30" ht="19.5" customHeight="1" x14ac:dyDescent="0.3">
      <c r="A45" s="250">
        <f t="shared" si="1"/>
        <v>34</v>
      </c>
      <c r="B45" s="20" t="s">
        <v>140</v>
      </c>
      <c r="C45" s="273">
        <f t="shared" si="2"/>
        <v>1163763.8600000001</v>
      </c>
      <c r="D45" s="273">
        <f t="shared" si="0"/>
        <v>1163763.8600000001</v>
      </c>
      <c r="E45" s="273"/>
      <c r="F45" s="273">
        <v>1163763.8600000001</v>
      </c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1"/>
      <c r="V45" s="271"/>
      <c r="W45" s="271"/>
      <c r="X45" s="271"/>
      <c r="Y45" s="271"/>
      <c r="Z45" s="271"/>
      <c r="AA45" s="269"/>
      <c r="AB45" s="7"/>
      <c r="AC45" s="13"/>
      <c r="AD45" s="13"/>
    </row>
    <row r="46" spans="1:30" ht="19.5" customHeight="1" x14ac:dyDescent="0.3">
      <c r="A46" s="250">
        <f t="shared" si="1"/>
        <v>35</v>
      </c>
      <c r="B46" s="20" t="s">
        <v>141</v>
      </c>
      <c r="C46" s="273">
        <f t="shared" si="2"/>
        <v>5161614.8599999994</v>
      </c>
      <c r="D46" s="273">
        <f t="shared" si="0"/>
        <v>5161614.8599999994</v>
      </c>
      <c r="E46" s="273"/>
      <c r="F46" s="273">
        <v>3909082.34</v>
      </c>
      <c r="G46" s="273">
        <v>380737.25</v>
      </c>
      <c r="H46" s="273">
        <v>871795.27</v>
      </c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1"/>
      <c r="V46" s="271"/>
      <c r="W46" s="271"/>
      <c r="X46" s="271"/>
      <c r="Y46" s="271"/>
      <c r="Z46" s="271"/>
      <c r="AA46" s="269"/>
      <c r="AB46" s="7"/>
      <c r="AC46" s="13"/>
      <c r="AD46" s="13"/>
    </row>
    <row r="47" spans="1:30" ht="19.5" customHeight="1" x14ac:dyDescent="0.3">
      <c r="A47" s="250"/>
      <c r="B47" s="20" t="s">
        <v>143</v>
      </c>
      <c r="C47" s="273">
        <f t="shared" ref="C47:T47" si="3">SUM(C12:C46)</f>
        <v>74513746.269999996</v>
      </c>
      <c r="D47" s="273">
        <f t="shared" si="3"/>
        <v>74513746.269999996</v>
      </c>
      <c r="E47" s="273">
        <f t="shared" si="3"/>
        <v>35505031.480000004</v>
      </c>
      <c r="F47" s="273">
        <f t="shared" si="3"/>
        <v>28159323.529999997</v>
      </c>
      <c r="G47" s="273">
        <f t="shared" si="3"/>
        <v>3194390.38</v>
      </c>
      <c r="H47" s="273">
        <f t="shared" si="3"/>
        <v>7655000.879999999</v>
      </c>
      <c r="I47" s="273">
        <f t="shared" si="3"/>
        <v>0</v>
      </c>
      <c r="J47" s="273">
        <f t="shared" si="3"/>
        <v>0</v>
      </c>
      <c r="K47" s="273">
        <f t="shared" si="3"/>
        <v>0</v>
      </c>
      <c r="L47" s="273">
        <f t="shared" si="3"/>
        <v>0</v>
      </c>
      <c r="M47" s="273">
        <f t="shared" si="3"/>
        <v>0</v>
      </c>
      <c r="N47" s="273">
        <f t="shared" si="3"/>
        <v>0</v>
      </c>
      <c r="O47" s="273">
        <f t="shared" si="3"/>
        <v>0</v>
      </c>
      <c r="P47" s="273">
        <f t="shared" si="3"/>
        <v>0</v>
      </c>
      <c r="Q47" s="273">
        <f t="shared" si="3"/>
        <v>0</v>
      </c>
      <c r="R47" s="273">
        <f t="shared" si="3"/>
        <v>0</v>
      </c>
      <c r="S47" s="273">
        <f t="shared" si="3"/>
        <v>0</v>
      </c>
      <c r="T47" s="273">
        <f t="shared" si="3"/>
        <v>0</v>
      </c>
      <c r="U47" s="271"/>
      <c r="V47" s="271"/>
      <c r="W47" s="271"/>
      <c r="X47" s="271"/>
      <c r="Y47" s="271"/>
      <c r="Z47" s="271"/>
      <c r="AA47" s="269"/>
      <c r="AB47" s="7"/>
      <c r="AC47" s="13"/>
      <c r="AD47" s="13"/>
    </row>
    <row r="48" spans="1:30" ht="19.5" customHeight="1" x14ac:dyDescent="0.3">
      <c r="A48" s="370" t="s">
        <v>146</v>
      </c>
      <c r="B48" s="340"/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1"/>
      <c r="V48" s="269"/>
      <c r="W48" s="7"/>
      <c r="X48" s="13"/>
      <c r="Y48" s="13"/>
      <c r="Z48" s="13"/>
      <c r="AA48" s="13"/>
      <c r="AB48" s="269"/>
      <c r="AC48" s="269"/>
      <c r="AD48" s="269"/>
    </row>
    <row r="49" spans="1:30" ht="19.5" customHeight="1" x14ac:dyDescent="0.3">
      <c r="A49" s="250">
        <f>A46+1</f>
        <v>36</v>
      </c>
      <c r="B49" s="20" t="s">
        <v>159</v>
      </c>
      <c r="C49" s="273">
        <f t="shared" ref="C49:C52" si="4">D49+K49+M49+O49+P49+R49+S49+T49</f>
        <v>3169645.2</v>
      </c>
      <c r="D49" s="273"/>
      <c r="E49" s="273"/>
      <c r="F49" s="273"/>
      <c r="G49" s="273"/>
      <c r="H49" s="273"/>
      <c r="I49" s="273"/>
      <c r="J49" s="273">
        <v>692</v>
      </c>
      <c r="K49" s="273">
        <v>3169645.2</v>
      </c>
      <c r="L49" s="273"/>
      <c r="M49" s="273"/>
      <c r="N49" s="273"/>
      <c r="O49" s="273"/>
      <c r="P49" s="273"/>
      <c r="Q49" s="273"/>
      <c r="R49" s="273"/>
      <c r="S49" s="273"/>
      <c r="T49" s="273"/>
      <c r="U49" s="271"/>
      <c r="V49" s="271"/>
      <c r="W49" s="271"/>
      <c r="X49" s="271"/>
      <c r="Y49" s="271"/>
      <c r="Z49" s="271"/>
      <c r="AA49" s="269"/>
      <c r="AB49" s="7"/>
      <c r="AC49" s="13"/>
      <c r="AD49" s="13"/>
    </row>
    <row r="50" spans="1:30" ht="17.25" customHeight="1" x14ac:dyDescent="0.3">
      <c r="A50" s="250">
        <f>A49+1</f>
        <v>37</v>
      </c>
      <c r="B50" s="20" t="s">
        <v>163</v>
      </c>
      <c r="C50" s="273">
        <f t="shared" si="4"/>
        <v>4529871.5999999996</v>
      </c>
      <c r="D50" s="273"/>
      <c r="E50" s="273"/>
      <c r="F50" s="273"/>
      <c r="G50" s="273"/>
      <c r="H50" s="273"/>
      <c r="I50" s="273"/>
      <c r="J50" s="273">
        <v>1200</v>
      </c>
      <c r="K50" s="273">
        <v>4529871.5999999996</v>
      </c>
      <c r="L50" s="273"/>
      <c r="M50" s="273"/>
      <c r="N50" s="273"/>
      <c r="O50" s="273"/>
      <c r="P50" s="273"/>
      <c r="Q50" s="273"/>
      <c r="R50" s="273"/>
      <c r="S50" s="273"/>
      <c r="T50" s="273"/>
      <c r="U50" s="271"/>
      <c r="V50" s="271"/>
      <c r="W50" s="271"/>
      <c r="X50" s="271"/>
      <c r="Y50" s="271"/>
      <c r="Z50" s="271"/>
      <c r="AA50" s="269"/>
      <c r="AB50" s="7"/>
      <c r="AC50" s="13"/>
      <c r="AD50" s="13"/>
    </row>
    <row r="51" spans="1:30" ht="19.5" customHeight="1" x14ac:dyDescent="0.3">
      <c r="A51" s="250">
        <f>A50+1</f>
        <v>38</v>
      </c>
      <c r="B51" s="20" t="s">
        <v>164</v>
      </c>
      <c r="C51" s="273">
        <f t="shared" si="4"/>
        <v>9569605.7999999989</v>
      </c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>
        <v>9083821.5199999996</v>
      </c>
      <c r="S51" s="273"/>
      <c r="T51" s="273">
        <v>485784.28</v>
      </c>
      <c r="U51" s="271"/>
      <c r="V51" s="271"/>
      <c r="W51" s="271"/>
      <c r="X51" s="271"/>
      <c r="Y51" s="271"/>
      <c r="Z51" s="271"/>
      <c r="AA51" s="269">
        <v>485784.28</v>
      </c>
      <c r="AB51" s="7"/>
      <c r="AC51" s="13"/>
      <c r="AD51" s="13"/>
    </row>
    <row r="52" spans="1:30" ht="20.25" customHeight="1" x14ac:dyDescent="0.3">
      <c r="A52" s="250">
        <f>A51+1</f>
        <v>39</v>
      </c>
      <c r="B52" s="20" t="s">
        <v>158</v>
      </c>
      <c r="C52" s="273">
        <f t="shared" si="4"/>
        <v>13630144.390000001</v>
      </c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>
        <v>3558</v>
      </c>
      <c r="O52" s="273">
        <v>13630144.390000001</v>
      </c>
      <c r="P52" s="273"/>
      <c r="Q52" s="273"/>
      <c r="R52" s="273"/>
      <c r="S52" s="273"/>
      <c r="T52" s="273"/>
      <c r="U52" s="271"/>
      <c r="V52" s="271"/>
      <c r="W52" s="271"/>
      <c r="X52" s="271"/>
      <c r="Y52" s="271"/>
      <c r="Z52" s="271"/>
      <c r="AA52" s="269"/>
      <c r="AB52" s="7"/>
      <c r="AC52" s="13"/>
      <c r="AD52" s="13"/>
    </row>
    <row r="53" spans="1:30" ht="19.5" customHeight="1" x14ac:dyDescent="0.3">
      <c r="A53" s="250"/>
      <c r="B53" s="20" t="s">
        <v>143</v>
      </c>
      <c r="C53" s="273">
        <f t="shared" ref="C53:T53" si="5">SUM(C49:C52)</f>
        <v>30899266.989999998</v>
      </c>
      <c r="D53" s="273">
        <f t="shared" si="5"/>
        <v>0</v>
      </c>
      <c r="E53" s="273">
        <f t="shared" si="5"/>
        <v>0</v>
      </c>
      <c r="F53" s="273">
        <f t="shared" si="5"/>
        <v>0</v>
      </c>
      <c r="G53" s="273">
        <f t="shared" si="5"/>
        <v>0</v>
      </c>
      <c r="H53" s="273">
        <f t="shared" si="5"/>
        <v>0</v>
      </c>
      <c r="I53" s="273">
        <f t="shared" si="5"/>
        <v>0</v>
      </c>
      <c r="J53" s="273">
        <f t="shared" si="5"/>
        <v>1892</v>
      </c>
      <c r="K53" s="273">
        <f t="shared" si="5"/>
        <v>7699516.7999999998</v>
      </c>
      <c r="L53" s="273">
        <f t="shared" si="5"/>
        <v>0</v>
      </c>
      <c r="M53" s="273">
        <f t="shared" si="5"/>
        <v>0</v>
      </c>
      <c r="N53" s="273">
        <f t="shared" si="5"/>
        <v>3558</v>
      </c>
      <c r="O53" s="273">
        <f t="shared" si="5"/>
        <v>13630144.390000001</v>
      </c>
      <c r="P53" s="273">
        <f t="shared" si="5"/>
        <v>0</v>
      </c>
      <c r="Q53" s="273">
        <f t="shared" si="5"/>
        <v>0</v>
      </c>
      <c r="R53" s="273">
        <f t="shared" si="5"/>
        <v>9083821.5199999996</v>
      </c>
      <c r="S53" s="273">
        <f t="shared" si="5"/>
        <v>0</v>
      </c>
      <c r="T53" s="273">
        <f t="shared" si="5"/>
        <v>485784.28</v>
      </c>
      <c r="U53" s="271"/>
      <c r="V53" s="271"/>
      <c r="W53" s="271"/>
      <c r="X53" s="271"/>
      <c r="Y53" s="271"/>
      <c r="Z53" s="271"/>
      <c r="AA53" s="269"/>
      <c r="AB53" s="7"/>
      <c r="AC53" s="13"/>
      <c r="AD53" s="13"/>
    </row>
    <row r="54" spans="1:30" ht="19.5" customHeight="1" x14ac:dyDescent="0.3">
      <c r="A54" s="252" t="s">
        <v>165</v>
      </c>
      <c r="B54" s="20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1"/>
      <c r="V54" s="271"/>
      <c r="W54" s="271"/>
      <c r="X54" s="271"/>
      <c r="Y54" s="271"/>
      <c r="Z54" s="271"/>
      <c r="AA54" s="269"/>
      <c r="AB54" s="7"/>
      <c r="AC54" s="13"/>
      <c r="AD54" s="13"/>
    </row>
    <row r="55" spans="1:30" ht="19.5" customHeight="1" x14ac:dyDescent="0.3">
      <c r="A55" s="250">
        <f>A52+1</f>
        <v>40</v>
      </c>
      <c r="B55" s="20" t="s">
        <v>166</v>
      </c>
      <c r="C55" s="273">
        <f t="shared" ref="C55:C60" si="6">D55+K55+M55+O55+P55+R55+S55+T55</f>
        <v>10184713.199999999</v>
      </c>
      <c r="D55" s="273">
        <f>E55+F55+G55+H55+I55</f>
        <v>9694368</v>
      </c>
      <c r="E55" s="273"/>
      <c r="F55" s="273">
        <v>5497057.2000000002</v>
      </c>
      <c r="G55" s="273">
        <v>869211.6</v>
      </c>
      <c r="H55" s="273">
        <v>1869705.6</v>
      </c>
      <c r="I55" s="273">
        <v>1458393.6</v>
      </c>
      <c r="J55" s="273"/>
      <c r="K55" s="273"/>
      <c r="L55" s="273"/>
      <c r="M55" s="273"/>
      <c r="N55" s="273"/>
      <c r="O55" s="273"/>
      <c r="P55" s="273"/>
      <c r="Q55" s="273"/>
      <c r="R55" s="273"/>
      <c r="S55" s="273">
        <v>490345.2</v>
      </c>
      <c r="T55" s="273"/>
      <c r="U55" s="271"/>
      <c r="V55" s="271"/>
      <c r="W55" s="271"/>
      <c r="X55" s="271"/>
      <c r="Y55" s="271"/>
      <c r="Z55" s="271"/>
      <c r="AA55" s="269"/>
      <c r="AB55" s="7"/>
      <c r="AC55" s="13"/>
      <c r="AD55" s="13"/>
    </row>
    <row r="56" spans="1:30" ht="19.5" customHeight="1" x14ac:dyDescent="0.3">
      <c r="A56" s="250">
        <f>A55+1</f>
        <v>41</v>
      </c>
      <c r="B56" s="20" t="s">
        <v>167</v>
      </c>
      <c r="C56" s="273">
        <f t="shared" si="6"/>
        <v>14431983.799999999</v>
      </c>
      <c r="D56" s="273">
        <f>E56+F56+G56+H56+I56</f>
        <v>13774636.799999999</v>
      </c>
      <c r="E56" s="273"/>
      <c r="F56" s="273">
        <v>8492352</v>
      </c>
      <c r="G56" s="273">
        <v>1533385.2</v>
      </c>
      <c r="H56" s="273">
        <v>2545448.4</v>
      </c>
      <c r="I56" s="273">
        <v>1203451.2</v>
      </c>
      <c r="J56" s="273"/>
      <c r="K56" s="273"/>
      <c r="L56" s="273"/>
      <c r="M56" s="273"/>
      <c r="N56" s="273"/>
      <c r="O56" s="273"/>
      <c r="P56" s="273"/>
      <c r="Q56" s="273"/>
      <c r="R56" s="273"/>
      <c r="S56" s="273">
        <v>657347</v>
      </c>
      <c r="T56" s="273"/>
      <c r="U56" s="271"/>
      <c r="V56" s="271"/>
      <c r="W56" s="271"/>
      <c r="X56" s="271"/>
      <c r="Y56" s="271"/>
      <c r="Z56" s="271"/>
      <c r="AA56" s="269"/>
      <c r="AB56" s="7"/>
      <c r="AC56" s="13"/>
      <c r="AD56" s="13"/>
    </row>
    <row r="57" spans="1:30" ht="19.5" customHeight="1" x14ac:dyDescent="0.3">
      <c r="A57" s="250">
        <f>A56+1</f>
        <v>42</v>
      </c>
      <c r="B57" s="20" t="s">
        <v>174</v>
      </c>
      <c r="C57" s="273">
        <f t="shared" si="6"/>
        <v>1457894</v>
      </c>
      <c r="D57" s="273">
        <f>E57+F57+G57+H57+I57</f>
        <v>1457894</v>
      </c>
      <c r="E57" s="273"/>
      <c r="F57" s="273"/>
      <c r="G57" s="273">
        <f>3910*134</f>
        <v>523940</v>
      </c>
      <c r="H57" s="273">
        <v>933954</v>
      </c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1"/>
      <c r="V57" s="271"/>
      <c r="W57" s="271"/>
      <c r="X57" s="271"/>
      <c r="Y57" s="271"/>
      <c r="Z57" s="271"/>
      <c r="AA57" s="269"/>
      <c r="AB57" s="7"/>
      <c r="AC57" s="13"/>
      <c r="AD57" s="13"/>
    </row>
    <row r="58" spans="1:30" ht="19.5" customHeight="1" x14ac:dyDescent="0.3">
      <c r="A58" s="250">
        <f>A57+1</f>
        <v>43</v>
      </c>
      <c r="B58" s="20" t="s">
        <v>175</v>
      </c>
      <c r="C58" s="273">
        <f t="shared" si="6"/>
        <v>3479334</v>
      </c>
      <c r="D58" s="273">
        <f>E58+F58+G58+H58+I58</f>
        <v>3479334</v>
      </c>
      <c r="E58" s="273"/>
      <c r="F58" s="273">
        <v>1862521.2</v>
      </c>
      <c r="G58" s="273">
        <v>440371.20000000001</v>
      </c>
      <c r="H58" s="273">
        <v>1176441.6000000001</v>
      </c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1"/>
      <c r="V58" s="271"/>
      <c r="W58" s="271"/>
      <c r="X58" s="271"/>
      <c r="Y58" s="271"/>
      <c r="Z58" s="271"/>
      <c r="AA58" s="269"/>
      <c r="AB58" s="7"/>
      <c r="AC58" s="13"/>
      <c r="AD58" s="13"/>
    </row>
    <row r="59" spans="1:30" ht="19.5" customHeight="1" x14ac:dyDescent="0.3">
      <c r="A59" s="250">
        <f>A58+1</f>
        <v>44</v>
      </c>
      <c r="B59" s="20" t="s">
        <v>179</v>
      </c>
      <c r="C59" s="273">
        <f t="shared" si="6"/>
        <v>5261100</v>
      </c>
      <c r="D59" s="273"/>
      <c r="E59" s="273"/>
      <c r="F59" s="273"/>
      <c r="G59" s="273"/>
      <c r="H59" s="273"/>
      <c r="I59" s="273"/>
      <c r="J59" s="273">
        <v>650</v>
      </c>
      <c r="K59" s="273">
        <f>J59*8094</f>
        <v>5261100</v>
      </c>
      <c r="L59" s="273"/>
      <c r="M59" s="273"/>
      <c r="N59" s="273"/>
      <c r="O59" s="273"/>
      <c r="P59" s="273"/>
      <c r="Q59" s="273"/>
      <c r="R59" s="273"/>
      <c r="S59" s="273"/>
      <c r="T59" s="273"/>
      <c r="U59" s="271"/>
      <c r="V59" s="271"/>
      <c r="W59" s="271"/>
      <c r="X59" s="271"/>
      <c r="Y59" s="271"/>
      <c r="Z59" s="271"/>
      <c r="AA59" s="269"/>
      <c r="AB59" s="7"/>
      <c r="AC59" s="13"/>
      <c r="AD59" s="13"/>
    </row>
    <row r="60" spans="1:30" ht="19.5" customHeight="1" x14ac:dyDescent="0.3">
      <c r="A60" s="250">
        <f>A59+1</f>
        <v>45</v>
      </c>
      <c r="B60" s="20" t="s">
        <v>180</v>
      </c>
      <c r="C60" s="273">
        <f t="shared" si="6"/>
        <v>5261100</v>
      </c>
      <c r="D60" s="273"/>
      <c r="E60" s="273"/>
      <c r="F60" s="273"/>
      <c r="G60" s="273"/>
      <c r="H60" s="273"/>
      <c r="I60" s="273"/>
      <c r="J60" s="273">
        <v>650</v>
      </c>
      <c r="K60" s="273">
        <f>J60*8094</f>
        <v>5261100</v>
      </c>
      <c r="L60" s="273"/>
      <c r="M60" s="273"/>
      <c r="N60" s="273"/>
      <c r="O60" s="273"/>
      <c r="P60" s="273"/>
      <c r="Q60" s="273"/>
      <c r="R60" s="273"/>
      <c r="S60" s="273"/>
      <c r="T60" s="273"/>
      <c r="U60" s="271"/>
      <c r="V60" s="271"/>
      <c r="W60" s="271"/>
      <c r="X60" s="271"/>
      <c r="Y60" s="271"/>
      <c r="Z60" s="271"/>
      <c r="AA60" s="269"/>
      <c r="AB60" s="7"/>
      <c r="AC60" s="13"/>
      <c r="AD60" s="13"/>
    </row>
    <row r="61" spans="1:30" ht="19.5" customHeight="1" x14ac:dyDescent="0.3">
      <c r="A61" s="250"/>
      <c r="B61" s="20" t="s">
        <v>143</v>
      </c>
      <c r="C61" s="273">
        <f t="shared" ref="C61:T61" si="7">SUM(C55:C60)</f>
        <v>40076125</v>
      </c>
      <c r="D61" s="273">
        <f t="shared" si="7"/>
        <v>28406232.799999997</v>
      </c>
      <c r="E61" s="273">
        <f t="shared" si="7"/>
        <v>0</v>
      </c>
      <c r="F61" s="273">
        <f t="shared" si="7"/>
        <v>15851930.399999999</v>
      </c>
      <c r="G61" s="273">
        <f t="shared" si="7"/>
        <v>3366908</v>
      </c>
      <c r="H61" s="273">
        <f t="shared" si="7"/>
        <v>6525549.5999999996</v>
      </c>
      <c r="I61" s="273">
        <f t="shared" si="7"/>
        <v>2661844.7999999998</v>
      </c>
      <c r="J61" s="273">
        <f t="shared" si="7"/>
        <v>1300</v>
      </c>
      <c r="K61" s="273">
        <f t="shared" si="7"/>
        <v>10522200</v>
      </c>
      <c r="L61" s="273">
        <f t="shared" si="7"/>
        <v>0</v>
      </c>
      <c r="M61" s="273">
        <f t="shared" si="7"/>
        <v>0</v>
      </c>
      <c r="N61" s="273">
        <f t="shared" si="7"/>
        <v>0</v>
      </c>
      <c r="O61" s="273">
        <f t="shared" si="7"/>
        <v>0</v>
      </c>
      <c r="P61" s="273">
        <f t="shared" si="7"/>
        <v>0</v>
      </c>
      <c r="Q61" s="273">
        <f t="shared" si="7"/>
        <v>0</v>
      </c>
      <c r="R61" s="273">
        <f t="shared" si="7"/>
        <v>0</v>
      </c>
      <c r="S61" s="273">
        <f t="shared" si="7"/>
        <v>1147692.2</v>
      </c>
      <c r="T61" s="273">
        <f t="shared" si="7"/>
        <v>0</v>
      </c>
      <c r="U61" s="271"/>
      <c r="V61" s="271"/>
      <c r="W61" s="271"/>
      <c r="X61" s="271"/>
      <c r="Y61" s="271"/>
      <c r="Z61" s="271"/>
      <c r="AA61" s="269"/>
      <c r="AB61" s="7"/>
      <c r="AC61" s="13"/>
      <c r="AD61" s="13"/>
    </row>
    <row r="62" spans="1:30" ht="30.75" customHeight="1" x14ac:dyDescent="0.3">
      <c r="A62" s="333" t="s">
        <v>181</v>
      </c>
      <c r="B62" s="334"/>
      <c r="C62" s="273"/>
      <c r="D62" s="273"/>
      <c r="E62" s="273"/>
      <c r="F62" s="273"/>
      <c r="G62" s="273"/>
      <c r="H62" s="273"/>
      <c r="I62" s="273"/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1"/>
      <c r="V62" s="271"/>
      <c r="W62" s="271"/>
      <c r="X62" s="271"/>
      <c r="Y62" s="271"/>
      <c r="Z62" s="271"/>
      <c r="AA62" s="269"/>
      <c r="AB62" s="7"/>
      <c r="AC62" s="13"/>
      <c r="AD62" s="13"/>
    </row>
    <row r="63" spans="1:30" ht="19.5" customHeight="1" x14ac:dyDescent="0.3">
      <c r="A63" s="250">
        <f>A60+1</f>
        <v>46</v>
      </c>
      <c r="B63" s="20" t="s">
        <v>182</v>
      </c>
      <c r="C63" s="273">
        <f t="shared" ref="C63:C64" si="8">D63+K63+M63+O63+P63+R63+S63+T63</f>
        <v>3035250</v>
      </c>
      <c r="D63" s="273"/>
      <c r="E63" s="273"/>
      <c r="F63" s="273"/>
      <c r="G63" s="273"/>
      <c r="H63" s="273"/>
      <c r="I63" s="273"/>
      <c r="J63" s="273">
        <v>375</v>
      </c>
      <c r="K63" s="273">
        <f>J63*8094</f>
        <v>3035250</v>
      </c>
      <c r="L63" s="273"/>
      <c r="M63" s="273"/>
      <c r="N63" s="273"/>
      <c r="O63" s="273"/>
      <c r="P63" s="273"/>
      <c r="Q63" s="273"/>
      <c r="R63" s="273"/>
      <c r="S63" s="273"/>
      <c r="T63" s="273"/>
      <c r="U63" s="271"/>
      <c r="V63" s="271"/>
      <c r="W63" s="271"/>
      <c r="X63" s="271"/>
      <c r="Y63" s="271"/>
      <c r="Z63" s="271"/>
      <c r="AA63" s="269"/>
      <c r="AB63" s="7"/>
      <c r="AC63" s="13"/>
      <c r="AD63" s="13"/>
    </row>
    <row r="64" spans="1:30" ht="19.5" customHeight="1" x14ac:dyDescent="0.3">
      <c r="A64" s="250">
        <f>A63+1</f>
        <v>47</v>
      </c>
      <c r="B64" s="20" t="s">
        <v>188</v>
      </c>
      <c r="C64" s="273">
        <f t="shared" si="8"/>
        <v>6740415</v>
      </c>
      <c r="D64" s="273"/>
      <c r="E64" s="273"/>
      <c r="F64" s="273"/>
      <c r="G64" s="273"/>
      <c r="H64" s="273"/>
      <c r="I64" s="273"/>
      <c r="J64" s="273"/>
      <c r="K64" s="273"/>
      <c r="L64" s="273">
        <v>255</v>
      </c>
      <c r="M64" s="273">
        <f>26433*L64</f>
        <v>6740415</v>
      </c>
      <c r="N64" s="273"/>
      <c r="O64" s="273"/>
      <c r="P64" s="273"/>
      <c r="Q64" s="273"/>
      <c r="R64" s="273"/>
      <c r="S64" s="273"/>
      <c r="T64" s="273"/>
      <c r="U64" s="271"/>
      <c r="V64" s="271"/>
      <c r="W64" s="271"/>
      <c r="X64" s="271"/>
      <c r="Y64" s="271"/>
      <c r="Z64" s="271"/>
      <c r="AA64" s="269"/>
      <c r="AB64" s="7"/>
      <c r="AC64" s="13"/>
      <c r="AD64" s="13"/>
    </row>
    <row r="65" spans="1:30" ht="19.5" customHeight="1" x14ac:dyDescent="0.3">
      <c r="A65" s="250"/>
      <c r="B65" s="20" t="s">
        <v>143</v>
      </c>
      <c r="C65" s="273">
        <f t="shared" ref="C65:T65" si="9">SUM(C63:C64)</f>
        <v>9775665</v>
      </c>
      <c r="D65" s="273">
        <f t="shared" si="9"/>
        <v>0</v>
      </c>
      <c r="E65" s="273">
        <f t="shared" si="9"/>
        <v>0</v>
      </c>
      <c r="F65" s="273">
        <f t="shared" si="9"/>
        <v>0</v>
      </c>
      <c r="G65" s="273">
        <f t="shared" si="9"/>
        <v>0</v>
      </c>
      <c r="H65" s="273">
        <f t="shared" si="9"/>
        <v>0</v>
      </c>
      <c r="I65" s="273">
        <f t="shared" si="9"/>
        <v>0</v>
      </c>
      <c r="J65" s="273">
        <f t="shared" si="9"/>
        <v>375</v>
      </c>
      <c r="K65" s="273">
        <f t="shared" si="9"/>
        <v>3035250</v>
      </c>
      <c r="L65" s="273">
        <f t="shared" si="9"/>
        <v>255</v>
      </c>
      <c r="M65" s="273">
        <f t="shared" si="9"/>
        <v>6740415</v>
      </c>
      <c r="N65" s="273">
        <f t="shared" si="9"/>
        <v>0</v>
      </c>
      <c r="O65" s="273">
        <f t="shared" si="9"/>
        <v>0</v>
      </c>
      <c r="P65" s="273">
        <f t="shared" si="9"/>
        <v>0</v>
      </c>
      <c r="Q65" s="273">
        <f t="shared" si="9"/>
        <v>0</v>
      </c>
      <c r="R65" s="273">
        <f t="shared" si="9"/>
        <v>0</v>
      </c>
      <c r="S65" s="273">
        <f t="shared" si="9"/>
        <v>0</v>
      </c>
      <c r="T65" s="273">
        <f t="shared" si="9"/>
        <v>0</v>
      </c>
      <c r="U65" s="271"/>
      <c r="V65" s="269"/>
      <c r="W65" s="7"/>
      <c r="X65" s="13"/>
      <c r="Y65" s="13"/>
      <c r="Z65" s="13"/>
      <c r="AA65" s="13"/>
      <c r="AB65" s="269"/>
      <c r="AC65" s="269"/>
      <c r="AD65" s="269"/>
    </row>
    <row r="66" spans="1:30" ht="27.75" customHeight="1" x14ac:dyDescent="0.3">
      <c r="A66" s="317" t="s">
        <v>192</v>
      </c>
      <c r="B66" s="318"/>
      <c r="C66" s="251">
        <f t="shared" ref="C66:T66" si="10">C47+C53+C61+C65</f>
        <v>155264803.25999999</v>
      </c>
      <c r="D66" s="251">
        <f t="shared" si="10"/>
        <v>102919979.06999999</v>
      </c>
      <c r="E66" s="251">
        <f t="shared" si="10"/>
        <v>35505031.480000004</v>
      </c>
      <c r="F66" s="251">
        <f t="shared" si="10"/>
        <v>44011253.929999992</v>
      </c>
      <c r="G66" s="251">
        <f t="shared" si="10"/>
        <v>6561298.3799999999</v>
      </c>
      <c r="H66" s="251">
        <f t="shared" si="10"/>
        <v>14180550.479999999</v>
      </c>
      <c r="I66" s="251">
        <f t="shared" si="10"/>
        <v>2661844.7999999998</v>
      </c>
      <c r="J66" s="251">
        <f t="shared" si="10"/>
        <v>3567</v>
      </c>
      <c r="K66" s="251">
        <f t="shared" si="10"/>
        <v>21256966.800000001</v>
      </c>
      <c r="L66" s="251">
        <f t="shared" si="10"/>
        <v>255</v>
      </c>
      <c r="M66" s="251">
        <f t="shared" si="10"/>
        <v>6740415</v>
      </c>
      <c r="N66" s="251">
        <f t="shared" si="10"/>
        <v>3558</v>
      </c>
      <c r="O66" s="251">
        <f t="shared" si="10"/>
        <v>13630144.390000001</v>
      </c>
      <c r="P66" s="251">
        <f t="shared" si="10"/>
        <v>0</v>
      </c>
      <c r="Q66" s="251">
        <f t="shared" si="10"/>
        <v>0</v>
      </c>
      <c r="R66" s="251">
        <f t="shared" si="10"/>
        <v>9083821.5199999996</v>
      </c>
      <c r="S66" s="251">
        <f t="shared" si="10"/>
        <v>1147692.2</v>
      </c>
      <c r="T66" s="251">
        <f t="shared" si="10"/>
        <v>485784.28</v>
      </c>
      <c r="U66" s="83"/>
      <c r="V66" s="11"/>
      <c r="W66" s="7"/>
      <c r="X66" s="13"/>
      <c r="Y66" s="13"/>
      <c r="Z66" s="13"/>
      <c r="AA66" s="13"/>
      <c r="AB66" s="269"/>
      <c r="AC66" s="269"/>
      <c r="AD66" s="269"/>
    </row>
    <row r="67" spans="1:30" ht="15" customHeight="1" x14ac:dyDescent="0.3">
      <c r="A67" s="321" t="s">
        <v>193</v>
      </c>
      <c r="B67" s="322"/>
      <c r="C67" s="322"/>
      <c r="D67" s="322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3"/>
      <c r="U67" s="246"/>
      <c r="V67" s="277"/>
      <c r="W67" s="277"/>
      <c r="X67" s="277"/>
      <c r="Y67" s="277"/>
      <c r="Z67" s="251"/>
      <c r="AA67" s="251"/>
      <c r="AB67" s="251"/>
      <c r="AC67" s="17"/>
      <c r="AD67" s="17"/>
    </row>
    <row r="68" spans="1:30" x14ac:dyDescent="0.3">
      <c r="A68" s="252" t="s">
        <v>209</v>
      </c>
      <c r="B68" s="20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83"/>
      <c r="V68" s="273"/>
      <c r="W68" s="273"/>
      <c r="X68" s="273"/>
      <c r="Y68" s="273"/>
      <c r="Z68" s="273"/>
      <c r="AA68" s="16"/>
      <c r="AB68" s="17"/>
      <c r="AC68" s="17"/>
      <c r="AD68" s="17"/>
    </row>
    <row r="69" spans="1:30" x14ac:dyDescent="0.3">
      <c r="A69" s="250">
        <f>A64+1</f>
        <v>48</v>
      </c>
      <c r="B69" s="20" t="s">
        <v>211</v>
      </c>
      <c r="C69" s="273">
        <f t="shared" ref="C69:C71" si="11">D69+K69+M69+O69+P69+R69+S69+T69</f>
        <v>4265616</v>
      </c>
      <c r="D69" s="273"/>
      <c r="E69" s="273"/>
      <c r="F69" s="273"/>
      <c r="G69" s="273"/>
      <c r="H69" s="273"/>
      <c r="I69" s="273"/>
      <c r="J69" s="273">
        <v>702</v>
      </c>
      <c r="K69" s="273">
        <v>4265616</v>
      </c>
      <c r="L69" s="273"/>
      <c r="M69" s="273"/>
      <c r="N69" s="273"/>
      <c r="O69" s="273"/>
      <c r="P69" s="273"/>
      <c r="Q69" s="273"/>
      <c r="R69" s="273"/>
      <c r="S69" s="273"/>
      <c r="T69" s="273"/>
      <c r="U69" s="283"/>
      <c r="V69" s="273"/>
      <c r="W69" s="273"/>
      <c r="X69" s="273"/>
      <c r="Y69" s="273"/>
      <c r="Z69" s="273"/>
      <c r="AA69" s="16"/>
      <c r="AB69" s="17"/>
      <c r="AC69" s="17"/>
      <c r="AD69" s="17"/>
    </row>
    <row r="70" spans="1:30" x14ac:dyDescent="0.3">
      <c r="A70" s="250">
        <f>A69+1</f>
        <v>49</v>
      </c>
      <c r="B70" s="20" t="s">
        <v>235</v>
      </c>
      <c r="C70" s="273">
        <f t="shared" si="11"/>
        <v>2914910.4</v>
      </c>
      <c r="D70" s="273"/>
      <c r="E70" s="273"/>
      <c r="F70" s="273"/>
      <c r="G70" s="273"/>
      <c r="H70" s="273"/>
      <c r="I70" s="273"/>
      <c r="J70" s="273">
        <v>588</v>
      </c>
      <c r="K70" s="273">
        <v>2914910.4</v>
      </c>
      <c r="L70" s="273"/>
      <c r="M70" s="273"/>
      <c r="N70" s="273"/>
      <c r="O70" s="273"/>
      <c r="P70" s="273"/>
      <c r="Q70" s="273"/>
      <c r="R70" s="273"/>
      <c r="S70" s="273"/>
      <c r="T70" s="273"/>
      <c r="U70" s="283"/>
      <c r="V70" s="273"/>
      <c r="W70" s="273"/>
      <c r="X70" s="273"/>
      <c r="Y70" s="273"/>
      <c r="Z70" s="273"/>
      <c r="AA70" s="16"/>
      <c r="AB70" s="17"/>
      <c r="AC70" s="17"/>
      <c r="AD70" s="17"/>
    </row>
    <row r="71" spans="1:30" x14ac:dyDescent="0.3">
      <c r="A71" s="250">
        <f>A70+1</f>
        <v>50</v>
      </c>
      <c r="B71" s="20" t="s">
        <v>248</v>
      </c>
      <c r="C71" s="273">
        <f t="shared" si="11"/>
        <v>4387600.8</v>
      </c>
      <c r="D71" s="273"/>
      <c r="E71" s="273"/>
      <c r="F71" s="273"/>
      <c r="G71" s="273"/>
      <c r="H71" s="273"/>
      <c r="I71" s="273"/>
      <c r="J71" s="273">
        <v>815</v>
      </c>
      <c r="K71" s="273">
        <v>4387600.8</v>
      </c>
      <c r="L71" s="273"/>
      <c r="M71" s="273"/>
      <c r="N71" s="273"/>
      <c r="O71" s="273"/>
      <c r="P71" s="273"/>
      <c r="Q71" s="273"/>
      <c r="R71" s="273"/>
      <c r="S71" s="273"/>
      <c r="T71" s="273">
        <f>SUM(Y71:AD71)</f>
        <v>0</v>
      </c>
      <c r="U71" s="283"/>
      <c r="V71" s="273"/>
      <c r="W71" s="273"/>
      <c r="X71" s="273"/>
      <c r="Y71" s="273"/>
      <c r="Z71" s="273"/>
      <c r="AA71" s="16"/>
      <c r="AB71" s="17"/>
      <c r="AC71" s="17"/>
      <c r="AD71" s="17"/>
    </row>
    <row r="72" spans="1:30" x14ac:dyDescent="0.3">
      <c r="A72" s="250" t="s">
        <v>208</v>
      </c>
      <c r="B72" s="20"/>
      <c r="C72" s="273">
        <f>SUM(C69:C71)</f>
        <v>11568127.199999999</v>
      </c>
      <c r="D72" s="273">
        <f t="shared" ref="D72:T72" si="12">SUM(D69:D71)</f>
        <v>0</v>
      </c>
      <c r="E72" s="273">
        <f t="shared" si="12"/>
        <v>0</v>
      </c>
      <c r="F72" s="273">
        <f t="shared" si="12"/>
        <v>0</v>
      </c>
      <c r="G72" s="273">
        <f t="shared" si="12"/>
        <v>0</v>
      </c>
      <c r="H72" s="273">
        <f t="shared" si="12"/>
        <v>0</v>
      </c>
      <c r="I72" s="273">
        <f t="shared" si="12"/>
        <v>0</v>
      </c>
      <c r="J72" s="273">
        <f t="shared" si="12"/>
        <v>2105</v>
      </c>
      <c r="K72" s="273">
        <f t="shared" si="12"/>
        <v>11568127.199999999</v>
      </c>
      <c r="L72" s="273">
        <f t="shared" si="12"/>
        <v>0</v>
      </c>
      <c r="M72" s="273">
        <f t="shared" si="12"/>
        <v>0</v>
      </c>
      <c r="N72" s="273">
        <f t="shared" si="12"/>
        <v>0</v>
      </c>
      <c r="O72" s="273">
        <f t="shared" si="12"/>
        <v>0</v>
      </c>
      <c r="P72" s="273">
        <f t="shared" si="12"/>
        <v>0</v>
      </c>
      <c r="Q72" s="273">
        <f t="shared" si="12"/>
        <v>0</v>
      </c>
      <c r="R72" s="273">
        <f t="shared" si="12"/>
        <v>0</v>
      </c>
      <c r="S72" s="273">
        <f t="shared" si="12"/>
        <v>0</v>
      </c>
      <c r="T72" s="273">
        <f t="shared" si="12"/>
        <v>0</v>
      </c>
      <c r="U72" s="283"/>
      <c r="V72" s="273"/>
      <c r="W72" s="273"/>
      <c r="X72" s="273"/>
      <c r="Y72" s="273"/>
      <c r="Z72" s="273"/>
      <c r="AA72" s="16"/>
      <c r="AB72" s="17"/>
      <c r="AC72" s="17"/>
      <c r="AD72" s="17"/>
    </row>
    <row r="73" spans="1:30" x14ac:dyDescent="0.3">
      <c r="A73" s="252" t="s">
        <v>212</v>
      </c>
      <c r="B73" s="20"/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83"/>
      <c r="V73" s="273"/>
      <c r="W73" s="273"/>
      <c r="X73" s="273"/>
      <c r="Y73" s="273"/>
      <c r="Z73" s="273"/>
      <c r="AA73" s="16"/>
      <c r="AB73" s="17"/>
      <c r="AC73" s="17"/>
      <c r="AD73" s="17"/>
    </row>
    <row r="74" spans="1:30" x14ac:dyDescent="0.3">
      <c r="A74" s="250">
        <f>A71+1</f>
        <v>51</v>
      </c>
      <c r="B74" s="20" t="s">
        <v>216</v>
      </c>
      <c r="C74" s="273">
        <f t="shared" ref="C74:C75" si="13">D74+K74+M74+O74+P74+R74+S74+T74</f>
        <v>19319673.030000001</v>
      </c>
      <c r="D74" s="273">
        <f>E74+F74+G74+H74+I74</f>
        <v>19319673.030000001</v>
      </c>
      <c r="E74" s="273"/>
      <c r="F74" s="273">
        <v>13431000.48</v>
      </c>
      <c r="G74" s="273">
        <v>2180002.75</v>
      </c>
      <c r="H74" s="273">
        <v>3708669.8</v>
      </c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83"/>
      <c r="V74" s="273"/>
      <c r="W74" s="273"/>
      <c r="X74" s="273"/>
      <c r="Y74" s="273"/>
      <c r="Z74" s="273"/>
      <c r="AA74" s="16"/>
      <c r="AB74" s="17"/>
      <c r="AC74" s="17"/>
      <c r="AD74" s="17"/>
    </row>
    <row r="75" spans="1:30" x14ac:dyDescent="0.3">
      <c r="A75" s="250">
        <f>A74+1</f>
        <v>52</v>
      </c>
      <c r="B75" s="20" t="s">
        <v>218</v>
      </c>
      <c r="C75" s="273">
        <f t="shared" si="13"/>
        <v>7196652.0000000009</v>
      </c>
      <c r="D75" s="273">
        <f>E75+F75+G75+H75+I75</f>
        <v>7196652.0000000009</v>
      </c>
      <c r="E75" s="273"/>
      <c r="F75" s="273">
        <v>1765398</v>
      </c>
      <c r="G75" s="273">
        <v>1522639.2</v>
      </c>
      <c r="H75" s="273">
        <v>2868225.6</v>
      </c>
      <c r="I75" s="273">
        <v>1040389.2</v>
      </c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83"/>
      <c r="V75" s="273"/>
      <c r="W75" s="273"/>
      <c r="X75" s="273"/>
      <c r="Y75" s="273"/>
      <c r="Z75" s="273"/>
      <c r="AA75" s="16"/>
      <c r="AB75" s="17"/>
      <c r="AC75" s="17"/>
      <c r="AD75" s="17"/>
    </row>
    <row r="76" spans="1:30" x14ac:dyDescent="0.3">
      <c r="A76" s="250" t="s">
        <v>208</v>
      </c>
      <c r="B76" s="20"/>
      <c r="C76" s="273">
        <f t="shared" ref="C76:T76" si="14">SUM(C74:C75)</f>
        <v>26516325.030000001</v>
      </c>
      <c r="D76" s="273">
        <f t="shared" si="14"/>
        <v>26516325.030000001</v>
      </c>
      <c r="E76" s="273">
        <f t="shared" si="14"/>
        <v>0</v>
      </c>
      <c r="F76" s="273">
        <f t="shared" si="14"/>
        <v>15196398.48</v>
      </c>
      <c r="G76" s="273">
        <f t="shared" si="14"/>
        <v>3702641.95</v>
      </c>
      <c r="H76" s="273">
        <f t="shared" si="14"/>
        <v>6576895.4000000004</v>
      </c>
      <c r="I76" s="273">
        <f t="shared" si="14"/>
        <v>1040389.2</v>
      </c>
      <c r="J76" s="273">
        <f t="shared" si="14"/>
        <v>0</v>
      </c>
      <c r="K76" s="273">
        <f t="shared" si="14"/>
        <v>0</v>
      </c>
      <c r="L76" s="273">
        <f t="shared" si="14"/>
        <v>0</v>
      </c>
      <c r="M76" s="273">
        <f t="shared" si="14"/>
        <v>0</v>
      </c>
      <c r="N76" s="273">
        <f t="shared" si="14"/>
        <v>0</v>
      </c>
      <c r="O76" s="273">
        <f t="shared" si="14"/>
        <v>0</v>
      </c>
      <c r="P76" s="273">
        <f t="shared" si="14"/>
        <v>0</v>
      </c>
      <c r="Q76" s="273">
        <f t="shared" si="14"/>
        <v>0</v>
      </c>
      <c r="R76" s="273">
        <f t="shared" si="14"/>
        <v>0</v>
      </c>
      <c r="S76" s="273">
        <f t="shared" si="14"/>
        <v>0</v>
      </c>
      <c r="T76" s="273">
        <f t="shared" si="14"/>
        <v>0</v>
      </c>
      <c r="U76" s="283"/>
      <c r="V76" s="273"/>
      <c r="W76" s="273"/>
      <c r="X76" s="273"/>
      <c r="Y76" s="273"/>
      <c r="Z76" s="273"/>
      <c r="AA76" s="16"/>
      <c r="AB76" s="17"/>
      <c r="AC76" s="17"/>
      <c r="AD76" s="17"/>
    </row>
    <row r="77" spans="1:30" x14ac:dyDescent="0.3">
      <c r="A77" s="252" t="s">
        <v>3596</v>
      </c>
      <c r="B77" s="20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83"/>
      <c r="V77" s="273"/>
      <c r="W77" s="273"/>
      <c r="X77" s="273"/>
      <c r="Y77" s="273"/>
      <c r="Z77" s="273"/>
      <c r="AA77" s="16"/>
      <c r="AB77" s="17"/>
      <c r="AC77" s="17"/>
      <c r="AD77" s="17"/>
    </row>
    <row r="78" spans="1:30" x14ac:dyDescent="0.3">
      <c r="A78" s="250">
        <f>A70+1</f>
        <v>50</v>
      </c>
      <c r="B78" s="20" t="s">
        <v>238</v>
      </c>
      <c r="C78" s="273">
        <f t="shared" ref="C78" si="15">D78+K78+M78+O78+P78+R78+S78+T78</f>
        <v>9756309.9899999984</v>
      </c>
      <c r="D78" s="273"/>
      <c r="E78" s="273"/>
      <c r="F78" s="273"/>
      <c r="G78" s="273"/>
      <c r="H78" s="273"/>
      <c r="I78" s="273"/>
      <c r="J78" s="273"/>
      <c r="K78" s="273"/>
      <c r="L78" s="273">
        <v>267.95999999999998</v>
      </c>
      <c r="M78" s="273">
        <v>4890650.72</v>
      </c>
      <c r="N78" s="273"/>
      <c r="O78" s="273"/>
      <c r="P78" s="273"/>
      <c r="Q78" s="273">
        <v>369</v>
      </c>
      <c r="R78" s="273">
        <v>4865659.2699999996</v>
      </c>
      <c r="S78" s="273"/>
      <c r="T78" s="273">
        <f>SUM(Y78:AD78)</f>
        <v>0</v>
      </c>
      <c r="U78" s="283"/>
      <c r="V78" s="273"/>
      <c r="W78" s="273"/>
      <c r="X78" s="273"/>
      <c r="Y78" s="273"/>
      <c r="Z78" s="273"/>
      <c r="AA78" s="16"/>
      <c r="AB78" s="17"/>
      <c r="AC78" s="17"/>
      <c r="AD78" s="17"/>
    </row>
    <row r="79" spans="1:30" x14ac:dyDescent="0.3">
      <c r="A79" s="250" t="s">
        <v>208</v>
      </c>
      <c r="B79" s="20"/>
      <c r="C79" s="273">
        <f t="shared" ref="C79:T79" si="16">SUM(C78:C78)</f>
        <v>9756309.9899999984</v>
      </c>
      <c r="D79" s="273">
        <f t="shared" si="16"/>
        <v>0</v>
      </c>
      <c r="E79" s="273">
        <f t="shared" si="16"/>
        <v>0</v>
      </c>
      <c r="F79" s="273">
        <f t="shared" si="16"/>
        <v>0</v>
      </c>
      <c r="G79" s="273">
        <f t="shared" si="16"/>
        <v>0</v>
      </c>
      <c r="H79" s="273">
        <f t="shared" si="16"/>
        <v>0</v>
      </c>
      <c r="I79" s="273">
        <f t="shared" si="16"/>
        <v>0</v>
      </c>
      <c r="J79" s="273">
        <f t="shared" si="16"/>
        <v>0</v>
      </c>
      <c r="K79" s="273">
        <f t="shared" si="16"/>
        <v>0</v>
      </c>
      <c r="L79" s="273">
        <f t="shared" si="16"/>
        <v>267.95999999999998</v>
      </c>
      <c r="M79" s="273">
        <f t="shared" si="16"/>
        <v>4890650.72</v>
      </c>
      <c r="N79" s="273">
        <f t="shared" si="16"/>
        <v>0</v>
      </c>
      <c r="O79" s="273">
        <f t="shared" si="16"/>
        <v>0</v>
      </c>
      <c r="P79" s="273">
        <f t="shared" si="16"/>
        <v>0</v>
      </c>
      <c r="Q79" s="273">
        <f t="shared" si="16"/>
        <v>369</v>
      </c>
      <c r="R79" s="273">
        <f t="shared" si="16"/>
        <v>4865659.2699999996</v>
      </c>
      <c r="S79" s="273">
        <f t="shared" si="16"/>
        <v>0</v>
      </c>
      <c r="T79" s="273">
        <f t="shared" si="16"/>
        <v>0</v>
      </c>
      <c r="U79" s="283"/>
      <c r="V79" s="273"/>
      <c r="W79" s="273"/>
      <c r="X79" s="273"/>
      <c r="Y79" s="273"/>
      <c r="Z79" s="273"/>
      <c r="AA79" s="16"/>
      <c r="AB79" s="17"/>
      <c r="AC79" s="17"/>
      <c r="AD79" s="17"/>
    </row>
    <row r="80" spans="1:30" x14ac:dyDescent="0.3">
      <c r="A80" s="252" t="s">
        <v>245</v>
      </c>
      <c r="B80" s="20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83"/>
      <c r="V80" s="273"/>
      <c r="W80" s="273"/>
      <c r="X80" s="273"/>
      <c r="Y80" s="273"/>
      <c r="Z80" s="273"/>
      <c r="AA80" s="16"/>
      <c r="AB80" s="17"/>
      <c r="AC80" s="17"/>
      <c r="AD80" s="17"/>
    </row>
    <row r="81" spans="1:31" x14ac:dyDescent="0.3">
      <c r="A81" s="250">
        <f>A75+1</f>
        <v>53</v>
      </c>
      <c r="B81" s="20" t="s">
        <v>219</v>
      </c>
      <c r="C81" s="273">
        <f t="shared" ref="C81:C85" si="17">D81+K81+M81+O81+P81+R81+S81+T81</f>
        <v>5596066.7999999998</v>
      </c>
      <c r="D81" s="273"/>
      <c r="E81" s="273"/>
      <c r="F81" s="273"/>
      <c r="G81" s="273"/>
      <c r="H81" s="273"/>
      <c r="I81" s="273"/>
      <c r="J81" s="273">
        <v>1213</v>
      </c>
      <c r="K81" s="273">
        <v>5596066.7999999998</v>
      </c>
      <c r="L81" s="273"/>
      <c r="M81" s="273"/>
      <c r="N81" s="273"/>
      <c r="O81" s="273"/>
      <c r="P81" s="273"/>
      <c r="Q81" s="273"/>
      <c r="R81" s="273"/>
      <c r="S81" s="273"/>
      <c r="T81" s="273"/>
      <c r="U81" s="283"/>
      <c r="V81" s="273"/>
      <c r="W81" s="273"/>
      <c r="X81" s="273"/>
      <c r="Y81" s="273"/>
      <c r="Z81" s="273"/>
      <c r="AA81" s="16"/>
      <c r="AB81" s="17"/>
      <c r="AC81" s="17"/>
      <c r="AD81" s="17"/>
    </row>
    <row r="82" spans="1:31" x14ac:dyDescent="0.3">
      <c r="A82" s="250">
        <f>A78+1</f>
        <v>51</v>
      </c>
      <c r="B82" s="20" t="s">
        <v>247</v>
      </c>
      <c r="C82" s="273">
        <f t="shared" si="17"/>
        <v>771887.16999999993</v>
      </c>
      <c r="D82" s="273"/>
      <c r="E82" s="273"/>
      <c r="F82" s="273"/>
      <c r="G82" s="273"/>
      <c r="H82" s="273"/>
      <c r="I82" s="273"/>
      <c r="J82" s="273">
        <v>650</v>
      </c>
      <c r="K82" s="273"/>
      <c r="L82" s="273"/>
      <c r="M82" s="273"/>
      <c r="N82" s="273"/>
      <c r="O82" s="273"/>
      <c r="P82" s="273"/>
      <c r="Q82" s="273"/>
      <c r="R82" s="273"/>
      <c r="S82" s="273"/>
      <c r="T82" s="273">
        <f>SUM(Y82:AD82)</f>
        <v>771887.16999999993</v>
      </c>
      <c r="U82" s="283"/>
      <c r="V82" s="273"/>
      <c r="W82" s="273"/>
      <c r="X82" s="273"/>
      <c r="Y82" s="273">
        <v>113504.09</v>
      </c>
      <c r="AA82" s="273">
        <v>204595.64</v>
      </c>
      <c r="AB82" s="17">
        <v>453787.44</v>
      </c>
      <c r="AD82" s="17"/>
    </row>
    <row r="83" spans="1:31" x14ac:dyDescent="0.3">
      <c r="A83" s="250">
        <f>A88+1</f>
        <v>52</v>
      </c>
      <c r="B83" s="20" t="s">
        <v>256</v>
      </c>
      <c r="C83" s="273">
        <f t="shared" si="17"/>
        <v>1430740.8</v>
      </c>
      <c r="D83" s="273">
        <f>E83+F83+F93+H83+I83</f>
        <v>1430740.8</v>
      </c>
      <c r="E83" s="273">
        <v>1430740.8</v>
      </c>
      <c r="F83" s="273"/>
      <c r="G83" s="259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83"/>
      <c r="V83" s="273"/>
      <c r="W83" s="273"/>
      <c r="X83" s="273"/>
      <c r="Y83" s="273"/>
      <c r="Z83" s="273"/>
      <c r="AA83" s="16"/>
      <c r="AB83" s="17"/>
      <c r="AC83" s="17"/>
      <c r="AD83" s="17"/>
    </row>
    <row r="84" spans="1:31" x14ac:dyDescent="0.3">
      <c r="A84" s="250">
        <f>A83+1</f>
        <v>53</v>
      </c>
      <c r="B84" s="20" t="s">
        <v>258</v>
      </c>
      <c r="C84" s="273">
        <f t="shared" si="17"/>
        <v>1422656.4</v>
      </c>
      <c r="D84" s="273">
        <f>E84+F84+F94+H84+I84</f>
        <v>1422656.4</v>
      </c>
      <c r="E84" s="273">
        <v>1422656.4</v>
      </c>
      <c r="F84" s="273"/>
      <c r="G84" s="259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83"/>
      <c r="V84" s="273"/>
      <c r="W84" s="273"/>
      <c r="X84" s="273"/>
      <c r="Y84" s="273"/>
      <c r="Z84" s="273"/>
      <c r="AA84" s="16"/>
      <c r="AB84" s="17"/>
      <c r="AC84" s="17"/>
      <c r="AD84" s="17"/>
    </row>
    <row r="85" spans="1:31" x14ac:dyDescent="0.3">
      <c r="A85" s="250">
        <f>A84+1</f>
        <v>54</v>
      </c>
      <c r="B85" s="20" t="s">
        <v>259</v>
      </c>
      <c r="C85" s="273">
        <f t="shared" si="17"/>
        <v>1422656.4</v>
      </c>
      <c r="D85" s="273">
        <f>E85+F85+F95+H85+I85</f>
        <v>1422656.4</v>
      </c>
      <c r="E85" s="273">
        <v>1422656.4</v>
      </c>
      <c r="F85" s="273"/>
      <c r="G85" s="259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83"/>
      <c r="V85" s="273"/>
      <c r="W85" s="273"/>
      <c r="X85" s="273"/>
      <c r="Y85" s="273"/>
      <c r="Z85" s="273"/>
      <c r="AA85" s="16"/>
      <c r="AB85" s="17"/>
      <c r="AC85" s="17"/>
      <c r="AD85" s="17"/>
    </row>
    <row r="86" spans="1:31" x14ac:dyDescent="0.3">
      <c r="A86" s="250" t="s">
        <v>208</v>
      </c>
      <c r="B86" s="20"/>
      <c r="C86" s="273">
        <f>SUM(C81:C85)</f>
        <v>10644007.57</v>
      </c>
      <c r="D86" s="273">
        <f t="shared" ref="D86:T86" si="18">SUM(D81:D85)</f>
        <v>4276053.5999999996</v>
      </c>
      <c r="E86" s="273">
        <f t="shared" si="18"/>
        <v>4276053.5999999996</v>
      </c>
      <c r="F86" s="273">
        <f t="shared" si="18"/>
        <v>0</v>
      </c>
      <c r="G86" s="273">
        <f t="shared" si="18"/>
        <v>0</v>
      </c>
      <c r="H86" s="273">
        <f t="shared" si="18"/>
        <v>0</v>
      </c>
      <c r="I86" s="273">
        <f t="shared" si="18"/>
        <v>0</v>
      </c>
      <c r="J86" s="273">
        <f t="shared" si="18"/>
        <v>1863</v>
      </c>
      <c r="K86" s="273">
        <f t="shared" si="18"/>
        <v>5596066.7999999998</v>
      </c>
      <c r="L86" s="273">
        <f t="shared" si="18"/>
        <v>0</v>
      </c>
      <c r="M86" s="273">
        <f t="shared" si="18"/>
        <v>0</v>
      </c>
      <c r="N86" s="273">
        <f t="shared" si="18"/>
        <v>0</v>
      </c>
      <c r="O86" s="273">
        <f t="shared" si="18"/>
        <v>0</v>
      </c>
      <c r="P86" s="273">
        <f t="shared" si="18"/>
        <v>0</v>
      </c>
      <c r="Q86" s="273">
        <f t="shared" si="18"/>
        <v>0</v>
      </c>
      <c r="R86" s="273">
        <f t="shared" si="18"/>
        <v>0</v>
      </c>
      <c r="S86" s="273">
        <f t="shared" si="18"/>
        <v>0</v>
      </c>
      <c r="T86" s="273">
        <f t="shared" si="18"/>
        <v>771887.16999999993</v>
      </c>
      <c r="U86" s="283"/>
      <c r="V86" s="273"/>
      <c r="W86" s="273"/>
      <c r="X86" s="273"/>
      <c r="Y86" s="273"/>
      <c r="Z86" s="273"/>
      <c r="AA86" s="16"/>
      <c r="AB86" s="17"/>
      <c r="AC86" s="17"/>
      <c r="AD86" s="17"/>
    </row>
    <row r="87" spans="1:31" x14ac:dyDescent="0.3">
      <c r="A87" s="252" t="s">
        <v>3597</v>
      </c>
      <c r="B87" s="20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83"/>
      <c r="V87" s="273"/>
      <c r="W87" s="273"/>
      <c r="X87" s="273"/>
      <c r="Y87" s="273"/>
      <c r="Z87" s="273"/>
      <c r="AA87" s="16"/>
      <c r="AB87" s="17"/>
      <c r="AC87" s="17"/>
      <c r="AD87" s="17"/>
    </row>
    <row r="88" spans="1:31" x14ac:dyDescent="0.3">
      <c r="A88" s="250">
        <f>A71+1</f>
        <v>51</v>
      </c>
      <c r="B88" s="20" t="s">
        <v>249</v>
      </c>
      <c r="C88" s="273">
        <f>D88+K88+M88+O88+P88+R88+S88+T88</f>
        <v>3227594.4</v>
      </c>
      <c r="D88" s="273"/>
      <c r="E88" s="273"/>
      <c r="F88" s="273"/>
      <c r="G88" s="273"/>
      <c r="H88" s="273"/>
      <c r="I88" s="273"/>
      <c r="J88" s="273">
        <v>751.95</v>
      </c>
      <c r="K88" s="273">
        <v>3227594.4</v>
      </c>
      <c r="L88" s="273"/>
      <c r="M88" s="273"/>
      <c r="N88" s="273"/>
      <c r="O88" s="273"/>
      <c r="P88" s="273"/>
      <c r="Q88" s="273"/>
      <c r="R88" s="273"/>
      <c r="S88" s="273"/>
      <c r="T88" s="273">
        <f>SUM(Y88:AD88)</f>
        <v>0</v>
      </c>
      <c r="U88" s="283"/>
      <c r="V88" s="273"/>
      <c r="W88" s="273"/>
      <c r="X88" s="273"/>
      <c r="Y88" s="273"/>
      <c r="Z88" s="273"/>
      <c r="AA88" s="16"/>
      <c r="AB88" s="17"/>
      <c r="AC88" s="17"/>
      <c r="AD88" s="17"/>
    </row>
    <row r="89" spans="1:31" x14ac:dyDescent="0.3">
      <c r="A89" s="250" t="s">
        <v>208</v>
      </c>
      <c r="B89" s="20"/>
      <c r="C89" s="273">
        <f>SUM(C88)</f>
        <v>3227594.4</v>
      </c>
      <c r="D89" s="273">
        <f t="shared" ref="D89:T89" si="19">SUM(D88)</f>
        <v>0</v>
      </c>
      <c r="E89" s="273">
        <f t="shared" si="19"/>
        <v>0</v>
      </c>
      <c r="F89" s="273">
        <f t="shared" si="19"/>
        <v>0</v>
      </c>
      <c r="G89" s="273">
        <f t="shared" si="19"/>
        <v>0</v>
      </c>
      <c r="H89" s="273">
        <f t="shared" si="19"/>
        <v>0</v>
      </c>
      <c r="I89" s="273">
        <f t="shared" si="19"/>
        <v>0</v>
      </c>
      <c r="J89" s="273">
        <f t="shared" si="19"/>
        <v>751.95</v>
      </c>
      <c r="K89" s="273">
        <f t="shared" si="19"/>
        <v>3227594.4</v>
      </c>
      <c r="L89" s="273">
        <f t="shared" si="19"/>
        <v>0</v>
      </c>
      <c r="M89" s="273">
        <f t="shared" si="19"/>
        <v>0</v>
      </c>
      <c r="N89" s="273">
        <f t="shared" si="19"/>
        <v>0</v>
      </c>
      <c r="O89" s="273">
        <f t="shared" si="19"/>
        <v>0</v>
      </c>
      <c r="P89" s="273">
        <f t="shared" si="19"/>
        <v>0</v>
      </c>
      <c r="Q89" s="273">
        <f t="shared" si="19"/>
        <v>0</v>
      </c>
      <c r="R89" s="273">
        <f t="shared" si="19"/>
        <v>0</v>
      </c>
      <c r="S89" s="273">
        <f t="shared" si="19"/>
        <v>0</v>
      </c>
      <c r="T89" s="273">
        <f t="shared" si="19"/>
        <v>0</v>
      </c>
      <c r="U89" s="283"/>
      <c r="V89" s="273"/>
      <c r="W89" s="273"/>
      <c r="X89" s="273"/>
      <c r="Y89" s="273"/>
      <c r="Z89" s="273"/>
      <c r="AA89" s="16"/>
      <c r="AB89" s="17"/>
      <c r="AC89" s="17"/>
      <c r="AD89" s="17"/>
    </row>
    <row r="90" spans="1:31" x14ac:dyDescent="0.3">
      <c r="A90" s="319" t="s">
        <v>260</v>
      </c>
      <c r="B90" s="320"/>
      <c r="C90" s="251">
        <f>C72+C76+C79+C86+C89</f>
        <v>61712364.189999998</v>
      </c>
      <c r="D90" s="251">
        <f t="shared" ref="D90:T90" si="20">D72+D76+D79+D86+D89</f>
        <v>30792378.630000003</v>
      </c>
      <c r="E90" s="251">
        <f t="shared" si="20"/>
        <v>4276053.5999999996</v>
      </c>
      <c r="F90" s="251">
        <f t="shared" si="20"/>
        <v>15196398.48</v>
      </c>
      <c r="G90" s="251">
        <f t="shared" si="20"/>
        <v>3702641.95</v>
      </c>
      <c r="H90" s="251">
        <f t="shared" si="20"/>
        <v>6576895.4000000004</v>
      </c>
      <c r="I90" s="251">
        <f t="shared" si="20"/>
        <v>1040389.2</v>
      </c>
      <c r="J90" s="251">
        <f t="shared" si="20"/>
        <v>4719.95</v>
      </c>
      <c r="K90" s="251">
        <f t="shared" si="20"/>
        <v>20391788.399999999</v>
      </c>
      <c r="L90" s="251">
        <f t="shared" si="20"/>
        <v>267.95999999999998</v>
      </c>
      <c r="M90" s="251">
        <f t="shared" si="20"/>
        <v>4890650.72</v>
      </c>
      <c r="N90" s="251">
        <f t="shared" si="20"/>
        <v>0</v>
      </c>
      <c r="O90" s="251">
        <f t="shared" si="20"/>
        <v>0</v>
      </c>
      <c r="P90" s="251">
        <f t="shared" si="20"/>
        <v>0</v>
      </c>
      <c r="Q90" s="251">
        <f t="shared" si="20"/>
        <v>369</v>
      </c>
      <c r="R90" s="251">
        <f t="shared" si="20"/>
        <v>4865659.2699999996</v>
      </c>
      <c r="S90" s="251">
        <f t="shared" si="20"/>
        <v>0</v>
      </c>
      <c r="T90" s="251">
        <f t="shared" si="20"/>
        <v>771887.16999999993</v>
      </c>
      <c r="U90" s="271"/>
      <c r="V90" s="271"/>
      <c r="W90" s="271"/>
      <c r="X90" s="271"/>
      <c r="Y90" s="271"/>
      <c r="Z90" s="269"/>
      <c r="AA90" s="84"/>
      <c r="AB90" s="82"/>
      <c r="AC90" s="82"/>
      <c r="AD90" s="82"/>
    </row>
    <row r="91" spans="1:31" ht="18.75" customHeight="1" x14ac:dyDescent="0.3">
      <c r="A91" s="321" t="s">
        <v>3124</v>
      </c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3"/>
      <c r="U91" s="85"/>
      <c r="V91" s="277"/>
      <c r="W91" s="277"/>
      <c r="X91" s="277"/>
      <c r="Y91" s="277"/>
      <c r="Z91" s="277"/>
      <c r="AA91" s="251"/>
      <c r="AB91" s="251"/>
      <c r="AC91" s="251"/>
      <c r="AD91" s="17"/>
      <c r="AE91" s="13"/>
    </row>
    <row r="92" spans="1:31" x14ac:dyDescent="0.3">
      <c r="A92" s="327" t="s">
        <v>261</v>
      </c>
      <c r="B92" s="328"/>
      <c r="C92" s="273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1"/>
      <c r="U92" s="246"/>
      <c r="V92" s="277"/>
      <c r="W92" s="277"/>
      <c r="X92" s="277"/>
      <c r="Y92" s="277"/>
      <c r="Z92" s="277"/>
      <c r="AA92" s="277"/>
      <c r="AB92" s="16"/>
      <c r="AC92" s="17"/>
      <c r="AD92" s="17"/>
      <c r="AE92" s="13"/>
    </row>
    <row r="93" spans="1:31" x14ac:dyDescent="0.3">
      <c r="A93" s="250">
        <f>A85+1</f>
        <v>55</v>
      </c>
      <c r="B93" s="20" t="s">
        <v>262</v>
      </c>
      <c r="C93" s="273">
        <f t="shared" ref="C93:C97" si="21">D93+K93+M93+O93+P93+R93+S93+T93</f>
        <v>381893.62</v>
      </c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>
        <v>381893.62</v>
      </c>
      <c r="U93" s="283"/>
      <c r="V93" s="273"/>
      <c r="W93" s="273"/>
      <c r="X93" s="273"/>
      <c r="Y93" s="273"/>
      <c r="Z93" s="273"/>
      <c r="AA93" s="273">
        <v>381893.62</v>
      </c>
      <c r="AB93" s="16"/>
      <c r="AC93" s="17"/>
      <c r="AD93" s="17"/>
      <c r="AE93" s="13"/>
    </row>
    <row r="94" spans="1:31" x14ac:dyDescent="0.3">
      <c r="A94" s="250">
        <f>A93+1</f>
        <v>56</v>
      </c>
      <c r="B94" s="20" t="s">
        <v>263</v>
      </c>
      <c r="C94" s="273">
        <f t="shared" si="21"/>
        <v>381893.62</v>
      </c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>
        <v>381893.62</v>
      </c>
      <c r="U94" s="283"/>
      <c r="V94" s="273"/>
      <c r="W94" s="273"/>
      <c r="X94" s="273"/>
      <c r="Y94" s="273"/>
      <c r="Z94" s="273"/>
      <c r="AA94" s="273">
        <v>381893.62</v>
      </c>
      <c r="AB94" s="16"/>
      <c r="AC94" s="17"/>
      <c r="AD94" s="17"/>
      <c r="AE94" s="13"/>
    </row>
    <row r="95" spans="1:31" x14ac:dyDescent="0.3">
      <c r="A95" s="250">
        <f>A94+1</f>
        <v>57</v>
      </c>
      <c r="B95" s="20" t="s">
        <v>264</v>
      </c>
      <c r="C95" s="273">
        <f t="shared" si="21"/>
        <v>195449.24</v>
      </c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>
        <v>195449.24</v>
      </c>
      <c r="U95" s="283"/>
      <c r="V95" s="273"/>
      <c r="W95" s="273"/>
      <c r="X95" s="273"/>
      <c r="Y95" s="273"/>
      <c r="Z95" s="273"/>
      <c r="AA95" s="273">
        <v>195449.24</v>
      </c>
      <c r="AB95" s="16"/>
      <c r="AC95" s="17"/>
      <c r="AD95" s="17"/>
      <c r="AE95" s="13"/>
    </row>
    <row r="96" spans="1:31" x14ac:dyDescent="0.3">
      <c r="A96" s="250">
        <f>A95+1</f>
        <v>58</v>
      </c>
      <c r="B96" s="20" t="s">
        <v>265</v>
      </c>
      <c r="C96" s="273">
        <f t="shared" si="21"/>
        <v>381893.62</v>
      </c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>
        <v>381893.62</v>
      </c>
      <c r="U96" s="283"/>
      <c r="V96" s="273"/>
      <c r="W96" s="273"/>
      <c r="X96" s="273"/>
      <c r="Y96" s="273"/>
      <c r="Z96" s="273"/>
      <c r="AA96" s="273">
        <v>381893.62</v>
      </c>
      <c r="AB96" s="16"/>
      <c r="AC96" s="17"/>
      <c r="AD96" s="17"/>
      <c r="AE96" s="13"/>
    </row>
    <row r="97" spans="1:31" x14ac:dyDescent="0.3">
      <c r="A97" s="250">
        <f>A96+1</f>
        <v>59</v>
      </c>
      <c r="B97" s="20" t="s">
        <v>266</v>
      </c>
      <c r="C97" s="273">
        <f t="shared" si="21"/>
        <v>381893.62</v>
      </c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>
        <v>381893.62</v>
      </c>
      <c r="U97" s="283"/>
      <c r="V97" s="273"/>
      <c r="W97" s="273"/>
      <c r="X97" s="273"/>
      <c r="Y97" s="273"/>
      <c r="Z97" s="273"/>
      <c r="AA97" s="273">
        <v>381893.62</v>
      </c>
      <c r="AB97" s="16"/>
      <c r="AC97" s="17"/>
      <c r="AD97" s="17"/>
      <c r="AE97" s="13"/>
    </row>
    <row r="98" spans="1:31" x14ac:dyDescent="0.3">
      <c r="A98" s="250"/>
      <c r="B98" s="250" t="s">
        <v>208</v>
      </c>
      <c r="C98" s="273">
        <f>SUM(C93:C97)</f>
        <v>1723023.7200000002</v>
      </c>
      <c r="D98" s="273">
        <f t="shared" ref="D98:T98" si="22">SUM(D93:D97)</f>
        <v>0</v>
      </c>
      <c r="E98" s="273">
        <f t="shared" si="22"/>
        <v>0</v>
      </c>
      <c r="F98" s="273">
        <f t="shared" si="22"/>
        <v>0</v>
      </c>
      <c r="G98" s="273">
        <f t="shared" si="22"/>
        <v>0</v>
      </c>
      <c r="H98" s="273">
        <f t="shared" si="22"/>
        <v>0</v>
      </c>
      <c r="I98" s="273">
        <f t="shared" si="22"/>
        <v>0</v>
      </c>
      <c r="J98" s="273">
        <f t="shared" si="22"/>
        <v>0</v>
      </c>
      <c r="K98" s="273">
        <f t="shared" si="22"/>
        <v>0</v>
      </c>
      <c r="L98" s="273">
        <f t="shared" si="22"/>
        <v>0</v>
      </c>
      <c r="M98" s="273">
        <f t="shared" si="22"/>
        <v>0</v>
      </c>
      <c r="N98" s="273">
        <f t="shared" si="22"/>
        <v>0</v>
      </c>
      <c r="O98" s="273">
        <f t="shared" si="22"/>
        <v>0</v>
      </c>
      <c r="P98" s="273">
        <f t="shared" si="22"/>
        <v>0</v>
      </c>
      <c r="Q98" s="273">
        <f t="shared" si="22"/>
        <v>0</v>
      </c>
      <c r="R98" s="273">
        <f t="shared" si="22"/>
        <v>0</v>
      </c>
      <c r="S98" s="273">
        <f t="shared" si="22"/>
        <v>0</v>
      </c>
      <c r="T98" s="273">
        <f t="shared" si="22"/>
        <v>1723023.7200000002</v>
      </c>
      <c r="U98" s="283"/>
      <c r="V98" s="273"/>
      <c r="W98" s="273"/>
      <c r="X98" s="273"/>
      <c r="Y98" s="273"/>
      <c r="Z98" s="273"/>
      <c r="AA98" s="273"/>
      <c r="AB98" s="16"/>
      <c r="AC98" s="17"/>
      <c r="AD98" s="17"/>
      <c r="AE98" s="13"/>
    </row>
    <row r="99" spans="1:31" x14ac:dyDescent="0.3">
      <c r="A99" s="327" t="s">
        <v>277</v>
      </c>
      <c r="B99" s="328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83"/>
      <c r="V99" s="273"/>
      <c r="W99" s="273"/>
      <c r="X99" s="273"/>
      <c r="Y99" s="273"/>
      <c r="Z99" s="273"/>
      <c r="AA99" s="273"/>
      <c r="AB99" s="16"/>
      <c r="AC99" s="17"/>
      <c r="AD99" s="17"/>
      <c r="AE99" s="13"/>
    </row>
    <row r="100" spans="1:31" x14ac:dyDescent="0.3">
      <c r="A100" s="250">
        <f>A97+1</f>
        <v>60</v>
      </c>
      <c r="B100" s="20" t="s">
        <v>287</v>
      </c>
      <c r="C100" s="273">
        <f t="shared" ref="C100" si="23">D100+K100+M100+O100+P100+R100+S100+T100</f>
        <v>948582.07</v>
      </c>
      <c r="D100" s="273">
        <f>E100+F100+G100+H100+I100</f>
        <v>0</v>
      </c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>
        <v>948582.07</v>
      </c>
      <c r="U100" s="283">
        <v>223813.45</v>
      </c>
      <c r="V100" s="273">
        <v>278169.46000000002</v>
      </c>
      <c r="W100" s="273">
        <f>223813.45</f>
        <v>223813.45</v>
      </c>
      <c r="X100" s="273">
        <v>222785.71</v>
      </c>
      <c r="Y100" s="273"/>
      <c r="Z100" s="273"/>
      <c r="AA100" s="273"/>
      <c r="AB100" s="16"/>
      <c r="AC100" s="17"/>
      <c r="AD100" s="17"/>
      <c r="AE100" s="13"/>
    </row>
    <row r="101" spans="1:31" x14ac:dyDescent="0.3">
      <c r="A101" s="250"/>
      <c r="B101" s="250" t="s">
        <v>208</v>
      </c>
      <c r="C101" s="273">
        <f t="shared" ref="C101:T101" si="24">SUM(C100:C100)</f>
        <v>948582.07</v>
      </c>
      <c r="D101" s="273">
        <f t="shared" si="24"/>
        <v>0</v>
      </c>
      <c r="E101" s="273">
        <f t="shared" si="24"/>
        <v>0</v>
      </c>
      <c r="F101" s="273">
        <f t="shared" si="24"/>
        <v>0</v>
      </c>
      <c r="G101" s="273">
        <f t="shared" si="24"/>
        <v>0</v>
      </c>
      <c r="H101" s="273">
        <f t="shared" si="24"/>
        <v>0</v>
      </c>
      <c r="I101" s="273">
        <f t="shared" si="24"/>
        <v>0</v>
      </c>
      <c r="J101" s="273">
        <f t="shared" si="24"/>
        <v>0</v>
      </c>
      <c r="K101" s="273">
        <f t="shared" si="24"/>
        <v>0</v>
      </c>
      <c r="L101" s="273">
        <f t="shared" si="24"/>
        <v>0</v>
      </c>
      <c r="M101" s="273">
        <f t="shared" si="24"/>
        <v>0</v>
      </c>
      <c r="N101" s="273">
        <f t="shared" si="24"/>
        <v>0</v>
      </c>
      <c r="O101" s="273">
        <f t="shared" si="24"/>
        <v>0</v>
      </c>
      <c r="P101" s="273">
        <f t="shared" si="24"/>
        <v>0</v>
      </c>
      <c r="Q101" s="273">
        <f t="shared" si="24"/>
        <v>0</v>
      </c>
      <c r="R101" s="273">
        <f t="shared" si="24"/>
        <v>0</v>
      </c>
      <c r="S101" s="273">
        <f t="shared" si="24"/>
        <v>0</v>
      </c>
      <c r="T101" s="273">
        <f t="shared" si="24"/>
        <v>948582.07</v>
      </c>
      <c r="U101" s="283"/>
      <c r="V101" s="273"/>
      <c r="W101" s="273"/>
      <c r="X101" s="273"/>
      <c r="Y101" s="273"/>
      <c r="Z101" s="273"/>
      <c r="AA101" s="273"/>
      <c r="AB101" s="16"/>
      <c r="AC101" s="17"/>
      <c r="AD101" s="17"/>
      <c r="AE101" s="13"/>
    </row>
    <row r="102" spans="1:31" x14ac:dyDescent="0.3">
      <c r="A102" s="327" t="s">
        <v>313</v>
      </c>
      <c r="B102" s="328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83"/>
      <c r="V102" s="273"/>
      <c r="W102" s="273"/>
      <c r="X102" s="273"/>
      <c r="Y102" s="273"/>
      <c r="Z102" s="273"/>
      <c r="AA102" s="273"/>
      <c r="AB102" s="16"/>
      <c r="AC102" s="17"/>
      <c r="AD102" s="17"/>
      <c r="AE102" s="13"/>
    </row>
    <row r="103" spans="1:31" x14ac:dyDescent="0.3">
      <c r="A103" s="250">
        <f>A100+1</f>
        <v>61</v>
      </c>
      <c r="B103" s="20" t="s">
        <v>348</v>
      </c>
      <c r="C103" s="273">
        <f t="shared" ref="C103:C137" si="25">D103+K103+M103+O103+P103+R103+S103+T103</f>
        <v>1315440</v>
      </c>
      <c r="D103" s="273">
        <f t="shared" ref="D103:D137" si="26">E103+F103+G103+H103+I103</f>
        <v>1315440</v>
      </c>
      <c r="E103" s="273"/>
      <c r="F103" s="273">
        <v>1010684</v>
      </c>
      <c r="G103" s="273">
        <v>110018</v>
      </c>
      <c r="H103" s="273"/>
      <c r="I103" s="273">
        <v>194738</v>
      </c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83"/>
      <c r="V103" s="86"/>
      <c r="W103" s="86"/>
      <c r="X103" s="86"/>
      <c r="Y103" s="86"/>
      <c r="Z103" s="86"/>
      <c r="AA103" s="86"/>
      <c r="AB103" s="87"/>
      <c r="AC103" s="86"/>
      <c r="AD103" s="86"/>
      <c r="AE103" s="13"/>
    </row>
    <row r="104" spans="1:31" x14ac:dyDescent="0.3">
      <c r="A104" s="250">
        <f t="shared" ref="A104:A137" si="27">A103+1</f>
        <v>62</v>
      </c>
      <c r="B104" s="20" t="s">
        <v>355</v>
      </c>
      <c r="C104" s="273">
        <f t="shared" si="25"/>
        <v>419564.4</v>
      </c>
      <c r="D104" s="273">
        <f t="shared" si="26"/>
        <v>419564.4</v>
      </c>
      <c r="E104" s="273">
        <v>419564.4</v>
      </c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83"/>
      <c r="V104" s="87"/>
      <c r="W104" s="86"/>
      <c r="X104" s="86"/>
      <c r="Y104" s="86"/>
      <c r="Z104" s="86"/>
      <c r="AA104" s="86"/>
      <c r="AB104" s="87"/>
      <c r="AC104" s="86"/>
      <c r="AD104" s="86"/>
      <c r="AE104" s="13"/>
    </row>
    <row r="105" spans="1:31" x14ac:dyDescent="0.3">
      <c r="A105" s="250">
        <f t="shared" si="27"/>
        <v>63</v>
      </c>
      <c r="B105" s="20" t="s">
        <v>359</v>
      </c>
      <c r="C105" s="273">
        <f t="shared" si="25"/>
        <v>872274.44</v>
      </c>
      <c r="D105" s="273">
        <f t="shared" si="26"/>
        <v>872274.44</v>
      </c>
      <c r="E105" s="273">
        <v>363744</v>
      </c>
      <c r="F105" s="273"/>
      <c r="G105" s="273"/>
      <c r="H105" s="273"/>
      <c r="I105" s="273">
        <v>508530.44</v>
      </c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83"/>
      <c r="V105" s="86"/>
      <c r="W105" s="86"/>
      <c r="X105" s="86"/>
      <c r="Y105" s="87"/>
      <c r="Z105" s="86"/>
      <c r="AA105" s="87"/>
      <c r="AB105" s="87"/>
      <c r="AC105" s="87"/>
      <c r="AD105" s="87"/>
      <c r="AE105" s="13"/>
    </row>
    <row r="106" spans="1:31" x14ac:dyDescent="0.3">
      <c r="A106" s="250">
        <f t="shared" si="27"/>
        <v>64</v>
      </c>
      <c r="B106" s="20" t="s">
        <v>362</v>
      </c>
      <c r="C106" s="273">
        <f t="shared" si="25"/>
        <v>353869.2</v>
      </c>
      <c r="D106" s="273">
        <f t="shared" si="26"/>
        <v>353869.2</v>
      </c>
      <c r="E106" s="273">
        <v>353869.2</v>
      </c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83"/>
      <c r="V106" s="87"/>
      <c r="W106" s="87"/>
      <c r="X106" s="87"/>
      <c r="Y106" s="87"/>
      <c r="Z106" s="87"/>
      <c r="AA106" s="87"/>
      <c r="AB106" s="87"/>
      <c r="AC106" s="87"/>
      <c r="AD106" s="87"/>
      <c r="AE106" s="13"/>
    </row>
    <row r="107" spans="1:31" x14ac:dyDescent="0.3">
      <c r="A107" s="250">
        <f t="shared" si="27"/>
        <v>65</v>
      </c>
      <c r="B107" s="20" t="s">
        <v>363</v>
      </c>
      <c r="C107" s="273">
        <f t="shared" si="25"/>
        <v>428757.6</v>
      </c>
      <c r="D107" s="273">
        <f t="shared" si="26"/>
        <v>428757.6</v>
      </c>
      <c r="E107" s="273">
        <v>428757.6</v>
      </c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83"/>
      <c r="V107" s="87"/>
      <c r="W107" s="87"/>
      <c r="X107" s="87"/>
      <c r="Y107" s="87"/>
      <c r="Z107" s="87"/>
      <c r="AA107" s="87"/>
      <c r="AB107" s="87"/>
      <c r="AC107" s="87"/>
      <c r="AD107" s="87"/>
      <c r="AE107" s="13"/>
    </row>
    <row r="108" spans="1:31" x14ac:dyDescent="0.3">
      <c r="A108" s="250">
        <f t="shared" si="27"/>
        <v>66</v>
      </c>
      <c r="B108" s="20" t="s">
        <v>364</v>
      </c>
      <c r="C108" s="273">
        <f t="shared" si="25"/>
        <v>496694.4</v>
      </c>
      <c r="D108" s="273">
        <f t="shared" si="26"/>
        <v>496694.4</v>
      </c>
      <c r="E108" s="273">
        <v>350128.8</v>
      </c>
      <c r="F108" s="273"/>
      <c r="G108" s="273"/>
      <c r="H108" s="273"/>
      <c r="I108" s="273">
        <v>146565.6</v>
      </c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83"/>
      <c r="V108" s="87"/>
      <c r="W108" s="87"/>
      <c r="X108" s="87"/>
      <c r="Y108" s="87"/>
      <c r="Z108" s="87"/>
      <c r="AA108" s="87"/>
      <c r="AB108" s="87"/>
      <c r="AC108" s="87"/>
      <c r="AD108" s="87"/>
      <c r="AE108" s="13"/>
    </row>
    <row r="109" spans="1:31" x14ac:dyDescent="0.3">
      <c r="A109" s="250">
        <f t="shared" si="27"/>
        <v>67</v>
      </c>
      <c r="B109" s="20" t="s">
        <v>365</v>
      </c>
      <c r="C109" s="273">
        <f t="shared" si="25"/>
        <v>1121277.6000000001</v>
      </c>
      <c r="D109" s="273">
        <f t="shared" si="26"/>
        <v>1121277.6000000001</v>
      </c>
      <c r="E109" s="273">
        <v>341286</v>
      </c>
      <c r="F109" s="273">
        <v>674784</v>
      </c>
      <c r="G109" s="273"/>
      <c r="H109" s="273"/>
      <c r="I109" s="273">
        <v>105207.6</v>
      </c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83"/>
      <c r="V109" s="87"/>
      <c r="W109" s="87"/>
      <c r="X109" s="87"/>
      <c r="Y109" s="87"/>
      <c r="Z109" s="87"/>
      <c r="AA109" s="87"/>
      <c r="AB109" s="87"/>
      <c r="AC109" s="87"/>
      <c r="AD109" s="87"/>
      <c r="AE109" s="13"/>
    </row>
    <row r="110" spans="1:31" x14ac:dyDescent="0.3">
      <c r="A110" s="250">
        <f t="shared" si="27"/>
        <v>68</v>
      </c>
      <c r="B110" s="20" t="s">
        <v>367</v>
      </c>
      <c r="C110" s="273">
        <f t="shared" si="25"/>
        <v>1509468</v>
      </c>
      <c r="D110" s="273">
        <f t="shared" si="26"/>
        <v>1509468</v>
      </c>
      <c r="E110" s="273">
        <v>550179.6</v>
      </c>
      <c r="F110" s="273">
        <v>959288.4</v>
      </c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83"/>
      <c r="V110" s="87"/>
      <c r="W110" s="87"/>
      <c r="X110" s="87"/>
      <c r="Y110" s="87"/>
      <c r="Z110" s="87"/>
      <c r="AA110" s="87"/>
      <c r="AB110" s="87"/>
      <c r="AC110" s="87"/>
      <c r="AD110" s="87"/>
      <c r="AE110" s="13"/>
    </row>
    <row r="111" spans="1:31" x14ac:dyDescent="0.3">
      <c r="A111" s="250">
        <f t="shared" si="27"/>
        <v>69</v>
      </c>
      <c r="B111" s="20" t="s">
        <v>373</v>
      </c>
      <c r="C111" s="273">
        <f t="shared" si="25"/>
        <v>863883.6</v>
      </c>
      <c r="D111" s="273">
        <f t="shared" si="26"/>
        <v>863883.6</v>
      </c>
      <c r="E111" s="273">
        <v>302372.40000000002</v>
      </c>
      <c r="F111" s="273"/>
      <c r="G111" s="273"/>
      <c r="H111" s="273"/>
      <c r="I111" s="273">
        <v>561511.19999999995</v>
      </c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83"/>
      <c r="V111" s="273"/>
      <c r="W111" s="87"/>
      <c r="X111" s="87"/>
      <c r="Y111" s="87"/>
      <c r="Z111" s="87"/>
      <c r="AA111" s="87"/>
      <c r="AB111" s="87"/>
      <c r="AC111" s="87"/>
      <c r="AD111" s="87"/>
      <c r="AE111" s="13"/>
    </row>
    <row r="112" spans="1:31" x14ac:dyDescent="0.3">
      <c r="A112" s="250">
        <f t="shared" si="27"/>
        <v>70</v>
      </c>
      <c r="B112" s="20" t="s">
        <v>375</v>
      </c>
      <c r="C112" s="273">
        <f t="shared" si="25"/>
        <v>783327.6</v>
      </c>
      <c r="D112" s="273">
        <f t="shared" si="26"/>
        <v>783327.6</v>
      </c>
      <c r="E112" s="273">
        <v>783327.6</v>
      </c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83"/>
      <c r="V112" s="273"/>
      <c r="W112" s="87"/>
      <c r="X112" s="87"/>
      <c r="Y112" s="87"/>
      <c r="Z112" s="87"/>
      <c r="AA112" s="87"/>
      <c r="AB112" s="87"/>
      <c r="AC112" s="87"/>
      <c r="AD112" s="87"/>
      <c r="AE112" s="13"/>
    </row>
    <row r="113" spans="1:31" x14ac:dyDescent="0.3">
      <c r="A113" s="250">
        <f t="shared" si="27"/>
        <v>71</v>
      </c>
      <c r="B113" s="20" t="s">
        <v>376</v>
      </c>
      <c r="C113" s="273">
        <f t="shared" si="25"/>
        <v>732211.19999999995</v>
      </c>
      <c r="D113" s="273">
        <f t="shared" si="26"/>
        <v>732211.19999999995</v>
      </c>
      <c r="E113" s="273">
        <v>242817.6</v>
      </c>
      <c r="F113" s="273"/>
      <c r="G113" s="273"/>
      <c r="H113" s="273"/>
      <c r="I113" s="273">
        <v>489393.6</v>
      </c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83"/>
      <c r="V113" s="273"/>
      <c r="W113" s="87"/>
      <c r="X113" s="87"/>
      <c r="Y113" s="87"/>
      <c r="Z113" s="87"/>
      <c r="AA113" s="87"/>
      <c r="AB113" s="87"/>
      <c r="AC113" s="87"/>
      <c r="AD113" s="87"/>
      <c r="AE113" s="13"/>
    </row>
    <row r="114" spans="1:31" x14ac:dyDescent="0.3">
      <c r="A114" s="250">
        <f t="shared" si="27"/>
        <v>72</v>
      </c>
      <c r="B114" s="20" t="s">
        <v>377</v>
      </c>
      <c r="C114" s="273">
        <f t="shared" si="25"/>
        <v>310942.8</v>
      </c>
      <c r="D114" s="273">
        <f t="shared" si="26"/>
        <v>310942.8</v>
      </c>
      <c r="E114" s="273">
        <v>310942.8</v>
      </c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83"/>
      <c r="V114" s="87"/>
      <c r="W114" s="87"/>
      <c r="X114" s="87"/>
      <c r="Y114" s="87"/>
      <c r="Z114" s="87"/>
      <c r="AA114" s="87"/>
      <c r="AB114" s="87"/>
      <c r="AC114" s="87"/>
      <c r="AD114" s="87"/>
      <c r="AE114" s="13"/>
    </row>
    <row r="115" spans="1:31" x14ac:dyDescent="0.3">
      <c r="A115" s="250">
        <f t="shared" si="27"/>
        <v>73</v>
      </c>
      <c r="B115" s="20" t="s">
        <v>378</v>
      </c>
      <c r="C115" s="273">
        <f t="shared" si="25"/>
        <v>1378724.4</v>
      </c>
      <c r="D115" s="273">
        <f t="shared" si="26"/>
        <v>1378724.4</v>
      </c>
      <c r="E115" s="273">
        <v>327164.40000000002</v>
      </c>
      <c r="F115" s="273">
        <v>1051560</v>
      </c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88"/>
      <c r="V115" s="87"/>
      <c r="W115" s="87"/>
      <c r="X115" s="87"/>
      <c r="Y115" s="87"/>
      <c r="Z115" s="87"/>
      <c r="AA115" s="87"/>
      <c r="AB115" s="87"/>
      <c r="AC115" s="87"/>
      <c r="AD115" s="87"/>
      <c r="AE115" s="13"/>
    </row>
    <row r="116" spans="1:31" x14ac:dyDescent="0.3">
      <c r="A116" s="250">
        <f t="shared" si="27"/>
        <v>74</v>
      </c>
      <c r="B116" s="20" t="s">
        <v>379</v>
      </c>
      <c r="C116" s="273">
        <f t="shared" si="25"/>
        <v>1706494.8</v>
      </c>
      <c r="D116" s="273">
        <f t="shared" si="26"/>
        <v>1706494.8</v>
      </c>
      <c r="E116" s="273">
        <v>330972</v>
      </c>
      <c r="F116" s="273">
        <v>1020046.8</v>
      </c>
      <c r="G116" s="273">
        <v>184726.8</v>
      </c>
      <c r="H116" s="273"/>
      <c r="I116" s="273">
        <v>170749.2</v>
      </c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88"/>
      <c r="V116" s="87"/>
      <c r="W116" s="87"/>
      <c r="X116" s="87"/>
      <c r="Y116" s="87"/>
      <c r="Z116" s="87"/>
      <c r="AA116" s="87"/>
      <c r="AB116" s="87"/>
      <c r="AC116" s="87"/>
      <c r="AD116" s="87"/>
      <c r="AE116" s="13"/>
    </row>
    <row r="117" spans="1:31" x14ac:dyDescent="0.3">
      <c r="A117" s="250">
        <f t="shared" si="27"/>
        <v>75</v>
      </c>
      <c r="B117" s="20" t="s">
        <v>380</v>
      </c>
      <c r="C117" s="273">
        <f t="shared" si="25"/>
        <v>801230.39999999991</v>
      </c>
      <c r="D117" s="273">
        <f t="shared" si="26"/>
        <v>801230.39999999991</v>
      </c>
      <c r="E117" s="273">
        <v>393604.8</v>
      </c>
      <c r="F117" s="273"/>
      <c r="G117" s="273"/>
      <c r="H117" s="273"/>
      <c r="I117" s="273">
        <v>407625.6</v>
      </c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88"/>
      <c r="V117" s="87"/>
      <c r="W117" s="87"/>
      <c r="X117" s="87"/>
      <c r="Y117" s="87"/>
      <c r="Z117" s="87"/>
      <c r="AA117" s="87"/>
      <c r="AB117" s="87"/>
      <c r="AC117" s="87"/>
      <c r="AD117" s="87"/>
      <c r="AE117" s="13"/>
    </row>
    <row r="118" spans="1:31" x14ac:dyDescent="0.3">
      <c r="A118" s="250">
        <f t="shared" si="27"/>
        <v>76</v>
      </c>
      <c r="B118" s="20" t="s">
        <v>381</v>
      </c>
      <c r="C118" s="273">
        <f t="shared" si="25"/>
        <v>1799198.4</v>
      </c>
      <c r="D118" s="273">
        <f t="shared" si="26"/>
        <v>1799198.4</v>
      </c>
      <c r="E118" s="273">
        <v>462806.4</v>
      </c>
      <c r="F118" s="273">
        <v>1188396</v>
      </c>
      <c r="G118" s="273"/>
      <c r="H118" s="273"/>
      <c r="I118" s="273">
        <v>147996</v>
      </c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88"/>
      <c r="V118" s="87"/>
      <c r="W118" s="87"/>
      <c r="X118" s="87"/>
      <c r="Y118" s="87"/>
      <c r="Z118" s="87"/>
      <c r="AA118" s="87"/>
      <c r="AB118" s="87"/>
      <c r="AC118" s="87"/>
      <c r="AD118" s="87"/>
      <c r="AE118" s="13"/>
    </row>
    <row r="119" spans="1:31" x14ac:dyDescent="0.3">
      <c r="A119" s="250">
        <f t="shared" si="27"/>
        <v>77</v>
      </c>
      <c r="B119" s="20" t="s">
        <v>382</v>
      </c>
      <c r="C119" s="273">
        <f t="shared" si="25"/>
        <v>268870.8</v>
      </c>
      <c r="D119" s="273">
        <f t="shared" si="26"/>
        <v>268870.8</v>
      </c>
      <c r="E119" s="273">
        <v>268870.8</v>
      </c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83"/>
      <c r="V119" s="273"/>
      <c r="W119" s="273"/>
      <c r="X119" s="273"/>
      <c r="Y119" s="273"/>
      <c r="Z119" s="273"/>
      <c r="AA119" s="273"/>
      <c r="AB119" s="16"/>
      <c r="AC119" s="17"/>
      <c r="AD119" s="17"/>
      <c r="AE119" s="13"/>
    </row>
    <row r="120" spans="1:31" x14ac:dyDescent="0.3">
      <c r="A120" s="250">
        <f t="shared" si="27"/>
        <v>78</v>
      </c>
      <c r="B120" s="20" t="s">
        <v>384</v>
      </c>
      <c r="C120" s="273">
        <f t="shared" si="25"/>
        <v>1565022</v>
      </c>
      <c r="D120" s="273">
        <f t="shared" si="26"/>
        <v>1565022</v>
      </c>
      <c r="E120" s="273">
        <v>366184.8</v>
      </c>
      <c r="F120" s="273">
        <v>933626.4</v>
      </c>
      <c r="G120" s="273">
        <v>131751.6</v>
      </c>
      <c r="H120" s="273"/>
      <c r="I120" s="273">
        <v>133459.20000000001</v>
      </c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83"/>
      <c r="V120" s="273"/>
      <c r="W120" s="273"/>
      <c r="X120" s="273"/>
      <c r="Y120" s="273"/>
      <c r="Z120" s="273"/>
      <c r="AA120" s="273"/>
      <c r="AB120" s="16"/>
      <c r="AC120" s="17"/>
      <c r="AD120" s="17"/>
      <c r="AE120" s="13"/>
    </row>
    <row r="121" spans="1:31" x14ac:dyDescent="0.3">
      <c r="A121" s="250">
        <f t="shared" si="27"/>
        <v>79</v>
      </c>
      <c r="B121" s="20" t="s">
        <v>385</v>
      </c>
      <c r="C121" s="273">
        <f t="shared" si="25"/>
        <v>2307126</v>
      </c>
      <c r="D121" s="273">
        <f t="shared" si="26"/>
        <v>2307126</v>
      </c>
      <c r="E121" s="273">
        <v>465058.8</v>
      </c>
      <c r="F121" s="273">
        <v>1301103.6000000001</v>
      </c>
      <c r="G121" s="273">
        <v>151008</v>
      </c>
      <c r="H121" s="273"/>
      <c r="I121" s="273">
        <v>389955.6</v>
      </c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83"/>
      <c r="V121" s="273"/>
      <c r="W121" s="273"/>
      <c r="X121" s="273"/>
      <c r="Y121" s="273"/>
      <c r="Z121" s="273"/>
      <c r="AA121" s="273"/>
      <c r="AB121" s="16"/>
      <c r="AC121" s="17"/>
      <c r="AD121" s="17"/>
      <c r="AE121" s="13"/>
    </row>
    <row r="122" spans="1:31" x14ac:dyDescent="0.3">
      <c r="A122" s="250">
        <f t="shared" si="27"/>
        <v>80</v>
      </c>
      <c r="B122" s="20" t="s">
        <v>386</v>
      </c>
      <c r="C122" s="273">
        <f t="shared" si="25"/>
        <v>811647.4</v>
      </c>
      <c r="D122" s="273">
        <f t="shared" si="26"/>
        <v>811647.4</v>
      </c>
      <c r="E122" s="273">
        <v>271644</v>
      </c>
      <c r="F122" s="273"/>
      <c r="G122" s="273"/>
      <c r="H122" s="273"/>
      <c r="I122" s="273">
        <v>540003.4</v>
      </c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83"/>
      <c r="V122" s="273"/>
      <c r="W122" s="273"/>
      <c r="X122" s="273"/>
      <c r="Y122" s="273"/>
      <c r="Z122" s="273"/>
      <c r="AA122" s="273"/>
      <c r="AB122" s="16"/>
      <c r="AC122" s="17"/>
      <c r="AD122" s="17"/>
      <c r="AE122" s="13"/>
    </row>
    <row r="123" spans="1:31" x14ac:dyDescent="0.3">
      <c r="A123" s="250">
        <f t="shared" si="27"/>
        <v>81</v>
      </c>
      <c r="B123" s="20" t="s">
        <v>390</v>
      </c>
      <c r="C123" s="273">
        <f t="shared" si="25"/>
        <v>1836671.8</v>
      </c>
      <c r="D123" s="273">
        <f t="shared" si="26"/>
        <v>1836671.8</v>
      </c>
      <c r="E123" s="273">
        <v>331384.8</v>
      </c>
      <c r="F123" s="273">
        <v>1003044</v>
      </c>
      <c r="G123" s="273"/>
      <c r="H123" s="273"/>
      <c r="I123" s="273">
        <v>502243</v>
      </c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83"/>
      <c r="V123" s="273"/>
      <c r="W123" s="273"/>
      <c r="X123" s="273"/>
      <c r="Y123" s="273"/>
      <c r="Z123" s="273"/>
      <c r="AA123" s="273"/>
      <c r="AB123" s="16"/>
      <c r="AC123" s="17"/>
      <c r="AD123" s="17"/>
      <c r="AE123" s="13"/>
    </row>
    <row r="124" spans="1:31" x14ac:dyDescent="0.3">
      <c r="A124" s="250">
        <f t="shared" si="27"/>
        <v>82</v>
      </c>
      <c r="B124" s="20" t="s">
        <v>391</v>
      </c>
      <c r="C124" s="273">
        <f t="shared" si="25"/>
        <v>1579923.5999999999</v>
      </c>
      <c r="D124" s="273">
        <f t="shared" si="26"/>
        <v>1579923.5999999999</v>
      </c>
      <c r="E124" s="273">
        <v>273237.59999999998</v>
      </c>
      <c r="F124" s="273">
        <v>673938</v>
      </c>
      <c r="G124" s="273">
        <v>138040.79999999999</v>
      </c>
      <c r="H124" s="273"/>
      <c r="I124" s="273">
        <v>494707.20000000001</v>
      </c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83"/>
      <c r="V124" s="273"/>
      <c r="W124" s="273"/>
      <c r="X124" s="273"/>
      <c r="Y124" s="273"/>
      <c r="Z124" s="273"/>
      <c r="AA124" s="273"/>
      <c r="AB124" s="16"/>
      <c r="AC124" s="17"/>
      <c r="AD124" s="17"/>
      <c r="AE124" s="13"/>
    </row>
    <row r="125" spans="1:31" x14ac:dyDescent="0.3">
      <c r="A125" s="250">
        <f t="shared" si="27"/>
        <v>83</v>
      </c>
      <c r="B125" s="20" t="s">
        <v>392</v>
      </c>
      <c r="C125" s="273">
        <f t="shared" si="25"/>
        <v>381894</v>
      </c>
      <c r="D125" s="273">
        <f t="shared" si="26"/>
        <v>381894</v>
      </c>
      <c r="E125" s="273">
        <v>381894</v>
      </c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83"/>
      <c r="V125" s="273"/>
      <c r="W125" s="273"/>
      <c r="X125" s="273"/>
      <c r="Y125" s="273"/>
      <c r="Z125" s="273"/>
      <c r="AA125" s="273"/>
      <c r="AB125" s="16"/>
      <c r="AC125" s="17"/>
      <c r="AD125" s="17"/>
      <c r="AE125" s="13"/>
    </row>
    <row r="126" spans="1:31" x14ac:dyDescent="0.3">
      <c r="A126" s="250">
        <f t="shared" si="27"/>
        <v>84</v>
      </c>
      <c r="B126" s="20" t="s">
        <v>393</v>
      </c>
      <c r="C126" s="273">
        <f t="shared" si="25"/>
        <v>359605.2</v>
      </c>
      <c r="D126" s="273">
        <f t="shared" si="26"/>
        <v>359605.2</v>
      </c>
      <c r="E126" s="273">
        <v>359605.2</v>
      </c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83"/>
      <c r="V126" s="273"/>
      <c r="W126" s="273"/>
      <c r="X126" s="273"/>
      <c r="Y126" s="273"/>
      <c r="Z126" s="273"/>
      <c r="AA126" s="273"/>
      <c r="AB126" s="16"/>
      <c r="AC126" s="17"/>
      <c r="AD126" s="17"/>
      <c r="AE126" s="13"/>
    </row>
    <row r="127" spans="1:31" x14ac:dyDescent="0.3">
      <c r="A127" s="250">
        <f t="shared" si="27"/>
        <v>85</v>
      </c>
      <c r="B127" s="20" t="s">
        <v>394</v>
      </c>
      <c r="C127" s="273">
        <f t="shared" si="25"/>
        <v>373408.8</v>
      </c>
      <c r="D127" s="273">
        <f t="shared" si="26"/>
        <v>373408.8</v>
      </c>
      <c r="E127" s="273">
        <v>373408.8</v>
      </c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83"/>
      <c r="V127" s="273"/>
      <c r="W127" s="273"/>
      <c r="X127" s="273"/>
      <c r="Y127" s="273"/>
      <c r="Z127" s="273"/>
      <c r="AA127" s="273"/>
      <c r="AB127" s="16"/>
      <c r="AC127" s="17"/>
      <c r="AD127" s="17"/>
      <c r="AE127" s="13"/>
    </row>
    <row r="128" spans="1:31" x14ac:dyDescent="0.3">
      <c r="A128" s="250">
        <f t="shared" si="27"/>
        <v>86</v>
      </c>
      <c r="B128" s="20" t="s">
        <v>395</v>
      </c>
      <c r="C128" s="273">
        <f t="shared" si="25"/>
        <v>347103.6</v>
      </c>
      <c r="D128" s="273">
        <f t="shared" si="26"/>
        <v>347103.6</v>
      </c>
      <c r="E128" s="273">
        <v>347103.6</v>
      </c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83"/>
      <c r="V128" s="273"/>
      <c r="W128" s="273"/>
      <c r="X128" s="273"/>
      <c r="Y128" s="273"/>
      <c r="Z128" s="273"/>
      <c r="AA128" s="273"/>
      <c r="AB128" s="16"/>
      <c r="AC128" s="17"/>
      <c r="AD128" s="17"/>
      <c r="AE128" s="13"/>
    </row>
    <row r="129" spans="1:31" x14ac:dyDescent="0.3">
      <c r="A129" s="250">
        <f t="shared" si="27"/>
        <v>87</v>
      </c>
      <c r="B129" s="20" t="s">
        <v>396</v>
      </c>
      <c r="C129" s="273">
        <f t="shared" si="25"/>
        <v>341863.2</v>
      </c>
      <c r="D129" s="273">
        <f t="shared" si="26"/>
        <v>341863.2</v>
      </c>
      <c r="E129" s="273">
        <v>341863.2</v>
      </c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83"/>
      <c r="V129" s="273"/>
      <c r="W129" s="273"/>
      <c r="X129" s="273"/>
      <c r="Y129" s="273"/>
      <c r="Z129" s="273"/>
      <c r="AA129" s="273"/>
      <c r="AB129" s="16"/>
      <c r="AC129" s="17"/>
      <c r="AD129" s="17"/>
      <c r="AE129" s="13"/>
    </row>
    <row r="130" spans="1:31" x14ac:dyDescent="0.3">
      <c r="A130" s="250">
        <f t="shared" si="27"/>
        <v>88</v>
      </c>
      <c r="B130" s="20" t="s">
        <v>397</v>
      </c>
      <c r="C130" s="273">
        <f t="shared" si="25"/>
        <v>512833.2</v>
      </c>
      <c r="D130" s="273">
        <f t="shared" si="26"/>
        <v>512833.2</v>
      </c>
      <c r="E130" s="273">
        <v>512833.2</v>
      </c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83"/>
      <c r="V130" s="273"/>
      <c r="W130" s="273"/>
      <c r="X130" s="273"/>
      <c r="Y130" s="273"/>
      <c r="Z130" s="273"/>
      <c r="AA130" s="273"/>
      <c r="AB130" s="16"/>
      <c r="AC130" s="17"/>
      <c r="AD130" s="17"/>
      <c r="AE130" s="13"/>
    </row>
    <row r="131" spans="1:31" x14ac:dyDescent="0.3">
      <c r="A131" s="250">
        <f t="shared" si="27"/>
        <v>89</v>
      </c>
      <c r="B131" s="20" t="s">
        <v>398</v>
      </c>
      <c r="C131" s="273">
        <f t="shared" si="25"/>
        <v>424158</v>
      </c>
      <c r="D131" s="273">
        <f t="shared" si="26"/>
        <v>424158</v>
      </c>
      <c r="E131" s="273">
        <v>424158</v>
      </c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83"/>
      <c r="V131" s="273"/>
      <c r="W131" s="273"/>
      <c r="X131" s="273"/>
      <c r="Y131" s="273"/>
      <c r="Z131" s="273"/>
      <c r="AA131" s="273"/>
      <c r="AB131" s="16"/>
      <c r="AC131" s="17"/>
      <c r="AD131" s="17"/>
      <c r="AE131" s="13"/>
    </row>
    <row r="132" spans="1:31" x14ac:dyDescent="0.3">
      <c r="A132" s="250">
        <f t="shared" si="27"/>
        <v>90</v>
      </c>
      <c r="B132" s="20" t="s">
        <v>402</v>
      </c>
      <c r="C132" s="273">
        <f t="shared" si="25"/>
        <v>1914557.06</v>
      </c>
      <c r="D132" s="273">
        <f t="shared" si="26"/>
        <v>1914557.06</v>
      </c>
      <c r="E132" s="273">
        <v>301484.40000000002</v>
      </c>
      <c r="F132" s="273">
        <v>976594.8</v>
      </c>
      <c r="G132" s="273">
        <v>140805.85999999999</v>
      </c>
      <c r="H132" s="273"/>
      <c r="I132" s="273">
        <v>495672</v>
      </c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83"/>
      <c r="V132" s="273"/>
      <c r="W132" s="273"/>
      <c r="X132" s="273"/>
      <c r="Y132" s="273"/>
      <c r="Z132" s="273"/>
      <c r="AA132" s="273"/>
      <c r="AB132" s="16"/>
      <c r="AC132" s="17"/>
      <c r="AD132" s="17"/>
      <c r="AE132" s="13"/>
    </row>
    <row r="133" spans="1:31" x14ac:dyDescent="0.3">
      <c r="A133" s="250">
        <f t="shared" si="27"/>
        <v>91</v>
      </c>
      <c r="B133" s="20" t="s">
        <v>404</v>
      </c>
      <c r="C133" s="273">
        <f t="shared" si="25"/>
        <v>1460074.8</v>
      </c>
      <c r="D133" s="273">
        <f t="shared" si="26"/>
        <v>1460074.8</v>
      </c>
      <c r="E133" s="273">
        <v>328328.40000000002</v>
      </c>
      <c r="F133" s="273">
        <v>978991.2</v>
      </c>
      <c r="G133" s="273">
        <v>152755.20000000001</v>
      </c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83"/>
      <c r="V133" s="273"/>
      <c r="W133" s="273"/>
      <c r="X133" s="273"/>
      <c r="Y133" s="273"/>
      <c r="Z133" s="273"/>
      <c r="AA133" s="273"/>
      <c r="AB133" s="16"/>
      <c r="AC133" s="17"/>
      <c r="AD133" s="17"/>
      <c r="AE133" s="13"/>
    </row>
    <row r="134" spans="1:31" x14ac:dyDescent="0.3">
      <c r="A134" s="250">
        <f t="shared" si="27"/>
        <v>92</v>
      </c>
      <c r="B134" s="20" t="s">
        <v>405</v>
      </c>
      <c r="C134" s="273">
        <f t="shared" si="25"/>
        <v>324508.26</v>
      </c>
      <c r="D134" s="273">
        <f t="shared" si="26"/>
        <v>324508.26</v>
      </c>
      <c r="E134" s="273">
        <v>324508.26</v>
      </c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83"/>
      <c r="V134" s="273"/>
      <c r="W134" s="273"/>
      <c r="X134" s="273"/>
      <c r="Y134" s="273"/>
      <c r="Z134" s="273"/>
      <c r="AA134" s="273"/>
      <c r="AB134" s="16"/>
      <c r="AC134" s="17"/>
      <c r="AD134" s="17"/>
      <c r="AE134" s="13"/>
    </row>
    <row r="135" spans="1:31" x14ac:dyDescent="0.3">
      <c r="A135" s="250">
        <f t="shared" si="27"/>
        <v>93</v>
      </c>
      <c r="B135" s="20" t="s">
        <v>408</v>
      </c>
      <c r="C135" s="273">
        <f t="shared" si="25"/>
        <v>1373772</v>
      </c>
      <c r="D135" s="273">
        <f t="shared" si="26"/>
        <v>1373772</v>
      </c>
      <c r="E135" s="273">
        <v>313940.40000000002</v>
      </c>
      <c r="F135" s="273">
        <v>555115.19999999995</v>
      </c>
      <c r="G135" s="273"/>
      <c r="H135" s="273"/>
      <c r="I135" s="273">
        <v>504716.4</v>
      </c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83"/>
      <c r="V135" s="273"/>
      <c r="W135" s="273"/>
      <c r="X135" s="273"/>
      <c r="Y135" s="273"/>
      <c r="Z135" s="273"/>
      <c r="AA135" s="273"/>
      <c r="AB135" s="16"/>
      <c r="AC135" s="17"/>
      <c r="AD135" s="17"/>
      <c r="AE135" s="13"/>
    </row>
    <row r="136" spans="1:31" x14ac:dyDescent="0.3">
      <c r="A136" s="250">
        <f t="shared" si="27"/>
        <v>94</v>
      </c>
      <c r="B136" s="20" t="s">
        <v>413</v>
      </c>
      <c r="C136" s="273">
        <f t="shared" si="25"/>
        <v>829423.2</v>
      </c>
      <c r="D136" s="273">
        <f t="shared" si="26"/>
        <v>829423.2</v>
      </c>
      <c r="E136" s="273">
        <v>319486.8</v>
      </c>
      <c r="F136" s="273"/>
      <c r="G136" s="273"/>
      <c r="H136" s="273"/>
      <c r="I136" s="273">
        <v>509936.4</v>
      </c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83"/>
      <c r="V136" s="273"/>
      <c r="W136" s="273"/>
      <c r="X136" s="273"/>
      <c r="Y136" s="273"/>
      <c r="Z136" s="273"/>
      <c r="AA136" s="273"/>
      <c r="AB136" s="16"/>
      <c r="AC136" s="17"/>
      <c r="AD136" s="17"/>
      <c r="AE136" s="13"/>
    </row>
    <row r="137" spans="1:31" x14ac:dyDescent="0.3">
      <c r="A137" s="250">
        <f t="shared" si="27"/>
        <v>95</v>
      </c>
      <c r="B137" s="20" t="s">
        <v>414</v>
      </c>
      <c r="C137" s="273">
        <f t="shared" si="25"/>
        <v>431202</v>
      </c>
      <c r="D137" s="273">
        <f t="shared" si="26"/>
        <v>431202</v>
      </c>
      <c r="E137" s="273">
        <v>322567.2</v>
      </c>
      <c r="F137" s="273"/>
      <c r="G137" s="273"/>
      <c r="H137" s="273"/>
      <c r="I137" s="273">
        <v>108634.8</v>
      </c>
      <c r="J137" s="273"/>
      <c r="K137" s="273"/>
      <c r="L137" s="273"/>
      <c r="M137" s="273"/>
      <c r="N137" s="273"/>
      <c r="O137" s="273"/>
      <c r="P137" s="273"/>
      <c r="Q137" s="273"/>
      <c r="R137" s="273"/>
      <c r="S137" s="273"/>
      <c r="T137" s="273"/>
      <c r="U137" s="283"/>
      <c r="V137" s="273"/>
      <c r="W137" s="273"/>
      <c r="X137" s="273"/>
      <c r="Y137" s="273"/>
      <c r="Z137" s="273"/>
      <c r="AA137" s="273"/>
      <c r="AB137" s="16"/>
      <c r="AC137" s="17"/>
      <c r="AD137" s="17"/>
      <c r="AE137" s="13"/>
    </row>
    <row r="138" spans="1:31" x14ac:dyDescent="0.3">
      <c r="A138" s="250"/>
      <c r="B138" s="250" t="s">
        <v>208</v>
      </c>
      <c r="C138" s="273">
        <f>SUM(C103:C137)</f>
        <v>32337023.760000002</v>
      </c>
      <c r="D138" s="273">
        <f t="shared" ref="D138:T138" si="28">SUM(D103:D137)</f>
        <v>32337023.760000002</v>
      </c>
      <c r="E138" s="273">
        <f t="shared" si="28"/>
        <v>12589099.859999999</v>
      </c>
      <c r="F138" s="273">
        <f t="shared" si="28"/>
        <v>12327172.4</v>
      </c>
      <c r="G138" s="273">
        <f t="shared" si="28"/>
        <v>1009106.26</v>
      </c>
      <c r="H138" s="273">
        <f t="shared" si="28"/>
        <v>0</v>
      </c>
      <c r="I138" s="273">
        <f t="shared" si="28"/>
        <v>6411645.2400000012</v>
      </c>
      <c r="J138" s="273">
        <f t="shared" si="28"/>
        <v>0</v>
      </c>
      <c r="K138" s="273">
        <f t="shared" si="28"/>
        <v>0</v>
      </c>
      <c r="L138" s="273">
        <f t="shared" si="28"/>
        <v>0</v>
      </c>
      <c r="M138" s="273">
        <f t="shared" si="28"/>
        <v>0</v>
      </c>
      <c r="N138" s="273">
        <f t="shared" si="28"/>
        <v>0</v>
      </c>
      <c r="O138" s="273">
        <f t="shared" si="28"/>
        <v>0</v>
      </c>
      <c r="P138" s="273">
        <f t="shared" si="28"/>
        <v>0</v>
      </c>
      <c r="Q138" s="273">
        <f t="shared" si="28"/>
        <v>0</v>
      </c>
      <c r="R138" s="273">
        <f t="shared" si="28"/>
        <v>0</v>
      </c>
      <c r="S138" s="273">
        <f t="shared" si="28"/>
        <v>0</v>
      </c>
      <c r="T138" s="273">
        <f t="shared" si="28"/>
        <v>0</v>
      </c>
      <c r="U138" s="283"/>
      <c r="V138" s="273"/>
      <c r="W138" s="273"/>
      <c r="X138" s="273"/>
      <c r="Y138" s="273"/>
      <c r="Z138" s="273"/>
      <c r="AA138" s="273"/>
      <c r="AB138" s="16"/>
      <c r="AC138" s="17"/>
      <c r="AD138" s="17"/>
      <c r="AE138" s="13"/>
    </row>
    <row r="139" spans="1:31" x14ac:dyDescent="0.3">
      <c r="A139" s="327" t="s">
        <v>429</v>
      </c>
      <c r="B139" s="328"/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83"/>
      <c r="V139" s="273"/>
      <c r="W139" s="273"/>
      <c r="X139" s="273"/>
      <c r="Y139" s="273"/>
      <c r="Z139" s="273"/>
      <c r="AA139" s="273"/>
      <c r="AB139" s="16"/>
      <c r="AC139" s="17"/>
      <c r="AD139" s="17"/>
      <c r="AE139" s="13"/>
    </row>
    <row r="140" spans="1:31" x14ac:dyDescent="0.3">
      <c r="A140" s="250">
        <f>A137+1</f>
        <v>96</v>
      </c>
      <c r="B140" s="20" t="s">
        <v>432</v>
      </c>
      <c r="C140" s="273">
        <f t="shared" ref="C140" si="29">D140+K140+M140+O140+P140+R140+S140+T140</f>
        <v>3298040.03</v>
      </c>
      <c r="D140" s="273">
        <f>E140+F140+G140+H140+I140</f>
        <v>2969422.8</v>
      </c>
      <c r="E140" s="273"/>
      <c r="F140" s="273">
        <v>2239170</v>
      </c>
      <c r="G140" s="273">
        <v>452190</v>
      </c>
      <c r="H140" s="273"/>
      <c r="I140" s="273">
        <v>278062.8</v>
      </c>
      <c r="J140" s="273"/>
      <c r="K140" s="273"/>
      <c r="L140" s="273"/>
      <c r="M140" s="273"/>
      <c r="N140" s="273"/>
      <c r="O140" s="273"/>
      <c r="P140" s="273"/>
      <c r="Q140" s="273"/>
      <c r="R140" s="273"/>
      <c r="S140" s="273">
        <f>215601.6+113015.63</f>
        <v>328617.23</v>
      </c>
      <c r="T140" s="273"/>
      <c r="U140" s="283"/>
      <c r="V140" s="273"/>
      <c r="W140" s="273"/>
      <c r="X140" s="273"/>
      <c r="Y140" s="273"/>
      <c r="Z140" s="273"/>
      <c r="AA140" s="273"/>
      <c r="AB140" s="16"/>
      <c r="AC140" s="17"/>
      <c r="AD140" s="17"/>
      <c r="AE140" s="13"/>
    </row>
    <row r="141" spans="1:31" x14ac:dyDescent="0.3">
      <c r="A141" s="250"/>
      <c r="B141" s="250" t="s">
        <v>208</v>
      </c>
      <c r="C141" s="273">
        <f t="shared" ref="C141:T141" si="30">SUM(C140:C140)</f>
        <v>3298040.03</v>
      </c>
      <c r="D141" s="273">
        <f t="shared" si="30"/>
        <v>2969422.8</v>
      </c>
      <c r="E141" s="273">
        <f t="shared" si="30"/>
        <v>0</v>
      </c>
      <c r="F141" s="273">
        <f t="shared" si="30"/>
        <v>2239170</v>
      </c>
      <c r="G141" s="273">
        <f t="shared" si="30"/>
        <v>452190</v>
      </c>
      <c r="H141" s="273">
        <f t="shared" si="30"/>
        <v>0</v>
      </c>
      <c r="I141" s="273">
        <f t="shared" si="30"/>
        <v>278062.8</v>
      </c>
      <c r="J141" s="273">
        <f t="shared" si="30"/>
        <v>0</v>
      </c>
      <c r="K141" s="273">
        <f t="shared" si="30"/>
        <v>0</v>
      </c>
      <c r="L141" s="273">
        <f t="shared" si="30"/>
        <v>0</v>
      </c>
      <c r="M141" s="273">
        <f t="shared" si="30"/>
        <v>0</v>
      </c>
      <c r="N141" s="273">
        <f t="shared" si="30"/>
        <v>0</v>
      </c>
      <c r="O141" s="273">
        <f t="shared" si="30"/>
        <v>0</v>
      </c>
      <c r="P141" s="273">
        <f t="shared" si="30"/>
        <v>0</v>
      </c>
      <c r="Q141" s="273">
        <f t="shared" si="30"/>
        <v>0</v>
      </c>
      <c r="R141" s="273">
        <f t="shared" si="30"/>
        <v>0</v>
      </c>
      <c r="S141" s="273">
        <f t="shared" si="30"/>
        <v>328617.23</v>
      </c>
      <c r="T141" s="273">
        <f t="shared" si="30"/>
        <v>0</v>
      </c>
      <c r="U141" s="283"/>
      <c r="V141" s="273"/>
      <c r="W141" s="273"/>
      <c r="X141" s="273"/>
      <c r="Y141" s="273"/>
      <c r="Z141" s="273"/>
      <c r="AA141" s="273"/>
      <c r="AB141" s="16"/>
      <c r="AC141" s="17"/>
      <c r="AD141" s="17"/>
      <c r="AE141" s="13"/>
    </row>
    <row r="142" spans="1:31" x14ac:dyDescent="0.3">
      <c r="A142" s="327" t="s">
        <v>439</v>
      </c>
      <c r="B142" s="328"/>
      <c r="C142" s="273"/>
      <c r="D142" s="273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83"/>
      <c r="V142" s="273"/>
      <c r="W142" s="273"/>
      <c r="X142" s="273"/>
      <c r="Y142" s="273"/>
      <c r="Z142" s="273"/>
      <c r="AA142" s="273"/>
      <c r="AB142" s="16"/>
      <c r="AC142" s="17"/>
      <c r="AD142" s="17"/>
      <c r="AE142" s="13"/>
    </row>
    <row r="143" spans="1:31" x14ac:dyDescent="0.3">
      <c r="A143" s="250">
        <f>A140+1</f>
        <v>97</v>
      </c>
      <c r="B143" s="20" t="s">
        <v>442</v>
      </c>
      <c r="C143" s="273">
        <f t="shared" ref="C143" si="31">D143+K143+M143+O143+P143+R143+S143+T143</f>
        <v>2090466</v>
      </c>
      <c r="D143" s="273"/>
      <c r="E143" s="273"/>
      <c r="F143" s="273"/>
      <c r="G143" s="273"/>
      <c r="H143" s="273"/>
      <c r="I143" s="273"/>
      <c r="J143" s="273">
        <v>338.9</v>
      </c>
      <c r="K143" s="273">
        <v>2090466</v>
      </c>
      <c r="L143" s="273"/>
      <c r="M143" s="273"/>
      <c r="N143" s="273"/>
      <c r="O143" s="273"/>
      <c r="P143" s="273"/>
      <c r="Q143" s="273"/>
      <c r="R143" s="273"/>
      <c r="S143" s="273"/>
      <c r="T143" s="273"/>
      <c r="U143" s="283"/>
      <c r="V143" s="273"/>
      <c r="W143" s="273"/>
      <c r="X143" s="273"/>
      <c r="Y143" s="273"/>
      <c r="Z143" s="273"/>
      <c r="AA143" s="273"/>
      <c r="AB143" s="16"/>
      <c r="AC143" s="17"/>
      <c r="AD143" s="17"/>
      <c r="AE143" s="13"/>
    </row>
    <row r="144" spans="1:31" x14ac:dyDescent="0.3">
      <c r="A144" s="250"/>
      <c r="B144" s="250" t="s">
        <v>208</v>
      </c>
      <c r="C144" s="273">
        <f t="shared" ref="C144:T144" si="32">SUM(C143:C143)</f>
        <v>2090466</v>
      </c>
      <c r="D144" s="273">
        <f t="shared" si="32"/>
        <v>0</v>
      </c>
      <c r="E144" s="273">
        <f t="shared" si="32"/>
        <v>0</v>
      </c>
      <c r="F144" s="273">
        <f t="shared" si="32"/>
        <v>0</v>
      </c>
      <c r="G144" s="273">
        <f t="shared" si="32"/>
        <v>0</v>
      </c>
      <c r="H144" s="273">
        <f t="shared" si="32"/>
        <v>0</v>
      </c>
      <c r="I144" s="273">
        <f t="shared" si="32"/>
        <v>0</v>
      </c>
      <c r="J144" s="273">
        <f t="shared" si="32"/>
        <v>338.9</v>
      </c>
      <c r="K144" s="273">
        <f t="shared" si="32"/>
        <v>2090466</v>
      </c>
      <c r="L144" s="273">
        <f t="shared" si="32"/>
        <v>0</v>
      </c>
      <c r="M144" s="273">
        <f t="shared" si="32"/>
        <v>0</v>
      </c>
      <c r="N144" s="273">
        <f t="shared" si="32"/>
        <v>0</v>
      </c>
      <c r="O144" s="273">
        <f t="shared" si="32"/>
        <v>0</v>
      </c>
      <c r="P144" s="273">
        <f t="shared" si="32"/>
        <v>0</v>
      </c>
      <c r="Q144" s="273">
        <f t="shared" si="32"/>
        <v>0</v>
      </c>
      <c r="R144" s="273">
        <f t="shared" si="32"/>
        <v>0</v>
      </c>
      <c r="S144" s="273">
        <f t="shared" si="32"/>
        <v>0</v>
      </c>
      <c r="T144" s="273">
        <f t="shared" si="32"/>
        <v>0</v>
      </c>
      <c r="U144" s="283"/>
      <c r="V144" s="273"/>
      <c r="W144" s="273"/>
      <c r="X144" s="273"/>
      <c r="Y144" s="273"/>
      <c r="Z144" s="273"/>
      <c r="AA144" s="273"/>
      <c r="AB144" s="16"/>
      <c r="AC144" s="17"/>
      <c r="AD144" s="17"/>
      <c r="AE144" s="13"/>
    </row>
    <row r="145" spans="1:32" x14ac:dyDescent="0.3">
      <c r="A145" s="327" t="s">
        <v>444</v>
      </c>
      <c r="B145" s="328"/>
      <c r="C145" s="273"/>
      <c r="D145" s="273"/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83"/>
      <c r="V145" s="273"/>
      <c r="W145" s="273"/>
      <c r="X145" s="273"/>
      <c r="Y145" s="273"/>
      <c r="Z145" s="273"/>
      <c r="AA145" s="273"/>
      <c r="AB145" s="16"/>
      <c r="AC145" s="17"/>
      <c r="AD145" s="17"/>
      <c r="AE145" s="13"/>
    </row>
    <row r="146" spans="1:32" x14ac:dyDescent="0.3">
      <c r="A146" s="250">
        <f>A143+1</f>
        <v>98</v>
      </c>
      <c r="B146" s="20" t="s">
        <v>445</v>
      </c>
      <c r="C146" s="273">
        <f t="shared" ref="C146:C154" si="33">D146+K146+M146+O146+P146+R146+S146+T146</f>
        <v>2780834.4000000004</v>
      </c>
      <c r="D146" s="273">
        <f t="shared" ref="D146:D154" si="34">E146+F146+G146+H146+I146</f>
        <v>2780834.4000000004</v>
      </c>
      <c r="E146" s="273">
        <v>492717.6</v>
      </c>
      <c r="F146" s="273">
        <v>1307481.6000000001</v>
      </c>
      <c r="G146" s="273">
        <v>218204.4</v>
      </c>
      <c r="H146" s="273">
        <v>519193.2</v>
      </c>
      <c r="I146" s="273">
        <v>243237.6</v>
      </c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83"/>
      <c r="V146" s="273"/>
      <c r="W146" s="273"/>
      <c r="X146" s="273"/>
      <c r="Y146" s="273"/>
      <c r="Z146" s="273"/>
      <c r="AA146" s="273"/>
      <c r="AB146" s="16"/>
      <c r="AC146" s="17"/>
      <c r="AD146" s="17"/>
      <c r="AE146" s="13"/>
    </row>
    <row r="147" spans="1:32" x14ac:dyDescent="0.3">
      <c r="A147" s="250">
        <f t="shared" ref="A147:A154" si="35">A146+1</f>
        <v>99</v>
      </c>
      <c r="B147" s="20" t="s">
        <v>447</v>
      </c>
      <c r="C147" s="273">
        <f t="shared" si="33"/>
        <v>16098964.800000001</v>
      </c>
      <c r="D147" s="273">
        <f t="shared" si="34"/>
        <v>16098964.800000001</v>
      </c>
      <c r="E147" s="273"/>
      <c r="F147" s="273">
        <v>11942884.800000001</v>
      </c>
      <c r="G147" s="273"/>
      <c r="H147" s="273">
        <v>4156080</v>
      </c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83"/>
      <c r="V147" s="273"/>
      <c r="W147" s="273"/>
      <c r="X147" s="273"/>
      <c r="Y147" s="273"/>
      <c r="Z147" s="273"/>
      <c r="AA147" s="273"/>
      <c r="AB147" s="16"/>
      <c r="AC147" s="17"/>
      <c r="AD147" s="17"/>
      <c r="AE147" s="13"/>
    </row>
    <row r="148" spans="1:32" x14ac:dyDescent="0.3">
      <c r="A148" s="250">
        <f t="shared" si="35"/>
        <v>100</v>
      </c>
      <c r="B148" s="20" t="s">
        <v>448</v>
      </c>
      <c r="C148" s="273">
        <f t="shared" si="33"/>
        <v>7225353.5999999996</v>
      </c>
      <c r="D148" s="273">
        <f t="shared" si="34"/>
        <v>7225353.5999999996</v>
      </c>
      <c r="E148" s="273"/>
      <c r="F148" s="273">
        <v>5413321.2000000002</v>
      </c>
      <c r="G148" s="273"/>
      <c r="H148" s="273">
        <v>1812032.4</v>
      </c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83"/>
      <c r="V148" s="273"/>
      <c r="W148" s="273"/>
      <c r="X148" s="273"/>
      <c r="Y148" s="273"/>
      <c r="Z148" s="273"/>
      <c r="AA148" s="273"/>
      <c r="AB148" s="16"/>
      <c r="AC148" s="17"/>
      <c r="AD148" s="17"/>
      <c r="AE148" s="13"/>
    </row>
    <row r="149" spans="1:32" x14ac:dyDescent="0.3">
      <c r="A149" s="250">
        <f t="shared" si="35"/>
        <v>101</v>
      </c>
      <c r="B149" s="20" t="s">
        <v>449</v>
      </c>
      <c r="C149" s="273">
        <f t="shared" si="33"/>
        <v>1452648</v>
      </c>
      <c r="D149" s="273">
        <f t="shared" si="34"/>
        <v>1452648</v>
      </c>
      <c r="E149" s="273">
        <v>629647.19999999995</v>
      </c>
      <c r="F149" s="273"/>
      <c r="G149" s="273">
        <v>252620.4</v>
      </c>
      <c r="H149" s="273">
        <v>570380.4</v>
      </c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83"/>
      <c r="V149" s="273"/>
      <c r="W149" s="273"/>
      <c r="X149" s="273"/>
      <c r="Y149" s="273"/>
      <c r="Z149" s="273"/>
      <c r="AA149" s="273"/>
      <c r="AB149" s="16"/>
      <c r="AC149" s="17"/>
      <c r="AD149" s="17"/>
      <c r="AE149" s="13"/>
    </row>
    <row r="150" spans="1:32" x14ac:dyDescent="0.3">
      <c r="A150" s="250">
        <f t="shared" si="35"/>
        <v>102</v>
      </c>
      <c r="B150" s="20" t="s">
        <v>450</v>
      </c>
      <c r="C150" s="273">
        <f t="shared" si="33"/>
        <v>3118833.6</v>
      </c>
      <c r="D150" s="273">
        <f t="shared" si="34"/>
        <v>3118833.6</v>
      </c>
      <c r="E150" s="273">
        <v>487758</v>
      </c>
      <c r="F150" s="273">
        <v>1650562.8</v>
      </c>
      <c r="G150" s="273">
        <v>218587.2</v>
      </c>
      <c r="H150" s="273">
        <v>567302.40000000002</v>
      </c>
      <c r="I150" s="273">
        <v>194623.2</v>
      </c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83"/>
      <c r="V150" s="273"/>
      <c r="W150" s="273"/>
      <c r="X150" s="273"/>
      <c r="Y150" s="273"/>
      <c r="Z150" s="273"/>
      <c r="AA150" s="273"/>
      <c r="AB150" s="16"/>
      <c r="AC150" s="17"/>
      <c r="AD150" s="17"/>
      <c r="AE150" s="13"/>
    </row>
    <row r="151" spans="1:32" x14ac:dyDescent="0.3">
      <c r="A151" s="250">
        <f t="shared" si="35"/>
        <v>103</v>
      </c>
      <c r="B151" s="20" t="s">
        <v>451</v>
      </c>
      <c r="C151" s="273">
        <f t="shared" si="33"/>
        <v>3121015.1999999997</v>
      </c>
      <c r="D151" s="273">
        <f t="shared" si="34"/>
        <v>3121015.1999999997</v>
      </c>
      <c r="E151" s="273">
        <v>557450.4</v>
      </c>
      <c r="F151" s="273">
        <v>1550851.2</v>
      </c>
      <c r="G151" s="273">
        <v>264272.40000000002</v>
      </c>
      <c r="H151" s="273">
        <v>541550.4</v>
      </c>
      <c r="I151" s="273">
        <v>206890.8</v>
      </c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83"/>
      <c r="V151" s="273"/>
      <c r="W151" s="273"/>
      <c r="X151" s="273"/>
      <c r="Y151" s="273"/>
      <c r="Z151" s="273"/>
      <c r="AA151" s="273"/>
      <c r="AB151" s="16"/>
      <c r="AC151" s="17"/>
      <c r="AD151" s="17"/>
      <c r="AE151" s="13"/>
    </row>
    <row r="152" spans="1:32" x14ac:dyDescent="0.3">
      <c r="A152" s="250">
        <f t="shared" si="35"/>
        <v>104</v>
      </c>
      <c r="B152" s="20" t="s">
        <v>452</v>
      </c>
      <c r="C152" s="273">
        <f t="shared" si="33"/>
        <v>7074370.8000000007</v>
      </c>
      <c r="D152" s="273">
        <f t="shared" si="34"/>
        <v>7074370.8000000007</v>
      </c>
      <c r="E152" s="273"/>
      <c r="F152" s="273">
        <v>5121139.2</v>
      </c>
      <c r="G152" s="273"/>
      <c r="H152" s="273">
        <v>1953231.6</v>
      </c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83"/>
      <c r="V152" s="273"/>
      <c r="W152" s="273"/>
      <c r="X152" s="273"/>
      <c r="Y152" s="273"/>
      <c r="Z152" s="273"/>
      <c r="AA152" s="273"/>
      <c r="AB152" s="16"/>
      <c r="AC152" s="17"/>
      <c r="AD152" s="17"/>
      <c r="AE152" s="13"/>
    </row>
    <row r="153" spans="1:32" x14ac:dyDescent="0.3">
      <c r="A153" s="250">
        <f t="shared" si="35"/>
        <v>105</v>
      </c>
      <c r="B153" s="20" t="s">
        <v>453</v>
      </c>
      <c r="C153" s="273">
        <f t="shared" si="33"/>
        <v>3176407.2</v>
      </c>
      <c r="D153" s="273">
        <f t="shared" si="34"/>
        <v>3176407.2</v>
      </c>
      <c r="E153" s="273">
        <v>436462.8</v>
      </c>
      <c r="F153" s="273">
        <v>1789897.2</v>
      </c>
      <c r="G153" s="273">
        <v>251282.4</v>
      </c>
      <c r="H153" s="273">
        <v>349759.2</v>
      </c>
      <c r="I153" s="273">
        <v>349005.6</v>
      </c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83"/>
      <c r="V153" s="273"/>
      <c r="W153" s="273"/>
      <c r="X153" s="273"/>
      <c r="Y153" s="273"/>
      <c r="Z153" s="273"/>
      <c r="AA153" s="273"/>
      <c r="AB153" s="16"/>
      <c r="AC153" s="17"/>
      <c r="AD153" s="17"/>
      <c r="AE153" s="13"/>
    </row>
    <row r="154" spans="1:32" x14ac:dyDescent="0.3">
      <c r="A154" s="288">
        <f t="shared" si="35"/>
        <v>106</v>
      </c>
      <c r="B154" s="20" t="s">
        <v>454</v>
      </c>
      <c r="C154" s="273">
        <f t="shared" si="33"/>
        <v>177331.87</v>
      </c>
      <c r="D154" s="273">
        <f t="shared" si="34"/>
        <v>0</v>
      </c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>
        <v>177331.87</v>
      </c>
      <c r="U154" s="283" t="s">
        <v>13</v>
      </c>
      <c r="V154" s="273"/>
      <c r="W154" s="273"/>
      <c r="X154" s="273"/>
      <c r="Y154" s="273"/>
      <c r="Z154" s="273"/>
      <c r="AA154" s="273">
        <v>177331.87</v>
      </c>
      <c r="AB154" s="16"/>
      <c r="AC154" s="17"/>
      <c r="AD154" s="17"/>
      <c r="AE154" s="13"/>
      <c r="AF154" s="13"/>
    </row>
    <row r="155" spans="1:32" x14ac:dyDescent="0.3">
      <c r="A155" s="250"/>
      <c r="B155" s="250" t="s">
        <v>208</v>
      </c>
      <c r="C155" s="273">
        <f>SUM(C146:C154)</f>
        <v>44225759.470000006</v>
      </c>
      <c r="D155" s="273">
        <f t="shared" ref="D155:T155" si="36">SUM(D146:D154)</f>
        <v>44048427.600000009</v>
      </c>
      <c r="E155" s="273">
        <f t="shared" si="36"/>
        <v>2604035.9999999995</v>
      </c>
      <c r="F155" s="273">
        <f t="shared" si="36"/>
        <v>28776138</v>
      </c>
      <c r="G155" s="273">
        <f t="shared" si="36"/>
        <v>1204966.8</v>
      </c>
      <c r="H155" s="273">
        <f t="shared" si="36"/>
        <v>10469529.6</v>
      </c>
      <c r="I155" s="273">
        <f t="shared" si="36"/>
        <v>993757.20000000007</v>
      </c>
      <c r="J155" s="273">
        <f t="shared" si="36"/>
        <v>0</v>
      </c>
      <c r="K155" s="273">
        <f t="shared" si="36"/>
        <v>0</v>
      </c>
      <c r="L155" s="273">
        <f t="shared" si="36"/>
        <v>0</v>
      </c>
      <c r="M155" s="273">
        <f t="shared" si="36"/>
        <v>0</v>
      </c>
      <c r="N155" s="273">
        <f t="shared" si="36"/>
        <v>0</v>
      </c>
      <c r="O155" s="273">
        <f t="shared" si="36"/>
        <v>0</v>
      </c>
      <c r="P155" s="273">
        <f t="shared" si="36"/>
        <v>0</v>
      </c>
      <c r="Q155" s="273">
        <f t="shared" si="36"/>
        <v>0</v>
      </c>
      <c r="R155" s="273">
        <f t="shared" si="36"/>
        <v>0</v>
      </c>
      <c r="S155" s="273">
        <f t="shared" si="36"/>
        <v>0</v>
      </c>
      <c r="T155" s="273">
        <f t="shared" si="36"/>
        <v>177331.87</v>
      </c>
      <c r="U155" s="283"/>
      <c r="V155" s="273"/>
      <c r="W155" s="273"/>
      <c r="X155" s="273"/>
      <c r="Y155" s="273"/>
      <c r="Z155" s="273"/>
      <c r="AA155" s="273"/>
      <c r="AB155" s="16"/>
      <c r="AC155" s="17"/>
      <c r="AD155" s="17"/>
      <c r="AE155" s="13"/>
    </row>
    <row r="156" spans="1:32" s="13" customFormat="1" x14ac:dyDescent="0.3">
      <c r="A156" s="319" t="s">
        <v>463</v>
      </c>
      <c r="B156" s="320"/>
      <c r="C156" s="251">
        <f>C155+C144+C141+C138+C101+C98</f>
        <v>84622895.049999997</v>
      </c>
      <c r="D156" s="251">
        <f t="shared" ref="D156:T156" si="37">D155+D144+D141+D138+D101+D98</f>
        <v>79354874.160000011</v>
      </c>
      <c r="E156" s="251">
        <f t="shared" si="37"/>
        <v>15193135.859999999</v>
      </c>
      <c r="F156" s="251">
        <f t="shared" si="37"/>
        <v>43342480.399999999</v>
      </c>
      <c r="G156" s="251">
        <f t="shared" si="37"/>
        <v>2666263.06</v>
      </c>
      <c r="H156" s="251">
        <f t="shared" si="37"/>
        <v>10469529.6</v>
      </c>
      <c r="I156" s="251">
        <f t="shared" si="37"/>
        <v>7683465.2400000012</v>
      </c>
      <c r="J156" s="251">
        <f t="shared" si="37"/>
        <v>338.9</v>
      </c>
      <c r="K156" s="251">
        <f t="shared" si="37"/>
        <v>2090466</v>
      </c>
      <c r="L156" s="251">
        <f t="shared" si="37"/>
        <v>0</v>
      </c>
      <c r="M156" s="251">
        <f t="shared" si="37"/>
        <v>0</v>
      </c>
      <c r="N156" s="251">
        <f t="shared" si="37"/>
        <v>0</v>
      </c>
      <c r="O156" s="251">
        <f t="shared" si="37"/>
        <v>0</v>
      </c>
      <c r="P156" s="251">
        <f t="shared" si="37"/>
        <v>0</v>
      </c>
      <c r="Q156" s="251">
        <f t="shared" si="37"/>
        <v>0</v>
      </c>
      <c r="R156" s="251">
        <f t="shared" si="37"/>
        <v>0</v>
      </c>
      <c r="S156" s="251">
        <f t="shared" si="37"/>
        <v>328617.23</v>
      </c>
      <c r="T156" s="251">
        <f t="shared" si="37"/>
        <v>2848937.66</v>
      </c>
      <c r="U156" s="269"/>
      <c r="V156" s="269"/>
      <c r="W156" s="269"/>
      <c r="X156" s="269"/>
      <c r="Y156" s="269"/>
      <c r="Z156" s="269"/>
      <c r="AA156" s="269"/>
      <c r="AB156" s="84"/>
      <c r="AC156" s="82"/>
      <c r="AD156" s="82"/>
    </row>
    <row r="157" spans="1:32" x14ac:dyDescent="0.3">
      <c r="A157" s="324" t="s">
        <v>464</v>
      </c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  <c r="S157" s="325"/>
      <c r="T157" s="326"/>
      <c r="U157" s="283"/>
      <c r="V157" s="273"/>
      <c r="W157" s="14"/>
      <c r="X157" s="15"/>
      <c r="Y157" s="15"/>
      <c r="Z157" s="15"/>
      <c r="AA157" s="15"/>
      <c r="AB157" s="15"/>
      <c r="AC157" s="15"/>
      <c r="AD157" s="15"/>
    </row>
    <row r="158" spans="1:32" x14ac:dyDescent="0.3">
      <c r="A158" s="327" t="s">
        <v>465</v>
      </c>
      <c r="B158" s="328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83"/>
      <c r="V158" s="273"/>
      <c r="W158" s="14"/>
      <c r="X158" s="15"/>
      <c r="Y158" s="15"/>
      <c r="Z158" s="15"/>
      <c r="AA158" s="15"/>
      <c r="AB158" s="15"/>
      <c r="AC158" s="15"/>
      <c r="AD158" s="15"/>
    </row>
    <row r="159" spans="1:32" x14ac:dyDescent="0.3">
      <c r="A159" s="250">
        <f>A154+1</f>
        <v>107</v>
      </c>
      <c r="B159" s="20" t="s">
        <v>474</v>
      </c>
      <c r="C159" s="273">
        <f t="shared" ref="C159:C161" si="38">D159+K159+M159+O159+P159+R159+S159+T159</f>
        <v>10042455.6</v>
      </c>
      <c r="D159" s="273">
        <f>E159+F159+G159+H159+I159</f>
        <v>4909635.5999999996</v>
      </c>
      <c r="E159" s="273">
        <v>826582.8</v>
      </c>
      <c r="F159" s="273">
        <v>4083052.8</v>
      </c>
      <c r="G159" s="273"/>
      <c r="H159" s="273"/>
      <c r="I159" s="273"/>
      <c r="J159" s="273">
        <f>1215</f>
        <v>1215</v>
      </c>
      <c r="K159" s="273">
        <v>5132820</v>
      </c>
      <c r="L159" s="273"/>
      <c r="M159" s="273"/>
      <c r="N159" s="273"/>
      <c r="O159" s="273"/>
      <c r="P159" s="273"/>
      <c r="Q159" s="273"/>
      <c r="R159" s="273"/>
      <c r="S159" s="273"/>
      <c r="T159" s="273"/>
      <c r="U159" s="283"/>
      <c r="V159" s="17"/>
      <c r="W159" s="17"/>
      <c r="X159" s="17"/>
      <c r="Y159" s="17"/>
      <c r="Z159" s="17"/>
      <c r="AA159" s="17"/>
      <c r="AB159" s="17"/>
      <c r="AC159" s="279"/>
      <c r="AD159" s="17"/>
    </row>
    <row r="160" spans="1:32" ht="31.2" x14ac:dyDescent="0.3">
      <c r="A160" s="250">
        <f>A159+1</f>
        <v>108</v>
      </c>
      <c r="B160" s="189" t="s">
        <v>495</v>
      </c>
      <c r="C160" s="273">
        <f t="shared" si="38"/>
        <v>5573893.2000000002</v>
      </c>
      <c r="D160" s="273"/>
      <c r="E160" s="273"/>
      <c r="F160" s="273"/>
      <c r="G160" s="273"/>
      <c r="H160" s="273"/>
      <c r="I160" s="273"/>
      <c r="J160" s="273">
        <f>1223.9</f>
        <v>1223.9000000000001</v>
      </c>
      <c r="K160" s="273">
        <v>5573893.2000000002</v>
      </c>
      <c r="L160" s="273"/>
      <c r="M160" s="273"/>
      <c r="N160" s="273"/>
      <c r="O160" s="273"/>
      <c r="P160" s="273"/>
      <c r="Q160" s="273"/>
      <c r="R160" s="273"/>
      <c r="S160" s="273"/>
      <c r="T160" s="273"/>
      <c r="U160" s="283"/>
      <c r="V160" s="17"/>
      <c r="W160" s="17"/>
      <c r="X160" s="17"/>
      <c r="Y160" s="17"/>
      <c r="Z160" s="17"/>
      <c r="AA160" s="17"/>
      <c r="AB160" s="17"/>
      <c r="AC160" s="17"/>
      <c r="AD160" s="17"/>
    </row>
    <row r="161" spans="1:30" ht="31.2" x14ac:dyDescent="0.3">
      <c r="A161" s="250">
        <f>A160+1</f>
        <v>109</v>
      </c>
      <c r="B161" s="20" t="s">
        <v>496</v>
      </c>
      <c r="C161" s="273">
        <f t="shared" si="38"/>
        <v>5334510</v>
      </c>
      <c r="D161" s="273"/>
      <c r="E161" s="273"/>
      <c r="F161" s="273"/>
      <c r="G161" s="273"/>
      <c r="H161" s="273"/>
      <c r="I161" s="273"/>
      <c r="J161" s="273">
        <f>1241.38</f>
        <v>1241.3800000000001</v>
      </c>
      <c r="K161" s="273">
        <v>5334510</v>
      </c>
      <c r="L161" s="273"/>
      <c r="M161" s="273"/>
      <c r="N161" s="273"/>
      <c r="O161" s="273"/>
      <c r="P161" s="273"/>
      <c r="Q161" s="273"/>
      <c r="R161" s="273"/>
      <c r="S161" s="273"/>
      <c r="T161" s="273"/>
      <c r="U161" s="283"/>
      <c r="V161" s="17"/>
      <c r="W161" s="17"/>
      <c r="X161" s="17"/>
      <c r="Y161" s="17"/>
      <c r="Z161" s="17"/>
      <c r="AA161" s="17"/>
      <c r="AB161" s="17"/>
      <c r="AC161" s="17"/>
      <c r="AD161" s="17"/>
    </row>
    <row r="162" spans="1:30" x14ac:dyDescent="0.3">
      <c r="A162" s="250"/>
      <c r="B162" s="20" t="s">
        <v>208</v>
      </c>
      <c r="C162" s="273">
        <f t="shared" ref="C162:T162" si="39">SUM(C159:C161)</f>
        <v>20950858.800000001</v>
      </c>
      <c r="D162" s="273">
        <f t="shared" si="39"/>
        <v>4909635.5999999996</v>
      </c>
      <c r="E162" s="273">
        <f t="shared" si="39"/>
        <v>826582.8</v>
      </c>
      <c r="F162" s="273">
        <f t="shared" si="39"/>
        <v>4083052.8</v>
      </c>
      <c r="G162" s="273">
        <f t="shared" si="39"/>
        <v>0</v>
      </c>
      <c r="H162" s="273">
        <f t="shared" si="39"/>
        <v>0</v>
      </c>
      <c r="I162" s="273">
        <f t="shared" si="39"/>
        <v>0</v>
      </c>
      <c r="J162" s="273">
        <f t="shared" si="39"/>
        <v>3680.28</v>
      </c>
      <c r="K162" s="273">
        <f t="shared" si="39"/>
        <v>16041223.199999999</v>
      </c>
      <c r="L162" s="273">
        <f t="shared" si="39"/>
        <v>0</v>
      </c>
      <c r="M162" s="273">
        <f t="shared" si="39"/>
        <v>0</v>
      </c>
      <c r="N162" s="273">
        <f t="shared" si="39"/>
        <v>0</v>
      </c>
      <c r="O162" s="273">
        <f t="shared" si="39"/>
        <v>0</v>
      </c>
      <c r="P162" s="273">
        <f t="shared" si="39"/>
        <v>0</v>
      </c>
      <c r="Q162" s="273">
        <f t="shared" si="39"/>
        <v>0</v>
      </c>
      <c r="R162" s="273">
        <f t="shared" si="39"/>
        <v>0</v>
      </c>
      <c r="S162" s="273">
        <f t="shared" si="39"/>
        <v>0</v>
      </c>
      <c r="T162" s="273">
        <f t="shared" si="39"/>
        <v>0</v>
      </c>
      <c r="U162" s="37"/>
      <c r="V162" s="251"/>
      <c r="W162" s="18"/>
      <c r="X162" s="279"/>
      <c r="Y162" s="279"/>
      <c r="Z162" s="279"/>
      <c r="AA162" s="279"/>
      <c r="AB162" s="279"/>
      <c r="AC162" s="279"/>
      <c r="AD162" s="17"/>
    </row>
    <row r="163" spans="1:30" x14ac:dyDescent="0.3">
      <c r="A163" s="327" t="s">
        <v>546</v>
      </c>
      <c r="B163" s="328"/>
      <c r="C163" s="273"/>
      <c r="D163" s="273"/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83"/>
      <c r="V163" s="273"/>
      <c r="W163" s="14"/>
      <c r="X163" s="15"/>
      <c r="Y163" s="15"/>
      <c r="Z163" s="15"/>
      <c r="AA163" s="15"/>
      <c r="AB163" s="15"/>
      <c r="AC163" s="15"/>
      <c r="AD163" s="15"/>
    </row>
    <row r="164" spans="1:30" x14ac:dyDescent="0.3">
      <c r="A164" s="250">
        <f>A161+1</f>
        <v>110</v>
      </c>
      <c r="B164" s="20" t="s">
        <v>549</v>
      </c>
      <c r="C164" s="273">
        <f t="shared" ref="C164" si="40">D164+K164+M164+O164+P164+R164+S164+T164</f>
        <v>487978.8</v>
      </c>
      <c r="D164" s="273">
        <f>E164+F164+G164+H164+I164</f>
        <v>487978.8</v>
      </c>
      <c r="E164" s="273">
        <v>487978.8</v>
      </c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83"/>
      <c r="V164" s="273"/>
      <c r="W164" s="16"/>
      <c r="X164" s="17"/>
      <c r="Y164" s="17"/>
      <c r="Z164" s="17"/>
      <c r="AA164" s="17"/>
      <c r="AB164" s="17"/>
      <c r="AC164" s="15"/>
      <c r="AD164" s="15"/>
    </row>
    <row r="165" spans="1:30" x14ac:dyDescent="0.3">
      <c r="A165" s="250"/>
      <c r="B165" s="20" t="s">
        <v>208</v>
      </c>
      <c r="C165" s="273">
        <f t="shared" ref="C165:T165" si="41">SUM(C164:C164)</f>
        <v>487978.8</v>
      </c>
      <c r="D165" s="273">
        <f t="shared" si="41"/>
        <v>487978.8</v>
      </c>
      <c r="E165" s="273">
        <f t="shared" si="41"/>
        <v>487978.8</v>
      </c>
      <c r="F165" s="273">
        <f t="shared" si="41"/>
        <v>0</v>
      </c>
      <c r="G165" s="273">
        <f t="shared" si="41"/>
        <v>0</v>
      </c>
      <c r="H165" s="273">
        <f t="shared" si="41"/>
        <v>0</v>
      </c>
      <c r="I165" s="273">
        <f t="shared" si="41"/>
        <v>0</v>
      </c>
      <c r="J165" s="273">
        <f t="shared" si="41"/>
        <v>0</v>
      </c>
      <c r="K165" s="273">
        <f t="shared" si="41"/>
        <v>0</v>
      </c>
      <c r="L165" s="273">
        <f t="shared" si="41"/>
        <v>0</v>
      </c>
      <c r="M165" s="273">
        <f t="shared" si="41"/>
        <v>0</v>
      </c>
      <c r="N165" s="273">
        <f t="shared" si="41"/>
        <v>0</v>
      </c>
      <c r="O165" s="273">
        <f t="shared" si="41"/>
        <v>0</v>
      </c>
      <c r="P165" s="273">
        <f t="shared" si="41"/>
        <v>0</v>
      </c>
      <c r="Q165" s="273">
        <f t="shared" si="41"/>
        <v>0</v>
      </c>
      <c r="R165" s="273">
        <f t="shared" si="41"/>
        <v>0</v>
      </c>
      <c r="S165" s="273">
        <f t="shared" si="41"/>
        <v>0</v>
      </c>
      <c r="T165" s="273">
        <f t="shared" si="41"/>
        <v>0</v>
      </c>
      <c r="U165" s="37"/>
      <c r="V165" s="279"/>
      <c r="W165" s="279"/>
      <c r="X165" s="279"/>
      <c r="Y165" s="279"/>
      <c r="Z165" s="279"/>
      <c r="AA165" s="279"/>
      <c r="AB165" s="279"/>
      <c r="AC165" s="279"/>
      <c r="AD165" s="15"/>
    </row>
    <row r="166" spans="1:30" ht="32.25" customHeight="1" x14ac:dyDescent="0.3">
      <c r="A166" s="327" t="s">
        <v>628</v>
      </c>
      <c r="B166" s="328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83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x14ac:dyDescent="0.3">
      <c r="A167" s="250">
        <f>A164+1</f>
        <v>111</v>
      </c>
      <c r="B167" s="20" t="s">
        <v>629</v>
      </c>
      <c r="C167" s="273">
        <f t="shared" ref="C167:C172" si="42">D167+K167+M167+O167+P167+R167+S167+T167</f>
        <v>5306030.4000000004</v>
      </c>
      <c r="D167" s="273"/>
      <c r="E167" s="273"/>
      <c r="F167" s="273"/>
      <c r="G167" s="273"/>
      <c r="H167" s="273"/>
      <c r="I167" s="273"/>
      <c r="J167" s="273">
        <v>13</v>
      </c>
      <c r="K167" s="273">
        <v>5306030.4000000004</v>
      </c>
      <c r="L167" s="273"/>
      <c r="M167" s="273"/>
      <c r="N167" s="273"/>
      <c r="O167" s="273"/>
      <c r="P167" s="273"/>
      <c r="Q167" s="273"/>
      <c r="R167" s="273"/>
      <c r="S167" s="273"/>
      <c r="T167" s="273"/>
      <c r="U167" s="283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x14ac:dyDescent="0.3">
      <c r="A168" s="250">
        <f>A167+1</f>
        <v>112</v>
      </c>
      <c r="B168" s="20" t="s">
        <v>3542</v>
      </c>
      <c r="C168" s="273">
        <f t="shared" si="42"/>
        <v>1889693.0200000003</v>
      </c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>
        <f>290216.64+905682.02+164933.68+161524.81+161524.81+205811.06</f>
        <v>1889693.0200000003</v>
      </c>
      <c r="U168" s="205">
        <v>161524.81</v>
      </c>
      <c r="V168" s="15">
        <v>205811.06</v>
      </c>
      <c r="W168" s="15">
        <v>161524.81</v>
      </c>
      <c r="X168" s="15"/>
      <c r="Y168" s="15">
        <v>164933.68</v>
      </c>
      <c r="Z168" s="15"/>
      <c r="AA168" s="15">
        <v>290216.64</v>
      </c>
      <c r="AB168" s="15"/>
      <c r="AC168" s="15">
        <v>905682.02</v>
      </c>
      <c r="AD168" s="15"/>
    </row>
    <row r="169" spans="1:30" x14ac:dyDescent="0.3">
      <c r="A169" s="250">
        <f>A168+1</f>
        <v>113</v>
      </c>
      <c r="B169" s="20" t="s">
        <v>3543</v>
      </c>
      <c r="C169" s="273">
        <f t="shared" si="42"/>
        <v>1427636.27</v>
      </c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>
        <v>1427636.27</v>
      </c>
      <c r="U169" s="205"/>
      <c r="V169" s="15"/>
      <c r="W169" s="15"/>
      <c r="X169" s="15"/>
      <c r="Y169" s="15"/>
      <c r="Z169" s="15"/>
      <c r="AA169" s="15"/>
      <c r="AB169" s="15"/>
      <c r="AC169" s="15">
        <v>1427636.27</v>
      </c>
      <c r="AD169" s="15"/>
    </row>
    <row r="170" spans="1:30" x14ac:dyDescent="0.3">
      <c r="A170" s="250">
        <f>A169+1</f>
        <v>114</v>
      </c>
      <c r="B170" s="20" t="s">
        <v>631</v>
      </c>
      <c r="C170" s="273">
        <f t="shared" si="42"/>
        <v>5153833.2</v>
      </c>
      <c r="D170" s="273"/>
      <c r="E170" s="273"/>
      <c r="F170" s="273"/>
      <c r="G170" s="273"/>
      <c r="H170" s="273"/>
      <c r="I170" s="273"/>
      <c r="J170" s="273">
        <v>13</v>
      </c>
      <c r="K170" s="273">
        <v>5153833.2</v>
      </c>
      <c r="L170" s="273"/>
      <c r="M170" s="273"/>
      <c r="N170" s="273"/>
      <c r="O170" s="273"/>
      <c r="P170" s="273"/>
      <c r="Q170" s="273"/>
      <c r="R170" s="273"/>
      <c r="S170" s="273"/>
      <c r="T170" s="273"/>
      <c r="U170" s="283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x14ac:dyDescent="0.3">
      <c r="A171" s="250">
        <f>A170+1</f>
        <v>115</v>
      </c>
      <c r="B171" s="20" t="s">
        <v>632</v>
      </c>
      <c r="C171" s="273">
        <f t="shared" si="42"/>
        <v>6678416.4000000004</v>
      </c>
      <c r="D171" s="273"/>
      <c r="E171" s="273"/>
      <c r="F171" s="273"/>
      <c r="G171" s="273"/>
      <c r="H171" s="273"/>
      <c r="I171" s="273"/>
      <c r="J171" s="273">
        <v>13</v>
      </c>
      <c r="K171" s="273">
        <v>6678416.4000000004</v>
      </c>
      <c r="L171" s="273"/>
      <c r="M171" s="273"/>
      <c r="N171" s="273"/>
      <c r="O171" s="273"/>
      <c r="P171" s="273"/>
      <c r="Q171" s="273"/>
      <c r="R171" s="273"/>
      <c r="S171" s="273"/>
      <c r="T171" s="273"/>
      <c r="U171" s="283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x14ac:dyDescent="0.3">
      <c r="A172" s="250">
        <f>A171+1</f>
        <v>116</v>
      </c>
      <c r="B172" s="20" t="s">
        <v>633</v>
      </c>
      <c r="C172" s="273">
        <f t="shared" si="42"/>
        <v>5438210.4000000004</v>
      </c>
      <c r="D172" s="273"/>
      <c r="E172" s="273"/>
      <c r="F172" s="273"/>
      <c r="G172" s="273"/>
      <c r="H172" s="273"/>
      <c r="I172" s="273"/>
      <c r="J172" s="273">
        <v>13</v>
      </c>
      <c r="K172" s="273">
        <v>5438210.4000000004</v>
      </c>
      <c r="L172" s="273"/>
      <c r="M172" s="273"/>
      <c r="N172" s="273"/>
      <c r="O172" s="273"/>
      <c r="P172" s="273"/>
      <c r="Q172" s="273"/>
      <c r="R172" s="273"/>
      <c r="S172" s="273"/>
      <c r="T172" s="273"/>
      <c r="U172" s="283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x14ac:dyDescent="0.3">
      <c r="A173" s="250"/>
      <c r="B173" s="20" t="s">
        <v>208</v>
      </c>
      <c r="C173" s="273">
        <f t="shared" ref="C173:T173" si="43">SUM(C167:C172)</f>
        <v>25893819.689999998</v>
      </c>
      <c r="D173" s="273">
        <f t="shared" si="43"/>
        <v>0</v>
      </c>
      <c r="E173" s="273">
        <f t="shared" si="43"/>
        <v>0</v>
      </c>
      <c r="F173" s="273">
        <f t="shared" si="43"/>
        <v>0</v>
      </c>
      <c r="G173" s="273">
        <f t="shared" si="43"/>
        <v>0</v>
      </c>
      <c r="H173" s="273">
        <f t="shared" si="43"/>
        <v>0</v>
      </c>
      <c r="I173" s="273">
        <f t="shared" si="43"/>
        <v>0</v>
      </c>
      <c r="J173" s="273">
        <f t="shared" si="43"/>
        <v>52</v>
      </c>
      <c r="K173" s="273">
        <f t="shared" si="43"/>
        <v>22576490.399999999</v>
      </c>
      <c r="L173" s="273">
        <f t="shared" si="43"/>
        <v>0</v>
      </c>
      <c r="M173" s="273">
        <f t="shared" si="43"/>
        <v>0</v>
      </c>
      <c r="N173" s="273">
        <f t="shared" si="43"/>
        <v>0</v>
      </c>
      <c r="O173" s="273">
        <f t="shared" si="43"/>
        <v>0</v>
      </c>
      <c r="P173" s="273">
        <f t="shared" si="43"/>
        <v>0</v>
      </c>
      <c r="Q173" s="273">
        <f t="shared" si="43"/>
        <v>0</v>
      </c>
      <c r="R173" s="273">
        <f t="shared" si="43"/>
        <v>0</v>
      </c>
      <c r="S173" s="273">
        <f t="shared" si="43"/>
        <v>0</v>
      </c>
      <c r="T173" s="273">
        <f t="shared" si="43"/>
        <v>3317329.29</v>
      </c>
      <c r="U173" s="283"/>
      <c r="V173" s="19"/>
      <c r="W173" s="19"/>
      <c r="X173" s="19"/>
      <c r="Y173" s="19"/>
      <c r="Z173" s="15"/>
      <c r="AA173" s="15"/>
      <c r="AB173" s="15"/>
      <c r="AC173" s="15"/>
      <c r="AD173" s="15"/>
    </row>
    <row r="174" spans="1:30" x14ac:dyDescent="0.3">
      <c r="A174" s="190" t="s">
        <v>638</v>
      </c>
      <c r="B174" s="146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37"/>
      <c r="V174" s="19"/>
      <c r="W174" s="19"/>
      <c r="X174" s="19"/>
      <c r="Y174" s="19"/>
      <c r="Z174" s="19"/>
      <c r="AA174" s="19"/>
      <c r="AB174" s="19"/>
      <c r="AC174" s="15"/>
      <c r="AD174" s="15"/>
    </row>
    <row r="175" spans="1:30" x14ac:dyDescent="0.3">
      <c r="A175" s="250">
        <f>A172+1</f>
        <v>117</v>
      </c>
      <c r="B175" s="20" t="s">
        <v>639</v>
      </c>
      <c r="C175" s="273">
        <f t="shared" ref="C175:C178" si="44">D175+K175+M175+O175+P175+R175+S175+T175</f>
        <v>1289407.2</v>
      </c>
      <c r="D175" s="273">
        <f>E175+F175+G175+H175+I175</f>
        <v>1248157.2</v>
      </c>
      <c r="E175" s="273">
        <v>1248157.2</v>
      </c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>
        <v>41250</v>
      </c>
      <c r="T175" s="273"/>
      <c r="U175" s="283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x14ac:dyDescent="0.3">
      <c r="A176" s="250">
        <f>A175+1</f>
        <v>118</v>
      </c>
      <c r="B176" s="20" t="s">
        <v>640</v>
      </c>
      <c r="C176" s="273">
        <f t="shared" si="44"/>
        <v>1248157.2</v>
      </c>
      <c r="D176" s="273">
        <f>E176+F176+G176+H176+I176</f>
        <v>1248157.2</v>
      </c>
      <c r="E176" s="273">
        <v>1248157.2</v>
      </c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83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x14ac:dyDescent="0.3">
      <c r="A177" s="250">
        <f>A176+1</f>
        <v>119</v>
      </c>
      <c r="B177" s="20" t="s">
        <v>641</v>
      </c>
      <c r="C177" s="273">
        <f t="shared" si="44"/>
        <v>403249.63</v>
      </c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>
        <f>289279.97+113969.66</f>
        <v>403249.63</v>
      </c>
      <c r="T177" s="273"/>
      <c r="U177" s="283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x14ac:dyDescent="0.3">
      <c r="A178" s="250">
        <f>A177+1</f>
        <v>120</v>
      </c>
      <c r="B178" s="20" t="s">
        <v>642</v>
      </c>
      <c r="C178" s="273">
        <f t="shared" si="44"/>
        <v>1248157.2</v>
      </c>
      <c r="D178" s="273">
        <f>E178+F178+G178+H178+I178</f>
        <v>1248157.2</v>
      </c>
      <c r="E178" s="273">
        <v>1248157.2</v>
      </c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83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x14ac:dyDescent="0.3">
      <c r="A179" s="250"/>
      <c r="B179" s="20" t="s">
        <v>208</v>
      </c>
      <c r="C179" s="273">
        <f t="shared" ref="C179:T179" si="45">SUM(C175:C178)</f>
        <v>4188971.2299999995</v>
      </c>
      <c r="D179" s="273">
        <f t="shared" si="45"/>
        <v>3744471.5999999996</v>
      </c>
      <c r="E179" s="273">
        <f t="shared" si="45"/>
        <v>3744471.5999999996</v>
      </c>
      <c r="F179" s="273">
        <f t="shared" si="45"/>
        <v>0</v>
      </c>
      <c r="G179" s="273">
        <f t="shared" si="45"/>
        <v>0</v>
      </c>
      <c r="H179" s="273">
        <f t="shared" si="45"/>
        <v>0</v>
      </c>
      <c r="I179" s="273">
        <f t="shared" si="45"/>
        <v>0</v>
      </c>
      <c r="J179" s="273">
        <f t="shared" si="45"/>
        <v>0</v>
      </c>
      <c r="K179" s="273">
        <f t="shared" si="45"/>
        <v>0</v>
      </c>
      <c r="L179" s="273">
        <f t="shared" si="45"/>
        <v>0</v>
      </c>
      <c r="M179" s="273">
        <f t="shared" si="45"/>
        <v>0</v>
      </c>
      <c r="N179" s="273">
        <f t="shared" si="45"/>
        <v>0</v>
      </c>
      <c r="O179" s="273">
        <f t="shared" si="45"/>
        <v>0</v>
      </c>
      <c r="P179" s="273">
        <f t="shared" si="45"/>
        <v>0</v>
      </c>
      <c r="Q179" s="273">
        <f t="shared" si="45"/>
        <v>0</v>
      </c>
      <c r="R179" s="273">
        <f t="shared" si="45"/>
        <v>0</v>
      </c>
      <c r="S179" s="273">
        <f t="shared" si="45"/>
        <v>444499.63</v>
      </c>
      <c r="T179" s="273">
        <f t="shared" si="45"/>
        <v>0</v>
      </c>
      <c r="U179" s="37"/>
      <c r="V179" s="19"/>
      <c r="W179" s="19"/>
      <c r="X179" s="19"/>
      <c r="Y179" s="19"/>
      <c r="Z179" s="19"/>
      <c r="AA179" s="19"/>
      <c r="AB179" s="19"/>
      <c r="AC179" s="15"/>
      <c r="AD179" s="15"/>
    </row>
    <row r="180" spans="1:30" ht="23.25" customHeight="1" x14ac:dyDescent="0.3">
      <c r="A180" s="190" t="s">
        <v>645</v>
      </c>
      <c r="B180" s="146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37"/>
      <c r="V180" s="19"/>
      <c r="W180" s="19"/>
      <c r="X180" s="19"/>
      <c r="Y180" s="19"/>
      <c r="Z180" s="19"/>
      <c r="AA180" s="19"/>
      <c r="AB180" s="19"/>
      <c r="AC180" s="15"/>
      <c r="AD180" s="15"/>
    </row>
    <row r="181" spans="1:30" x14ac:dyDescent="0.3">
      <c r="A181" s="250">
        <f>A178+1</f>
        <v>121</v>
      </c>
      <c r="B181" s="20" t="s">
        <v>671</v>
      </c>
      <c r="C181" s="273">
        <f>D181+K181+M181+O181+P181+R181+S181+T181</f>
        <v>6839294.4000000004</v>
      </c>
      <c r="D181" s="273"/>
      <c r="E181" s="273"/>
      <c r="F181" s="273"/>
      <c r="G181" s="273"/>
      <c r="H181" s="273"/>
      <c r="I181" s="273"/>
      <c r="J181" s="273">
        <f>1261.63</f>
        <v>1261.6300000000001</v>
      </c>
      <c r="K181" s="273">
        <v>6839294.4000000004</v>
      </c>
      <c r="L181" s="273"/>
      <c r="M181" s="273"/>
      <c r="N181" s="273"/>
      <c r="O181" s="273"/>
      <c r="P181" s="273"/>
      <c r="Q181" s="273"/>
      <c r="R181" s="273"/>
      <c r="S181" s="273"/>
      <c r="T181" s="273"/>
      <c r="U181" s="37"/>
      <c r="V181" s="279"/>
      <c r="W181" s="303"/>
      <c r="X181" s="303"/>
      <c r="Y181" s="279"/>
      <c r="Z181" s="279"/>
      <c r="AA181" s="279"/>
      <c r="AB181" s="279"/>
      <c r="AC181" s="279"/>
      <c r="AD181" s="15"/>
    </row>
    <row r="182" spans="1:30" x14ac:dyDescent="0.3">
      <c r="A182" s="250">
        <f>A181+1</f>
        <v>122</v>
      </c>
      <c r="B182" s="20" t="s">
        <v>696</v>
      </c>
      <c r="C182" s="273">
        <f>D182+K182+M182+O182+P182+R182+S182+T182</f>
        <v>4862288.53</v>
      </c>
      <c r="D182" s="273"/>
      <c r="E182" s="273"/>
      <c r="F182" s="273"/>
      <c r="G182" s="273"/>
      <c r="H182" s="273"/>
      <c r="I182" s="273"/>
      <c r="J182" s="273">
        <f>894.33</f>
        <v>894.33</v>
      </c>
      <c r="K182" s="273">
        <v>4862288.53</v>
      </c>
      <c r="L182" s="273"/>
      <c r="M182" s="273"/>
      <c r="N182" s="273"/>
      <c r="O182" s="273"/>
      <c r="P182" s="273"/>
      <c r="Q182" s="273"/>
      <c r="R182" s="273"/>
      <c r="S182" s="273"/>
      <c r="T182" s="273"/>
      <c r="U182" s="37"/>
      <c r="V182" s="279"/>
      <c r="W182" s="303"/>
      <c r="X182" s="303"/>
      <c r="Y182" s="279"/>
      <c r="Z182" s="279"/>
      <c r="AA182" s="279"/>
      <c r="AB182" s="279"/>
      <c r="AC182" s="279"/>
      <c r="AD182" s="15"/>
    </row>
    <row r="183" spans="1:30" x14ac:dyDescent="0.3">
      <c r="A183" s="250"/>
      <c r="B183" s="20" t="s">
        <v>208</v>
      </c>
      <c r="C183" s="273">
        <f t="shared" ref="C183:T183" si="46">SUM(C181:C182)</f>
        <v>11701582.93</v>
      </c>
      <c r="D183" s="273">
        <f t="shared" si="46"/>
        <v>0</v>
      </c>
      <c r="E183" s="273">
        <f t="shared" si="46"/>
        <v>0</v>
      </c>
      <c r="F183" s="273">
        <f t="shared" si="46"/>
        <v>0</v>
      </c>
      <c r="G183" s="273">
        <f t="shared" si="46"/>
        <v>0</v>
      </c>
      <c r="H183" s="273">
        <f t="shared" si="46"/>
        <v>0</v>
      </c>
      <c r="I183" s="273">
        <f t="shared" si="46"/>
        <v>0</v>
      </c>
      <c r="J183" s="273">
        <f t="shared" si="46"/>
        <v>2155.96</v>
      </c>
      <c r="K183" s="273">
        <f t="shared" si="46"/>
        <v>11701582.93</v>
      </c>
      <c r="L183" s="273">
        <f t="shared" si="46"/>
        <v>0</v>
      </c>
      <c r="M183" s="273">
        <f t="shared" si="46"/>
        <v>0</v>
      </c>
      <c r="N183" s="273">
        <f t="shared" si="46"/>
        <v>0</v>
      </c>
      <c r="O183" s="273">
        <f t="shared" si="46"/>
        <v>0</v>
      </c>
      <c r="P183" s="273">
        <f t="shared" si="46"/>
        <v>0</v>
      </c>
      <c r="Q183" s="273">
        <f t="shared" si="46"/>
        <v>0</v>
      </c>
      <c r="R183" s="273">
        <f t="shared" si="46"/>
        <v>0</v>
      </c>
      <c r="S183" s="273">
        <f t="shared" si="46"/>
        <v>0</v>
      </c>
      <c r="T183" s="273">
        <f t="shared" si="46"/>
        <v>0</v>
      </c>
      <c r="U183" s="37"/>
      <c r="V183" s="279"/>
      <c r="W183" s="251"/>
      <c r="X183" s="251"/>
      <c r="Y183" s="279"/>
      <c r="Z183" s="279"/>
      <c r="AA183" s="279"/>
      <c r="AB183" s="279"/>
      <c r="AC183" s="279"/>
      <c r="AD183" s="15"/>
    </row>
    <row r="184" spans="1:30" ht="34.5" customHeight="1" x14ac:dyDescent="0.3">
      <c r="A184" s="327" t="s">
        <v>708</v>
      </c>
      <c r="B184" s="328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37"/>
      <c r="V184" s="279"/>
      <c r="W184" s="251"/>
      <c r="X184" s="251"/>
      <c r="Y184" s="279"/>
      <c r="Z184" s="279"/>
      <c r="AA184" s="279"/>
      <c r="AB184" s="279"/>
      <c r="AC184" s="279"/>
      <c r="AD184" s="15"/>
    </row>
    <row r="185" spans="1:30" x14ac:dyDescent="0.3">
      <c r="A185" s="250">
        <f>A182+1</f>
        <v>123</v>
      </c>
      <c r="B185" s="20" t="s">
        <v>709</v>
      </c>
      <c r="C185" s="273">
        <f t="shared" ref="C185:C186" si="47">D185+K185+M185+O185+P185+R185+S185+T185</f>
        <v>9121190.209999999</v>
      </c>
      <c r="D185" s="273">
        <f>E185+F185+G185+H185+I185</f>
        <v>9121190.209999999</v>
      </c>
      <c r="E185" s="273"/>
      <c r="F185" s="273">
        <v>5993901.7199999997</v>
      </c>
      <c r="G185" s="273">
        <v>904939.14</v>
      </c>
      <c r="H185" s="273">
        <v>2222349.35</v>
      </c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83"/>
      <c r="V185" s="17"/>
      <c r="W185" s="17"/>
      <c r="X185" s="17"/>
      <c r="Y185" s="17"/>
      <c r="Z185" s="17"/>
      <c r="AA185" s="17"/>
      <c r="AB185" s="17"/>
      <c r="AC185" s="17"/>
      <c r="AD185" s="15"/>
    </row>
    <row r="186" spans="1:30" x14ac:dyDescent="0.3">
      <c r="A186" s="250">
        <f>A185+1</f>
        <v>124</v>
      </c>
      <c r="B186" s="20" t="s">
        <v>710</v>
      </c>
      <c r="C186" s="273">
        <f t="shared" si="47"/>
        <v>16584572.939999999</v>
      </c>
      <c r="D186" s="273">
        <f>E186+F186+G186+H186+I186</f>
        <v>16584572.939999999</v>
      </c>
      <c r="E186" s="273"/>
      <c r="F186" s="273">
        <v>10997864.17</v>
      </c>
      <c r="G186" s="273">
        <v>1282418.8600000001</v>
      </c>
      <c r="H186" s="273">
        <v>4304289.91</v>
      </c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83"/>
      <c r="V186" s="17"/>
      <c r="W186" s="17"/>
      <c r="X186" s="17"/>
      <c r="Y186" s="17"/>
      <c r="Z186" s="17"/>
      <c r="AA186" s="17"/>
      <c r="AB186" s="17"/>
      <c r="AC186" s="17"/>
      <c r="AD186" s="15"/>
    </row>
    <row r="187" spans="1:30" x14ac:dyDescent="0.3">
      <c r="A187" s="250"/>
      <c r="B187" s="20" t="s">
        <v>208</v>
      </c>
      <c r="C187" s="273">
        <f t="shared" ref="C187:T187" si="48">SUM(C185:C186)</f>
        <v>25705763.149999999</v>
      </c>
      <c r="D187" s="273">
        <f t="shared" si="48"/>
        <v>25705763.149999999</v>
      </c>
      <c r="E187" s="273">
        <f t="shared" si="48"/>
        <v>0</v>
      </c>
      <c r="F187" s="273">
        <f t="shared" si="48"/>
        <v>16991765.890000001</v>
      </c>
      <c r="G187" s="273">
        <f t="shared" si="48"/>
        <v>2187358</v>
      </c>
      <c r="H187" s="273">
        <f t="shared" si="48"/>
        <v>6526639.2599999998</v>
      </c>
      <c r="I187" s="273">
        <f t="shared" si="48"/>
        <v>0</v>
      </c>
      <c r="J187" s="273">
        <f t="shared" si="48"/>
        <v>0</v>
      </c>
      <c r="K187" s="273">
        <f t="shared" si="48"/>
        <v>0</v>
      </c>
      <c r="L187" s="273">
        <f t="shared" si="48"/>
        <v>0</v>
      </c>
      <c r="M187" s="273">
        <f t="shared" si="48"/>
        <v>0</v>
      </c>
      <c r="N187" s="273">
        <f t="shared" si="48"/>
        <v>0</v>
      </c>
      <c r="O187" s="273">
        <f t="shared" si="48"/>
        <v>0</v>
      </c>
      <c r="P187" s="273">
        <f t="shared" si="48"/>
        <v>0</v>
      </c>
      <c r="Q187" s="273">
        <f t="shared" si="48"/>
        <v>0</v>
      </c>
      <c r="R187" s="273">
        <f t="shared" si="48"/>
        <v>0</v>
      </c>
      <c r="S187" s="273">
        <f t="shared" si="48"/>
        <v>0</v>
      </c>
      <c r="T187" s="273">
        <f t="shared" si="48"/>
        <v>0</v>
      </c>
      <c r="U187" s="283"/>
      <c r="V187" s="17"/>
      <c r="W187" s="17"/>
      <c r="X187" s="17"/>
      <c r="Y187" s="17"/>
      <c r="Z187" s="17"/>
      <c r="AA187" s="17"/>
      <c r="AB187" s="279"/>
      <c r="AC187" s="17"/>
      <c r="AD187" s="15"/>
    </row>
    <row r="188" spans="1:30" ht="36" customHeight="1" x14ac:dyDescent="0.3">
      <c r="A188" s="327" t="s">
        <v>718</v>
      </c>
      <c r="B188" s="328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83"/>
      <c r="V188" s="15"/>
      <c r="W188" s="15"/>
      <c r="X188" s="15"/>
      <c r="Y188" s="15"/>
      <c r="Z188" s="15"/>
      <c r="AA188" s="15"/>
      <c r="AB188" s="15"/>
      <c r="AC188" s="15"/>
      <c r="AD188" s="15"/>
    </row>
    <row r="189" spans="1:30" x14ac:dyDescent="0.3">
      <c r="A189" s="250">
        <f>A186+1</f>
        <v>125</v>
      </c>
      <c r="B189" s="20" t="s">
        <v>719</v>
      </c>
      <c r="C189" s="273">
        <f t="shared" ref="C189:C190" si="49">D189+K189+M189+O189+P189+R189+S189+T189</f>
        <v>1375294.06</v>
      </c>
      <c r="D189" s="273">
        <f>E189+F189+G189+H189+I189</f>
        <v>1375294.06</v>
      </c>
      <c r="E189" s="273"/>
      <c r="F189" s="273">
        <v>1295560.54</v>
      </c>
      <c r="G189" s="273">
        <v>79733.52</v>
      </c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83"/>
      <c r="V189" s="17"/>
      <c r="W189" s="17"/>
      <c r="X189" s="17"/>
      <c r="Y189" s="17"/>
      <c r="Z189" s="17"/>
      <c r="AA189" s="279"/>
      <c r="AB189" s="17"/>
      <c r="AC189" s="17"/>
      <c r="AD189" s="17"/>
    </row>
    <row r="190" spans="1:30" x14ac:dyDescent="0.3">
      <c r="A190" s="250">
        <f>A189+1</f>
        <v>126</v>
      </c>
      <c r="B190" s="20" t="s">
        <v>732</v>
      </c>
      <c r="C190" s="273">
        <f t="shared" si="49"/>
        <v>574306.80000000005</v>
      </c>
      <c r="D190" s="273">
        <f>E190+F190+G190+H190+I190</f>
        <v>574306.80000000005</v>
      </c>
      <c r="E190" s="273">
        <v>574306.80000000005</v>
      </c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83"/>
      <c r="V190" s="251"/>
      <c r="W190" s="18"/>
      <c r="X190" s="17"/>
      <c r="Y190" s="17"/>
      <c r="Z190" s="17"/>
      <c r="AA190" s="17"/>
      <c r="AB190" s="17"/>
      <c r="AC190" s="17"/>
      <c r="AD190" s="17"/>
    </row>
    <row r="191" spans="1:30" x14ac:dyDescent="0.3">
      <c r="A191" s="250"/>
      <c r="B191" s="20" t="s">
        <v>208</v>
      </c>
      <c r="C191" s="273">
        <f t="shared" ref="C191:T191" si="50">SUM(C189:C190)</f>
        <v>1949600.86</v>
      </c>
      <c r="D191" s="273">
        <f t="shared" si="50"/>
        <v>1949600.86</v>
      </c>
      <c r="E191" s="273">
        <f t="shared" si="50"/>
        <v>574306.80000000005</v>
      </c>
      <c r="F191" s="273">
        <f t="shared" si="50"/>
        <v>1295560.54</v>
      </c>
      <c r="G191" s="273">
        <f t="shared" si="50"/>
        <v>79733.52</v>
      </c>
      <c r="H191" s="273">
        <f t="shared" si="50"/>
        <v>0</v>
      </c>
      <c r="I191" s="273">
        <f t="shared" si="50"/>
        <v>0</v>
      </c>
      <c r="J191" s="273">
        <f t="shared" si="50"/>
        <v>0</v>
      </c>
      <c r="K191" s="273">
        <f t="shared" si="50"/>
        <v>0</v>
      </c>
      <c r="L191" s="273">
        <f t="shared" si="50"/>
        <v>0</v>
      </c>
      <c r="M191" s="273">
        <f t="shared" si="50"/>
        <v>0</v>
      </c>
      <c r="N191" s="273">
        <f t="shared" si="50"/>
        <v>0</v>
      </c>
      <c r="O191" s="273">
        <f t="shared" si="50"/>
        <v>0</v>
      </c>
      <c r="P191" s="273">
        <f t="shared" si="50"/>
        <v>0</v>
      </c>
      <c r="Q191" s="273">
        <f t="shared" si="50"/>
        <v>0</v>
      </c>
      <c r="R191" s="273">
        <f t="shared" si="50"/>
        <v>0</v>
      </c>
      <c r="S191" s="273">
        <f t="shared" si="50"/>
        <v>0</v>
      </c>
      <c r="T191" s="273">
        <f t="shared" si="50"/>
        <v>0</v>
      </c>
      <c r="U191" s="269"/>
      <c r="V191" s="269"/>
      <c r="W191" s="7"/>
      <c r="X191" s="13"/>
      <c r="Y191" s="13"/>
      <c r="Z191" s="13"/>
      <c r="AA191" s="13"/>
      <c r="AB191" s="13"/>
      <c r="AC191" s="13"/>
      <c r="AD191" s="13"/>
    </row>
    <row r="192" spans="1:30" x14ac:dyDescent="0.3">
      <c r="A192" s="319" t="s">
        <v>3540</v>
      </c>
      <c r="B192" s="320"/>
      <c r="C192" s="251">
        <f t="shared" ref="C192:T192" si="51">C191+C187+C183+C179+C173+C165+C162</f>
        <v>90878575.459999979</v>
      </c>
      <c r="D192" s="251">
        <f t="shared" si="51"/>
        <v>36797450.009999998</v>
      </c>
      <c r="E192" s="251">
        <f t="shared" si="51"/>
        <v>5633339.9999999991</v>
      </c>
      <c r="F192" s="251">
        <f t="shared" si="51"/>
        <v>22370379.23</v>
      </c>
      <c r="G192" s="251">
        <f t="shared" si="51"/>
        <v>2267091.52</v>
      </c>
      <c r="H192" s="251">
        <f t="shared" si="51"/>
        <v>6526639.2599999998</v>
      </c>
      <c r="I192" s="251">
        <f t="shared" si="51"/>
        <v>0</v>
      </c>
      <c r="J192" s="251">
        <f t="shared" si="51"/>
        <v>5888.24</v>
      </c>
      <c r="K192" s="251">
        <f t="shared" si="51"/>
        <v>50319296.530000001</v>
      </c>
      <c r="L192" s="251">
        <f t="shared" si="51"/>
        <v>0</v>
      </c>
      <c r="M192" s="251">
        <f t="shared" si="51"/>
        <v>0</v>
      </c>
      <c r="N192" s="251">
        <f t="shared" si="51"/>
        <v>0</v>
      </c>
      <c r="O192" s="251">
        <f t="shared" si="51"/>
        <v>0</v>
      </c>
      <c r="P192" s="251">
        <f t="shared" si="51"/>
        <v>0</v>
      </c>
      <c r="Q192" s="251">
        <f t="shared" si="51"/>
        <v>0</v>
      </c>
      <c r="R192" s="251">
        <f t="shared" si="51"/>
        <v>0</v>
      </c>
      <c r="S192" s="251">
        <f t="shared" si="51"/>
        <v>444499.63</v>
      </c>
      <c r="T192" s="251">
        <f t="shared" si="51"/>
        <v>3317329.29</v>
      </c>
      <c r="U192" s="269"/>
      <c r="V192" s="269"/>
      <c r="W192" s="7"/>
      <c r="X192" s="13"/>
      <c r="Y192" s="13"/>
      <c r="Z192" s="13"/>
      <c r="AA192" s="13"/>
      <c r="AB192" s="13"/>
      <c r="AC192" s="13"/>
      <c r="AD192" s="13"/>
    </row>
    <row r="193" spans="1:29" x14ac:dyDescent="0.3">
      <c r="A193" s="321" t="s">
        <v>742</v>
      </c>
      <c r="B193" s="322"/>
      <c r="C193" s="322"/>
      <c r="D193" s="322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3"/>
      <c r="U193" s="89"/>
      <c r="V193" s="90"/>
      <c r="W193" s="90"/>
      <c r="X193" s="90"/>
      <c r="Y193" s="90"/>
      <c r="Z193" s="251"/>
      <c r="AA193" s="251"/>
      <c r="AB193" s="251"/>
      <c r="AC193" s="91"/>
    </row>
    <row r="194" spans="1:29" ht="33" customHeight="1" x14ac:dyDescent="0.3">
      <c r="A194" s="333" t="s">
        <v>743</v>
      </c>
      <c r="B194" s="334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72"/>
      <c r="V194" s="272"/>
      <c r="W194" s="272"/>
      <c r="X194" s="272"/>
      <c r="Y194" s="272"/>
      <c r="Z194" s="254"/>
      <c r="AA194" s="254"/>
      <c r="AB194" s="254"/>
      <c r="AC194" s="81"/>
    </row>
    <row r="195" spans="1:29" x14ac:dyDescent="0.3">
      <c r="A195" s="250">
        <f>A190+1</f>
        <v>127</v>
      </c>
      <c r="B195" s="20" t="s">
        <v>744</v>
      </c>
      <c r="C195" s="273">
        <f t="shared" ref="C195:C196" si="52">D195+K195+M195+O195+P195+R195+S195+T195</f>
        <v>3383122.8</v>
      </c>
      <c r="D195" s="273"/>
      <c r="E195" s="273"/>
      <c r="F195" s="273"/>
      <c r="G195" s="273"/>
      <c r="H195" s="273"/>
      <c r="I195" s="273"/>
      <c r="J195" s="273">
        <v>518</v>
      </c>
      <c r="K195" s="273">
        <v>3383122.8</v>
      </c>
      <c r="L195" s="273"/>
      <c r="M195" s="273"/>
      <c r="N195" s="273"/>
      <c r="O195" s="273"/>
      <c r="P195" s="273"/>
      <c r="Q195" s="273"/>
      <c r="R195" s="273"/>
      <c r="S195" s="273"/>
      <c r="T195" s="273"/>
      <c r="U195" s="271"/>
      <c r="V195" s="271"/>
      <c r="W195" s="271"/>
      <c r="X195" s="271"/>
      <c r="Y195" s="271"/>
      <c r="Z195" s="269"/>
      <c r="AA195" s="84"/>
      <c r="AB195" s="82"/>
      <c r="AC195" s="13"/>
    </row>
    <row r="196" spans="1:29" x14ac:dyDescent="0.3">
      <c r="A196" s="250">
        <f>A195+1</f>
        <v>128</v>
      </c>
      <c r="B196" s="20" t="s">
        <v>745</v>
      </c>
      <c r="C196" s="273">
        <f t="shared" si="52"/>
        <v>3049371.6</v>
      </c>
      <c r="D196" s="273"/>
      <c r="E196" s="273"/>
      <c r="F196" s="273"/>
      <c r="G196" s="273"/>
      <c r="H196" s="273"/>
      <c r="I196" s="273"/>
      <c r="J196" s="273">
        <v>605</v>
      </c>
      <c r="K196" s="273">
        <v>3049371.6</v>
      </c>
      <c r="L196" s="273"/>
      <c r="M196" s="273"/>
      <c r="N196" s="273"/>
      <c r="O196" s="273"/>
      <c r="P196" s="273"/>
      <c r="Q196" s="273"/>
      <c r="R196" s="273"/>
      <c r="S196" s="273"/>
      <c r="T196" s="273"/>
      <c r="U196" s="271"/>
      <c r="V196" s="271"/>
      <c r="W196" s="271"/>
      <c r="X196" s="271"/>
      <c r="Y196" s="271"/>
      <c r="Z196" s="269"/>
      <c r="AA196" s="84"/>
      <c r="AB196" s="82"/>
      <c r="AC196" s="82"/>
    </row>
    <row r="197" spans="1:29" x14ac:dyDescent="0.3">
      <c r="A197" s="250"/>
      <c r="B197" s="20" t="s">
        <v>208</v>
      </c>
      <c r="C197" s="273">
        <f t="shared" ref="C197:T197" si="53">SUM(C195:C196)</f>
        <v>6432494.4000000004</v>
      </c>
      <c r="D197" s="273">
        <f t="shared" si="53"/>
        <v>0</v>
      </c>
      <c r="E197" s="273">
        <f t="shared" si="53"/>
        <v>0</v>
      </c>
      <c r="F197" s="273">
        <f t="shared" si="53"/>
        <v>0</v>
      </c>
      <c r="G197" s="273">
        <f t="shared" si="53"/>
        <v>0</v>
      </c>
      <c r="H197" s="273">
        <f t="shared" si="53"/>
        <v>0</v>
      </c>
      <c r="I197" s="273">
        <f t="shared" si="53"/>
        <v>0</v>
      </c>
      <c r="J197" s="273">
        <f t="shared" si="53"/>
        <v>1123</v>
      </c>
      <c r="K197" s="273">
        <f t="shared" si="53"/>
        <v>6432494.4000000004</v>
      </c>
      <c r="L197" s="273">
        <f t="shared" si="53"/>
        <v>0</v>
      </c>
      <c r="M197" s="273">
        <f t="shared" si="53"/>
        <v>0</v>
      </c>
      <c r="N197" s="273">
        <f t="shared" si="53"/>
        <v>0</v>
      </c>
      <c r="O197" s="273">
        <f t="shared" si="53"/>
        <v>0</v>
      </c>
      <c r="P197" s="273">
        <f t="shared" si="53"/>
        <v>0</v>
      </c>
      <c r="Q197" s="273">
        <f t="shared" si="53"/>
        <v>0</v>
      </c>
      <c r="R197" s="273">
        <f t="shared" si="53"/>
        <v>0</v>
      </c>
      <c r="S197" s="273">
        <f t="shared" si="53"/>
        <v>0</v>
      </c>
      <c r="T197" s="273">
        <f t="shared" si="53"/>
        <v>0</v>
      </c>
      <c r="U197" s="271"/>
      <c r="V197" s="271"/>
      <c r="W197" s="271"/>
      <c r="X197" s="271"/>
      <c r="Y197" s="271"/>
      <c r="Z197" s="269"/>
      <c r="AA197" s="84"/>
      <c r="AB197" s="82"/>
      <c r="AC197" s="82"/>
    </row>
    <row r="198" spans="1:29" x14ac:dyDescent="0.3">
      <c r="A198" s="331" t="s">
        <v>746</v>
      </c>
      <c r="B198" s="332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1"/>
      <c r="V198" s="271"/>
      <c r="W198" s="271"/>
      <c r="X198" s="271"/>
      <c r="Y198" s="271"/>
      <c r="Z198" s="269"/>
      <c r="AA198" s="84"/>
      <c r="AB198" s="82"/>
      <c r="AC198" s="82"/>
    </row>
    <row r="199" spans="1:29" x14ac:dyDescent="0.3">
      <c r="A199" s="250">
        <f>A196+1</f>
        <v>129</v>
      </c>
      <c r="B199" s="20" t="s">
        <v>774</v>
      </c>
      <c r="C199" s="273">
        <f t="shared" ref="C199:C208" si="54">D199+K199+M199+O199+P199+R199+S199+T199</f>
        <v>3974492.4000000004</v>
      </c>
      <c r="D199" s="273">
        <f>E199+F199+G199+H199+I199</f>
        <v>3974492.4000000004</v>
      </c>
      <c r="E199" s="273"/>
      <c r="F199" s="273">
        <f>3421111.2+553381.2</f>
        <v>3974492.4000000004</v>
      </c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92"/>
      <c r="V199" s="271"/>
      <c r="W199" s="271"/>
      <c r="X199" s="271"/>
      <c r="Y199" s="271"/>
      <c r="Z199" s="269"/>
      <c r="AA199" s="84"/>
      <c r="AB199" s="82"/>
      <c r="AC199" s="82"/>
    </row>
    <row r="200" spans="1:29" x14ac:dyDescent="0.3">
      <c r="A200" s="250">
        <f t="shared" ref="A200:A208" si="55">A199+1</f>
        <v>130</v>
      </c>
      <c r="B200" s="20" t="s">
        <v>785</v>
      </c>
      <c r="C200" s="273">
        <f t="shared" si="54"/>
        <v>2323027.2000000002</v>
      </c>
      <c r="D200" s="273">
        <f>E200+F200+G200+H200+I200</f>
        <v>2323027.2000000002</v>
      </c>
      <c r="E200" s="273">
        <v>536882.4</v>
      </c>
      <c r="F200" s="273">
        <v>1786144.8</v>
      </c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1"/>
      <c r="V200" s="271"/>
      <c r="W200" s="271"/>
      <c r="X200" s="271"/>
      <c r="Y200" s="271"/>
      <c r="Z200" s="269"/>
      <c r="AA200" s="84"/>
      <c r="AB200" s="82"/>
      <c r="AC200" s="82"/>
    </row>
    <row r="201" spans="1:29" x14ac:dyDescent="0.3">
      <c r="A201" s="250">
        <f t="shared" si="55"/>
        <v>131</v>
      </c>
      <c r="B201" s="20" t="s">
        <v>799</v>
      </c>
      <c r="C201" s="273">
        <f t="shared" si="54"/>
        <v>10839920.400000002</v>
      </c>
      <c r="D201" s="273">
        <f>E201+F201+G201+H201+I201</f>
        <v>10839920.400000002</v>
      </c>
      <c r="E201" s="273">
        <v>3798733.2</v>
      </c>
      <c r="F201" s="273">
        <v>4817295.5999999996</v>
      </c>
      <c r="G201" s="273">
        <v>1214242.8</v>
      </c>
      <c r="H201" s="273"/>
      <c r="I201" s="273">
        <v>1009648.8</v>
      </c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1"/>
      <c r="V201" s="271"/>
      <c r="W201" s="335"/>
      <c r="X201" s="335"/>
      <c r="Y201" s="271"/>
      <c r="Z201" s="269"/>
      <c r="AA201" s="84"/>
      <c r="AB201" s="82"/>
      <c r="AC201" s="82"/>
    </row>
    <row r="202" spans="1:29" x14ac:dyDescent="0.3">
      <c r="A202" s="250">
        <f t="shared" si="55"/>
        <v>132</v>
      </c>
      <c r="B202" s="20" t="s">
        <v>817</v>
      </c>
      <c r="C202" s="273">
        <f t="shared" si="54"/>
        <v>157917.82</v>
      </c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>
        <f>Y202</f>
        <v>157917.82</v>
      </c>
      <c r="V202" s="271"/>
      <c r="W202" s="271"/>
      <c r="Y202" s="271">
        <v>157917.82</v>
      </c>
      <c r="Z202" s="269"/>
      <c r="AA202" s="84"/>
      <c r="AB202" s="82"/>
      <c r="AC202" s="82"/>
    </row>
    <row r="203" spans="1:29" x14ac:dyDescent="0.3">
      <c r="A203" s="250">
        <f t="shared" si="55"/>
        <v>133</v>
      </c>
      <c r="B203" s="20" t="s">
        <v>820</v>
      </c>
      <c r="C203" s="273">
        <f t="shared" si="54"/>
        <v>9380229.5999999996</v>
      </c>
      <c r="D203" s="273">
        <f>E203+F203+G203+H203+I203</f>
        <v>9264054</v>
      </c>
      <c r="E203" s="273"/>
      <c r="F203" s="273">
        <v>7486329.5999999996</v>
      </c>
      <c r="G203" s="273">
        <v>961248</v>
      </c>
      <c r="H203" s="273"/>
      <c r="I203" s="273">
        <v>816476.4</v>
      </c>
      <c r="J203" s="273"/>
      <c r="K203" s="273"/>
      <c r="L203" s="273"/>
      <c r="M203" s="273"/>
      <c r="N203" s="273"/>
      <c r="O203" s="273"/>
      <c r="P203" s="273"/>
      <c r="Q203" s="273"/>
      <c r="R203" s="273"/>
      <c r="S203" s="273">
        <v>116175.6</v>
      </c>
      <c r="T203" s="273"/>
      <c r="U203" s="271"/>
      <c r="V203" s="271"/>
      <c r="W203" s="271"/>
      <c r="X203" s="271"/>
      <c r="Y203" s="271"/>
      <c r="Z203" s="269"/>
      <c r="AA203" s="84"/>
      <c r="AB203" s="82"/>
      <c r="AC203" s="82"/>
    </row>
    <row r="204" spans="1:29" x14ac:dyDescent="0.3">
      <c r="A204" s="250">
        <f t="shared" si="55"/>
        <v>134</v>
      </c>
      <c r="B204" s="20" t="s">
        <v>823</v>
      </c>
      <c r="C204" s="273">
        <f t="shared" si="54"/>
        <v>881726.76</v>
      </c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>
        <f>SUM(U204:AC204)</f>
        <v>881726.76</v>
      </c>
      <c r="U204" s="271"/>
      <c r="V204" s="271"/>
      <c r="W204" s="271"/>
      <c r="X204" s="271"/>
      <c r="Y204" s="271"/>
      <c r="AA204" s="269">
        <v>244609.07</v>
      </c>
      <c r="AB204" s="84">
        <v>69200.759999999995</v>
      </c>
      <c r="AC204" s="82">
        <v>567916.93000000005</v>
      </c>
    </row>
    <row r="205" spans="1:29" x14ac:dyDescent="0.3">
      <c r="A205" s="250">
        <f t="shared" si="55"/>
        <v>135</v>
      </c>
      <c r="B205" s="20" t="s">
        <v>825</v>
      </c>
      <c r="C205" s="273">
        <f t="shared" si="54"/>
        <v>5929628.3999999994</v>
      </c>
      <c r="D205" s="273">
        <f>E205+F205+G205+H205+I205</f>
        <v>5929628.3999999994</v>
      </c>
      <c r="E205" s="273">
        <v>665095.19999999995</v>
      </c>
      <c r="F205" s="273">
        <v>2331208.7999999998</v>
      </c>
      <c r="G205" s="273">
        <v>856602</v>
      </c>
      <c r="H205" s="273">
        <v>1565788.8</v>
      </c>
      <c r="I205" s="273">
        <v>510933.6</v>
      </c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1"/>
      <c r="V205" s="271"/>
      <c r="W205" s="271"/>
      <c r="X205" s="271"/>
      <c r="Y205" s="271"/>
      <c r="Z205" s="269"/>
      <c r="AA205" s="84"/>
      <c r="AB205" s="82"/>
      <c r="AC205" s="82"/>
    </row>
    <row r="206" spans="1:29" x14ac:dyDescent="0.3">
      <c r="A206" s="250">
        <f t="shared" si="55"/>
        <v>136</v>
      </c>
      <c r="B206" s="20" t="s">
        <v>826</v>
      </c>
      <c r="C206" s="273">
        <f t="shared" si="54"/>
        <v>7438613.9999999991</v>
      </c>
      <c r="D206" s="273">
        <f>E206+F206+G206+H206+I206</f>
        <v>7438613.9999999991</v>
      </c>
      <c r="E206" s="273">
        <v>1876233.6</v>
      </c>
      <c r="F206" s="273">
        <f>3044036.4+1069957.2</f>
        <v>4113993.5999999996</v>
      </c>
      <c r="G206" s="273">
        <v>398650.8</v>
      </c>
      <c r="H206" s="273">
        <v>750885.6</v>
      </c>
      <c r="I206" s="273">
        <v>298850.40000000002</v>
      </c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1"/>
      <c r="V206" s="271"/>
      <c r="W206" s="335"/>
      <c r="X206" s="335"/>
      <c r="Y206" s="271"/>
      <c r="Z206" s="269"/>
      <c r="AA206" s="84"/>
      <c r="AB206" s="82"/>
      <c r="AC206" s="82"/>
    </row>
    <row r="207" spans="1:29" x14ac:dyDescent="0.3">
      <c r="A207" s="250">
        <f t="shared" si="55"/>
        <v>137</v>
      </c>
      <c r="B207" s="20" t="s">
        <v>847</v>
      </c>
      <c r="C207" s="273">
        <f t="shared" si="54"/>
        <v>11941246.049999999</v>
      </c>
      <c r="D207" s="273">
        <f>E207+F207+G207+H207+I207</f>
        <v>11941246.049999999</v>
      </c>
      <c r="E207" s="273">
        <v>1870509.81</v>
      </c>
      <c r="F207" s="273">
        <v>7588146.8499999996</v>
      </c>
      <c r="G207" s="273">
        <v>1745905.45</v>
      </c>
      <c r="H207" s="273"/>
      <c r="I207" s="273">
        <v>736683.94</v>
      </c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1"/>
      <c r="V207" s="271"/>
      <c r="W207" s="271"/>
      <c r="X207" s="271"/>
      <c r="Y207" s="271"/>
      <c r="Z207" s="269"/>
      <c r="AA207" s="84"/>
      <c r="AB207" s="82"/>
      <c r="AC207" s="82"/>
    </row>
    <row r="208" spans="1:29" x14ac:dyDescent="0.3">
      <c r="A208" s="250">
        <f t="shared" si="55"/>
        <v>138</v>
      </c>
      <c r="B208" s="20" t="s">
        <v>857</v>
      </c>
      <c r="C208" s="273">
        <f t="shared" si="54"/>
        <v>805139.12999999989</v>
      </c>
      <c r="D208" s="273">
        <f>E208+F208+G208+H208+I208</f>
        <v>0</v>
      </c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>
        <f>SUM(U208:AC208)</f>
        <v>805139.12999999989</v>
      </c>
      <c r="U208" s="271">
        <v>187863.4</v>
      </c>
      <c r="V208" s="271"/>
      <c r="W208" s="271"/>
      <c r="X208" s="271"/>
      <c r="Y208" s="40">
        <v>189256.57</v>
      </c>
      <c r="AA208" s="269">
        <v>428019.16</v>
      </c>
      <c r="AB208" s="84"/>
      <c r="AC208" s="82"/>
    </row>
    <row r="209" spans="1:29" x14ac:dyDescent="0.3">
      <c r="A209" s="250"/>
      <c r="B209" s="20" t="s">
        <v>208</v>
      </c>
      <c r="C209" s="273">
        <f t="shared" ref="C209:T209" si="56">SUM(C199:C208)</f>
        <v>53671941.759999998</v>
      </c>
      <c r="D209" s="273">
        <f t="shared" si="56"/>
        <v>51710982.449999996</v>
      </c>
      <c r="E209" s="273">
        <f t="shared" si="56"/>
        <v>8747454.2100000009</v>
      </c>
      <c r="F209" s="273">
        <f t="shared" si="56"/>
        <v>32097611.649999999</v>
      </c>
      <c r="G209" s="273">
        <f t="shared" si="56"/>
        <v>5176649.05</v>
      </c>
      <c r="H209" s="273">
        <f t="shared" si="56"/>
        <v>2316674.4</v>
      </c>
      <c r="I209" s="273">
        <f t="shared" si="56"/>
        <v>3372593.14</v>
      </c>
      <c r="J209" s="273">
        <f t="shared" si="56"/>
        <v>0</v>
      </c>
      <c r="K209" s="273">
        <f t="shared" si="56"/>
        <v>0</v>
      </c>
      <c r="L209" s="273">
        <f t="shared" si="56"/>
        <v>0</v>
      </c>
      <c r="M209" s="273">
        <f t="shared" si="56"/>
        <v>0</v>
      </c>
      <c r="N209" s="273">
        <f t="shared" si="56"/>
        <v>0</v>
      </c>
      <c r="O209" s="273">
        <f t="shared" si="56"/>
        <v>0</v>
      </c>
      <c r="P209" s="273">
        <f t="shared" si="56"/>
        <v>0</v>
      </c>
      <c r="Q209" s="273">
        <f t="shared" si="56"/>
        <v>0</v>
      </c>
      <c r="R209" s="273">
        <f t="shared" si="56"/>
        <v>0</v>
      </c>
      <c r="S209" s="273">
        <f t="shared" si="56"/>
        <v>116175.6</v>
      </c>
      <c r="T209" s="273">
        <f t="shared" si="56"/>
        <v>1844783.71</v>
      </c>
      <c r="U209" s="271"/>
      <c r="V209" s="271"/>
      <c r="W209" s="271"/>
      <c r="X209" s="271"/>
      <c r="Y209" s="271"/>
      <c r="Z209" s="269"/>
      <c r="AA209" s="84"/>
      <c r="AB209" s="82"/>
      <c r="AC209" s="82"/>
    </row>
    <row r="210" spans="1:29" x14ac:dyDescent="0.3">
      <c r="A210" s="327" t="s">
        <v>880</v>
      </c>
      <c r="B210" s="328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1"/>
      <c r="V210" s="271"/>
      <c r="W210" s="271"/>
      <c r="X210" s="271"/>
      <c r="Y210" s="271"/>
      <c r="Z210" s="269"/>
      <c r="AA210" s="84"/>
      <c r="AB210" s="82"/>
      <c r="AC210" s="82"/>
    </row>
    <row r="211" spans="1:29" x14ac:dyDescent="0.3">
      <c r="A211" s="250">
        <f>A208+1</f>
        <v>139</v>
      </c>
      <c r="B211" s="20" t="s">
        <v>882</v>
      </c>
      <c r="C211" s="273">
        <f t="shared" ref="C211:C226" si="57">D211+K211+M211+O211+P211+R211+S211+T211</f>
        <v>450355.20000000001</v>
      </c>
      <c r="D211" s="273">
        <f>E211+F211+G211+H211+I211</f>
        <v>450355.20000000001</v>
      </c>
      <c r="E211" s="273">
        <v>450355.20000000001</v>
      </c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1"/>
      <c r="V211" s="271"/>
      <c r="W211" s="271"/>
      <c r="X211" s="271"/>
      <c r="Y211" s="271"/>
      <c r="Z211" s="269"/>
      <c r="AA211" s="84"/>
      <c r="AB211" s="82"/>
      <c r="AC211" s="82"/>
    </row>
    <row r="212" spans="1:29" x14ac:dyDescent="0.3">
      <c r="A212" s="250">
        <f t="shared" ref="A212:A226" si="58">A211+1</f>
        <v>140</v>
      </c>
      <c r="B212" s="20" t="s">
        <v>883</v>
      </c>
      <c r="C212" s="273">
        <f t="shared" si="57"/>
        <v>399288.4</v>
      </c>
      <c r="D212" s="273">
        <f>E212+F212+G212+H212+I212</f>
        <v>399288.4</v>
      </c>
      <c r="E212" s="273">
        <v>399288.4</v>
      </c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1"/>
      <c r="V212" s="271"/>
      <c r="W212" s="271"/>
      <c r="X212" s="271"/>
      <c r="Y212" s="271"/>
      <c r="Z212" s="269"/>
      <c r="AA212" s="84"/>
      <c r="AB212" s="82"/>
      <c r="AC212" s="82"/>
    </row>
    <row r="213" spans="1:29" x14ac:dyDescent="0.3">
      <c r="A213" s="250">
        <f t="shared" si="58"/>
        <v>141</v>
      </c>
      <c r="B213" s="20" t="s">
        <v>886</v>
      </c>
      <c r="C213" s="273">
        <f t="shared" si="57"/>
        <v>274792.5</v>
      </c>
      <c r="D213" s="273">
        <f>E213+F213+G213+H213+I213</f>
        <v>274792.5</v>
      </c>
      <c r="E213" s="273">
        <v>274792.5</v>
      </c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1"/>
      <c r="V213" s="271"/>
      <c r="W213" s="271"/>
      <c r="X213" s="271"/>
      <c r="Y213" s="271"/>
      <c r="Z213" s="269"/>
      <c r="AA213" s="84"/>
      <c r="AB213" s="82"/>
      <c r="AC213" s="82"/>
    </row>
    <row r="214" spans="1:29" x14ac:dyDescent="0.3">
      <c r="A214" s="250">
        <f t="shared" si="58"/>
        <v>142</v>
      </c>
      <c r="B214" s="20" t="s">
        <v>889</v>
      </c>
      <c r="C214" s="273">
        <f t="shared" si="57"/>
        <v>404061.5</v>
      </c>
      <c r="D214" s="273">
        <f>E214+F214+G214+H214+I214</f>
        <v>404061.5</v>
      </c>
      <c r="E214" s="273">
        <v>404061.5</v>
      </c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1"/>
      <c r="V214" s="271"/>
      <c r="W214" s="271"/>
      <c r="X214" s="271"/>
      <c r="Y214" s="271"/>
      <c r="Z214" s="269"/>
      <c r="AA214" s="84"/>
      <c r="AB214" s="82"/>
      <c r="AC214" s="82"/>
    </row>
    <row r="215" spans="1:29" x14ac:dyDescent="0.3">
      <c r="A215" s="250">
        <f t="shared" si="58"/>
        <v>143</v>
      </c>
      <c r="B215" s="20" t="s">
        <v>900</v>
      </c>
      <c r="C215" s="273">
        <f t="shared" si="57"/>
        <v>1320294.96</v>
      </c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>
        <v>1320294.96</v>
      </c>
      <c r="U215" s="271"/>
      <c r="V215" s="271"/>
      <c r="W215" s="271"/>
      <c r="X215" s="271"/>
      <c r="Y215" s="271"/>
      <c r="Z215" s="269"/>
      <c r="AA215" s="84"/>
      <c r="AB215" s="82">
        <v>1320294.96</v>
      </c>
      <c r="AC215" s="82"/>
    </row>
    <row r="216" spans="1:29" x14ac:dyDescent="0.3">
      <c r="A216" s="250">
        <f t="shared" si="58"/>
        <v>144</v>
      </c>
      <c r="B216" s="20" t="s">
        <v>902</v>
      </c>
      <c r="C216" s="273">
        <f t="shared" si="57"/>
        <v>274792.5</v>
      </c>
      <c r="D216" s="273">
        <f t="shared" ref="D216:D226" si="59">E216+F216+G216+H216+I216</f>
        <v>274792.5</v>
      </c>
      <c r="E216" s="273">
        <v>274792.5</v>
      </c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1"/>
      <c r="V216" s="271"/>
      <c r="W216" s="271"/>
      <c r="X216" s="271"/>
      <c r="Y216" s="271"/>
      <c r="Z216" s="269"/>
      <c r="AA216" s="84"/>
      <c r="AB216" s="82"/>
      <c r="AC216" s="82"/>
    </row>
    <row r="217" spans="1:29" x14ac:dyDescent="0.3">
      <c r="A217" s="250">
        <f t="shared" si="58"/>
        <v>145</v>
      </c>
      <c r="B217" s="20" t="s">
        <v>911</v>
      </c>
      <c r="C217" s="273">
        <f t="shared" si="57"/>
        <v>457896</v>
      </c>
      <c r="D217" s="273">
        <f t="shared" si="59"/>
        <v>457896</v>
      </c>
      <c r="E217" s="273">
        <v>457896</v>
      </c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1"/>
      <c r="V217" s="271"/>
      <c r="W217" s="271"/>
      <c r="X217" s="271"/>
      <c r="Y217" s="271"/>
      <c r="Z217" s="269"/>
      <c r="AA217" s="84"/>
      <c r="AB217" s="82"/>
      <c r="AC217" s="82"/>
    </row>
    <row r="218" spans="1:29" x14ac:dyDescent="0.3">
      <c r="A218" s="250">
        <f t="shared" si="58"/>
        <v>146</v>
      </c>
      <c r="B218" s="20" t="s">
        <v>912</v>
      </c>
      <c r="C218" s="273">
        <f t="shared" si="57"/>
        <v>502696.8</v>
      </c>
      <c r="D218" s="273">
        <f t="shared" si="59"/>
        <v>502696.8</v>
      </c>
      <c r="E218" s="273">
        <v>502696.8</v>
      </c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1"/>
      <c r="V218" s="271"/>
      <c r="W218" s="271"/>
      <c r="X218" s="271"/>
      <c r="Y218" s="271"/>
      <c r="Z218" s="269"/>
      <c r="AA218" s="84"/>
      <c r="AB218" s="82"/>
      <c r="AC218" s="82"/>
    </row>
    <row r="219" spans="1:29" x14ac:dyDescent="0.3">
      <c r="A219" s="250">
        <f t="shared" si="58"/>
        <v>147</v>
      </c>
      <c r="B219" s="20" t="s">
        <v>913</v>
      </c>
      <c r="C219" s="273">
        <f t="shared" si="57"/>
        <v>576578.4</v>
      </c>
      <c r="D219" s="273">
        <f t="shared" si="59"/>
        <v>576578.4</v>
      </c>
      <c r="E219" s="273">
        <v>576578.4</v>
      </c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1"/>
      <c r="V219" s="271"/>
      <c r="W219" s="271"/>
      <c r="X219" s="271"/>
      <c r="Y219" s="271"/>
      <c r="Z219" s="269"/>
      <c r="AA219" s="84"/>
      <c r="AB219" s="82"/>
      <c r="AC219" s="82"/>
    </row>
    <row r="220" spans="1:29" x14ac:dyDescent="0.3">
      <c r="A220" s="250">
        <f t="shared" si="58"/>
        <v>148</v>
      </c>
      <c r="B220" s="20" t="s">
        <v>914</v>
      </c>
      <c r="C220" s="273">
        <f t="shared" si="57"/>
        <v>576578.4</v>
      </c>
      <c r="D220" s="273">
        <f t="shared" si="59"/>
        <v>576578.4</v>
      </c>
      <c r="E220" s="273">
        <v>576578.4</v>
      </c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1"/>
      <c r="V220" s="271"/>
      <c r="W220" s="271"/>
      <c r="X220" s="271"/>
      <c r="Y220" s="271"/>
      <c r="Z220" s="269"/>
      <c r="AA220" s="84"/>
      <c r="AB220" s="82"/>
      <c r="AC220" s="82"/>
    </row>
    <row r="221" spans="1:29" x14ac:dyDescent="0.3">
      <c r="A221" s="250">
        <f t="shared" si="58"/>
        <v>149</v>
      </c>
      <c r="B221" s="20" t="s">
        <v>915</v>
      </c>
      <c r="C221" s="273">
        <f t="shared" si="57"/>
        <v>440649.76</v>
      </c>
      <c r="D221" s="273">
        <f t="shared" si="59"/>
        <v>440649.76</v>
      </c>
      <c r="E221" s="273">
        <v>440649.76</v>
      </c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1"/>
      <c r="V221" s="271"/>
      <c r="W221" s="271"/>
      <c r="X221" s="271"/>
      <c r="Y221" s="271"/>
      <c r="Z221" s="269"/>
      <c r="AA221" s="84"/>
      <c r="AB221" s="82"/>
      <c r="AC221" s="82"/>
    </row>
    <row r="222" spans="1:29" x14ac:dyDescent="0.3">
      <c r="A222" s="250">
        <f t="shared" si="58"/>
        <v>150</v>
      </c>
      <c r="B222" s="20" t="s">
        <v>921</v>
      </c>
      <c r="C222" s="273">
        <f t="shared" si="57"/>
        <v>512628</v>
      </c>
      <c r="D222" s="273">
        <f t="shared" si="59"/>
        <v>512628</v>
      </c>
      <c r="E222" s="273">
        <v>512628</v>
      </c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1"/>
      <c r="V222" s="271"/>
      <c r="W222" s="271"/>
      <c r="X222" s="271"/>
      <c r="Y222" s="271"/>
      <c r="Z222" s="269"/>
      <c r="AA222" s="84"/>
      <c r="AB222" s="82"/>
      <c r="AC222" s="82"/>
    </row>
    <row r="223" spans="1:29" x14ac:dyDescent="0.3">
      <c r="A223" s="250">
        <f t="shared" si="58"/>
        <v>151</v>
      </c>
      <c r="B223" s="20" t="s">
        <v>930</v>
      </c>
      <c r="C223" s="273">
        <f t="shared" si="57"/>
        <v>855524.4</v>
      </c>
      <c r="D223" s="273">
        <f t="shared" si="59"/>
        <v>855524.4</v>
      </c>
      <c r="E223" s="273">
        <v>855524.4</v>
      </c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1"/>
      <c r="V223" s="271"/>
      <c r="W223" s="271"/>
      <c r="X223" s="271"/>
      <c r="Y223" s="271"/>
      <c r="Z223" s="269"/>
      <c r="AA223" s="84"/>
      <c r="AB223" s="82"/>
      <c r="AC223" s="82"/>
    </row>
    <row r="224" spans="1:29" x14ac:dyDescent="0.3">
      <c r="A224" s="250">
        <f t="shared" si="58"/>
        <v>152</v>
      </c>
      <c r="B224" s="20" t="s">
        <v>931</v>
      </c>
      <c r="C224" s="273">
        <f t="shared" si="57"/>
        <v>843195.6</v>
      </c>
      <c r="D224" s="273">
        <f t="shared" si="59"/>
        <v>843195.6</v>
      </c>
      <c r="E224" s="273">
        <v>843195.6</v>
      </c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1"/>
      <c r="V224" s="271"/>
      <c r="W224" s="271"/>
      <c r="X224" s="271"/>
      <c r="Y224" s="271"/>
      <c r="Z224" s="269"/>
      <c r="AA224" s="84"/>
      <c r="AB224" s="82"/>
      <c r="AC224" s="82"/>
    </row>
    <row r="225" spans="1:29" x14ac:dyDescent="0.3">
      <c r="A225" s="250">
        <f t="shared" si="58"/>
        <v>153</v>
      </c>
      <c r="B225" s="20" t="s">
        <v>934</v>
      </c>
      <c r="C225" s="273">
        <f t="shared" si="57"/>
        <v>430469.9</v>
      </c>
      <c r="D225" s="273">
        <f t="shared" si="59"/>
        <v>430469.9</v>
      </c>
      <c r="E225" s="273">
        <v>430469.9</v>
      </c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1"/>
      <c r="V225" s="271"/>
      <c r="W225" s="271"/>
      <c r="X225" s="271"/>
      <c r="Y225" s="271"/>
      <c r="Z225" s="269"/>
      <c r="AA225" s="84"/>
      <c r="AB225" s="82"/>
      <c r="AC225" s="82"/>
    </row>
    <row r="226" spans="1:29" x14ac:dyDescent="0.3">
      <c r="A226" s="250">
        <f t="shared" si="58"/>
        <v>154</v>
      </c>
      <c r="B226" s="20" t="s">
        <v>936</v>
      </c>
      <c r="C226" s="273">
        <f t="shared" si="57"/>
        <v>1041278.4</v>
      </c>
      <c r="D226" s="273">
        <f t="shared" si="59"/>
        <v>1041278.4</v>
      </c>
      <c r="E226" s="273">
        <v>1041278.4</v>
      </c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1"/>
      <c r="V226" s="271"/>
      <c r="W226" s="271"/>
      <c r="X226" s="271"/>
      <c r="Y226" s="271"/>
      <c r="Z226" s="269"/>
      <c r="AA226" s="84"/>
      <c r="AB226" s="82"/>
      <c r="AC226" s="82"/>
    </row>
    <row r="227" spans="1:29" x14ac:dyDescent="0.3">
      <c r="A227" s="250"/>
      <c r="B227" s="20" t="s">
        <v>208</v>
      </c>
      <c r="C227" s="273">
        <f t="shared" ref="C227:T227" si="60">SUM(C211:C226)</f>
        <v>9361080.7200000007</v>
      </c>
      <c r="D227" s="273">
        <f t="shared" si="60"/>
        <v>8040785.7600000007</v>
      </c>
      <c r="E227" s="273">
        <f t="shared" si="60"/>
        <v>8040785.7600000007</v>
      </c>
      <c r="F227" s="273">
        <f t="shared" si="60"/>
        <v>0</v>
      </c>
      <c r="G227" s="273">
        <f t="shared" si="60"/>
        <v>0</v>
      </c>
      <c r="H227" s="273">
        <f t="shared" si="60"/>
        <v>0</v>
      </c>
      <c r="I227" s="273">
        <f t="shared" si="60"/>
        <v>0</v>
      </c>
      <c r="J227" s="273">
        <f t="shared" si="60"/>
        <v>0</v>
      </c>
      <c r="K227" s="273">
        <f t="shared" si="60"/>
        <v>0</v>
      </c>
      <c r="L227" s="273">
        <f t="shared" si="60"/>
        <v>0</v>
      </c>
      <c r="M227" s="273">
        <f t="shared" si="60"/>
        <v>0</v>
      </c>
      <c r="N227" s="273">
        <f t="shared" si="60"/>
        <v>0</v>
      </c>
      <c r="O227" s="273">
        <f t="shared" si="60"/>
        <v>0</v>
      </c>
      <c r="P227" s="273">
        <f t="shared" si="60"/>
        <v>0</v>
      </c>
      <c r="Q227" s="273">
        <f t="shared" si="60"/>
        <v>0</v>
      </c>
      <c r="R227" s="273">
        <f t="shared" si="60"/>
        <v>0</v>
      </c>
      <c r="S227" s="273">
        <f t="shared" si="60"/>
        <v>0</v>
      </c>
      <c r="T227" s="273">
        <f t="shared" si="60"/>
        <v>1320294.96</v>
      </c>
      <c r="U227" s="271"/>
      <c r="V227" s="271"/>
      <c r="W227" s="271"/>
      <c r="X227" s="271"/>
      <c r="Y227" s="271"/>
      <c r="Z227" s="269"/>
      <c r="AA227" s="84"/>
      <c r="AB227" s="82"/>
      <c r="AC227" s="82"/>
    </row>
    <row r="228" spans="1:29" x14ac:dyDescent="0.3">
      <c r="A228" s="327" t="s">
        <v>958</v>
      </c>
      <c r="B228" s="328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1"/>
      <c r="V228" s="271"/>
      <c r="W228" s="271"/>
      <c r="X228" s="271"/>
      <c r="Y228" s="271"/>
      <c r="Z228" s="269"/>
      <c r="AA228" s="84"/>
      <c r="AB228" s="82"/>
      <c r="AC228" s="82"/>
    </row>
    <row r="229" spans="1:29" ht="18" x14ac:dyDescent="0.35">
      <c r="A229" s="250">
        <f>A226+1</f>
        <v>155</v>
      </c>
      <c r="B229" s="20" t="s">
        <v>959</v>
      </c>
      <c r="C229" s="273">
        <f t="shared" ref="C229:C230" si="61">D229+K229+M229+O229+P229+R229+S229+T229</f>
        <v>2269751.4300000002</v>
      </c>
      <c r="D229" s="273"/>
      <c r="E229" s="273"/>
      <c r="F229" s="273"/>
      <c r="G229" s="273"/>
      <c r="H229" s="273"/>
      <c r="I229" s="273"/>
      <c r="J229" s="273"/>
      <c r="K229" s="273">
        <v>2034724</v>
      </c>
      <c r="L229" s="273"/>
      <c r="M229" s="273"/>
      <c r="N229" s="259"/>
      <c r="O229" s="259"/>
      <c r="P229" s="273"/>
      <c r="Q229" s="273"/>
      <c r="R229" s="273"/>
      <c r="S229" s="273"/>
      <c r="T229" s="273">
        <v>235027.43</v>
      </c>
      <c r="U229" s="206"/>
      <c r="V229" s="271"/>
      <c r="W229" s="271"/>
      <c r="X229" s="271"/>
      <c r="Y229" s="271"/>
      <c r="Z229" s="269"/>
      <c r="AA229" s="84">
        <v>235027.43</v>
      </c>
      <c r="AB229" s="82"/>
      <c r="AC229" s="82"/>
    </row>
    <row r="230" spans="1:29" ht="18" x14ac:dyDescent="0.35">
      <c r="A230" s="250">
        <f>A229+1</f>
        <v>156</v>
      </c>
      <c r="B230" s="20" t="s">
        <v>960</v>
      </c>
      <c r="C230" s="273">
        <f t="shared" si="61"/>
        <v>2266718.9</v>
      </c>
      <c r="D230" s="273"/>
      <c r="E230" s="273"/>
      <c r="F230" s="273"/>
      <c r="G230" s="273"/>
      <c r="H230" s="273"/>
      <c r="I230" s="273"/>
      <c r="J230" s="273"/>
      <c r="K230" s="273">
        <v>2034724</v>
      </c>
      <c r="L230" s="273"/>
      <c r="M230" s="273"/>
      <c r="N230" s="259"/>
      <c r="O230" s="259"/>
      <c r="P230" s="273"/>
      <c r="Q230" s="273"/>
      <c r="R230" s="273"/>
      <c r="S230" s="273"/>
      <c r="T230" s="273">
        <v>231994.9</v>
      </c>
      <c r="U230" s="206"/>
      <c r="V230" s="271"/>
      <c r="W230" s="271"/>
      <c r="X230" s="271"/>
      <c r="Y230" s="271"/>
      <c r="Z230" s="269"/>
      <c r="AA230" s="84">
        <v>231994.9</v>
      </c>
      <c r="AB230" s="82"/>
      <c r="AC230" s="82"/>
    </row>
    <row r="231" spans="1:29" x14ac:dyDescent="0.3">
      <c r="A231" s="250">
        <f>A230+1</f>
        <v>157</v>
      </c>
      <c r="B231" s="20" t="s">
        <v>208</v>
      </c>
      <c r="C231" s="273">
        <f t="shared" ref="C231:T231" si="62">SUM(C229:C230)</f>
        <v>4536470.33</v>
      </c>
      <c r="D231" s="273">
        <f t="shared" si="62"/>
        <v>0</v>
      </c>
      <c r="E231" s="273">
        <f t="shared" si="62"/>
        <v>0</v>
      </c>
      <c r="F231" s="273">
        <f t="shared" si="62"/>
        <v>0</v>
      </c>
      <c r="G231" s="273">
        <f t="shared" si="62"/>
        <v>0</v>
      </c>
      <c r="H231" s="273">
        <f t="shared" si="62"/>
        <v>0</v>
      </c>
      <c r="I231" s="273">
        <f t="shared" si="62"/>
        <v>0</v>
      </c>
      <c r="J231" s="273">
        <f t="shared" si="62"/>
        <v>0</v>
      </c>
      <c r="K231" s="273">
        <f t="shared" si="62"/>
        <v>4069448</v>
      </c>
      <c r="L231" s="273">
        <f t="shared" si="62"/>
        <v>0</v>
      </c>
      <c r="M231" s="273">
        <f t="shared" si="62"/>
        <v>0</v>
      </c>
      <c r="N231" s="273">
        <f t="shared" si="62"/>
        <v>0</v>
      </c>
      <c r="O231" s="273">
        <f t="shared" si="62"/>
        <v>0</v>
      </c>
      <c r="P231" s="273">
        <f t="shared" si="62"/>
        <v>0</v>
      </c>
      <c r="Q231" s="273">
        <f t="shared" si="62"/>
        <v>0</v>
      </c>
      <c r="R231" s="273">
        <f t="shared" si="62"/>
        <v>0</v>
      </c>
      <c r="S231" s="273">
        <f t="shared" si="62"/>
        <v>0</v>
      </c>
      <c r="T231" s="273">
        <f t="shared" si="62"/>
        <v>467022.32999999996</v>
      </c>
      <c r="U231" s="271"/>
      <c r="V231" s="271"/>
      <c r="W231" s="271"/>
      <c r="X231" s="271"/>
      <c r="Y231" s="271"/>
      <c r="Z231" s="269"/>
      <c r="AA231" s="84"/>
      <c r="AB231" s="82"/>
      <c r="AC231" s="82"/>
    </row>
    <row r="232" spans="1:29" x14ac:dyDescent="0.3">
      <c r="A232" s="329" t="s">
        <v>961</v>
      </c>
      <c r="B232" s="330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1"/>
      <c r="V232" s="271"/>
      <c r="W232" s="271"/>
      <c r="X232" s="271"/>
      <c r="Y232" s="271"/>
      <c r="Z232" s="269"/>
      <c r="AA232" s="84"/>
      <c r="AB232" s="82"/>
      <c r="AC232" s="82"/>
    </row>
    <row r="233" spans="1:29" x14ac:dyDescent="0.3">
      <c r="A233" s="250">
        <f>A231+1</f>
        <v>158</v>
      </c>
      <c r="B233" s="20" t="s">
        <v>991</v>
      </c>
      <c r="C233" s="273">
        <f t="shared" ref="C233:C237" si="63">D233+K233+M233+O233+P233+R233+S233+T233</f>
        <v>4485716.4000000004</v>
      </c>
      <c r="D233" s="273"/>
      <c r="E233" s="273"/>
      <c r="F233" s="273"/>
      <c r="G233" s="273"/>
      <c r="H233" s="273"/>
      <c r="I233" s="273"/>
      <c r="J233" s="273">
        <v>998</v>
      </c>
      <c r="K233" s="273">
        <v>4485716.4000000004</v>
      </c>
      <c r="L233" s="273"/>
      <c r="M233" s="273"/>
      <c r="N233" s="273"/>
      <c r="O233" s="273"/>
      <c r="P233" s="273"/>
      <c r="Q233" s="273"/>
      <c r="R233" s="273"/>
      <c r="S233" s="273"/>
      <c r="T233" s="273"/>
      <c r="U233" s="271"/>
      <c r="V233" s="271"/>
      <c r="W233" s="271"/>
      <c r="X233" s="271"/>
      <c r="Y233" s="271"/>
      <c r="Z233" s="269"/>
      <c r="AA233" s="84"/>
      <c r="AB233" s="82"/>
      <c r="AC233" s="82"/>
    </row>
    <row r="234" spans="1:29" x14ac:dyDescent="0.3">
      <c r="A234" s="250">
        <f>A233+1</f>
        <v>159</v>
      </c>
      <c r="B234" s="20" t="s">
        <v>992</v>
      </c>
      <c r="C234" s="273">
        <f t="shared" si="63"/>
        <v>3891398.4</v>
      </c>
      <c r="D234" s="273"/>
      <c r="E234" s="273"/>
      <c r="F234" s="273"/>
      <c r="G234" s="273"/>
      <c r="H234" s="273"/>
      <c r="I234" s="273"/>
      <c r="J234" s="273">
        <v>1142</v>
      </c>
      <c r="K234" s="273">
        <v>3891398.4</v>
      </c>
      <c r="L234" s="273"/>
      <c r="M234" s="273"/>
      <c r="N234" s="273"/>
      <c r="O234" s="273"/>
      <c r="P234" s="273"/>
      <c r="Q234" s="273"/>
      <c r="R234" s="273"/>
      <c r="S234" s="273"/>
      <c r="T234" s="273"/>
      <c r="U234" s="271"/>
      <c r="V234" s="271"/>
      <c r="W234" s="271"/>
      <c r="X234" s="271"/>
      <c r="Y234" s="271"/>
      <c r="Z234" s="269"/>
      <c r="AA234" s="84"/>
      <c r="AB234" s="82"/>
      <c r="AC234" s="82"/>
    </row>
    <row r="235" spans="1:29" x14ac:dyDescent="0.3">
      <c r="A235" s="250">
        <f>A234+1</f>
        <v>160</v>
      </c>
      <c r="B235" s="20" t="s">
        <v>1012</v>
      </c>
      <c r="C235" s="273">
        <f t="shared" si="63"/>
        <v>3002863.2</v>
      </c>
      <c r="D235" s="273"/>
      <c r="E235" s="273"/>
      <c r="F235" s="273"/>
      <c r="G235" s="273"/>
      <c r="H235" s="273"/>
      <c r="I235" s="273"/>
      <c r="J235" s="273">
        <v>516.9</v>
      </c>
      <c r="K235" s="273">
        <v>3002863.2</v>
      </c>
      <c r="L235" s="273"/>
      <c r="M235" s="273"/>
      <c r="N235" s="273"/>
      <c r="O235" s="273"/>
      <c r="P235" s="273"/>
      <c r="Q235" s="273"/>
      <c r="R235" s="273"/>
      <c r="S235" s="273"/>
      <c r="T235" s="273"/>
      <c r="U235" s="93"/>
      <c r="V235" s="271"/>
      <c r="W235" s="271"/>
      <c r="X235" s="271"/>
      <c r="Y235" s="271"/>
      <c r="Z235" s="269"/>
      <c r="AA235" s="7"/>
      <c r="AB235" s="82"/>
      <c r="AC235" s="82"/>
    </row>
    <row r="236" spans="1:29" x14ac:dyDescent="0.3">
      <c r="A236" s="250">
        <f>A235+1</f>
        <v>161</v>
      </c>
      <c r="B236" s="20" t="s">
        <v>1020</v>
      </c>
      <c r="C236" s="273">
        <f t="shared" si="63"/>
        <v>3864890.4</v>
      </c>
      <c r="D236" s="273"/>
      <c r="E236" s="273"/>
      <c r="F236" s="273"/>
      <c r="G236" s="273"/>
      <c r="H236" s="273"/>
      <c r="I236" s="273"/>
      <c r="J236" s="273">
        <v>1199.2</v>
      </c>
      <c r="K236" s="273">
        <v>3864890.4</v>
      </c>
      <c r="L236" s="273"/>
      <c r="M236" s="273"/>
      <c r="N236" s="273"/>
      <c r="O236" s="273"/>
      <c r="P236" s="273"/>
      <c r="Q236" s="273"/>
      <c r="R236" s="273"/>
      <c r="S236" s="273"/>
      <c r="T236" s="273"/>
      <c r="U236" s="92"/>
      <c r="V236" s="271"/>
      <c r="W236" s="271"/>
      <c r="X236" s="271"/>
      <c r="Y236" s="271"/>
      <c r="Z236" s="94"/>
      <c r="AA236" s="7"/>
      <c r="AB236" s="82"/>
      <c r="AC236" s="82"/>
    </row>
    <row r="237" spans="1:29" x14ac:dyDescent="0.3">
      <c r="A237" s="250">
        <f>A236+1</f>
        <v>162</v>
      </c>
      <c r="B237" s="20" t="s">
        <v>1021</v>
      </c>
      <c r="C237" s="273">
        <f t="shared" si="63"/>
        <v>5972240.4000000004</v>
      </c>
      <c r="D237" s="273"/>
      <c r="E237" s="273"/>
      <c r="F237" s="273"/>
      <c r="G237" s="273"/>
      <c r="H237" s="273"/>
      <c r="I237" s="273"/>
      <c r="J237" s="273">
        <v>1570.59</v>
      </c>
      <c r="K237" s="273">
        <v>5972240.4000000004</v>
      </c>
      <c r="L237" s="273"/>
      <c r="M237" s="273"/>
      <c r="N237" s="273"/>
      <c r="O237" s="273"/>
      <c r="P237" s="273"/>
      <c r="Q237" s="273"/>
      <c r="R237" s="273"/>
      <c r="S237" s="273"/>
      <c r="T237" s="273"/>
      <c r="U237" s="92"/>
      <c r="V237" s="271"/>
      <c r="W237" s="271"/>
      <c r="X237" s="271"/>
      <c r="Y237" s="271"/>
      <c r="Z237" s="269"/>
      <c r="AA237" s="84"/>
      <c r="AB237" s="82"/>
      <c r="AC237" s="82"/>
    </row>
    <row r="238" spans="1:29" x14ac:dyDescent="0.3">
      <c r="A238" s="250"/>
      <c r="B238" s="20" t="s">
        <v>208</v>
      </c>
      <c r="C238" s="273">
        <f t="shared" ref="C238:T238" si="64">SUM(C233:C237)</f>
        <v>21217108.800000001</v>
      </c>
      <c r="D238" s="273">
        <f t="shared" si="64"/>
        <v>0</v>
      </c>
      <c r="E238" s="273">
        <f t="shared" si="64"/>
        <v>0</v>
      </c>
      <c r="F238" s="273">
        <f t="shared" si="64"/>
        <v>0</v>
      </c>
      <c r="G238" s="273">
        <f t="shared" si="64"/>
        <v>0</v>
      </c>
      <c r="H238" s="273">
        <f t="shared" si="64"/>
        <v>0</v>
      </c>
      <c r="I238" s="273">
        <f t="shared" si="64"/>
        <v>0</v>
      </c>
      <c r="J238" s="273">
        <f t="shared" si="64"/>
        <v>5426.6900000000005</v>
      </c>
      <c r="K238" s="273">
        <f t="shared" si="64"/>
        <v>21217108.800000001</v>
      </c>
      <c r="L238" s="273">
        <f t="shared" si="64"/>
        <v>0</v>
      </c>
      <c r="M238" s="273">
        <f t="shared" si="64"/>
        <v>0</v>
      </c>
      <c r="N238" s="273">
        <f t="shared" si="64"/>
        <v>0</v>
      </c>
      <c r="O238" s="273">
        <f t="shared" si="64"/>
        <v>0</v>
      </c>
      <c r="P238" s="273">
        <f t="shared" si="64"/>
        <v>0</v>
      </c>
      <c r="Q238" s="273">
        <f t="shared" si="64"/>
        <v>0</v>
      </c>
      <c r="R238" s="273">
        <f t="shared" si="64"/>
        <v>0</v>
      </c>
      <c r="S238" s="273">
        <f t="shared" si="64"/>
        <v>0</v>
      </c>
      <c r="T238" s="273">
        <f t="shared" si="64"/>
        <v>0</v>
      </c>
      <c r="U238" s="271"/>
      <c r="V238" s="271"/>
      <c r="W238" s="271"/>
      <c r="X238" s="271"/>
      <c r="Y238" s="271"/>
      <c r="Z238" s="269"/>
      <c r="AA238" s="84"/>
      <c r="AB238" s="82"/>
      <c r="AC238" s="82"/>
    </row>
    <row r="239" spans="1:29" x14ac:dyDescent="0.3">
      <c r="A239" s="329" t="s">
        <v>1035</v>
      </c>
      <c r="B239" s="330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1"/>
      <c r="V239" s="271"/>
      <c r="W239" s="271"/>
      <c r="X239" s="271"/>
      <c r="Y239" s="271"/>
      <c r="Z239" s="269"/>
      <c r="AA239" s="84"/>
      <c r="AB239" s="82"/>
      <c r="AC239" s="82"/>
    </row>
    <row r="240" spans="1:29" x14ac:dyDescent="0.3">
      <c r="A240" s="250">
        <f>A237+1</f>
        <v>163</v>
      </c>
      <c r="B240" s="20" t="s">
        <v>1037</v>
      </c>
      <c r="C240" s="273">
        <f t="shared" ref="C240:C244" si="65">D240+K240+M240+O240+P240+R240+S240+T240</f>
        <v>1752171.38</v>
      </c>
      <c r="D240" s="273"/>
      <c r="E240" s="273"/>
      <c r="F240" s="273"/>
      <c r="G240" s="273"/>
      <c r="H240" s="273"/>
      <c r="I240" s="273"/>
      <c r="J240" s="273">
        <v>1108</v>
      </c>
      <c r="K240" s="273">
        <v>1752171.38</v>
      </c>
      <c r="L240" s="273"/>
      <c r="M240" s="273"/>
      <c r="N240" s="273"/>
      <c r="O240" s="273"/>
      <c r="P240" s="273"/>
      <c r="Q240" s="273"/>
      <c r="R240" s="273"/>
      <c r="S240" s="273"/>
      <c r="T240" s="273"/>
      <c r="U240" s="271"/>
      <c r="V240" s="271"/>
      <c r="W240" s="271"/>
      <c r="X240" s="271"/>
      <c r="Y240" s="271"/>
      <c r="Z240" s="269"/>
      <c r="AA240" s="84"/>
      <c r="AB240" s="82"/>
      <c r="AC240" s="82"/>
    </row>
    <row r="241" spans="1:29" x14ac:dyDescent="0.3">
      <c r="A241" s="250">
        <f>A240+1</f>
        <v>164</v>
      </c>
      <c r="B241" s="20" t="s">
        <v>1038</v>
      </c>
      <c r="C241" s="273">
        <f t="shared" si="65"/>
        <v>1901069.68</v>
      </c>
      <c r="D241" s="273"/>
      <c r="E241" s="273"/>
      <c r="F241" s="273"/>
      <c r="G241" s="273"/>
      <c r="H241" s="273"/>
      <c r="I241" s="273"/>
      <c r="J241" s="273">
        <v>1108</v>
      </c>
      <c r="K241" s="273">
        <v>1901069.68</v>
      </c>
      <c r="L241" s="273"/>
      <c r="M241" s="273"/>
      <c r="N241" s="273"/>
      <c r="O241" s="273"/>
      <c r="P241" s="273"/>
      <c r="Q241" s="273"/>
      <c r="R241" s="273"/>
      <c r="S241" s="273"/>
      <c r="T241" s="273"/>
      <c r="U241" s="271"/>
      <c r="V241" s="271"/>
      <c r="W241" s="271"/>
      <c r="X241" s="271"/>
      <c r="Y241" s="271"/>
      <c r="Z241" s="269"/>
      <c r="AA241" s="84"/>
      <c r="AB241" s="82"/>
      <c r="AC241" s="82"/>
    </row>
    <row r="242" spans="1:29" x14ac:dyDescent="0.3">
      <c r="A242" s="250">
        <f>A241+1</f>
        <v>165</v>
      </c>
      <c r="B242" s="20" t="s">
        <v>1039</v>
      </c>
      <c r="C242" s="273">
        <f t="shared" si="65"/>
        <v>4998386.78</v>
      </c>
      <c r="D242" s="273"/>
      <c r="E242" s="273"/>
      <c r="F242" s="273"/>
      <c r="G242" s="273"/>
      <c r="H242" s="273"/>
      <c r="I242" s="273"/>
      <c r="J242" s="273">
        <v>928</v>
      </c>
      <c r="K242" s="273">
        <v>4998386.78</v>
      </c>
      <c r="L242" s="273"/>
      <c r="M242" s="273"/>
      <c r="N242" s="273"/>
      <c r="O242" s="273"/>
      <c r="P242" s="273"/>
      <c r="Q242" s="273"/>
      <c r="R242" s="273"/>
      <c r="S242" s="273"/>
      <c r="T242" s="273"/>
      <c r="U242" s="271"/>
      <c r="V242" s="271"/>
      <c r="W242" s="271"/>
      <c r="X242" s="271"/>
      <c r="Y242" s="271"/>
      <c r="Z242" s="269"/>
      <c r="AA242" s="84"/>
      <c r="AB242" s="82"/>
      <c r="AC242" s="82"/>
    </row>
    <row r="243" spans="1:29" x14ac:dyDescent="0.3">
      <c r="A243" s="250">
        <f>A242+1</f>
        <v>166</v>
      </c>
      <c r="B243" s="20" t="s">
        <v>1040</v>
      </c>
      <c r="C243" s="273">
        <f t="shared" si="65"/>
        <v>6085852.7999999998</v>
      </c>
      <c r="D243" s="273"/>
      <c r="E243" s="273"/>
      <c r="F243" s="273"/>
      <c r="G243" s="273"/>
      <c r="H243" s="273"/>
      <c r="I243" s="273"/>
      <c r="J243" s="273">
        <v>999.37</v>
      </c>
      <c r="K243" s="273">
        <v>6085852.7999999998</v>
      </c>
      <c r="L243" s="273"/>
      <c r="M243" s="273"/>
      <c r="N243" s="273"/>
      <c r="O243" s="273"/>
      <c r="P243" s="273"/>
      <c r="Q243" s="273"/>
      <c r="R243" s="273"/>
      <c r="S243" s="273"/>
      <c r="T243" s="273"/>
      <c r="U243" s="271"/>
      <c r="V243" s="271"/>
      <c r="W243" s="271"/>
      <c r="X243" s="271"/>
      <c r="Y243" s="271"/>
      <c r="Z243" s="269"/>
      <c r="AA243" s="84"/>
      <c r="AB243" s="82"/>
      <c r="AC243" s="82"/>
    </row>
    <row r="244" spans="1:29" x14ac:dyDescent="0.3">
      <c r="A244" s="250">
        <f>A243+1</f>
        <v>167</v>
      </c>
      <c r="B244" s="20" t="s">
        <v>1041</v>
      </c>
      <c r="C244" s="273">
        <f t="shared" si="65"/>
        <v>7818664.2199999997</v>
      </c>
      <c r="D244" s="273"/>
      <c r="E244" s="273"/>
      <c r="F244" s="273"/>
      <c r="G244" s="273"/>
      <c r="H244" s="273"/>
      <c r="I244" s="273"/>
      <c r="J244" s="273">
        <v>1690</v>
      </c>
      <c r="K244" s="273">
        <v>7818664.2199999997</v>
      </c>
      <c r="L244" s="273"/>
      <c r="M244" s="273"/>
      <c r="N244" s="273"/>
      <c r="O244" s="273"/>
      <c r="P244" s="273"/>
      <c r="Q244" s="273"/>
      <c r="R244" s="273"/>
      <c r="S244" s="273"/>
      <c r="T244" s="273"/>
      <c r="U244" s="271"/>
      <c r="V244" s="271"/>
      <c r="W244" s="271"/>
      <c r="X244" s="271"/>
      <c r="Y244" s="271"/>
      <c r="Z244" s="269"/>
      <c r="AA244" s="84"/>
      <c r="AB244" s="82"/>
      <c r="AC244" s="82"/>
    </row>
    <row r="245" spans="1:29" x14ac:dyDescent="0.3">
      <c r="A245" s="250"/>
      <c r="B245" s="20" t="s">
        <v>208</v>
      </c>
      <c r="C245" s="273">
        <f t="shared" ref="C245:T245" si="66">SUM(C240:C244)</f>
        <v>22556144.859999999</v>
      </c>
      <c r="D245" s="273">
        <f t="shared" si="66"/>
        <v>0</v>
      </c>
      <c r="E245" s="273">
        <f t="shared" si="66"/>
        <v>0</v>
      </c>
      <c r="F245" s="273">
        <f t="shared" si="66"/>
        <v>0</v>
      </c>
      <c r="G245" s="273">
        <f t="shared" si="66"/>
        <v>0</v>
      </c>
      <c r="H245" s="273">
        <f t="shared" si="66"/>
        <v>0</v>
      </c>
      <c r="I245" s="273">
        <f t="shared" si="66"/>
        <v>0</v>
      </c>
      <c r="J245" s="273">
        <f t="shared" si="66"/>
        <v>5833.37</v>
      </c>
      <c r="K245" s="273">
        <f t="shared" si="66"/>
        <v>22556144.859999999</v>
      </c>
      <c r="L245" s="273">
        <f t="shared" si="66"/>
        <v>0</v>
      </c>
      <c r="M245" s="273">
        <f t="shared" si="66"/>
        <v>0</v>
      </c>
      <c r="N245" s="273">
        <f t="shared" si="66"/>
        <v>0</v>
      </c>
      <c r="O245" s="273">
        <f t="shared" si="66"/>
        <v>0</v>
      </c>
      <c r="P245" s="273">
        <f t="shared" si="66"/>
        <v>0</v>
      </c>
      <c r="Q245" s="273">
        <f t="shared" si="66"/>
        <v>0</v>
      </c>
      <c r="R245" s="273">
        <f t="shared" si="66"/>
        <v>0</v>
      </c>
      <c r="S245" s="273">
        <f t="shared" si="66"/>
        <v>0</v>
      </c>
      <c r="T245" s="273">
        <f t="shared" si="66"/>
        <v>0</v>
      </c>
      <c r="U245" s="271"/>
      <c r="V245" s="271"/>
      <c r="W245" s="271"/>
      <c r="X245" s="271"/>
      <c r="Y245" s="271"/>
      <c r="Z245" s="269"/>
      <c r="AA245" s="84"/>
      <c r="AB245" s="82"/>
      <c r="AC245" s="82"/>
    </row>
    <row r="246" spans="1:29" x14ac:dyDescent="0.3">
      <c r="A246" s="329" t="s">
        <v>1056</v>
      </c>
      <c r="B246" s="330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1"/>
      <c r="V246" s="271"/>
      <c r="W246" s="271"/>
      <c r="X246" s="271"/>
      <c r="Y246" s="271"/>
      <c r="Z246" s="269"/>
      <c r="AA246" s="84"/>
      <c r="AB246" s="82"/>
      <c r="AC246" s="82"/>
    </row>
    <row r="247" spans="1:29" x14ac:dyDescent="0.3">
      <c r="A247" s="250">
        <f>A244+1</f>
        <v>168</v>
      </c>
      <c r="B247" s="20" t="s">
        <v>1059</v>
      </c>
      <c r="C247" s="273">
        <f t="shared" ref="C247:C255" si="67">D247+K247+M247+O247+P247+R247+S247+T247</f>
        <v>523052.4</v>
      </c>
      <c r="D247" s="273">
        <f t="shared" ref="D247:D255" si="68">E247+F247+G247+H247+I247</f>
        <v>523052.4</v>
      </c>
      <c r="E247" s="273">
        <v>523052.4</v>
      </c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1"/>
      <c r="V247" s="271"/>
      <c r="W247" s="271"/>
      <c r="X247" s="271"/>
      <c r="Y247" s="271"/>
      <c r="Z247" s="269"/>
      <c r="AA247" s="84"/>
      <c r="AB247" s="82"/>
      <c r="AC247" s="82"/>
    </row>
    <row r="248" spans="1:29" x14ac:dyDescent="0.3">
      <c r="A248" s="250">
        <f t="shared" ref="A248:A255" si="69">A247+1</f>
        <v>169</v>
      </c>
      <c r="B248" s="20" t="s">
        <v>1061</v>
      </c>
      <c r="C248" s="273">
        <f t="shared" si="67"/>
        <v>5098700.0600000005</v>
      </c>
      <c r="D248" s="273">
        <f t="shared" si="68"/>
        <v>5098700.0600000005</v>
      </c>
      <c r="E248" s="273">
        <v>1708846.5</v>
      </c>
      <c r="F248" s="273">
        <f>649457.84+167222.52</f>
        <v>816680.36</v>
      </c>
      <c r="G248" s="273">
        <v>820006.8</v>
      </c>
      <c r="H248" s="273"/>
      <c r="I248" s="273">
        <v>1753166.4</v>
      </c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71"/>
      <c r="V248" s="271"/>
      <c r="W248" s="335"/>
      <c r="X248" s="335"/>
      <c r="Y248" s="271"/>
      <c r="Z248" s="269"/>
      <c r="AA248" s="84"/>
      <c r="AB248" s="82"/>
      <c r="AC248" s="82"/>
    </row>
    <row r="249" spans="1:29" x14ac:dyDescent="0.3">
      <c r="A249" s="250">
        <f t="shared" si="69"/>
        <v>170</v>
      </c>
      <c r="B249" s="20" t="s">
        <v>1063</v>
      </c>
      <c r="C249" s="273">
        <f t="shared" si="67"/>
        <v>492246</v>
      </c>
      <c r="D249" s="273">
        <f t="shared" si="68"/>
        <v>492246</v>
      </c>
      <c r="E249" s="273">
        <v>492246</v>
      </c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1"/>
      <c r="V249" s="271"/>
      <c r="W249" s="335"/>
      <c r="X249" s="335"/>
      <c r="Y249" s="271"/>
      <c r="Z249" s="269"/>
      <c r="AA249" s="84"/>
      <c r="AB249" s="82"/>
      <c r="AC249" s="82"/>
    </row>
    <row r="250" spans="1:29" x14ac:dyDescent="0.3">
      <c r="A250" s="250">
        <f t="shared" si="69"/>
        <v>171</v>
      </c>
      <c r="B250" s="20" t="s">
        <v>1065</v>
      </c>
      <c r="C250" s="273">
        <f t="shared" si="67"/>
        <v>596653.19999999995</v>
      </c>
      <c r="D250" s="273">
        <f t="shared" si="68"/>
        <v>596653.19999999995</v>
      </c>
      <c r="E250" s="273">
        <v>596653.19999999995</v>
      </c>
      <c r="F250" s="273"/>
      <c r="G250" s="273"/>
      <c r="H250" s="273"/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1"/>
      <c r="V250" s="271"/>
      <c r="W250" s="335"/>
      <c r="X250" s="335"/>
      <c r="Y250" s="271"/>
      <c r="Z250" s="269"/>
      <c r="AA250" s="84"/>
      <c r="AB250" s="82"/>
      <c r="AC250" s="82"/>
    </row>
    <row r="251" spans="1:29" x14ac:dyDescent="0.3">
      <c r="A251" s="250">
        <f t="shared" si="69"/>
        <v>172</v>
      </c>
      <c r="B251" s="20" t="s">
        <v>1066</v>
      </c>
      <c r="C251" s="273">
        <f t="shared" si="67"/>
        <v>5285570.4000000004</v>
      </c>
      <c r="D251" s="273">
        <f t="shared" si="68"/>
        <v>5285570.4000000004</v>
      </c>
      <c r="E251" s="273">
        <v>634872</v>
      </c>
      <c r="F251" s="273">
        <f>1822813.2+348181.2</f>
        <v>2170994.4</v>
      </c>
      <c r="G251" s="273">
        <v>327391.2</v>
      </c>
      <c r="H251" s="273"/>
      <c r="I251" s="273">
        <v>2152312.7999999998</v>
      </c>
      <c r="J251" s="273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1"/>
      <c r="V251" s="271"/>
      <c r="W251" s="335"/>
      <c r="X251" s="335"/>
      <c r="Y251" s="271"/>
      <c r="Z251" s="269"/>
      <c r="AA251" s="84"/>
      <c r="AB251" s="82"/>
      <c r="AC251" s="82"/>
    </row>
    <row r="252" spans="1:29" x14ac:dyDescent="0.3">
      <c r="A252" s="250">
        <f t="shared" si="69"/>
        <v>173</v>
      </c>
      <c r="B252" s="20" t="s">
        <v>1067</v>
      </c>
      <c r="C252" s="273">
        <f t="shared" si="67"/>
        <v>5886080.3999999994</v>
      </c>
      <c r="D252" s="273">
        <f t="shared" si="68"/>
        <v>5886080.3999999994</v>
      </c>
      <c r="E252" s="273">
        <v>946989.6</v>
      </c>
      <c r="F252" s="273">
        <f>3111361.2+379626</f>
        <v>3490987.2</v>
      </c>
      <c r="G252" s="273">
        <v>580842</v>
      </c>
      <c r="H252" s="273"/>
      <c r="I252" s="273">
        <v>867261.6</v>
      </c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71"/>
      <c r="V252" s="271"/>
      <c r="W252" s="335"/>
      <c r="X252" s="335"/>
      <c r="Y252" s="271"/>
      <c r="Z252" s="269"/>
      <c r="AA252" s="84"/>
      <c r="AB252" s="82"/>
      <c r="AC252" s="82"/>
    </row>
    <row r="253" spans="1:29" x14ac:dyDescent="0.3">
      <c r="A253" s="250">
        <f t="shared" si="69"/>
        <v>174</v>
      </c>
      <c r="B253" s="20" t="s">
        <v>1068</v>
      </c>
      <c r="C253" s="273">
        <f t="shared" si="67"/>
        <v>5885980.7999999998</v>
      </c>
      <c r="D253" s="273">
        <f t="shared" si="68"/>
        <v>5885980.7999999998</v>
      </c>
      <c r="E253" s="273">
        <v>946890</v>
      </c>
      <c r="F253" s="273">
        <f>3111361.2+379626</f>
        <v>3490987.2</v>
      </c>
      <c r="G253" s="273">
        <v>580842</v>
      </c>
      <c r="H253" s="273"/>
      <c r="I253" s="273">
        <v>867261.6</v>
      </c>
      <c r="J253" s="273"/>
      <c r="K253" s="273"/>
      <c r="L253" s="273"/>
      <c r="M253" s="273"/>
      <c r="N253" s="273"/>
      <c r="O253" s="273"/>
      <c r="P253" s="273"/>
      <c r="Q253" s="273"/>
      <c r="R253" s="273"/>
      <c r="S253" s="273"/>
      <c r="T253" s="273"/>
      <c r="U253" s="271"/>
      <c r="V253" s="271"/>
      <c r="W253" s="335"/>
      <c r="X253" s="335"/>
      <c r="Y253" s="271"/>
      <c r="Z253" s="269"/>
      <c r="AA253" s="84"/>
      <c r="AB253" s="82"/>
      <c r="AC253" s="82"/>
    </row>
    <row r="254" spans="1:29" x14ac:dyDescent="0.3">
      <c r="A254" s="250">
        <f t="shared" si="69"/>
        <v>175</v>
      </c>
      <c r="B254" s="20" t="s">
        <v>1069</v>
      </c>
      <c r="C254" s="273">
        <f t="shared" si="67"/>
        <v>570424.80000000005</v>
      </c>
      <c r="D254" s="273">
        <f t="shared" si="68"/>
        <v>570424.80000000005</v>
      </c>
      <c r="E254" s="273">
        <v>570424.80000000005</v>
      </c>
      <c r="F254" s="273"/>
      <c r="G254" s="273"/>
      <c r="H254" s="273"/>
      <c r="I254" s="273"/>
      <c r="J254" s="273"/>
      <c r="K254" s="273"/>
      <c r="L254" s="273"/>
      <c r="M254" s="273"/>
      <c r="N254" s="273"/>
      <c r="O254" s="273"/>
      <c r="P254" s="273"/>
      <c r="Q254" s="273"/>
      <c r="R254" s="273"/>
      <c r="S254" s="273"/>
      <c r="T254" s="273"/>
      <c r="U254" s="269"/>
      <c r="V254" s="269"/>
      <c r="W254" s="269"/>
      <c r="X254" s="269"/>
      <c r="Y254" s="269"/>
      <c r="Z254" s="269"/>
      <c r="AA254" s="7"/>
      <c r="AB254" s="13"/>
      <c r="AC254" s="82"/>
    </row>
    <row r="255" spans="1:29" x14ac:dyDescent="0.3">
      <c r="A255" s="250">
        <f t="shared" si="69"/>
        <v>176</v>
      </c>
      <c r="B255" s="20" t="s">
        <v>1081</v>
      </c>
      <c r="C255" s="273">
        <f t="shared" si="67"/>
        <v>3350069.08</v>
      </c>
      <c r="D255" s="273">
        <f t="shared" si="68"/>
        <v>3350069.08</v>
      </c>
      <c r="E255" s="273">
        <v>829334.68</v>
      </c>
      <c r="F255" s="273">
        <v>607724.4</v>
      </c>
      <c r="G255" s="273">
        <v>480409.2</v>
      </c>
      <c r="H255" s="273">
        <v>794962.8</v>
      </c>
      <c r="I255" s="273">
        <v>637638</v>
      </c>
      <c r="J255" s="273"/>
      <c r="K255" s="273"/>
      <c r="L255" s="273"/>
      <c r="M255" s="273"/>
      <c r="N255" s="273"/>
      <c r="O255" s="273"/>
      <c r="P255" s="273"/>
      <c r="Q255" s="273"/>
      <c r="R255" s="273"/>
      <c r="S255" s="273"/>
      <c r="T255" s="273"/>
      <c r="U255" s="271"/>
      <c r="V255" s="271"/>
      <c r="W255" s="335"/>
      <c r="X255" s="335"/>
      <c r="Y255" s="271"/>
      <c r="Z255" s="269"/>
      <c r="AA255" s="84"/>
      <c r="AB255" s="82"/>
      <c r="AC255" s="82"/>
    </row>
    <row r="256" spans="1:29" x14ac:dyDescent="0.3">
      <c r="A256" s="250"/>
      <c r="B256" s="20" t="s">
        <v>208</v>
      </c>
      <c r="C256" s="273">
        <f t="shared" ref="C256:T256" si="70">SUM(C247:C255)</f>
        <v>27688777.140000001</v>
      </c>
      <c r="D256" s="273">
        <f t="shared" si="70"/>
        <v>27688777.140000001</v>
      </c>
      <c r="E256" s="273">
        <f t="shared" si="70"/>
        <v>7249309.1799999988</v>
      </c>
      <c r="F256" s="273">
        <f t="shared" si="70"/>
        <v>10577373.560000001</v>
      </c>
      <c r="G256" s="273">
        <f t="shared" si="70"/>
        <v>2789491.2</v>
      </c>
      <c r="H256" s="273">
        <f t="shared" si="70"/>
        <v>794962.8</v>
      </c>
      <c r="I256" s="273">
        <f t="shared" si="70"/>
        <v>6277640.3999999994</v>
      </c>
      <c r="J256" s="273">
        <f t="shared" si="70"/>
        <v>0</v>
      </c>
      <c r="K256" s="273">
        <f t="shared" si="70"/>
        <v>0</v>
      </c>
      <c r="L256" s="273">
        <f t="shared" si="70"/>
        <v>0</v>
      </c>
      <c r="M256" s="273">
        <f t="shared" si="70"/>
        <v>0</v>
      </c>
      <c r="N256" s="273">
        <f t="shared" si="70"/>
        <v>0</v>
      </c>
      <c r="O256" s="273">
        <f t="shared" si="70"/>
        <v>0</v>
      </c>
      <c r="P256" s="273">
        <f t="shared" si="70"/>
        <v>0</v>
      </c>
      <c r="Q256" s="273">
        <f t="shared" si="70"/>
        <v>0</v>
      </c>
      <c r="R256" s="273">
        <f t="shared" si="70"/>
        <v>0</v>
      </c>
      <c r="S256" s="273">
        <f t="shared" si="70"/>
        <v>0</v>
      </c>
      <c r="T256" s="273">
        <f t="shared" si="70"/>
        <v>0</v>
      </c>
      <c r="U256" s="271"/>
      <c r="V256" s="271"/>
      <c r="W256" s="271"/>
      <c r="X256" s="271"/>
      <c r="Y256" s="271"/>
      <c r="Z256" s="269"/>
      <c r="AA256" s="84"/>
      <c r="AB256" s="82"/>
      <c r="AC256" s="82"/>
    </row>
    <row r="257" spans="1:29" x14ac:dyDescent="0.3">
      <c r="A257" s="317" t="s">
        <v>1084</v>
      </c>
      <c r="B257" s="318"/>
      <c r="C257" s="251">
        <f t="shared" ref="C257:T257" si="71">C197+C209+C227+C231+C238+C245+C256</f>
        <v>145464018.00999999</v>
      </c>
      <c r="D257" s="251">
        <f t="shared" si="71"/>
        <v>87440545.349999994</v>
      </c>
      <c r="E257" s="251">
        <f t="shared" si="71"/>
        <v>24037549.150000002</v>
      </c>
      <c r="F257" s="251">
        <f t="shared" si="71"/>
        <v>42674985.210000001</v>
      </c>
      <c r="G257" s="251">
        <f t="shared" si="71"/>
        <v>7966140.25</v>
      </c>
      <c r="H257" s="251">
        <f t="shared" si="71"/>
        <v>3111637.2</v>
      </c>
      <c r="I257" s="251">
        <f t="shared" si="71"/>
        <v>9650233.5399999991</v>
      </c>
      <c r="J257" s="251">
        <f t="shared" si="71"/>
        <v>12383.060000000001</v>
      </c>
      <c r="K257" s="251">
        <f t="shared" si="71"/>
        <v>54275196.060000002</v>
      </c>
      <c r="L257" s="251">
        <f t="shared" si="71"/>
        <v>0</v>
      </c>
      <c r="M257" s="251">
        <f t="shared" si="71"/>
        <v>0</v>
      </c>
      <c r="N257" s="251">
        <f t="shared" si="71"/>
        <v>0</v>
      </c>
      <c r="O257" s="251">
        <f t="shared" si="71"/>
        <v>0</v>
      </c>
      <c r="P257" s="251">
        <f t="shared" si="71"/>
        <v>0</v>
      </c>
      <c r="Q257" s="251">
        <f t="shared" si="71"/>
        <v>0</v>
      </c>
      <c r="R257" s="251">
        <f t="shared" si="71"/>
        <v>0</v>
      </c>
      <c r="S257" s="251">
        <f t="shared" si="71"/>
        <v>116175.6</v>
      </c>
      <c r="T257" s="251">
        <f t="shared" si="71"/>
        <v>3632101</v>
      </c>
      <c r="U257" s="271"/>
      <c r="V257" s="271"/>
      <c r="W257" s="271"/>
      <c r="X257" s="271"/>
      <c r="Y257" s="271"/>
      <c r="Z257" s="269"/>
      <c r="AA257" s="84"/>
      <c r="AB257" s="82"/>
      <c r="AC257" s="82"/>
    </row>
    <row r="258" spans="1:29" ht="15" customHeight="1" x14ac:dyDescent="0.3">
      <c r="A258" s="336" t="s">
        <v>1085</v>
      </c>
      <c r="B258" s="337"/>
      <c r="C258" s="337"/>
      <c r="D258" s="337"/>
      <c r="E258" s="337"/>
      <c r="F258" s="337"/>
      <c r="G258" s="337"/>
      <c r="H258" s="337"/>
      <c r="I258" s="337"/>
      <c r="J258" s="337"/>
      <c r="K258" s="337"/>
      <c r="L258" s="337"/>
      <c r="M258" s="337"/>
      <c r="N258" s="337"/>
      <c r="O258" s="337"/>
      <c r="P258" s="337"/>
      <c r="Q258" s="337"/>
      <c r="R258" s="337"/>
      <c r="S258" s="337"/>
      <c r="T258" s="338"/>
      <c r="U258" s="271"/>
      <c r="V258" s="269"/>
      <c r="W258" s="7"/>
      <c r="X258" s="13"/>
      <c r="Y258" s="13"/>
      <c r="Z258" s="13"/>
      <c r="AA258" s="13"/>
      <c r="AB258" s="13"/>
      <c r="AC258" s="13"/>
    </row>
    <row r="259" spans="1:29" ht="15" customHeight="1" x14ac:dyDescent="0.3">
      <c r="A259" s="339" t="s">
        <v>1086</v>
      </c>
      <c r="B259" s="340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1"/>
      <c r="V259" s="269"/>
      <c r="W259" s="7"/>
      <c r="X259" s="13"/>
      <c r="Y259" s="13"/>
      <c r="Z259" s="13"/>
      <c r="AA259" s="13"/>
    </row>
    <row r="260" spans="1:29" x14ac:dyDescent="0.3">
      <c r="A260" s="250">
        <f>A255+1</f>
        <v>177</v>
      </c>
      <c r="B260" s="20" t="s">
        <v>1087</v>
      </c>
      <c r="C260" s="273">
        <f t="shared" ref="C260:C264" si="72">D260+K260+M260+O260+P260+R260+S260+T260</f>
        <v>1744810.8</v>
      </c>
      <c r="D260" s="273">
        <f>E260+F260+G260+H260+I260</f>
        <v>1726116</v>
      </c>
      <c r="E260" s="273">
        <v>1726116</v>
      </c>
      <c r="F260" s="273"/>
      <c r="G260" s="273"/>
      <c r="H260" s="273"/>
      <c r="I260" s="273"/>
      <c r="J260" s="273"/>
      <c r="K260" s="273"/>
      <c r="L260" s="273"/>
      <c r="M260" s="273"/>
      <c r="N260" s="273"/>
      <c r="O260" s="273"/>
      <c r="P260" s="273"/>
      <c r="Q260" s="273"/>
      <c r="R260" s="273"/>
      <c r="S260" s="273">
        <v>18694.8</v>
      </c>
      <c r="T260" s="273"/>
      <c r="U260" s="271"/>
      <c r="V260" s="269"/>
      <c r="W260" s="7"/>
      <c r="X260" s="13"/>
      <c r="Y260" s="13"/>
      <c r="Z260" s="13"/>
      <c r="AA260" s="13"/>
    </row>
    <row r="261" spans="1:29" x14ac:dyDescent="0.3">
      <c r="A261" s="250">
        <f>A260+1</f>
        <v>178</v>
      </c>
      <c r="B261" s="20" t="s">
        <v>1091</v>
      </c>
      <c r="C261" s="273">
        <f t="shared" si="72"/>
        <v>1727989.2</v>
      </c>
      <c r="D261" s="273">
        <f>E261+F261+G261+H261+I261</f>
        <v>1727989.2</v>
      </c>
      <c r="E261" s="273"/>
      <c r="F261" s="273"/>
      <c r="G261" s="273"/>
      <c r="H261" s="273"/>
      <c r="I261" s="273">
        <v>1727989.2</v>
      </c>
      <c r="J261" s="273"/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1"/>
      <c r="V261" s="269"/>
      <c r="W261" s="7"/>
      <c r="X261" s="13"/>
      <c r="Y261" s="13"/>
      <c r="Z261" s="13"/>
      <c r="AA261" s="13"/>
    </row>
    <row r="262" spans="1:29" x14ac:dyDescent="0.3">
      <c r="A262" s="250">
        <f>A261+1</f>
        <v>179</v>
      </c>
      <c r="B262" s="20" t="s">
        <v>1093</v>
      </c>
      <c r="C262" s="273">
        <f t="shared" si="72"/>
        <v>1192684.8</v>
      </c>
      <c r="D262" s="273">
        <f>E262+F262+G262+H262+I262</f>
        <v>1192684.8</v>
      </c>
      <c r="E262" s="273"/>
      <c r="F262" s="273"/>
      <c r="G262" s="273"/>
      <c r="H262" s="273"/>
      <c r="I262" s="273">
        <v>1192684.8</v>
      </c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1"/>
      <c r="V262" s="269"/>
      <c r="W262" s="7"/>
      <c r="X262" s="13"/>
      <c r="Y262" s="13"/>
      <c r="Z262" s="13"/>
      <c r="AA262" s="13"/>
    </row>
    <row r="263" spans="1:29" x14ac:dyDescent="0.3">
      <c r="A263" s="250">
        <f>A262+1</f>
        <v>180</v>
      </c>
      <c r="B263" s="20" t="s">
        <v>1094</v>
      </c>
      <c r="C263" s="273">
        <f t="shared" si="72"/>
        <v>1210675.2</v>
      </c>
      <c r="D263" s="273">
        <f>E263+F263+G263+H263+I263</f>
        <v>1210675.2</v>
      </c>
      <c r="E263" s="273"/>
      <c r="F263" s="273"/>
      <c r="G263" s="273"/>
      <c r="H263" s="273"/>
      <c r="I263" s="273">
        <v>1210675.2</v>
      </c>
      <c r="J263" s="273"/>
      <c r="K263" s="273"/>
      <c r="L263" s="273"/>
      <c r="M263" s="273"/>
      <c r="N263" s="273"/>
      <c r="O263" s="273"/>
      <c r="P263" s="273"/>
      <c r="Q263" s="273"/>
      <c r="R263" s="273"/>
      <c r="S263" s="273"/>
      <c r="T263" s="273"/>
      <c r="U263" s="271"/>
      <c r="V263" s="269"/>
      <c r="W263" s="7"/>
      <c r="X263" s="13"/>
      <c r="Y263" s="13"/>
      <c r="Z263" s="13"/>
      <c r="AA263" s="13"/>
    </row>
    <row r="264" spans="1:29" x14ac:dyDescent="0.3">
      <c r="A264" s="250">
        <f>A263+1</f>
        <v>181</v>
      </c>
      <c r="B264" s="20" t="s">
        <v>1096</v>
      </c>
      <c r="C264" s="273">
        <f t="shared" si="72"/>
        <v>1781805.6</v>
      </c>
      <c r="D264" s="273">
        <f>E264+F264+G264+H264+I264</f>
        <v>1781805.6</v>
      </c>
      <c r="E264" s="273"/>
      <c r="F264" s="273"/>
      <c r="G264" s="273"/>
      <c r="H264" s="273"/>
      <c r="I264" s="273">
        <v>1781805.6</v>
      </c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1"/>
      <c r="V264" s="269"/>
      <c r="W264" s="7"/>
      <c r="X264" s="13"/>
      <c r="Y264" s="13"/>
      <c r="Z264" s="13"/>
      <c r="AA264" s="13"/>
    </row>
    <row r="265" spans="1:29" x14ac:dyDescent="0.3">
      <c r="A265" s="250"/>
      <c r="B265" s="20" t="s">
        <v>208</v>
      </c>
      <c r="C265" s="273">
        <f t="shared" ref="C265:T265" si="73">SUM(C260:C264)</f>
        <v>7657965.5999999996</v>
      </c>
      <c r="D265" s="273">
        <f t="shared" si="73"/>
        <v>7639270.8000000007</v>
      </c>
      <c r="E265" s="273">
        <f t="shared" si="73"/>
        <v>1726116</v>
      </c>
      <c r="F265" s="273">
        <f t="shared" si="73"/>
        <v>0</v>
      </c>
      <c r="G265" s="273">
        <f t="shared" si="73"/>
        <v>0</v>
      </c>
      <c r="H265" s="273">
        <f t="shared" si="73"/>
        <v>0</v>
      </c>
      <c r="I265" s="273">
        <f t="shared" si="73"/>
        <v>5913154.8000000007</v>
      </c>
      <c r="J265" s="273">
        <f t="shared" si="73"/>
        <v>0</v>
      </c>
      <c r="K265" s="273">
        <f t="shared" si="73"/>
        <v>0</v>
      </c>
      <c r="L265" s="273">
        <f t="shared" si="73"/>
        <v>0</v>
      </c>
      <c r="M265" s="273">
        <f t="shared" si="73"/>
        <v>0</v>
      </c>
      <c r="N265" s="273">
        <f t="shared" si="73"/>
        <v>0</v>
      </c>
      <c r="O265" s="273">
        <f t="shared" si="73"/>
        <v>0</v>
      </c>
      <c r="P265" s="273">
        <f t="shared" si="73"/>
        <v>0</v>
      </c>
      <c r="Q265" s="273">
        <f t="shared" si="73"/>
        <v>0</v>
      </c>
      <c r="R265" s="273">
        <f t="shared" si="73"/>
        <v>0</v>
      </c>
      <c r="S265" s="273">
        <f t="shared" si="73"/>
        <v>18694.8</v>
      </c>
      <c r="T265" s="273">
        <f t="shared" si="73"/>
        <v>0</v>
      </c>
      <c r="U265" s="271"/>
      <c r="V265" s="269"/>
      <c r="W265" s="7"/>
      <c r="X265" s="13"/>
      <c r="Y265" s="13"/>
      <c r="Z265" s="13"/>
      <c r="AA265" s="13"/>
    </row>
    <row r="266" spans="1:29" ht="15" customHeight="1" x14ac:dyDescent="0.3">
      <c r="A266" s="339" t="s">
        <v>1097</v>
      </c>
      <c r="B266" s="340"/>
      <c r="C266" s="273"/>
      <c r="D266" s="273"/>
      <c r="E266" s="273"/>
      <c r="F266" s="273"/>
      <c r="G266" s="273"/>
      <c r="H266" s="273"/>
      <c r="I266" s="273"/>
      <c r="J266" s="273"/>
      <c r="K266" s="273"/>
      <c r="L266" s="273"/>
      <c r="M266" s="273"/>
      <c r="N266" s="273"/>
      <c r="O266" s="273"/>
      <c r="P266" s="273"/>
      <c r="Q266" s="273"/>
      <c r="R266" s="273"/>
      <c r="S266" s="273"/>
      <c r="T266" s="273"/>
      <c r="U266" s="271"/>
      <c r="V266" s="269"/>
      <c r="W266" s="7"/>
      <c r="X266" s="13"/>
      <c r="Y266" s="13"/>
      <c r="Z266" s="13"/>
      <c r="AA266" s="13"/>
    </row>
    <row r="267" spans="1:29" x14ac:dyDescent="0.3">
      <c r="A267" s="250">
        <f>A264+1</f>
        <v>182</v>
      </c>
      <c r="B267" s="20" t="s">
        <v>1098</v>
      </c>
      <c r="C267" s="273">
        <f t="shared" ref="C267:C268" si="74">D267+K267+M267+O267+P267+R267+S267+T267</f>
        <v>1866070.8</v>
      </c>
      <c r="D267" s="273"/>
      <c r="E267" s="273"/>
      <c r="F267" s="273"/>
      <c r="G267" s="273"/>
      <c r="H267" s="273"/>
      <c r="I267" s="273"/>
      <c r="J267" s="273">
        <v>320</v>
      </c>
      <c r="K267" s="273">
        <v>1866070.8</v>
      </c>
      <c r="L267" s="273"/>
      <c r="M267" s="273"/>
      <c r="N267" s="273"/>
      <c r="O267" s="273"/>
      <c r="P267" s="273"/>
      <c r="Q267" s="273"/>
      <c r="R267" s="273"/>
      <c r="S267" s="273"/>
      <c r="T267" s="273"/>
      <c r="U267" s="271"/>
      <c r="V267" s="269"/>
      <c r="W267" s="7"/>
      <c r="X267" s="13"/>
      <c r="Y267" s="13"/>
      <c r="Z267" s="13"/>
      <c r="AA267" s="13"/>
    </row>
    <row r="268" spans="1:29" x14ac:dyDescent="0.3">
      <c r="A268" s="250">
        <f>A267+1</f>
        <v>183</v>
      </c>
      <c r="B268" s="20" t="s">
        <v>1099</v>
      </c>
      <c r="C268" s="273">
        <f t="shared" si="74"/>
        <v>1866070.8</v>
      </c>
      <c r="D268" s="273"/>
      <c r="E268" s="273"/>
      <c r="F268" s="273"/>
      <c r="G268" s="273"/>
      <c r="H268" s="273"/>
      <c r="I268" s="273"/>
      <c r="J268" s="273">
        <v>320</v>
      </c>
      <c r="K268" s="273">
        <v>1866070.8</v>
      </c>
      <c r="L268" s="273"/>
      <c r="M268" s="273"/>
      <c r="N268" s="273"/>
      <c r="O268" s="273"/>
      <c r="P268" s="273"/>
      <c r="Q268" s="273"/>
      <c r="R268" s="273"/>
      <c r="S268" s="273"/>
      <c r="T268" s="273"/>
      <c r="U268" s="271"/>
      <c r="V268" s="269"/>
      <c r="W268" s="7"/>
      <c r="X268" s="13"/>
      <c r="Y268" s="13"/>
      <c r="Z268" s="13"/>
      <c r="AA268" s="13"/>
    </row>
    <row r="269" spans="1:29" x14ac:dyDescent="0.3">
      <c r="A269" s="250"/>
      <c r="B269" s="20" t="s">
        <v>208</v>
      </c>
      <c r="C269" s="273">
        <f t="shared" ref="C269:T269" si="75">SUM(C267:C268)</f>
        <v>3732141.6</v>
      </c>
      <c r="D269" s="273">
        <f t="shared" si="75"/>
        <v>0</v>
      </c>
      <c r="E269" s="273">
        <f t="shared" si="75"/>
        <v>0</v>
      </c>
      <c r="F269" s="273">
        <f t="shared" si="75"/>
        <v>0</v>
      </c>
      <c r="G269" s="273">
        <f t="shared" si="75"/>
        <v>0</v>
      </c>
      <c r="H269" s="273">
        <f t="shared" si="75"/>
        <v>0</v>
      </c>
      <c r="I269" s="273">
        <f t="shared" si="75"/>
        <v>0</v>
      </c>
      <c r="J269" s="273">
        <f t="shared" si="75"/>
        <v>640</v>
      </c>
      <c r="K269" s="273">
        <f t="shared" si="75"/>
        <v>3732141.6</v>
      </c>
      <c r="L269" s="273">
        <f t="shared" si="75"/>
        <v>0</v>
      </c>
      <c r="M269" s="273">
        <f t="shared" si="75"/>
        <v>0</v>
      </c>
      <c r="N269" s="273">
        <f t="shared" si="75"/>
        <v>0</v>
      </c>
      <c r="O269" s="273">
        <f t="shared" si="75"/>
        <v>0</v>
      </c>
      <c r="P269" s="273">
        <f t="shared" si="75"/>
        <v>0</v>
      </c>
      <c r="Q269" s="273">
        <f t="shared" si="75"/>
        <v>0</v>
      </c>
      <c r="R269" s="273">
        <f t="shared" si="75"/>
        <v>0</v>
      </c>
      <c r="S269" s="273">
        <f t="shared" si="75"/>
        <v>0</v>
      </c>
      <c r="T269" s="273">
        <f t="shared" si="75"/>
        <v>0</v>
      </c>
      <c r="U269" s="271"/>
      <c r="V269" s="269"/>
      <c r="W269" s="7"/>
      <c r="X269" s="13"/>
      <c r="Y269" s="13"/>
      <c r="Z269" s="13"/>
      <c r="AA269" s="13"/>
    </row>
    <row r="270" spans="1:29" ht="15" customHeight="1" x14ac:dyDescent="0.3">
      <c r="A270" s="339" t="s">
        <v>1112</v>
      </c>
      <c r="B270" s="340"/>
      <c r="C270" s="273"/>
      <c r="D270" s="273"/>
      <c r="E270" s="273"/>
      <c r="F270" s="273"/>
      <c r="G270" s="273"/>
      <c r="H270" s="273"/>
      <c r="I270" s="273"/>
      <c r="J270" s="273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1"/>
      <c r="V270" s="269"/>
      <c r="W270" s="7"/>
      <c r="X270" s="13"/>
      <c r="Y270" s="13"/>
      <c r="Z270" s="13"/>
      <c r="AA270" s="13"/>
    </row>
    <row r="271" spans="1:29" x14ac:dyDescent="0.3">
      <c r="A271" s="250">
        <f>A268+1</f>
        <v>184</v>
      </c>
      <c r="B271" s="20" t="s">
        <v>1124</v>
      </c>
      <c r="C271" s="273">
        <f t="shared" ref="C271" si="76">D271+K271+M271+O271+P271+R271+S271+T271</f>
        <v>698540.4</v>
      </c>
      <c r="D271" s="273">
        <f>E271+F271+G271+H271+I271</f>
        <v>698540.4</v>
      </c>
      <c r="E271" s="273">
        <v>698540.4</v>
      </c>
      <c r="F271" s="273"/>
      <c r="G271" s="273"/>
      <c r="H271" s="273"/>
      <c r="I271" s="273"/>
      <c r="J271" s="273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1"/>
      <c r="V271" s="269"/>
      <c r="W271" s="84"/>
      <c r="X271" s="82"/>
      <c r="Y271" s="82"/>
      <c r="Z271" s="13"/>
      <c r="AA271" s="13"/>
    </row>
    <row r="272" spans="1:29" x14ac:dyDescent="0.3">
      <c r="A272" s="250"/>
      <c r="B272" s="20" t="s">
        <v>208</v>
      </c>
      <c r="C272" s="273">
        <f t="shared" ref="C272:T272" si="77">SUM(C271:C271)</f>
        <v>698540.4</v>
      </c>
      <c r="D272" s="273">
        <f t="shared" si="77"/>
        <v>698540.4</v>
      </c>
      <c r="E272" s="273">
        <f t="shared" si="77"/>
        <v>698540.4</v>
      </c>
      <c r="F272" s="273">
        <f t="shared" si="77"/>
        <v>0</v>
      </c>
      <c r="G272" s="273">
        <f t="shared" si="77"/>
        <v>0</v>
      </c>
      <c r="H272" s="273">
        <f t="shared" si="77"/>
        <v>0</v>
      </c>
      <c r="I272" s="273">
        <f t="shared" si="77"/>
        <v>0</v>
      </c>
      <c r="J272" s="273">
        <f t="shared" si="77"/>
        <v>0</v>
      </c>
      <c r="K272" s="273">
        <f t="shared" si="77"/>
        <v>0</v>
      </c>
      <c r="L272" s="273">
        <f t="shared" si="77"/>
        <v>0</v>
      </c>
      <c r="M272" s="273">
        <f t="shared" si="77"/>
        <v>0</v>
      </c>
      <c r="N272" s="273">
        <f t="shared" si="77"/>
        <v>0</v>
      </c>
      <c r="O272" s="273">
        <f t="shared" si="77"/>
        <v>0</v>
      </c>
      <c r="P272" s="273">
        <f t="shared" si="77"/>
        <v>0</v>
      </c>
      <c r="Q272" s="273">
        <f t="shared" si="77"/>
        <v>0</v>
      </c>
      <c r="R272" s="273">
        <f t="shared" si="77"/>
        <v>0</v>
      </c>
      <c r="S272" s="273">
        <f t="shared" si="77"/>
        <v>0</v>
      </c>
      <c r="T272" s="273">
        <f t="shared" si="77"/>
        <v>0</v>
      </c>
      <c r="U272" s="271"/>
      <c r="V272" s="269"/>
      <c r="W272" s="84"/>
      <c r="X272" s="82"/>
      <c r="Y272" s="82"/>
      <c r="Z272" s="13"/>
      <c r="AA272" s="13"/>
    </row>
    <row r="273" spans="1:27" ht="15" customHeight="1" x14ac:dyDescent="0.3">
      <c r="A273" s="339" t="s">
        <v>1129</v>
      </c>
      <c r="B273" s="340"/>
      <c r="C273" s="273"/>
      <c r="D273" s="273"/>
      <c r="E273" s="273"/>
      <c r="F273" s="273"/>
      <c r="G273" s="273"/>
      <c r="H273" s="273"/>
      <c r="I273" s="273"/>
      <c r="J273" s="273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1"/>
      <c r="V273" s="269"/>
      <c r="W273" s="84"/>
      <c r="X273" s="82"/>
      <c r="Y273" s="82"/>
      <c r="Z273" s="13"/>
      <c r="AA273" s="13"/>
    </row>
    <row r="274" spans="1:27" x14ac:dyDescent="0.3">
      <c r="A274" s="250">
        <f>A271+1</f>
        <v>185</v>
      </c>
      <c r="B274" s="20" t="s">
        <v>1137</v>
      </c>
      <c r="C274" s="273">
        <f t="shared" ref="C274:C327" si="78">D274+K274+M274+O274+P274+R274+S274+T274</f>
        <v>4049006.4</v>
      </c>
      <c r="D274" s="273">
        <f t="shared" ref="D274:D305" si="79">E274+F274+G274+H274+I274</f>
        <v>4049006.4</v>
      </c>
      <c r="E274" s="273">
        <v>711063.6</v>
      </c>
      <c r="F274" s="273">
        <v>2553274.7999999998</v>
      </c>
      <c r="G274" s="273">
        <v>471327.6</v>
      </c>
      <c r="H274" s="273"/>
      <c r="I274" s="273">
        <v>313340.40000000002</v>
      </c>
      <c r="J274" s="273"/>
      <c r="K274" s="273"/>
      <c r="L274" s="273"/>
      <c r="M274" s="273"/>
      <c r="N274" s="273"/>
      <c r="O274" s="273"/>
      <c r="P274" s="273"/>
      <c r="Q274" s="273"/>
      <c r="R274" s="273"/>
      <c r="S274" s="273"/>
      <c r="T274" s="273"/>
      <c r="U274" s="271"/>
      <c r="V274" s="269"/>
      <c r="W274" s="7"/>
      <c r="X274" s="13"/>
      <c r="Y274" s="13"/>
      <c r="Z274" s="13"/>
      <c r="AA274" s="13"/>
    </row>
    <row r="275" spans="1:27" x14ac:dyDescent="0.3">
      <c r="A275" s="250">
        <f t="shared" ref="A275:A306" si="80">A274+1</f>
        <v>186</v>
      </c>
      <c r="B275" s="20" t="s">
        <v>1138</v>
      </c>
      <c r="C275" s="273">
        <f t="shared" si="78"/>
        <v>1926250.8</v>
      </c>
      <c r="D275" s="273">
        <f t="shared" si="79"/>
        <v>1926250.8</v>
      </c>
      <c r="E275" s="273">
        <v>380354.4</v>
      </c>
      <c r="F275" s="273">
        <v>1157518.8</v>
      </c>
      <c r="G275" s="273">
        <v>215012.4</v>
      </c>
      <c r="H275" s="273"/>
      <c r="I275" s="273">
        <v>173365.2</v>
      </c>
      <c r="J275" s="273"/>
      <c r="K275" s="273"/>
      <c r="L275" s="273"/>
      <c r="M275" s="273"/>
      <c r="N275" s="273"/>
      <c r="O275" s="273"/>
      <c r="P275" s="273"/>
      <c r="Q275" s="273"/>
      <c r="R275" s="273"/>
      <c r="S275" s="273"/>
      <c r="T275" s="273"/>
      <c r="U275" s="271"/>
      <c r="V275" s="269"/>
      <c r="W275" s="7"/>
      <c r="X275" s="13"/>
      <c r="Y275" s="13"/>
      <c r="Z275" s="13"/>
      <c r="AA275" s="13"/>
    </row>
    <row r="276" spans="1:27" x14ac:dyDescent="0.3">
      <c r="A276" s="250">
        <f t="shared" si="80"/>
        <v>187</v>
      </c>
      <c r="B276" s="20" t="s">
        <v>1139</v>
      </c>
      <c r="C276" s="273">
        <f t="shared" si="78"/>
        <v>3410776.8000000003</v>
      </c>
      <c r="D276" s="273">
        <f t="shared" si="79"/>
        <v>3410776.8000000003</v>
      </c>
      <c r="E276" s="273">
        <v>416491.2</v>
      </c>
      <c r="F276" s="273">
        <v>2525394</v>
      </c>
      <c r="G276" s="273">
        <v>186571.2</v>
      </c>
      <c r="H276" s="273"/>
      <c r="I276" s="273">
        <v>282320.40000000002</v>
      </c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1"/>
      <c r="V276" s="269"/>
      <c r="W276" s="7"/>
      <c r="X276" s="13"/>
      <c r="Y276" s="13"/>
      <c r="Z276" s="13"/>
      <c r="AA276" s="13"/>
    </row>
    <row r="277" spans="1:27" x14ac:dyDescent="0.3">
      <c r="A277" s="250">
        <f t="shared" si="80"/>
        <v>188</v>
      </c>
      <c r="B277" s="20" t="s">
        <v>1143</v>
      </c>
      <c r="C277" s="273">
        <f t="shared" si="78"/>
        <v>932641.58</v>
      </c>
      <c r="D277" s="273">
        <f t="shared" si="79"/>
        <v>932641.58</v>
      </c>
      <c r="E277" s="273">
        <v>932641.58</v>
      </c>
      <c r="F277" s="273"/>
      <c r="G277" s="273"/>
      <c r="H277" s="273"/>
      <c r="I277" s="273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94"/>
      <c r="V277" s="94"/>
      <c r="W277" s="94"/>
      <c r="X277" s="94"/>
      <c r="Y277" s="94"/>
      <c r="Z277" s="13"/>
      <c r="AA277" s="13"/>
    </row>
    <row r="278" spans="1:27" x14ac:dyDescent="0.3">
      <c r="A278" s="250">
        <f t="shared" si="80"/>
        <v>189</v>
      </c>
      <c r="B278" s="20" t="s">
        <v>1155</v>
      </c>
      <c r="C278" s="273">
        <f t="shared" si="78"/>
        <v>3206198.3999999994</v>
      </c>
      <c r="D278" s="273">
        <f t="shared" si="79"/>
        <v>3206198.3999999994</v>
      </c>
      <c r="E278" s="273">
        <v>760952.4</v>
      </c>
      <c r="F278" s="273">
        <v>1660964.4</v>
      </c>
      <c r="G278" s="273">
        <v>487558.8</v>
      </c>
      <c r="H278" s="273"/>
      <c r="I278" s="273">
        <v>296722.8</v>
      </c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1"/>
      <c r="V278" s="269"/>
      <c r="W278" s="7"/>
      <c r="X278" s="13"/>
      <c r="Y278" s="13"/>
      <c r="Z278" s="13"/>
      <c r="AA278" s="13"/>
    </row>
    <row r="279" spans="1:27" x14ac:dyDescent="0.3">
      <c r="A279" s="250">
        <f t="shared" si="80"/>
        <v>190</v>
      </c>
      <c r="B279" s="20" t="s">
        <v>1160</v>
      </c>
      <c r="C279" s="273">
        <f t="shared" si="78"/>
        <v>1199262.25</v>
      </c>
      <c r="D279" s="273">
        <f t="shared" si="79"/>
        <v>1199262.25</v>
      </c>
      <c r="E279" s="273">
        <v>1199262.25</v>
      </c>
      <c r="F279" s="273"/>
      <c r="G279" s="273"/>
      <c r="H279" s="273"/>
      <c r="I279" s="273"/>
      <c r="J279" s="273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1"/>
      <c r="V279" s="269"/>
      <c r="W279" s="7"/>
      <c r="X279" s="13"/>
      <c r="Y279" s="13"/>
      <c r="Z279" s="13"/>
      <c r="AA279" s="13"/>
    </row>
    <row r="280" spans="1:27" x14ac:dyDescent="0.3">
      <c r="A280" s="250">
        <f t="shared" si="80"/>
        <v>191</v>
      </c>
      <c r="B280" s="20" t="s">
        <v>1161</v>
      </c>
      <c r="C280" s="273">
        <f t="shared" si="78"/>
        <v>5955105.6000000006</v>
      </c>
      <c r="D280" s="273">
        <f t="shared" si="79"/>
        <v>5955105.6000000006</v>
      </c>
      <c r="E280" s="273"/>
      <c r="F280" s="273">
        <v>4616814</v>
      </c>
      <c r="G280" s="273">
        <v>784645.2</v>
      </c>
      <c r="H280" s="273"/>
      <c r="I280" s="273">
        <v>553646.4</v>
      </c>
      <c r="J280" s="273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1"/>
      <c r="V280" s="269"/>
      <c r="W280" s="7"/>
      <c r="X280" s="13"/>
      <c r="Y280" s="13"/>
      <c r="Z280" s="13"/>
      <c r="AA280" s="13"/>
    </row>
    <row r="281" spans="1:27" x14ac:dyDescent="0.3">
      <c r="A281" s="250">
        <f t="shared" si="80"/>
        <v>192</v>
      </c>
      <c r="B281" s="20" t="s">
        <v>1198</v>
      </c>
      <c r="C281" s="273">
        <f t="shared" si="78"/>
        <v>1716633.6000000001</v>
      </c>
      <c r="D281" s="273">
        <f t="shared" si="79"/>
        <v>1716633.6000000001</v>
      </c>
      <c r="E281" s="273">
        <v>1716633.6000000001</v>
      </c>
      <c r="F281" s="273"/>
      <c r="G281" s="273"/>
      <c r="H281" s="273"/>
      <c r="I281" s="273"/>
      <c r="J281" s="273"/>
      <c r="K281" s="273"/>
      <c r="L281" s="273"/>
      <c r="M281" s="273"/>
      <c r="N281" s="273"/>
      <c r="O281" s="273"/>
      <c r="P281" s="273"/>
      <c r="Q281" s="273"/>
      <c r="R281" s="273"/>
      <c r="S281" s="273"/>
      <c r="T281" s="273"/>
      <c r="U281" s="271"/>
      <c r="V281" s="271"/>
      <c r="W281" s="271"/>
      <c r="X281" s="271"/>
      <c r="Y281" s="271"/>
      <c r="Z281" s="13"/>
      <c r="AA281" s="13"/>
    </row>
    <row r="282" spans="1:27" x14ac:dyDescent="0.3">
      <c r="A282" s="250">
        <f t="shared" si="80"/>
        <v>193</v>
      </c>
      <c r="B282" s="20" t="s">
        <v>1202</v>
      </c>
      <c r="C282" s="273">
        <f t="shared" si="78"/>
        <v>1354928.4</v>
      </c>
      <c r="D282" s="273">
        <f t="shared" si="79"/>
        <v>1354928.4</v>
      </c>
      <c r="E282" s="273">
        <v>1354928.4</v>
      </c>
      <c r="F282" s="273"/>
      <c r="G282" s="273"/>
      <c r="H282" s="273"/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1"/>
      <c r="V282" s="271"/>
      <c r="W282" s="271"/>
      <c r="X282" s="271"/>
      <c r="Y282" s="271"/>
      <c r="Z282" s="13"/>
      <c r="AA282" s="13"/>
    </row>
    <row r="283" spans="1:27" x14ac:dyDescent="0.3">
      <c r="A283" s="250">
        <f t="shared" si="80"/>
        <v>194</v>
      </c>
      <c r="B283" s="20" t="s">
        <v>1204</v>
      </c>
      <c r="C283" s="273">
        <f t="shared" si="78"/>
        <v>5924651.9999999991</v>
      </c>
      <c r="D283" s="273">
        <f t="shared" si="79"/>
        <v>5924651.9999999991</v>
      </c>
      <c r="E283" s="273">
        <v>1390576.8</v>
      </c>
      <c r="F283" s="273">
        <v>3692734.8</v>
      </c>
      <c r="G283" s="273">
        <v>541089.6</v>
      </c>
      <c r="H283" s="273">
        <v>300250.8</v>
      </c>
      <c r="I283" s="273"/>
      <c r="J283" s="273"/>
      <c r="K283" s="273"/>
      <c r="L283" s="261"/>
      <c r="M283" s="273"/>
      <c r="N283" s="273"/>
      <c r="O283" s="273"/>
      <c r="P283" s="273"/>
      <c r="Q283" s="273"/>
      <c r="R283" s="273"/>
      <c r="S283" s="273"/>
      <c r="T283" s="273"/>
      <c r="U283" s="271"/>
      <c r="V283" s="271"/>
      <c r="W283" s="271"/>
      <c r="X283" s="271"/>
      <c r="Y283" s="271"/>
      <c r="Z283" s="13"/>
      <c r="AA283" s="13"/>
    </row>
    <row r="284" spans="1:27" x14ac:dyDescent="0.3">
      <c r="A284" s="250">
        <f t="shared" si="80"/>
        <v>195</v>
      </c>
      <c r="B284" s="20" t="s">
        <v>1209</v>
      </c>
      <c r="C284" s="273">
        <f t="shared" si="78"/>
        <v>1727629.2</v>
      </c>
      <c r="D284" s="273">
        <f t="shared" si="79"/>
        <v>1727629.2</v>
      </c>
      <c r="E284" s="273">
        <v>1727629.2</v>
      </c>
      <c r="F284" s="273"/>
      <c r="G284" s="273"/>
      <c r="H284" s="273"/>
      <c r="I284" s="273"/>
      <c r="J284" s="273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1"/>
      <c r="V284" s="271"/>
      <c r="W284" s="271"/>
      <c r="X284" s="271"/>
      <c r="Y284" s="271"/>
      <c r="Z284" s="13"/>
      <c r="AA284" s="13"/>
    </row>
    <row r="285" spans="1:27" x14ac:dyDescent="0.3">
      <c r="A285" s="250">
        <f t="shared" si="80"/>
        <v>196</v>
      </c>
      <c r="B285" s="20" t="s">
        <v>1217</v>
      </c>
      <c r="C285" s="273">
        <f t="shared" si="78"/>
        <v>1412095.2</v>
      </c>
      <c r="D285" s="273">
        <f t="shared" si="79"/>
        <v>1412095.2</v>
      </c>
      <c r="E285" s="273">
        <v>1412095.2</v>
      </c>
      <c r="F285" s="273"/>
      <c r="G285" s="273"/>
      <c r="H285" s="273"/>
      <c r="I285" s="273"/>
      <c r="J285" s="273"/>
      <c r="K285" s="273"/>
      <c r="L285" s="273"/>
      <c r="M285" s="273"/>
      <c r="N285" s="273"/>
      <c r="O285" s="273"/>
      <c r="P285" s="273"/>
      <c r="Q285" s="273"/>
      <c r="R285" s="273"/>
      <c r="S285" s="273"/>
      <c r="T285" s="273"/>
      <c r="U285" s="271"/>
      <c r="V285" s="271"/>
      <c r="W285" s="271"/>
      <c r="X285" s="271"/>
      <c r="Y285" s="271"/>
      <c r="Z285" s="13"/>
      <c r="AA285" s="13"/>
    </row>
    <row r="286" spans="1:27" x14ac:dyDescent="0.3">
      <c r="A286" s="250">
        <f t="shared" si="80"/>
        <v>197</v>
      </c>
      <c r="B286" s="20" t="s">
        <v>1237</v>
      </c>
      <c r="C286" s="273">
        <f t="shared" si="78"/>
        <v>1976365.2</v>
      </c>
      <c r="D286" s="273">
        <f t="shared" si="79"/>
        <v>1976365.2</v>
      </c>
      <c r="E286" s="273">
        <v>668936.4</v>
      </c>
      <c r="F286" s="273">
        <v>1117050</v>
      </c>
      <c r="G286" s="273">
        <v>190378.8</v>
      </c>
      <c r="H286" s="273"/>
      <c r="I286" s="273"/>
      <c r="J286" s="273"/>
      <c r="K286" s="273"/>
      <c r="L286" s="273"/>
      <c r="M286" s="273"/>
      <c r="N286" s="273"/>
      <c r="O286" s="273"/>
      <c r="P286" s="273"/>
      <c r="Q286" s="273"/>
      <c r="R286" s="273"/>
      <c r="S286" s="273"/>
      <c r="T286" s="273"/>
      <c r="U286" s="271"/>
      <c r="V286" s="269"/>
      <c r="W286" s="7"/>
      <c r="X286" s="13"/>
      <c r="Y286" s="13"/>
      <c r="Z286" s="13"/>
      <c r="AA286" s="13"/>
    </row>
    <row r="287" spans="1:27" x14ac:dyDescent="0.3">
      <c r="A287" s="250">
        <f t="shared" si="80"/>
        <v>198</v>
      </c>
      <c r="B287" s="20" t="s">
        <v>1243</v>
      </c>
      <c r="C287" s="273">
        <f t="shared" si="78"/>
        <v>2316386.4000000004</v>
      </c>
      <c r="D287" s="273">
        <f t="shared" si="79"/>
        <v>2316386.4000000004</v>
      </c>
      <c r="E287" s="273">
        <v>511975.2</v>
      </c>
      <c r="F287" s="273">
        <v>1465896</v>
      </c>
      <c r="G287" s="273">
        <v>142968</v>
      </c>
      <c r="H287" s="273"/>
      <c r="I287" s="273">
        <v>195547.2</v>
      </c>
      <c r="J287" s="273"/>
      <c r="K287" s="273"/>
      <c r="L287" s="273"/>
      <c r="M287" s="273"/>
      <c r="N287" s="273"/>
      <c r="O287" s="273"/>
      <c r="P287" s="273"/>
      <c r="Q287" s="273"/>
      <c r="R287" s="273"/>
      <c r="S287" s="273"/>
      <c r="T287" s="273"/>
      <c r="U287" s="271"/>
      <c r="V287" s="271"/>
      <c r="W287" s="271"/>
      <c r="X287" s="271"/>
      <c r="Y287" s="271"/>
      <c r="Z287" s="13"/>
      <c r="AA287" s="13"/>
    </row>
    <row r="288" spans="1:27" x14ac:dyDescent="0.3">
      <c r="A288" s="250">
        <f t="shared" si="80"/>
        <v>199</v>
      </c>
      <c r="B288" s="20" t="s">
        <v>1247</v>
      </c>
      <c r="C288" s="273">
        <f t="shared" si="78"/>
        <v>2288152.7999999998</v>
      </c>
      <c r="D288" s="273">
        <f t="shared" si="79"/>
        <v>2288152.7999999998</v>
      </c>
      <c r="E288" s="273">
        <v>2288152.7999999998</v>
      </c>
      <c r="F288" s="273"/>
      <c r="G288" s="273"/>
      <c r="H288" s="273"/>
      <c r="I288" s="273"/>
      <c r="J288" s="273"/>
      <c r="K288" s="273"/>
      <c r="L288" s="273"/>
      <c r="M288" s="143"/>
      <c r="N288" s="273"/>
      <c r="O288" s="273"/>
      <c r="P288" s="273"/>
      <c r="Q288" s="273"/>
      <c r="R288" s="273"/>
      <c r="S288" s="273"/>
      <c r="T288" s="273"/>
      <c r="U288" s="271"/>
      <c r="V288" s="271"/>
      <c r="W288" s="271"/>
      <c r="X288" s="271"/>
      <c r="Y288" s="271"/>
      <c r="Z288" s="13"/>
      <c r="AA288" s="13"/>
    </row>
    <row r="289" spans="1:34" x14ac:dyDescent="0.3">
      <c r="A289" s="250">
        <f t="shared" si="80"/>
        <v>200</v>
      </c>
      <c r="B289" s="20" t="s">
        <v>1248</v>
      </c>
      <c r="C289" s="273">
        <f t="shared" si="78"/>
        <v>2269234.7999999998</v>
      </c>
      <c r="D289" s="273">
        <f t="shared" si="79"/>
        <v>2269234.7999999998</v>
      </c>
      <c r="E289" s="273">
        <v>437530.8</v>
      </c>
      <c r="F289" s="273">
        <v>1312567.2</v>
      </c>
      <c r="G289" s="273">
        <v>268780.79999999999</v>
      </c>
      <c r="H289" s="273"/>
      <c r="I289" s="273">
        <v>250356</v>
      </c>
      <c r="J289" s="273"/>
      <c r="K289" s="273"/>
      <c r="L289" s="261"/>
      <c r="M289" s="273"/>
      <c r="N289" s="273"/>
      <c r="O289" s="273"/>
      <c r="P289" s="273"/>
      <c r="Q289" s="273"/>
      <c r="R289" s="273"/>
      <c r="S289" s="273"/>
      <c r="T289" s="273"/>
      <c r="U289" s="271"/>
      <c r="V289" s="271"/>
      <c r="W289" s="271"/>
      <c r="X289" s="271"/>
      <c r="Y289" s="271"/>
      <c r="Z289" s="13"/>
      <c r="AA289" s="13"/>
    </row>
    <row r="290" spans="1:34" x14ac:dyDescent="0.3">
      <c r="A290" s="250">
        <f t="shared" si="80"/>
        <v>201</v>
      </c>
      <c r="B290" s="20" t="s">
        <v>1256</v>
      </c>
      <c r="C290" s="273">
        <f t="shared" si="78"/>
        <v>898402.8</v>
      </c>
      <c r="D290" s="273">
        <f t="shared" si="79"/>
        <v>898402.8</v>
      </c>
      <c r="E290" s="273">
        <v>898402.8</v>
      </c>
      <c r="F290" s="273"/>
      <c r="G290" s="273"/>
      <c r="H290" s="273"/>
      <c r="I290" s="273"/>
      <c r="J290" s="273"/>
      <c r="K290" s="273"/>
      <c r="L290" s="261"/>
      <c r="M290" s="273"/>
      <c r="N290" s="273"/>
      <c r="O290" s="273"/>
      <c r="P290" s="273"/>
      <c r="Q290" s="273"/>
      <c r="R290" s="273"/>
      <c r="S290" s="273"/>
      <c r="T290" s="273"/>
      <c r="U290" s="271"/>
      <c r="V290" s="271"/>
      <c r="W290" s="271"/>
      <c r="X290" s="271"/>
      <c r="Y290" s="271"/>
      <c r="Z290" s="13"/>
      <c r="AA290" s="13"/>
    </row>
    <row r="291" spans="1:34" x14ac:dyDescent="0.3">
      <c r="A291" s="250">
        <f t="shared" si="80"/>
        <v>202</v>
      </c>
      <c r="B291" s="20" t="s">
        <v>1266</v>
      </c>
      <c r="C291" s="273">
        <f t="shared" si="78"/>
        <v>5103110.4000000004</v>
      </c>
      <c r="D291" s="273">
        <f t="shared" si="79"/>
        <v>5103110.4000000004</v>
      </c>
      <c r="E291" s="273">
        <v>5103110.4000000004</v>
      </c>
      <c r="F291" s="273"/>
      <c r="G291" s="273"/>
      <c r="H291" s="273"/>
      <c r="I291" s="273"/>
      <c r="J291" s="273"/>
      <c r="K291" s="273"/>
      <c r="L291" s="273"/>
      <c r="M291" s="273"/>
      <c r="N291" s="273"/>
      <c r="O291" s="273"/>
      <c r="P291" s="273"/>
      <c r="Q291" s="273"/>
      <c r="R291" s="273"/>
      <c r="S291" s="273"/>
      <c r="T291" s="273"/>
      <c r="U291" s="271"/>
      <c r="V291" s="271"/>
      <c r="W291" s="271"/>
      <c r="X291" s="271"/>
      <c r="Y291" s="13"/>
      <c r="Z291" s="13"/>
      <c r="AA291" s="13"/>
    </row>
    <row r="292" spans="1:34" x14ac:dyDescent="0.3">
      <c r="A292" s="250">
        <f t="shared" si="80"/>
        <v>203</v>
      </c>
      <c r="B292" s="20" t="s">
        <v>1272</v>
      </c>
      <c r="C292" s="273">
        <f t="shared" si="78"/>
        <v>581679.6</v>
      </c>
      <c r="D292" s="273">
        <f t="shared" si="79"/>
        <v>581679.6</v>
      </c>
      <c r="E292" s="273">
        <v>581679.6</v>
      </c>
      <c r="F292" s="273"/>
      <c r="G292" s="273"/>
      <c r="H292" s="273"/>
      <c r="I292" s="273"/>
      <c r="J292" s="273"/>
      <c r="K292" s="273"/>
      <c r="L292" s="273"/>
      <c r="M292" s="273"/>
      <c r="N292" s="273"/>
      <c r="O292" s="273"/>
      <c r="P292" s="273"/>
      <c r="Q292" s="273"/>
      <c r="R292" s="273"/>
      <c r="S292" s="273"/>
      <c r="T292" s="273"/>
      <c r="U292" s="271"/>
      <c r="V292" s="271"/>
      <c r="W292" s="271"/>
      <c r="X292" s="271"/>
      <c r="Y292" s="271"/>
      <c r="Z292" s="13"/>
      <c r="AA292" s="13"/>
    </row>
    <row r="293" spans="1:34" x14ac:dyDescent="0.3">
      <c r="A293" s="250">
        <f t="shared" si="80"/>
        <v>204</v>
      </c>
      <c r="B293" s="20" t="s">
        <v>1278</v>
      </c>
      <c r="C293" s="273">
        <f t="shared" si="78"/>
        <v>951039.6</v>
      </c>
      <c r="D293" s="273">
        <f t="shared" si="79"/>
        <v>951039.6</v>
      </c>
      <c r="E293" s="273">
        <v>951039.6</v>
      </c>
      <c r="F293" s="273"/>
      <c r="G293" s="273"/>
      <c r="H293" s="273"/>
      <c r="I293" s="273"/>
      <c r="J293" s="273"/>
      <c r="K293" s="273"/>
      <c r="L293" s="273"/>
      <c r="M293" s="273"/>
      <c r="N293" s="273"/>
      <c r="O293" s="273"/>
      <c r="P293" s="273"/>
      <c r="Q293" s="273"/>
      <c r="R293" s="273"/>
      <c r="S293" s="273"/>
      <c r="T293" s="273"/>
      <c r="U293" s="271"/>
      <c r="V293" s="271"/>
      <c r="W293" s="271"/>
      <c r="X293" s="271"/>
      <c r="Y293" s="271"/>
      <c r="Z293" s="13"/>
      <c r="AA293" s="13"/>
    </row>
    <row r="294" spans="1:34" x14ac:dyDescent="0.3">
      <c r="A294" s="250">
        <f t="shared" si="80"/>
        <v>205</v>
      </c>
      <c r="B294" s="20" t="s">
        <v>1324</v>
      </c>
      <c r="C294" s="273">
        <f t="shared" si="78"/>
        <v>1457227.2000000002</v>
      </c>
      <c r="D294" s="273">
        <f t="shared" si="79"/>
        <v>1457227.2000000002</v>
      </c>
      <c r="E294" s="273">
        <v>389048.4</v>
      </c>
      <c r="F294" s="273">
        <v>1068178.8</v>
      </c>
      <c r="G294" s="273"/>
      <c r="H294" s="273"/>
      <c r="I294" s="273"/>
      <c r="J294" s="273"/>
      <c r="K294" s="273"/>
      <c r="L294" s="273"/>
      <c r="M294" s="273"/>
      <c r="N294" s="273"/>
      <c r="O294" s="273"/>
      <c r="P294" s="273"/>
      <c r="Q294" s="273"/>
      <c r="R294" s="273"/>
      <c r="S294" s="273"/>
      <c r="T294" s="273"/>
      <c r="U294" s="271"/>
      <c r="V294" s="271"/>
      <c r="W294" s="271"/>
      <c r="X294" s="271"/>
      <c r="Y294" s="271"/>
      <c r="Z294" s="13"/>
      <c r="AA294" s="13"/>
    </row>
    <row r="295" spans="1:34" x14ac:dyDescent="0.3">
      <c r="A295" s="250">
        <f t="shared" si="80"/>
        <v>206</v>
      </c>
      <c r="B295" s="20" t="s">
        <v>1325</v>
      </c>
      <c r="C295" s="273">
        <f t="shared" si="78"/>
        <v>1882231.56</v>
      </c>
      <c r="D295" s="273">
        <f t="shared" si="79"/>
        <v>1882231.56</v>
      </c>
      <c r="E295" s="273">
        <v>504586.8</v>
      </c>
      <c r="F295" s="273">
        <v>1038044.4</v>
      </c>
      <c r="G295" s="273">
        <v>179613.35</v>
      </c>
      <c r="H295" s="273"/>
      <c r="I295" s="273">
        <v>159987.01</v>
      </c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1"/>
      <c r="V295" s="271"/>
      <c r="W295" s="271"/>
      <c r="X295" s="271"/>
      <c r="Y295" s="271"/>
      <c r="Z295" s="13"/>
      <c r="AA295" s="13"/>
    </row>
    <row r="296" spans="1:34" s="36" customFormat="1" x14ac:dyDescent="0.3">
      <c r="A296" s="250">
        <f t="shared" si="80"/>
        <v>207</v>
      </c>
      <c r="B296" s="124" t="s">
        <v>1283</v>
      </c>
      <c r="C296" s="273">
        <f t="shared" si="78"/>
        <v>950686.5</v>
      </c>
      <c r="D296" s="273">
        <f>E296+F296+G296+H296+I296</f>
        <v>0</v>
      </c>
      <c r="E296" s="273"/>
      <c r="F296" s="273"/>
      <c r="G296" s="273"/>
      <c r="H296" s="273"/>
      <c r="I296" s="273"/>
      <c r="J296" s="273"/>
      <c r="K296" s="273"/>
      <c r="L296" s="273"/>
      <c r="M296" s="273"/>
      <c r="N296" s="273"/>
      <c r="O296" s="273"/>
      <c r="P296" s="273"/>
      <c r="Q296" s="273"/>
      <c r="R296" s="273"/>
      <c r="S296" s="273"/>
      <c r="T296" s="273">
        <f>SUM(U296:AF296)</f>
        <v>950686.5</v>
      </c>
      <c r="X296" s="271"/>
      <c r="Y296" s="271"/>
      <c r="Z296" s="13"/>
      <c r="AA296" s="271"/>
      <c r="AC296" s="271">
        <v>950686.5</v>
      </c>
      <c r="AD296" s="271"/>
      <c r="AG296" s="13"/>
      <c r="AH296" s="13"/>
    </row>
    <row r="297" spans="1:34" x14ac:dyDescent="0.3">
      <c r="A297" s="250">
        <f t="shared" si="80"/>
        <v>208</v>
      </c>
      <c r="B297" s="20" t="s">
        <v>1338</v>
      </c>
      <c r="C297" s="273">
        <f t="shared" si="78"/>
        <v>1835710.36</v>
      </c>
      <c r="D297" s="273">
        <f t="shared" si="79"/>
        <v>1835710.36</v>
      </c>
      <c r="E297" s="273">
        <v>1835710.36</v>
      </c>
      <c r="F297" s="273"/>
      <c r="G297" s="273"/>
      <c r="H297" s="273"/>
      <c r="I297" s="273"/>
      <c r="J297" s="273"/>
      <c r="K297" s="273"/>
      <c r="L297" s="273"/>
      <c r="M297" s="273"/>
      <c r="N297" s="273"/>
      <c r="O297" s="273"/>
      <c r="P297" s="273"/>
      <c r="Q297" s="273"/>
      <c r="R297" s="273"/>
      <c r="S297" s="273"/>
      <c r="T297" s="273"/>
      <c r="U297" s="271"/>
      <c r="V297" s="271"/>
      <c r="W297" s="271"/>
      <c r="X297" s="271"/>
      <c r="Y297" s="271"/>
      <c r="Z297" s="13"/>
      <c r="AA297" s="13"/>
    </row>
    <row r="298" spans="1:34" x14ac:dyDescent="0.3">
      <c r="A298" s="250">
        <f t="shared" si="80"/>
        <v>209</v>
      </c>
      <c r="B298" s="20" t="s">
        <v>1339</v>
      </c>
      <c r="C298" s="273">
        <f t="shared" si="78"/>
        <v>2464834.0299999998</v>
      </c>
      <c r="D298" s="273">
        <f t="shared" si="79"/>
        <v>2464834.0299999998</v>
      </c>
      <c r="E298" s="273">
        <v>2464834.0299999998</v>
      </c>
      <c r="F298" s="273"/>
      <c r="G298" s="273"/>
      <c r="H298" s="273"/>
      <c r="I298" s="273"/>
      <c r="J298" s="273"/>
      <c r="K298" s="273"/>
      <c r="L298" s="273"/>
      <c r="M298" s="273"/>
      <c r="N298" s="273"/>
      <c r="O298" s="273"/>
      <c r="P298" s="273"/>
      <c r="Q298" s="273"/>
      <c r="R298" s="273"/>
      <c r="S298" s="273"/>
      <c r="T298" s="273"/>
      <c r="U298" s="271"/>
      <c r="V298" s="271"/>
      <c r="W298" s="271"/>
      <c r="X298" s="271"/>
      <c r="Y298" s="271"/>
      <c r="Z298" s="13"/>
      <c r="AA298" s="13"/>
    </row>
    <row r="299" spans="1:34" x14ac:dyDescent="0.3">
      <c r="A299" s="250">
        <f t="shared" si="80"/>
        <v>210</v>
      </c>
      <c r="B299" s="20" t="s">
        <v>1340</v>
      </c>
      <c r="C299" s="273">
        <f t="shared" si="78"/>
        <v>1832099.5</v>
      </c>
      <c r="D299" s="273">
        <f t="shared" si="79"/>
        <v>1832099.5</v>
      </c>
      <c r="E299" s="273">
        <v>1832099.5</v>
      </c>
      <c r="F299" s="273"/>
      <c r="G299" s="273"/>
      <c r="H299" s="273"/>
      <c r="I299" s="273"/>
      <c r="J299" s="273"/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1"/>
      <c r="V299" s="269"/>
      <c r="W299" s="7"/>
      <c r="X299" s="13"/>
      <c r="Y299" s="13"/>
      <c r="Z299" s="13"/>
      <c r="AA299" s="13"/>
    </row>
    <row r="300" spans="1:34" x14ac:dyDescent="0.3">
      <c r="A300" s="250">
        <f t="shared" si="80"/>
        <v>211</v>
      </c>
      <c r="B300" s="20" t="s">
        <v>1341</v>
      </c>
      <c r="C300" s="273">
        <f t="shared" si="78"/>
        <v>5764138.3700000001</v>
      </c>
      <c r="D300" s="273">
        <f t="shared" si="79"/>
        <v>5764138.3700000001</v>
      </c>
      <c r="E300" s="273">
        <v>1083678.3</v>
      </c>
      <c r="F300" s="273">
        <v>4280008.63</v>
      </c>
      <c r="G300" s="273">
        <v>400451.44</v>
      </c>
      <c r="H300" s="273"/>
      <c r="I300" s="273"/>
      <c r="J300" s="273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1"/>
      <c r="V300" s="269"/>
      <c r="W300" s="7"/>
      <c r="X300" s="13"/>
      <c r="Y300" s="13"/>
      <c r="Z300" s="13"/>
      <c r="AA300" s="13"/>
    </row>
    <row r="301" spans="1:34" x14ac:dyDescent="0.3">
      <c r="A301" s="250">
        <f t="shared" si="80"/>
        <v>212</v>
      </c>
      <c r="B301" s="20" t="s">
        <v>1342</v>
      </c>
      <c r="C301" s="273">
        <f t="shared" si="78"/>
        <v>1914312</v>
      </c>
      <c r="D301" s="273">
        <f t="shared" si="79"/>
        <v>1914312</v>
      </c>
      <c r="E301" s="273">
        <v>1914312</v>
      </c>
      <c r="F301" s="273"/>
      <c r="G301" s="273"/>
      <c r="H301" s="273"/>
      <c r="I301" s="273"/>
      <c r="J301" s="273"/>
      <c r="K301" s="273"/>
      <c r="L301" s="273"/>
      <c r="M301" s="273"/>
      <c r="N301" s="273"/>
      <c r="O301" s="273"/>
      <c r="P301" s="273"/>
      <c r="Q301" s="273"/>
      <c r="R301" s="273"/>
      <c r="S301" s="273"/>
      <c r="T301" s="273"/>
      <c r="U301" s="271"/>
      <c r="V301" s="271"/>
      <c r="W301" s="271"/>
      <c r="X301" s="271"/>
      <c r="Y301" s="13"/>
      <c r="Z301" s="13"/>
      <c r="AA301" s="13"/>
    </row>
    <row r="302" spans="1:34" x14ac:dyDescent="0.3">
      <c r="A302" s="250">
        <f t="shared" si="80"/>
        <v>213</v>
      </c>
      <c r="B302" s="20" t="s">
        <v>1345</v>
      </c>
      <c r="C302" s="273">
        <f t="shared" si="78"/>
        <v>1611829.2</v>
      </c>
      <c r="D302" s="273">
        <f t="shared" si="79"/>
        <v>1611829.2</v>
      </c>
      <c r="E302" s="273">
        <v>1611829.2</v>
      </c>
      <c r="F302" s="273"/>
      <c r="G302" s="273"/>
      <c r="H302" s="273"/>
      <c r="I302" s="273"/>
      <c r="J302" s="273"/>
      <c r="K302" s="273"/>
      <c r="L302" s="273"/>
      <c r="M302" s="273"/>
      <c r="N302" s="273"/>
      <c r="O302" s="273"/>
      <c r="P302" s="273"/>
      <c r="Q302" s="273"/>
      <c r="R302" s="273"/>
      <c r="S302" s="273"/>
      <c r="T302" s="273"/>
      <c r="U302" s="271"/>
      <c r="V302" s="271"/>
      <c r="W302" s="271"/>
      <c r="X302" s="271"/>
      <c r="Y302" s="271"/>
      <c r="Z302" s="13"/>
      <c r="AA302" s="13"/>
    </row>
    <row r="303" spans="1:34" x14ac:dyDescent="0.3">
      <c r="A303" s="250">
        <f t="shared" si="80"/>
        <v>214</v>
      </c>
      <c r="B303" s="20" t="s">
        <v>1349</v>
      </c>
      <c r="C303" s="273">
        <f t="shared" si="78"/>
        <v>2583365.66</v>
      </c>
      <c r="D303" s="273">
        <f t="shared" si="79"/>
        <v>2583365.66</v>
      </c>
      <c r="E303" s="273">
        <v>2583365.66</v>
      </c>
      <c r="F303" s="273"/>
      <c r="G303" s="273"/>
      <c r="H303" s="273"/>
      <c r="I303" s="273"/>
      <c r="J303" s="273"/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1"/>
      <c r="V303" s="271"/>
      <c r="W303" s="271"/>
      <c r="X303" s="271"/>
      <c r="Y303" s="271"/>
      <c r="Z303" s="13"/>
      <c r="AA303" s="13"/>
    </row>
    <row r="304" spans="1:34" x14ac:dyDescent="0.3">
      <c r="A304" s="250">
        <f t="shared" si="80"/>
        <v>215</v>
      </c>
      <c r="B304" s="20" t="s">
        <v>1350</v>
      </c>
      <c r="C304" s="273">
        <f t="shared" si="78"/>
        <v>870926.4</v>
      </c>
      <c r="D304" s="273">
        <f t="shared" si="79"/>
        <v>870926.4</v>
      </c>
      <c r="E304" s="273">
        <v>870926.4</v>
      </c>
      <c r="F304" s="273"/>
      <c r="G304" s="273"/>
      <c r="H304" s="273"/>
      <c r="I304" s="273"/>
      <c r="J304" s="273"/>
      <c r="K304" s="273"/>
      <c r="L304" s="273"/>
      <c r="M304" s="273"/>
      <c r="N304" s="273"/>
      <c r="O304" s="273"/>
      <c r="P304" s="273"/>
      <c r="Q304" s="273"/>
      <c r="R304" s="273"/>
      <c r="S304" s="273"/>
      <c r="T304" s="273"/>
      <c r="U304" s="271"/>
      <c r="V304" s="271"/>
      <c r="W304" s="271"/>
      <c r="X304" s="271"/>
      <c r="Y304" s="271"/>
      <c r="Z304" s="13"/>
      <c r="AA304" s="13"/>
    </row>
    <row r="305" spans="1:27" x14ac:dyDescent="0.3">
      <c r="A305" s="250">
        <f t="shared" si="80"/>
        <v>216</v>
      </c>
      <c r="B305" s="20" t="s">
        <v>1352</v>
      </c>
      <c r="C305" s="273">
        <f t="shared" si="78"/>
        <v>3275622.18</v>
      </c>
      <c r="D305" s="273">
        <f t="shared" si="79"/>
        <v>3275622.18</v>
      </c>
      <c r="E305" s="273">
        <v>500595.6</v>
      </c>
      <c r="F305" s="273">
        <v>2365351.2000000002</v>
      </c>
      <c r="G305" s="273">
        <v>213583.81</v>
      </c>
      <c r="H305" s="273"/>
      <c r="I305" s="273">
        <v>196091.57</v>
      </c>
      <c r="J305" s="273"/>
      <c r="K305" s="273"/>
      <c r="L305" s="273"/>
      <c r="M305" s="273"/>
      <c r="N305" s="273"/>
      <c r="O305" s="273"/>
      <c r="P305" s="273"/>
      <c r="Q305" s="273"/>
      <c r="R305" s="273"/>
      <c r="S305" s="273"/>
      <c r="T305" s="273"/>
      <c r="U305" s="271"/>
      <c r="V305" s="271"/>
      <c r="W305" s="271"/>
      <c r="X305" s="271"/>
      <c r="Y305" s="271"/>
      <c r="Z305" s="13"/>
      <c r="AA305" s="13"/>
    </row>
    <row r="306" spans="1:27" x14ac:dyDescent="0.3">
      <c r="A306" s="250">
        <f t="shared" si="80"/>
        <v>217</v>
      </c>
      <c r="B306" s="20" t="s">
        <v>1362</v>
      </c>
      <c r="C306" s="273">
        <f t="shared" si="78"/>
        <v>2107557.6</v>
      </c>
      <c r="D306" s="273">
        <f t="shared" ref="D306:D327" si="81">E306+F306+G306+H306+I306</f>
        <v>2107557.6</v>
      </c>
      <c r="E306" s="273">
        <v>2107557.6</v>
      </c>
      <c r="F306" s="273"/>
      <c r="G306" s="273"/>
      <c r="H306" s="273"/>
      <c r="I306" s="273"/>
      <c r="J306" s="273"/>
      <c r="K306" s="273"/>
      <c r="L306" s="273"/>
      <c r="M306" s="273"/>
      <c r="N306" s="273"/>
      <c r="O306" s="273"/>
      <c r="P306" s="273"/>
      <c r="Q306" s="273"/>
      <c r="R306" s="273"/>
      <c r="S306" s="273"/>
      <c r="T306" s="273"/>
      <c r="U306" s="271"/>
      <c r="V306" s="271"/>
      <c r="W306" s="271"/>
      <c r="X306" s="271"/>
      <c r="Y306" s="13"/>
      <c r="Z306" s="13"/>
      <c r="AA306" s="13"/>
    </row>
    <row r="307" spans="1:27" x14ac:dyDescent="0.3">
      <c r="A307" s="250">
        <f t="shared" ref="A307:A327" si="82">A306+1</f>
        <v>218</v>
      </c>
      <c r="B307" s="20" t="s">
        <v>1366</v>
      </c>
      <c r="C307" s="273">
        <f t="shared" si="78"/>
        <v>2202040.7999999998</v>
      </c>
      <c r="D307" s="273">
        <f t="shared" si="81"/>
        <v>2202040.7999999998</v>
      </c>
      <c r="E307" s="273">
        <v>2202040.7999999998</v>
      </c>
      <c r="F307" s="273"/>
      <c r="G307" s="273"/>
      <c r="H307" s="273"/>
      <c r="I307" s="273"/>
      <c r="J307" s="273"/>
      <c r="K307" s="273"/>
      <c r="L307" s="273"/>
      <c r="M307" s="273"/>
      <c r="N307" s="273"/>
      <c r="O307" s="273"/>
      <c r="P307" s="273"/>
      <c r="Q307" s="273"/>
      <c r="R307" s="273"/>
      <c r="S307" s="273"/>
      <c r="T307" s="273"/>
      <c r="U307" s="271"/>
      <c r="V307" s="271"/>
      <c r="W307" s="271"/>
      <c r="X307" s="271"/>
      <c r="Y307" s="13"/>
      <c r="Z307" s="13"/>
      <c r="AA307" s="13"/>
    </row>
    <row r="308" spans="1:27" x14ac:dyDescent="0.3">
      <c r="A308" s="250">
        <f t="shared" si="82"/>
        <v>219</v>
      </c>
      <c r="B308" s="20" t="s">
        <v>1368</v>
      </c>
      <c r="C308" s="273">
        <f t="shared" si="78"/>
        <v>2902320</v>
      </c>
      <c r="D308" s="273">
        <f t="shared" si="81"/>
        <v>2902320</v>
      </c>
      <c r="E308" s="273">
        <v>2902320</v>
      </c>
      <c r="F308" s="273"/>
      <c r="G308" s="273"/>
      <c r="H308" s="273"/>
      <c r="I308" s="273"/>
      <c r="J308" s="273"/>
      <c r="K308" s="273"/>
      <c r="L308" s="273"/>
      <c r="M308" s="273"/>
      <c r="N308" s="273"/>
      <c r="O308" s="273"/>
      <c r="P308" s="273"/>
      <c r="Q308" s="273"/>
      <c r="R308" s="273"/>
      <c r="S308" s="273"/>
      <c r="T308" s="273"/>
      <c r="U308" s="271"/>
      <c r="V308" s="271"/>
      <c r="W308" s="271"/>
      <c r="X308" s="271"/>
      <c r="Y308" s="13"/>
      <c r="Z308" s="13"/>
      <c r="AA308" s="13"/>
    </row>
    <row r="309" spans="1:27" x14ac:dyDescent="0.3">
      <c r="A309" s="250">
        <f t="shared" si="82"/>
        <v>220</v>
      </c>
      <c r="B309" s="20" t="s">
        <v>1370</v>
      </c>
      <c r="C309" s="273">
        <f t="shared" si="78"/>
        <v>2099449.33</v>
      </c>
      <c r="D309" s="273">
        <f t="shared" si="81"/>
        <v>2099449.33</v>
      </c>
      <c r="E309" s="273">
        <v>590395.19999999995</v>
      </c>
      <c r="F309" s="273">
        <v>1277934</v>
      </c>
      <c r="G309" s="273">
        <v>103385.7</v>
      </c>
      <c r="H309" s="273"/>
      <c r="I309" s="273">
        <v>127734.43</v>
      </c>
      <c r="J309" s="273"/>
      <c r="K309" s="273"/>
      <c r="L309" s="273"/>
      <c r="M309" s="273"/>
      <c r="N309" s="273"/>
      <c r="O309" s="273"/>
      <c r="P309" s="273"/>
      <c r="Q309" s="273"/>
      <c r="R309" s="273"/>
      <c r="S309" s="273"/>
      <c r="T309" s="273"/>
      <c r="U309" s="271"/>
      <c r="V309" s="271"/>
      <c r="W309" s="271"/>
      <c r="X309" s="271"/>
      <c r="Y309" s="13"/>
      <c r="Z309" s="13"/>
      <c r="AA309" s="13"/>
    </row>
    <row r="310" spans="1:27" x14ac:dyDescent="0.3">
      <c r="A310" s="250">
        <f t="shared" si="82"/>
        <v>221</v>
      </c>
      <c r="B310" s="20" t="s">
        <v>1401</v>
      </c>
      <c r="C310" s="273">
        <f t="shared" si="78"/>
        <v>6081187.2000000002</v>
      </c>
      <c r="D310" s="273">
        <f t="shared" si="81"/>
        <v>6081187.2000000002</v>
      </c>
      <c r="E310" s="273">
        <v>1519996.8</v>
      </c>
      <c r="F310" s="273">
        <v>4561190.4000000004</v>
      </c>
      <c r="G310" s="273"/>
      <c r="H310" s="273"/>
      <c r="I310" s="273"/>
      <c r="J310" s="273"/>
      <c r="K310" s="273"/>
      <c r="L310" s="273"/>
      <c r="M310" s="273"/>
      <c r="N310" s="273"/>
      <c r="O310" s="273"/>
      <c r="P310" s="273"/>
      <c r="Q310" s="273"/>
      <c r="R310" s="273"/>
      <c r="S310" s="273"/>
      <c r="T310" s="273"/>
      <c r="U310" s="271"/>
      <c r="V310" s="269"/>
      <c r="W310" s="84"/>
      <c r="X310" s="82"/>
      <c r="Y310" s="82"/>
      <c r="Z310" s="13"/>
      <c r="AA310" s="13"/>
    </row>
    <row r="311" spans="1:27" x14ac:dyDescent="0.3">
      <c r="A311" s="250">
        <f t="shared" si="82"/>
        <v>222</v>
      </c>
      <c r="B311" s="20" t="s">
        <v>1403</v>
      </c>
      <c r="C311" s="273">
        <f t="shared" si="78"/>
        <v>2425366.7999999998</v>
      </c>
      <c r="D311" s="273">
        <f t="shared" si="81"/>
        <v>2425366.7999999998</v>
      </c>
      <c r="E311" s="273">
        <v>668001.6</v>
      </c>
      <c r="F311" s="273">
        <v>1757365.2</v>
      </c>
      <c r="G311" s="273"/>
      <c r="H311" s="273"/>
      <c r="I311" s="273"/>
      <c r="J311" s="273"/>
      <c r="K311" s="273"/>
      <c r="L311" s="273"/>
      <c r="M311" s="273"/>
      <c r="N311" s="273"/>
      <c r="O311" s="273"/>
      <c r="P311" s="273"/>
      <c r="Q311" s="273"/>
      <c r="R311" s="273"/>
      <c r="S311" s="273"/>
      <c r="T311" s="273"/>
      <c r="U311" s="271"/>
      <c r="V311" s="269"/>
      <c r="W311" s="7"/>
      <c r="X311" s="13"/>
      <c r="Y311" s="13"/>
      <c r="Z311" s="13"/>
      <c r="AA311" s="13"/>
    </row>
    <row r="312" spans="1:27" x14ac:dyDescent="0.3">
      <c r="A312" s="250">
        <f t="shared" si="82"/>
        <v>223</v>
      </c>
      <c r="B312" s="20" t="s">
        <v>1405</v>
      </c>
      <c r="C312" s="273">
        <f t="shared" si="78"/>
        <v>813042</v>
      </c>
      <c r="D312" s="273">
        <f t="shared" si="81"/>
        <v>813042</v>
      </c>
      <c r="E312" s="273">
        <v>813042</v>
      </c>
      <c r="F312" s="273"/>
      <c r="G312" s="273"/>
      <c r="H312" s="273"/>
      <c r="I312" s="273"/>
      <c r="J312" s="273"/>
      <c r="K312" s="273"/>
      <c r="L312" s="273"/>
      <c r="M312" s="273"/>
      <c r="N312" s="273"/>
      <c r="O312" s="273"/>
      <c r="P312" s="273"/>
      <c r="Q312" s="273"/>
      <c r="R312" s="273"/>
      <c r="S312" s="273"/>
      <c r="T312" s="273"/>
      <c r="U312" s="271"/>
      <c r="V312" s="269"/>
      <c r="W312" s="7"/>
      <c r="X312" s="13"/>
      <c r="Y312" s="13"/>
      <c r="Z312" s="13"/>
      <c r="AA312" s="13"/>
    </row>
    <row r="313" spans="1:27" x14ac:dyDescent="0.3">
      <c r="A313" s="250">
        <f t="shared" si="82"/>
        <v>224</v>
      </c>
      <c r="B313" s="20" t="s">
        <v>1406</v>
      </c>
      <c r="C313" s="273">
        <f t="shared" si="78"/>
        <v>1884546</v>
      </c>
      <c r="D313" s="273">
        <f t="shared" si="81"/>
        <v>1884546</v>
      </c>
      <c r="E313" s="273">
        <v>1884546</v>
      </c>
      <c r="F313" s="273"/>
      <c r="G313" s="273"/>
      <c r="H313" s="273"/>
      <c r="I313" s="273"/>
      <c r="J313" s="273"/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1"/>
      <c r="V313" s="269"/>
      <c r="W313" s="84"/>
      <c r="X313" s="82"/>
      <c r="Y313" s="82"/>
      <c r="Z313" s="13"/>
      <c r="AA313" s="13"/>
    </row>
    <row r="314" spans="1:27" x14ac:dyDescent="0.3">
      <c r="A314" s="250">
        <f t="shared" si="82"/>
        <v>225</v>
      </c>
      <c r="B314" s="20" t="s">
        <v>1412</v>
      </c>
      <c r="C314" s="273">
        <f t="shared" si="78"/>
        <v>1191572.3999999999</v>
      </c>
      <c r="D314" s="273">
        <f t="shared" si="81"/>
        <v>1191572.3999999999</v>
      </c>
      <c r="E314" s="273">
        <v>1191572.3999999999</v>
      </c>
      <c r="F314" s="273"/>
      <c r="G314" s="273"/>
      <c r="H314" s="273"/>
      <c r="I314" s="273"/>
      <c r="J314" s="273"/>
      <c r="K314" s="273"/>
      <c r="L314" s="273"/>
      <c r="M314" s="273"/>
      <c r="N314" s="273"/>
      <c r="O314" s="273"/>
      <c r="P314" s="273"/>
      <c r="Q314" s="273"/>
      <c r="R314" s="273"/>
      <c r="S314" s="273"/>
      <c r="T314" s="273"/>
      <c r="U314" s="271"/>
      <c r="V314" s="269"/>
      <c r="W314" s="84"/>
      <c r="X314" s="82"/>
      <c r="Y314" s="82"/>
      <c r="Z314" s="13"/>
      <c r="AA314" s="13"/>
    </row>
    <row r="315" spans="1:27" x14ac:dyDescent="0.3">
      <c r="A315" s="250">
        <f t="shared" si="82"/>
        <v>226</v>
      </c>
      <c r="B315" s="20" t="s">
        <v>1413</v>
      </c>
      <c r="C315" s="273">
        <f t="shared" si="78"/>
        <v>1064785.2</v>
      </c>
      <c r="D315" s="273">
        <f t="shared" si="81"/>
        <v>1064785.2</v>
      </c>
      <c r="E315" s="273">
        <v>1064785.2</v>
      </c>
      <c r="F315" s="273"/>
      <c r="G315" s="273"/>
      <c r="H315" s="273"/>
      <c r="I315" s="273"/>
      <c r="J315" s="273"/>
      <c r="K315" s="273"/>
      <c r="L315" s="273"/>
      <c r="M315" s="273"/>
      <c r="N315" s="273"/>
      <c r="O315" s="273"/>
      <c r="P315" s="273"/>
      <c r="Q315" s="273"/>
      <c r="R315" s="273"/>
      <c r="S315" s="273"/>
      <c r="T315" s="273"/>
      <c r="U315" s="271"/>
      <c r="V315" s="269"/>
      <c r="W315" s="84"/>
      <c r="X315" s="82"/>
      <c r="Y315" s="82"/>
      <c r="Z315" s="13"/>
      <c r="AA315" s="13"/>
    </row>
    <row r="316" spans="1:27" x14ac:dyDescent="0.3">
      <c r="A316" s="250">
        <f t="shared" si="82"/>
        <v>227</v>
      </c>
      <c r="B316" s="20" t="s">
        <v>1422</v>
      </c>
      <c r="C316" s="273">
        <f t="shared" si="78"/>
        <v>790478.4</v>
      </c>
      <c r="D316" s="273">
        <f t="shared" si="81"/>
        <v>790478.4</v>
      </c>
      <c r="E316" s="273">
        <v>551373.6</v>
      </c>
      <c r="F316" s="273"/>
      <c r="G316" s="273">
        <v>127688.4</v>
      </c>
      <c r="H316" s="273"/>
      <c r="I316" s="273">
        <v>111416.4</v>
      </c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1"/>
      <c r="V316" s="269"/>
      <c r="W316" s="84"/>
      <c r="X316" s="82"/>
      <c r="Y316" s="82"/>
      <c r="Z316" s="13"/>
      <c r="AA316" s="13"/>
    </row>
    <row r="317" spans="1:27" x14ac:dyDescent="0.3">
      <c r="A317" s="250">
        <f t="shared" si="82"/>
        <v>228</v>
      </c>
      <c r="B317" s="20" t="s">
        <v>1426</v>
      </c>
      <c r="C317" s="273">
        <f t="shared" si="78"/>
        <v>2719102.8</v>
      </c>
      <c r="D317" s="273">
        <f t="shared" si="81"/>
        <v>2719102.8</v>
      </c>
      <c r="E317" s="273">
        <v>508742.40000000002</v>
      </c>
      <c r="F317" s="273">
        <v>1957514.4</v>
      </c>
      <c r="G317" s="273">
        <v>252846</v>
      </c>
      <c r="H317" s="273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1"/>
      <c r="V317" s="269"/>
      <c r="W317" s="84"/>
      <c r="X317" s="82"/>
      <c r="Y317" s="82"/>
      <c r="Z317" s="13"/>
      <c r="AA317" s="13"/>
    </row>
    <row r="318" spans="1:27" x14ac:dyDescent="0.3">
      <c r="A318" s="250">
        <f t="shared" si="82"/>
        <v>229</v>
      </c>
      <c r="B318" s="20" t="s">
        <v>1427</v>
      </c>
      <c r="C318" s="273">
        <f t="shared" si="78"/>
        <v>2783103.6</v>
      </c>
      <c r="D318" s="273">
        <f t="shared" si="81"/>
        <v>2783103.6</v>
      </c>
      <c r="E318" s="273">
        <v>466555.2</v>
      </c>
      <c r="F318" s="273">
        <v>2063036.4</v>
      </c>
      <c r="G318" s="273">
        <v>253512</v>
      </c>
      <c r="H318" s="273"/>
      <c r="I318" s="273"/>
      <c r="J318" s="273"/>
      <c r="K318" s="273"/>
      <c r="L318" s="273"/>
      <c r="M318" s="273"/>
      <c r="N318" s="273"/>
      <c r="O318" s="273"/>
      <c r="P318" s="273"/>
      <c r="Q318" s="273"/>
      <c r="R318" s="273"/>
      <c r="S318" s="273"/>
      <c r="T318" s="273"/>
      <c r="U318" s="271"/>
      <c r="V318" s="269"/>
      <c r="W318" s="84"/>
      <c r="X318" s="82"/>
      <c r="Y318" s="82"/>
      <c r="Z318" s="13"/>
      <c r="AA318" s="13"/>
    </row>
    <row r="319" spans="1:27" x14ac:dyDescent="0.3">
      <c r="A319" s="250">
        <f t="shared" si="82"/>
        <v>230</v>
      </c>
      <c r="B319" s="20" t="s">
        <v>1441</v>
      </c>
      <c r="C319" s="273">
        <f t="shared" si="78"/>
        <v>1763206.8</v>
      </c>
      <c r="D319" s="273">
        <f t="shared" si="81"/>
        <v>1763206.8</v>
      </c>
      <c r="E319" s="273">
        <v>374815.2</v>
      </c>
      <c r="F319" s="273">
        <v>1112943.6000000001</v>
      </c>
      <c r="G319" s="273">
        <v>135394.79999999999</v>
      </c>
      <c r="H319" s="273"/>
      <c r="I319" s="273">
        <v>140053.20000000001</v>
      </c>
      <c r="J319" s="273"/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1"/>
      <c r="V319" s="269"/>
      <c r="W319" s="7"/>
      <c r="X319" s="13"/>
      <c r="Y319" s="13"/>
      <c r="Z319" s="13"/>
      <c r="AA319" s="13"/>
    </row>
    <row r="320" spans="1:27" x14ac:dyDescent="0.3">
      <c r="A320" s="250">
        <f t="shared" si="82"/>
        <v>231</v>
      </c>
      <c r="B320" s="20" t="s">
        <v>1457</v>
      </c>
      <c r="C320" s="273">
        <f t="shared" si="78"/>
        <v>1266492</v>
      </c>
      <c r="D320" s="273">
        <f t="shared" si="81"/>
        <v>1266492</v>
      </c>
      <c r="E320" s="273">
        <v>1266492</v>
      </c>
      <c r="F320" s="273"/>
      <c r="G320" s="273"/>
      <c r="H320" s="273"/>
      <c r="I320" s="273"/>
      <c r="J320" s="273"/>
      <c r="K320" s="273"/>
      <c r="L320" s="273"/>
      <c r="M320" s="273"/>
      <c r="N320" s="273"/>
      <c r="O320" s="273"/>
      <c r="P320" s="273"/>
      <c r="Q320" s="273"/>
      <c r="R320" s="273"/>
      <c r="S320" s="273"/>
      <c r="T320" s="273"/>
      <c r="U320" s="271"/>
      <c r="V320" s="269"/>
      <c r="W320" s="84"/>
      <c r="X320" s="82"/>
      <c r="Y320" s="82"/>
      <c r="Z320" s="13"/>
      <c r="AA320" s="13"/>
    </row>
    <row r="321" spans="1:27" x14ac:dyDescent="0.3">
      <c r="A321" s="250">
        <f t="shared" si="82"/>
        <v>232</v>
      </c>
      <c r="B321" s="20" t="s">
        <v>1461</v>
      </c>
      <c r="C321" s="273">
        <f t="shared" si="78"/>
        <v>1041826.8</v>
      </c>
      <c r="D321" s="273">
        <f t="shared" si="81"/>
        <v>1041826.8</v>
      </c>
      <c r="E321" s="273">
        <v>1041826.8</v>
      </c>
      <c r="F321" s="273"/>
      <c r="G321" s="273"/>
      <c r="H321" s="273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1"/>
      <c r="V321" s="269"/>
      <c r="W321" s="84"/>
      <c r="X321" s="82"/>
      <c r="Y321" s="82"/>
      <c r="Z321" s="13"/>
      <c r="AA321" s="13"/>
    </row>
    <row r="322" spans="1:27" x14ac:dyDescent="0.3">
      <c r="A322" s="250">
        <f t="shared" si="82"/>
        <v>233</v>
      </c>
      <c r="B322" s="20" t="s">
        <v>1463</v>
      </c>
      <c r="C322" s="273">
        <f t="shared" si="78"/>
        <v>886993.2</v>
      </c>
      <c r="D322" s="273">
        <f t="shared" si="81"/>
        <v>886993.2</v>
      </c>
      <c r="E322" s="273">
        <v>886993.2</v>
      </c>
      <c r="F322" s="273"/>
      <c r="G322" s="273"/>
      <c r="H322" s="273"/>
      <c r="I322" s="273"/>
      <c r="J322" s="273"/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1"/>
      <c r="V322" s="269"/>
      <c r="W322" s="84"/>
      <c r="X322" s="82"/>
      <c r="Y322" s="82"/>
      <c r="Z322" s="13"/>
      <c r="AA322" s="13"/>
    </row>
    <row r="323" spans="1:27" x14ac:dyDescent="0.3">
      <c r="A323" s="250">
        <f t="shared" si="82"/>
        <v>234</v>
      </c>
      <c r="B323" s="20" t="s">
        <v>1465</v>
      </c>
      <c r="C323" s="273">
        <f t="shared" si="78"/>
        <v>886993.2</v>
      </c>
      <c r="D323" s="273">
        <f t="shared" si="81"/>
        <v>886993.2</v>
      </c>
      <c r="E323" s="273">
        <v>886993.2</v>
      </c>
      <c r="F323" s="273"/>
      <c r="G323" s="273"/>
      <c r="H323" s="273"/>
      <c r="I323" s="273"/>
      <c r="J323" s="273"/>
      <c r="K323" s="273"/>
      <c r="L323" s="273"/>
      <c r="M323" s="273"/>
      <c r="N323" s="273"/>
      <c r="O323" s="273"/>
      <c r="P323" s="273"/>
      <c r="Q323" s="273"/>
      <c r="R323" s="273"/>
      <c r="S323" s="273"/>
      <c r="T323" s="273"/>
      <c r="U323" s="271"/>
      <c r="V323" s="269"/>
      <c r="W323" s="84"/>
      <c r="X323" s="82"/>
      <c r="Y323" s="82"/>
      <c r="Z323" s="13"/>
      <c r="AA323" s="13"/>
    </row>
    <row r="324" spans="1:27" x14ac:dyDescent="0.3">
      <c r="A324" s="250">
        <f t="shared" si="82"/>
        <v>235</v>
      </c>
      <c r="B324" s="20" t="s">
        <v>1472</v>
      </c>
      <c r="C324" s="273">
        <f t="shared" si="78"/>
        <v>9278871.5999999996</v>
      </c>
      <c r="D324" s="273">
        <f t="shared" si="81"/>
        <v>9278871.5999999996</v>
      </c>
      <c r="E324" s="273">
        <v>2991360</v>
      </c>
      <c r="F324" s="273">
        <v>6287511.5999999996</v>
      </c>
      <c r="G324" s="273"/>
      <c r="H324" s="273"/>
      <c r="I324" s="273"/>
      <c r="J324" s="273"/>
      <c r="K324" s="273"/>
      <c r="L324" s="273"/>
      <c r="M324" s="273"/>
      <c r="N324" s="273"/>
      <c r="O324" s="273"/>
      <c r="P324" s="273"/>
      <c r="Q324" s="273"/>
      <c r="R324" s="273"/>
      <c r="S324" s="273"/>
      <c r="T324" s="273"/>
      <c r="U324" s="271"/>
      <c r="V324" s="269"/>
      <c r="W324" s="84"/>
      <c r="X324" s="82"/>
      <c r="Y324" s="82"/>
      <c r="Z324" s="13"/>
      <c r="AA324" s="13"/>
    </row>
    <row r="325" spans="1:27" x14ac:dyDescent="0.3">
      <c r="A325" s="250">
        <f t="shared" si="82"/>
        <v>236</v>
      </c>
      <c r="B325" s="20" t="s">
        <v>1487</v>
      </c>
      <c r="C325" s="273">
        <f t="shared" si="78"/>
        <v>2090947.2</v>
      </c>
      <c r="D325" s="273">
        <f t="shared" si="81"/>
        <v>2090947.2</v>
      </c>
      <c r="E325" s="273">
        <v>369852</v>
      </c>
      <c r="F325" s="273">
        <v>1269854.3999999999</v>
      </c>
      <c r="G325" s="273">
        <v>242329.2</v>
      </c>
      <c r="H325" s="273"/>
      <c r="I325" s="273">
        <v>208911.6</v>
      </c>
      <c r="J325" s="273"/>
      <c r="K325" s="273"/>
      <c r="L325" s="273"/>
      <c r="M325" s="273"/>
      <c r="N325" s="273"/>
      <c r="O325" s="273"/>
      <c r="P325" s="273"/>
      <c r="Q325" s="273"/>
      <c r="R325" s="273"/>
      <c r="S325" s="273"/>
      <c r="T325" s="273"/>
      <c r="U325" s="271"/>
      <c r="V325" s="269"/>
      <c r="W325" s="84"/>
      <c r="X325" s="82"/>
      <c r="Y325" s="82"/>
      <c r="Z325" s="13"/>
      <c r="AA325" s="13"/>
    </row>
    <row r="326" spans="1:27" x14ac:dyDescent="0.3">
      <c r="A326" s="250">
        <f t="shared" si="82"/>
        <v>237</v>
      </c>
      <c r="B326" s="20" t="s">
        <v>1490</v>
      </c>
      <c r="C326" s="273">
        <f t="shared" si="78"/>
        <v>1965122.4</v>
      </c>
      <c r="D326" s="273">
        <f t="shared" si="81"/>
        <v>1965122.4</v>
      </c>
      <c r="E326" s="273">
        <v>470677.2</v>
      </c>
      <c r="F326" s="273">
        <v>1193481.6000000001</v>
      </c>
      <c r="G326" s="273">
        <v>132271.20000000001</v>
      </c>
      <c r="H326" s="273"/>
      <c r="I326" s="273">
        <v>168692.4</v>
      </c>
      <c r="J326" s="273"/>
      <c r="K326" s="273"/>
      <c r="L326" s="273"/>
      <c r="M326" s="273"/>
      <c r="N326" s="273"/>
      <c r="O326" s="273"/>
      <c r="P326" s="273"/>
      <c r="Q326" s="273"/>
      <c r="R326" s="273"/>
      <c r="S326" s="273"/>
      <c r="T326" s="273"/>
      <c r="U326" s="271"/>
      <c r="V326" s="269"/>
      <c r="W326" s="84"/>
      <c r="X326" s="82"/>
      <c r="Y326" s="82"/>
      <c r="Z326" s="13"/>
      <c r="AA326" s="13"/>
    </row>
    <row r="327" spans="1:27" x14ac:dyDescent="0.3">
      <c r="A327" s="250">
        <f t="shared" si="82"/>
        <v>238</v>
      </c>
      <c r="B327" s="20" t="s">
        <v>1491</v>
      </c>
      <c r="C327" s="273">
        <f t="shared" si="78"/>
        <v>1473540</v>
      </c>
      <c r="D327" s="273">
        <f t="shared" si="81"/>
        <v>1473540</v>
      </c>
      <c r="E327" s="273">
        <v>366879.6</v>
      </c>
      <c r="F327" s="273">
        <v>838785.6</v>
      </c>
      <c r="G327" s="273">
        <v>129729.60000000001</v>
      </c>
      <c r="H327" s="273"/>
      <c r="I327" s="273">
        <v>138145.20000000001</v>
      </c>
      <c r="J327" s="273"/>
      <c r="K327" s="273"/>
      <c r="L327" s="273"/>
      <c r="M327" s="273"/>
      <c r="N327" s="273"/>
      <c r="O327" s="273"/>
      <c r="P327" s="273"/>
      <c r="Q327" s="273"/>
      <c r="R327" s="273"/>
      <c r="S327" s="273"/>
      <c r="T327" s="273"/>
      <c r="U327" s="271"/>
      <c r="V327" s="269"/>
      <c r="W327" s="84"/>
      <c r="X327" s="82"/>
      <c r="Y327" s="82"/>
      <c r="Z327" s="13"/>
      <c r="AA327" s="13"/>
    </row>
    <row r="328" spans="1:27" x14ac:dyDescent="0.3">
      <c r="A328" s="250"/>
      <c r="B328" s="20" t="s">
        <v>208</v>
      </c>
      <c r="C328" s="273">
        <f t="shared" ref="C328:T328" si="83">SUM(C274:C327)</f>
        <v>125361080.12</v>
      </c>
      <c r="D328" s="273">
        <f t="shared" si="83"/>
        <v>124410393.62</v>
      </c>
      <c r="E328" s="273">
        <f t="shared" si="83"/>
        <v>64161260.480000019</v>
      </c>
      <c r="F328" s="273">
        <f t="shared" si="83"/>
        <v>51173414.230000004</v>
      </c>
      <c r="G328" s="273">
        <f t="shared" si="83"/>
        <v>5459137.9000000004</v>
      </c>
      <c r="H328" s="273">
        <f t="shared" si="83"/>
        <v>300250.8</v>
      </c>
      <c r="I328" s="273">
        <f t="shared" si="83"/>
        <v>3316330.2100000004</v>
      </c>
      <c r="J328" s="273">
        <f t="shared" si="83"/>
        <v>0</v>
      </c>
      <c r="K328" s="273">
        <f t="shared" si="83"/>
        <v>0</v>
      </c>
      <c r="L328" s="273">
        <f t="shared" si="83"/>
        <v>0</v>
      </c>
      <c r="M328" s="273">
        <f t="shared" si="83"/>
        <v>0</v>
      </c>
      <c r="N328" s="273">
        <f t="shared" si="83"/>
        <v>0</v>
      </c>
      <c r="O328" s="273">
        <f t="shared" si="83"/>
        <v>0</v>
      </c>
      <c r="P328" s="273">
        <f t="shared" si="83"/>
        <v>0</v>
      </c>
      <c r="Q328" s="273">
        <f t="shared" si="83"/>
        <v>0</v>
      </c>
      <c r="R328" s="273">
        <f t="shared" si="83"/>
        <v>0</v>
      </c>
      <c r="S328" s="273">
        <f t="shared" si="83"/>
        <v>0</v>
      </c>
      <c r="T328" s="273">
        <f t="shared" si="83"/>
        <v>950686.5</v>
      </c>
      <c r="U328" s="271"/>
      <c r="V328" s="269"/>
      <c r="W328" s="84"/>
      <c r="X328" s="82"/>
      <c r="Y328" s="82"/>
      <c r="Z328" s="13"/>
      <c r="AA328" s="13"/>
    </row>
    <row r="329" spans="1:27" ht="15" customHeight="1" x14ac:dyDescent="0.3">
      <c r="A329" s="255" t="s">
        <v>1492</v>
      </c>
      <c r="B329" s="20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1"/>
      <c r="V329" s="269"/>
      <c r="W329" s="84"/>
      <c r="X329" s="82"/>
      <c r="Y329" s="82"/>
      <c r="Z329" s="13"/>
      <c r="AA329" s="13"/>
    </row>
    <row r="330" spans="1:27" x14ac:dyDescent="0.3">
      <c r="A330" s="250">
        <f>A327+1</f>
        <v>239</v>
      </c>
      <c r="B330" s="20" t="s">
        <v>1493</v>
      </c>
      <c r="C330" s="273">
        <f t="shared" ref="C330:C334" si="84">D330+K330+M330+O330+P330+R330+S330+T330</f>
        <v>1666099.2</v>
      </c>
      <c r="D330" s="273">
        <f>E330+F330+G330+H330+I330</f>
        <v>1666099.2</v>
      </c>
      <c r="E330" s="273"/>
      <c r="F330" s="273">
        <v>1433804.4</v>
      </c>
      <c r="G330" s="273">
        <v>89715.6</v>
      </c>
      <c r="H330" s="273"/>
      <c r="I330" s="273">
        <v>142579.20000000001</v>
      </c>
      <c r="J330" s="273"/>
      <c r="K330" s="273"/>
      <c r="L330" s="273"/>
      <c r="M330" s="273"/>
      <c r="N330" s="273"/>
      <c r="O330" s="273"/>
      <c r="P330" s="273"/>
      <c r="Q330" s="273"/>
      <c r="R330" s="273"/>
      <c r="S330" s="273"/>
      <c r="T330" s="273"/>
      <c r="U330" s="271"/>
      <c r="V330" s="269"/>
      <c r="W330" s="84"/>
      <c r="X330" s="82"/>
      <c r="Y330" s="82"/>
      <c r="Z330" s="13"/>
      <c r="AA330" s="13"/>
    </row>
    <row r="331" spans="1:27" x14ac:dyDescent="0.3">
      <c r="A331" s="250">
        <f>A330+1</f>
        <v>240</v>
      </c>
      <c r="B331" s="20" t="s">
        <v>1494</v>
      </c>
      <c r="C331" s="273">
        <f t="shared" si="84"/>
        <v>341353.2</v>
      </c>
      <c r="D331" s="273">
        <f>E331+F331+G331+H331+I331</f>
        <v>341353.2</v>
      </c>
      <c r="E331" s="273"/>
      <c r="F331" s="273"/>
      <c r="G331" s="273"/>
      <c r="H331" s="273"/>
      <c r="I331" s="273">
        <v>341353.2</v>
      </c>
      <c r="J331" s="273"/>
      <c r="K331" s="273"/>
      <c r="L331" s="273"/>
      <c r="M331" s="273"/>
      <c r="N331" s="273"/>
      <c r="O331" s="273"/>
      <c r="P331" s="273"/>
      <c r="Q331" s="273"/>
      <c r="R331" s="273"/>
      <c r="S331" s="273"/>
      <c r="T331" s="273"/>
      <c r="U331" s="271"/>
      <c r="V331" s="269"/>
      <c r="W331" s="84"/>
      <c r="X331" s="82"/>
      <c r="Y331" s="82"/>
      <c r="Z331" s="13"/>
      <c r="AA331" s="13"/>
    </row>
    <row r="332" spans="1:27" x14ac:dyDescent="0.3">
      <c r="A332" s="250">
        <f>A331+1</f>
        <v>241</v>
      </c>
      <c r="B332" s="20" t="s">
        <v>1495</v>
      </c>
      <c r="C332" s="273">
        <f t="shared" si="84"/>
        <v>362492.4</v>
      </c>
      <c r="D332" s="273">
        <f>E332+F332+G332+H332+I332</f>
        <v>362492.4</v>
      </c>
      <c r="E332" s="273"/>
      <c r="F332" s="273"/>
      <c r="G332" s="273"/>
      <c r="H332" s="273"/>
      <c r="I332" s="273">
        <v>362492.4</v>
      </c>
      <c r="J332" s="273"/>
      <c r="K332" s="273"/>
      <c r="L332" s="273"/>
      <c r="M332" s="273"/>
      <c r="N332" s="273"/>
      <c r="O332" s="273"/>
      <c r="P332" s="273"/>
      <c r="Q332" s="273"/>
      <c r="R332" s="273"/>
      <c r="S332" s="273"/>
      <c r="T332" s="273"/>
      <c r="U332" s="271"/>
      <c r="V332" s="269"/>
      <c r="W332" s="84"/>
      <c r="X332" s="82"/>
      <c r="Y332" s="82"/>
      <c r="Z332" s="13"/>
      <c r="AA332" s="13"/>
    </row>
    <row r="333" spans="1:27" x14ac:dyDescent="0.3">
      <c r="A333" s="250">
        <f>A332+1</f>
        <v>242</v>
      </c>
      <c r="B333" s="20" t="s">
        <v>1496</v>
      </c>
      <c r="C333" s="273">
        <f t="shared" si="84"/>
        <v>2167610.4</v>
      </c>
      <c r="D333" s="273">
        <f>E333+F333+G333+H333+I333</f>
        <v>2167610.4</v>
      </c>
      <c r="E333" s="273"/>
      <c r="F333" s="273">
        <v>1860055.2</v>
      </c>
      <c r="G333" s="273"/>
      <c r="H333" s="273"/>
      <c r="I333" s="273">
        <v>307555.20000000001</v>
      </c>
      <c r="J333" s="273"/>
      <c r="K333" s="273"/>
      <c r="L333" s="273"/>
      <c r="M333" s="273"/>
      <c r="N333" s="273"/>
      <c r="O333" s="273"/>
      <c r="P333" s="273"/>
      <c r="Q333" s="273"/>
      <c r="R333" s="273"/>
      <c r="S333" s="273"/>
      <c r="T333" s="273"/>
      <c r="U333" s="271"/>
      <c r="V333" s="269"/>
      <c r="W333" s="84"/>
      <c r="X333" s="82"/>
      <c r="Y333" s="82"/>
      <c r="Z333" s="13"/>
      <c r="AA333" s="13"/>
    </row>
    <row r="334" spans="1:27" x14ac:dyDescent="0.3">
      <c r="A334" s="250">
        <f>A333+1</f>
        <v>243</v>
      </c>
      <c r="B334" s="20" t="s">
        <v>1497</v>
      </c>
      <c r="C334" s="273">
        <f t="shared" si="84"/>
        <v>831252</v>
      </c>
      <c r="D334" s="273">
        <f>E334+F334+G334+H334+I334</f>
        <v>831252</v>
      </c>
      <c r="E334" s="273">
        <v>719103.6</v>
      </c>
      <c r="F334" s="273"/>
      <c r="G334" s="273"/>
      <c r="H334" s="273"/>
      <c r="I334" s="273">
        <v>112148.4</v>
      </c>
      <c r="J334" s="273"/>
      <c r="K334" s="273"/>
      <c r="L334" s="273"/>
      <c r="M334" s="273"/>
      <c r="N334" s="273"/>
      <c r="O334" s="273"/>
      <c r="P334" s="273"/>
      <c r="Q334" s="273"/>
      <c r="R334" s="273"/>
      <c r="S334" s="273"/>
      <c r="T334" s="273"/>
      <c r="U334" s="271"/>
      <c r="V334" s="269"/>
      <c r="W334" s="84"/>
      <c r="X334" s="82"/>
      <c r="Y334" s="82"/>
      <c r="Z334" s="13"/>
      <c r="AA334" s="13"/>
    </row>
    <row r="335" spans="1:27" x14ac:dyDescent="0.3">
      <c r="A335" s="250"/>
      <c r="B335" s="20" t="s">
        <v>208</v>
      </c>
      <c r="C335" s="273">
        <f t="shared" ref="C335:T335" si="85">SUM(C330:C334)</f>
        <v>5368807.1999999993</v>
      </c>
      <c r="D335" s="273">
        <f t="shared" si="85"/>
        <v>5368807.1999999993</v>
      </c>
      <c r="E335" s="273">
        <f t="shared" si="85"/>
        <v>719103.6</v>
      </c>
      <c r="F335" s="273">
        <f t="shared" si="85"/>
        <v>3293859.5999999996</v>
      </c>
      <c r="G335" s="273">
        <f t="shared" si="85"/>
        <v>89715.6</v>
      </c>
      <c r="H335" s="273">
        <f t="shared" si="85"/>
        <v>0</v>
      </c>
      <c r="I335" s="273">
        <f t="shared" si="85"/>
        <v>1266128.3999999999</v>
      </c>
      <c r="J335" s="273">
        <f t="shared" si="85"/>
        <v>0</v>
      </c>
      <c r="K335" s="273">
        <f t="shared" si="85"/>
        <v>0</v>
      </c>
      <c r="L335" s="273">
        <f t="shared" si="85"/>
        <v>0</v>
      </c>
      <c r="M335" s="273">
        <f t="shared" si="85"/>
        <v>0</v>
      </c>
      <c r="N335" s="273">
        <f t="shared" si="85"/>
        <v>0</v>
      </c>
      <c r="O335" s="273">
        <f t="shared" si="85"/>
        <v>0</v>
      </c>
      <c r="P335" s="273">
        <f t="shared" si="85"/>
        <v>0</v>
      </c>
      <c r="Q335" s="273">
        <f t="shared" si="85"/>
        <v>0</v>
      </c>
      <c r="R335" s="273">
        <f t="shared" si="85"/>
        <v>0</v>
      </c>
      <c r="S335" s="273">
        <f t="shared" si="85"/>
        <v>0</v>
      </c>
      <c r="T335" s="273">
        <f t="shared" si="85"/>
        <v>0</v>
      </c>
      <c r="U335" s="271"/>
      <c r="V335" s="269"/>
      <c r="W335" s="84"/>
      <c r="X335" s="82"/>
      <c r="Y335" s="82"/>
      <c r="Z335" s="13"/>
      <c r="AA335" s="13"/>
    </row>
    <row r="336" spans="1:27" ht="15" customHeight="1" x14ac:dyDescent="0.3">
      <c r="A336" s="255" t="s">
        <v>1504</v>
      </c>
      <c r="B336" s="20"/>
      <c r="C336" s="273"/>
      <c r="D336" s="273"/>
      <c r="E336" s="273"/>
      <c r="F336" s="273"/>
      <c r="G336" s="273"/>
      <c r="H336" s="273"/>
      <c r="I336" s="273"/>
      <c r="J336" s="273"/>
      <c r="K336" s="273"/>
      <c r="L336" s="273"/>
      <c r="M336" s="273"/>
      <c r="N336" s="273"/>
      <c r="O336" s="273"/>
      <c r="P336" s="273"/>
      <c r="Q336" s="273"/>
      <c r="R336" s="273"/>
      <c r="S336" s="273"/>
      <c r="T336" s="273"/>
      <c r="U336" s="271"/>
      <c r="V336" s="269"/>
      <c r="W336" s="84"/>
      <c r="X336" s="82"/>
      <c r="Y336" s="82"/>
      <c r="Z336" s="13"/>
      <c r="AA336" s="13"/>
    </row>
    <row r="337" spans="1:31" x14ac:dyDescent="0.3">
      <c r="A337" s="250">
        <f>A334+1</f>
        <v>244</v>
      </c>
      <c r="B337" s="20" t="s">
        <v>1509</v>
      </c>
      <c r="C337" s="273">
        <f t="shared" ref="C337" si="86">D337+K337+M337+O337+P337+R337+S337+T337</f>
        <v>4520826</v>
      </c>
      <c r="D337" s="273"/>
      <c r="E337" s="273"/>
      <c r="F337" s="273"/>
      <c r="G337" s="273"/>
      <c r="H337" s="273"/>
      <c r="I337" s="273"/>
      <c r="J337" s="273">
        <v>1203.5</v>
      </c>
      <c r="K337" s="273">
        <v>4520826</v>
      </c>
      <c r="L337" s="273"/>
      <c r="M337" s="273"/>
      <c r="N337" s="273"/>
      <c r="O337" s="273"/>
      <c r="P337" s="273"/>
      <c r="Q337" s="273"/>
      <c r="R337" s="273"/>
      <c r="S337" s="273"/>
      <c r="T337" s="273"/>
      <c r="U337" s="271"/>
      <c r="V337" s="269"/>
      <c r="W337" s="7"/>
      <c r="X337" s="13"/>
      <c r="Y337" s="13"/>
      <c r="Z337" s="13"/>
      <c r="AA337" s="13"/>
    </row>
    <row r="338" spans="1:31" x14ac:dyDescent="0.3">
      <c r="A338" s="250"/>
      <c r="B338" s="20" t="s">
        <v>208</v>
      </c>
      <c r="C338" s="273">
        <f t="shared" ref="C338:T338" si="87">SUM(C337:C337)</f>
        <v>4520826</v>
      </c>
      <c r="D338" s="273">
        <f t="shared" si="87"/>
        <v>0</v>
      </c>
      <c r="E338" s="273">
        <f t="shared" si="87"/>
        <v>0</v>
      </c>
      <c r="F338" s="273">
        <f t="shared" si="87"/>
        <v>0</v>
      </c>
      <c r="G338" s="273">
        <f t="shared" si="87"/>
        <v>0</v>
      </c>
      <c r="H338" s="273">
        <f t="shared" si="87"/>
        <v>0</v>
      </c>
      <c r="I338" s="273">
        <f t="shared" si="87"/>
        <v>0</v>
      </c>
      <c r="J338" s="273">
        <f t="shared" si="87"/>
        <v>1203.5</v>
      </c>
      <c r="K338" s="273">
        <f t="shared" si="87"/>
        <v>4520826</v>
      </c>
      <c r="L338" s="273">
        <f t="shared" si="87"/>
        <v>0</v>
      </c>
      <c r="M338" s="273">
        <f t="shared" si="87"/>
        <v>0</v>
      </c>
      <c r="N338" s="273">
        <f t="shared" si="87"/>
        <v>0</v>
      </c>
      <c r="O338" s="273">
        <f t="shared" si="87"/>
        <v>0</v>
      </c>
      <c r="P338" s="273">
        <f t="shared" si="87"/>
        <v>0</v>
      </c>
      <c r="Q338" s="273">
        <f t="shared" si="87"/>
        <v>0</v>
      </c>
      <c r="R338" s="273">
        <f t="shared" si="87"/>
        <v>0</v>
      </c>
      <c r="S338" s="273">
        <f t="shared" si="87"/>
        <v>0</v>
      </c>
      <c r="T338" s="273">
        <f t="shared" si="87"/>
        <v>0</v>
      </c>
      <c r="U338" s="271"/>
      <c r="V338" s="269"/>
      <c r="W338" s="7"/>
      <c r="X338" s="13"/>
      <c r="Y338" s="13"/>
      <c r="Z338" s="13"/>
      <c r="AA338" s="13"/>
    </row>
    <row r="339" spans="1:31" ht="15" customHeight="1" x14ac:dyDescent="0.3">
      <c r="A339" s="255" t="s">
        <v>1519</v>
      </c>
      <c r="B339" s="20"/>
      <c r="C339" s="273"/>
      <c r="D339" s="273"/>
      <c r="E339" s="273"/>
      <c r="F339" s="273"/>
      <c r="G339" s="273"/>
      <c r="H339" s="273"/>
      <c r="I339" s="273"/>
      <c r="J339" s="273"/>
      <c r="K339" s="273"/>
      <c r="L339" s="273"/>
      <c r="M339" s="273"/>
      <c r="N339" s="273"/>
      <c r="O339" s="273"/>
      <c r="P339" s="273"/>
      <c r="Q339" s="273"/>
      <c r="R339" s="273"/>
      <c r="S339" s="273"/>
      <c r="T339" s="273"/>
      <c r="U339" s="271"/>
      <c r="V339" s="269"/>
      <c r="W339" s="84"/>
      <c r="X339" s="82"/>
      <c r="Y339" s="82"/>
      <c r="Z339" s="13"/>
      <c r="AA339" s="13"/>
    </row>
    <row r="340" spans="1:31" x14ac:dyDescent="0.3">
      <c r="A340" s="250">
        <f>A337+1</f>
        <v>245</v>
      </c>
      <c r="B340" s="20" t="s">
        <v>1520</v>
      </c>
      <c r="C340" s="273">
        <f t="shared" ref="C340" si="88">D340+K340+M340+O340+P340+R340+S340+T340</f>
        <v>549309.9</v>
      </c>
      <c r="D340" s="273"/>
      <c r="E340" s="273"/>
      <c r="F340" s="273"/>
      <c r="G340" s="273"/>
      <c r="H340" s="273"/>
      <c r="I340" s="273"/>
      <c r="J340" s="273"/>
      <c r="K340" s="273"/>
      <c r="L340" s="273"/>
      <c r="M340" s="273"/>
      <c r="N340" s="273"/>
      <c r="O340" s="273"/>
      <c r="P340" s="273"/>
      <c r="Q340" s="273">
        <v>63</v>
      </c>
      <c r="R340" s="273">
        <v>549309.9</v>
      </c>
      <c r="S340" s="273"/>
      <c r="T340" s="273"/>
      <c r="U340" s="95"/>
      <c r="V340" s="269"/>
      <c r="W340" s="84"/>
      <c r="X340" s="82"/>
      <c r="Y340" s="82"/>
      <c r="Z340" s="13"/>
      <c r="AA340" s="13"/>
    </row>
    <row r="341" spans="1:31" x14ac:dyDescent="0.3">
      <c r="A341" s="250"/>
      <c r="B341" s="20" t="s">
        <v>208</v>
      </c>
      <c r="C341" s="273">
        <f t="shared" ref="C341:T341" si="89">SUM(C340:C340)</f>
        <v>549309.9</v>
      </c>
      <c r="D341" s="273">
        <f t="shared" si="89"/>
        <v>0</v>
      </c>
      <c r="E341" s="273">
        <f t="shared" si="89"/>
        <v>0</v>
      </c>
      <c r="F341" s="273">
        <f t="shared" si="89"/>
        <v>0</v>
      </c>
      <c r="G341" s="273">
        <f t="shared" si="89"/>
        <v>0</v>
      </c>
      <c r="H341" s="273">
        <f t="shared" si="89"/>
        <v>0</v>
      </c>
      <c r="I341" s="273">
        <f t="shared" si="89"/>
        <v>0</v>
      </c>
      <c r="J341" s="273">
        <f t="shared" si="89"/>
        <v>0</v>
      </c>
      <c r="K341" s="273">
        <f t="shared" si="89"/>
        <v>0</v>
      </c>
      <c r="L341" s="273">
        <f t="shared" si="89"/>
        <v>0</v>
      </c>
      <c r="M341" s="273">
        <f t="shared" si="89"/>
        <v>0</v>
      </c>
      <c r="N341" s="273">
        <f t="shared" si="89"/>
        <v>0</v>
      </c>
      <c r="O341" s="273">
        <f t="shared" si="89"/>
        <v>0</v>
      </c>
      <c r="P341" s="273">
        <f t="shared" si="89"/>
        <v>0</v>
      </c>
      <c r="Q341" s="273">
        <f t="shared" si="89"/>
        <v>63</v>
      </c>
      <c r="R341" s="273">
        <f t="shared" si="89"/>
        <v>549309.9</v>
      </c>
      <c r="S341" s="273">
        <f t="shared" si="89"/>
        <v>0</v>
      </c>
      <c r="T341" s="273">
        <f t="shared" si="89"/>
        <v>0</v>
      </c>
      <c r="U341" s="271"/>
      <c r="V341" s="269"/>
      <c r="W341" s="84"/>
      <c r="X341" s="82"/>
      <c r="Y341" s="82"/>
      <c r="Z341" s="13"/>
      <c r="AA341" s="13"/>
    </row>
    <row r="342" spans="1:31" x14ac:dyDescent="0.3">
      <c r="A342" s="317" t="s">
        <v>1540</v>
      </c>
      <c r="B342" s="318"/>
      <c r="C342" s="251">
        <f t="shared" ref="C342:T342" si="90">C341+C338+C335+C328+C269+C272+C265</f>
        <v>147888670.81999999</v>
      </c>
      <c r="D342" s="251">
        <f t="shared" si="90"/>
        <v>138117012.02000001</v>
      </c>
      <c r="E342" s="251">
        <f t="shared" si="90"/>
        <v>67305020.480000019</v>
      </c>
      <c r="F342" s="251">
        <f t="shared" si="90"/>
        <v>54467273.830000006</v>
      </c>
      <c r="G342" s="251">
        <f t="shared" si="90"/>
        <v>5548853.5</v>
      </c>
      <c r="H342" s="251">
        <f t="shared" si="90"/>
        <v>300250.8</v>
      </c>
      <c r="I342" s="251">
        <f t="shared" si="90"/>
        <v>10495613.41</v>
      </c>
      <c r="J342" s="251">
        <f t="shared" si="90"/>
        <v>1843.5</v>
      </c>
      <c r="K342" s="251">
        <f t="shared" si="90"/>
        <v>8252967.5999999996</v>
      </c>
      <c r="L342" s="251">
        <f t="shared" si="90"/>
        <v>0</v>
      </c>
      <c r="M342" s="251">
        <f t="shared" si="90"/>
        <v>0</v>
      </c>
      <c r="N342" s="251">
        <f t="shared" si="90"/>
        <v>0</v>
      </c>
      <c r="O342" s="251">
        <f t="shared" si="90"/>
        <v>0</v>
      </c>
      <c r="P342" s="251">
        <f t="shared" si="90"/>
        <v>0</v>
      </c>
      <c r="Q342" s="251">
        <f t="shared" si="90"/>
        <v>63</v>
      </c>
      <c r="R342" s="251">
        <f t="shared" si="90"/>
        <v>549309.9</v>
      </c>
      <c r="S342" s="251">
        <f t="shared" si="90"/>
        <v>18694.8</v>
      </c>
      <c r="T342" s="251">
        <f t="shared" si="90"/>
        <v>950686.5</v>
      </c>
      <c r="U342" s="83">
        <f>U341+U338+U335+U328+U269+U272</f>
        <v>0</v>
      </c>
      <c r="V342" s="11">
        <f>V341+V338+V335+V328+V269+V272</f>
        <v>0</v>
      </c>
      <c r="W342" s="11">
        <f>W341+W338+W335+W328+W269+W272</f>
        <v>0</v>
      </c>
      <c r="X342" s="11">
        <f>X341+X338+X335+X328+X269+X272</f>
        <v>0</v>
      </c>
      <c r="Y342" s="11">
        <f>Y341+Y338+Y335+Y328+Y269+Y272</f>
        <v>0</v>
      </c>
      <c r="Z342" s="13"/>
      <c r="AA342" s="13"/>
    </row>
    <row r="343" spans="1:31" ht="15" customHeight="1" x14ac:dyDescent="0.3">
      <c r="A343" s="336" t="s">
        <v>1541</v>
      </c>
      <c r="B343" s="337"/>
      <c r="C343" s="337"/>
      <c r="D343" s="337"/>
      <c r="E343" s="337"/>
      <c r="F343" s="337"/>
      <c r="G343" s="337"/>
      <c r="H343" s="337"/>
      <c r="I343" s="337"/>
      <c r="J343" s="337"/>
      <c r="K343" s="337"/>
      <c r="L343" s="337"/>
      <c r="M343" s="337"/>
      <c r="N343" s="337"/>
      <c r="O343" s="337"/>
      <c r="P343" s="337"/>
      <c r="Q343" s="337"/>
      <c r="R343" s="337"/>
      <c r="S343" s="337"/>
      <c r="T343" s="338"/>
      <c r="U343" s="246"/>
      <c r="V343" s="277"/>
      <c r="W343" s="277"/>
      <c r="X343" s="277"/>
      <c r="Y343" s="277"/>
      <c r="Z343" s="277"/>
      <c r="AA343" s="277"/>
      <c r="AB343" s="16"/>
      <c r="AC343" s="17"/>
      <c r="AD343" s="17"/>
      <c r="AE343" s="17"/>
    </row>
    <row r="344" spans="1:31" ht="15" customHeight="1" x14ac:dyDescent="0.3">
      <c r="A344" s="255" t="s">
        <v>1548</v>
      </c>
      <c r="B344" s="263"/>
      <c r="C344" s="273"/>
      <c r="D344" s="273"/>
      <c r="E344" s="273"/>
      <c r="F344" s="273"/>
      <c r="G344" s="273"/>
      <c r="H344" s="273"/>
      <c r="I344" s="273"/>
      <c r="J344" s="273"/>
      <c r="K344" s="273"/>
      <c r="L344" s="273"/>
      <c r="M344" s="273"/>
      <c r="N344" s="273"/>
      <c r="O344" s="273"/>
      <c r="P344" s="273"/>
      <c r="Q344" s="273"/>
      <c r="R344" s="273"/>
      <c r="S344" s="273"/>
      <c r="T344" s="273"/>
      <c r="U344" s="283"/>
      <c r="V344" s="273"/>
      <c r="W344" s="273"/>
      <c r="X344" s="273"/>
      <c r="Y344" s="273"/>
      <c r="Z344" s="273"/>
      <c r="AA344" s="273"/>
      <c r="AB344" s="16"/>
      <c r="AC344" s="17"/>
      <c r="AD344" s="17"/>
      <c r="AE344" s="17"/>
    </row>
    <row r="345" spans="1:31" x14ac:dyDescent="0.3">
      <c r="A345" s="250">
        <f>A340+1</f>
        <v>246</v>
      </c>
      <c r="B345" s="20" t="s">
        <v>1564</v>
      </c>
      <c r="C345" s="273">
        <f t="shared" ref="C345" si="91">D345+K345+M345+O345+P345+R345+S345+T345</f>
        <v>1551798.2</v>
      </c>
      <c r="D345" s="273"/>
      <c r="E345" s="273"/>
      <c r="F345" s="273"/>
      <c r="G345" s="273"/>
      <c r="H345" s="273"/>
      <c r="I345" s="273"/>
      <c r="J345" s="273"/>
      <c r="K345" s="273"/>
      <c r="L345" s="273"/>
      <c r="M345" s="273"/>
      <c r="N345" s="273"/>
      <c r="O345" s="273"/>
      <c r="P345" s="273"/>
      <c r="Q345" s="273"/>
      <c r="R345" s="273"/>
      <c r="S345" s="273"/>
      <c r="T345" s="273">
        <f>SUM(U345:AC345)</f>
        <v>1551798.2</v>
      </c>
      <c r="U345" s="283"/>
      <c r="V345" s="273"/>
      <c r="W345" s="273"/>
      <c r="X345" s="273"/>
      <c r="Y345" s="273"/>
      <c r="Z345" s="273"/>
      <c r="AA345" s="273">
        <v>414431.29</v>
      </c>
      <c r="AB345" s="16">
        <v>136100.09</v>
      </c>
      <c r="AC345" s="17">
        <v>1001266.82</v>
      </c>
      <c r="AD345" s="17"/>
      <c r="AE345" s="17"/>
    </row>
    <row r="346" spans="1:31" x14ac:dyDescent="0.3">
      <c r="A346" s="250"/>
      <c r="B346" s="20" t="s">
        <v>208</v>
      </c>
      <c r="C346" s="273">
        <f t="shared" ref="C346:T346" si="92">SUM(C345:C345)</f>
        <v>1551798.2</v>
      </c>
      <c r="D346" s="273">
        <f t="shared" si="92"/>
        <v>0</v>
      </c>
      <c r="E346" s="273">
        <f t="shared" si="92"/>
        <v>0</v>
      </c>
      <c r="F346" s="273">
        <f t="shared" si="92"/>
        <v>0</v>
      </c>
      <c r="G346" s="273">
        <f t="shared" si="92"/>
        <v>0</v>
      </c>
      <c r="H346" s="273">
        <f t="shared" si="92"/>
        <v>0</v>
      </c>
      <c r="I346" s="273">
        <f t="shared" si="92"/>
        <v>0</v>
      </c>
      <c r="J346" s="273">
        <f t="shared" si="92"/>
        <v>0</v>
      </c>
      <c r="K346" s="273">
        <f t="shared" si="92"/>
        <v>0</v>
      </c>
      <c r="L346" s="273">
        <f t="shared" si="92"/>
        <v>0</v>
      </c>
      <c r="M346" s="273">
        <f t="shared" si="92"/>
        <v>0</v>
      </c>
      <c r="N346" s="273">
        <f t="shared" si="92"/>
        <v>0</v>
      </c>
      <c r="O346" s="273">
        <f t="shared" si="92"/>
        <v>0</v>
      </c>
      <c r="P346" s="273">
        <f t="shared" si="92"/>
        <v>0</v>
      </c>
      <c r="Q346" s="273">
        <f t="shared" si="92"/>
        <v>0</v>
      </c>
      <c r="R346" s="273">
        <f t="shared" si="92"/>
        <v>0</v>
      </c>
      <c r="S346" s="273">
        <f t="shared" si="92"/>
        <v>0</v>
      </c>
      <c r="T346" s="273">
        <f t="shared" si="92"/>
        <v>1551798.2</v>
      </c>
      <c r="U346" s="283"/>
      <c r="V346" s="273"/>
      <c r="W346" s="273"/>
      <c r="X346" s="273"/>
      <c r="Y346" s="273"/>
      <c r="Z346" s="273"/>
      <c r="AA346" s="273"/>
      <c r="AB346" s="16"/>
      <c r="AC346" s="17"/>
      <c r="AD346" s="17"/>
      <c r="AE346" s="17"/>
    </row>
    <row r="347" spans="1:31" ht="15" customHeight="1" x14ac:dyDescent="0.3">
      <c r="A347" s="255" t="s">
        <v>1579</v>
      </c>
      <c r="B347" s="20"/>
      <c r="C347" s="273"/>
      <c r="D347" s="273"/>
      <c r="E347" s="273"/>
      <c r="F347" s="273"/>
      <c r="G347" s="273"/>
      <c r="H347" s="273"/>
      <c r="I347" s="273"/>
      <c r="J347" s="273"/>
      <c r="K347" s="273"/>
      <c r="L347" s="273"/>
      <c r="M347" s="273"/>
      <c r="N347" s="273"/>
      <c r="O347" s="273"/>
      <c r="P347" s="273"/>
      <c r="Q347" s="273"/>
      <c r="R347" s="273"/>
      <c r="S347" s="273"/>
      <c r="T347" s="273"/>
      <c r="U347" s="283"/>
      <c r="V347" s="273"/>
      <c r="W347" s="273"/>
      <c r="X347" s="273"/>
      <c r="Y347" s="273"/>
      <c r="Z347" s="273"/>
      <c r="AA347" s="273"/>
      <c r="AB347" s="16"/>
      <c r="AC347" s="17"/>
      <c r="AD347" s="17"/>
      <c r="AE347" s="17"/>
    </row>
    <row r="348" spans="1:31" x14ac:dyDescent="0.3">
      <c r="A348" s="250">
        <f>A345+1</f>
        <v>247</v>
      </c>
      <c r="B348" s="20" t="s">
        <v>1580</v>
      </c>
      <c r="C348" s="273">
        <f t="shared" ref="C348" si="93">D348+K348+M348+O348+P348+R348+S348+T348</f>
        <v>2308136.4</v>
      </c>
      <c r="D348" s="273"/>
      <c r="E348" s="273"/>
      <c r="F348" s="273"/>
      <c r="G348" s="273"/>
      <c r="H348" s="273"/>
      <c r="I348" s="273"/>
      <c r="J348" s="273">
        <v>252.8</v>
      </c>
      <c r="K348" s="273">
        <v>2308136.4</v>
      </c>
      <c r="L348" s="273"/>
      <c r="M348" s="273"/>
      <c r="N348" s="273"/>
      <c r="O348" s="273"/>
      <c r="P348" s="273"/>
      <c r="Q348" s="273"/>
      <c r="R348" s="273"/>
      <c r="S348" s="273"/>
      <c r="T348" s="273"/>
      <c r="U348" s="283"/>
      <c r="V348" s="273"/>
      <c r="W348" s="273"/>
      <c r="X348" s="273"/>
      <c r="Y348" s="273"/>
      <c r="Z348" s="273"/>
      <c r="AA348" s="273"/>
      <c r="AB348" s="16"/>
      <c r="AC348" s="17"/>
      <c r="AD348" s="17"/>
      <c r="AE348" s="17"/>
    </row>
    <row r="349" spans="1:31" x14ac:dyDescent="0.3">
      <c r="A349" s="250"/>
      <c r="B349" s="20" t="s">
        <v>208</v>
      </c>
      <c r="C349" s="273">
        <f t="shared" ref="C349:T349" si="94">SUM(C348:C348)</f>
        <v>2308136.4</v>
      </c>
      <c r="D349" s="273">
        <f t="shared" si="94"/>
        <v>0</v>
      </c>
      <c r="E349" s="273">
        <f t="shared" si="94"/>
        <v>0</v>
      </c>
      <c r="F349" s="273">
        <f t="shared" si="94"/>
        <v>0</v>
      </c>
      <c r="G349" s="273">
        <f t="shared" si="94"/>
        <v>0</v>
      </c>
      <c r="H349" s="273">
        <f t="shared" si="94"/>
        <v>0</v>
      </c>
      <c r="I349" s="273">
        <f t="shared" si="94"/>
        <v>0</v>
      </c>
      <c r="J349" s="273">
        <f t="shared" si="94"/>
        <v>252.8</v>
      </c>
      <c r="K349" s="273">
        <f t="shared" si="94"/>
        <v>2308136.4</v>
      </c>
      <c r="L349" s="273">
        <f t="shared" si="94"/>
        <v>0</v>
      </c>
      <c r="M349" s="273">
        <f t="shared" si="94"/>
        <v>0</v>
      </c>
      <c r="N349" s="273">
        <f t="shared" si="94"/>
        <v>0</v>
      </c>
      <c r="O349" s="273">
        <f t="shared" si="94"/>
        <v>0</v>
      </c>
      <c r="P349" s="273">
        <f t="shared" si="94"/>
        <v>0</v>
      </c>
      <c r="Q349" s="273">
        <f t="shared" si="94"/>
        <v>0</v>
      </c>
      <c r="R349" s="273">
        <f t="shared" si="94"/>
        <v>0</v>
      </c>
      <c r="S349" s="273">
        <f t="shared" si="94"/>
        <v>0</v>
      </c>
      <c r="T349" s="273">
        <f t="shared" si="94"/>
        <v>0</v>
      </c>
      <c r="U349" s="283"/>
      <c r="V349" s="273"/>
      <c r="W349" s="273"/>
      <c r="X349" s="273"/>
      <c r="Y349" s="273"/>
      <c r="Z349" s="273"/>
      <c r="AA349" s="273"/>
      <c r="AB349" s="16"/>
      <c r="AC349" s="17"/>
      <c r="AD349" s="17"/>
      <c r="AE349" s="17"/>
    </row>
    <row r="350" spans="1:31" ht="15" customHeight="1" x14ac:dyDescent="0.3">
      <c r="A350" s="255" t="s">
        <v>1581</v>
      </c>
      <c r="B350" s="20"/>
      <c r="C350" s="273"/>
      <c r="D350" s="273"/>
      <c r="E350" s="273"/>
      <c r="F350" s="273"/>
      <c r="G350" s="273"/>
      <c r="H350" s="273"/>
      <c r="I350" s="273"/>
      <c r="J350" s="273"/>
      <c r="K350" s="273"/>
      <c r="L350" s="273"/>
      <c r="M350" s="273"/>
      <c r="N350" s="273"/>
      <c r="O350" s="273"/>
      <c r="P350" s="273"/>
      <c r="Q350" s="273"/>
      <c r="R350" s="273"/>
      <c r="S350" s="273"/>
      <c r="T350" s="273"/>
      <c r="U350" s="283"/>
      <c r="V350" s="273"/>
      <c r="W350" s="273"/>
      <c r="X350" s="273"/>
      <c r="Y350" s="273"/>
      <c r="Z350" s="273"/>
      <c r="AA350" s="273"/>
      <c r="AB350" s="16"/>
      <c r="AC350" s="17"/>
      <c r="AD350" s="17"/>
      <c r="AE350" s="17"/>
    </row>
    <row r="351" spans="1:31" x14ac:dyDescent="0.3">
      <c r="A351" s="250">
        <f>A348+1</f>
        <v>248</v>
      </c>
      <c r="B351" s="20" t="s">
        <v>1582</v>
      </c>
      <c r="C351" s="273">
        <f t="shared" ref="C351:C353" si="95">D351+K351+M351+O351+P351+R351+S351+T351</f>
        <v>5155173.5999999996</v>
      </c>
      <c r="D351" s="273"/>
      <c r="E351" s="273"/>
      <c r="F351" s="273"/>
      <c r="G351" s="273"/>
      <c r="H351" s="273"/>
      <c r="I351" s="273"/>
      <c r="J351" s="273"/>
      <c r="K351" s="273"/>
      <c r="L351" s="273">
        <v>323.10000000000002</v>
      </c>
      <c r="M351" s="273">
        <v>5155173.5999999996</v>
      </c>
      <c r="N351" s="273"/>
      <c r="O351" s="273"/>
      <c r="P351" s="273"/>
      <c r="Q351" s="273"/>
      <c r="R351" s="273"/>
      <c r="S351" s="273"/>
      <c r="T351" s="273"/>
      <c r="U351" s="283"/>
      <c r="V351" s="273"/>
      <c r="W351" s="273"/>
      <c r="X351" s="273"/>
      <c r="Y351" s="273"/>
      <c r="Z351" s="273"/>
      <c r="AA351" s="273"/>
      <c r="AB351" s="16"/>
      <c r="AC351" s="17"/>
      <c r="AD351" s="17"/>
      <c r="AE351" s="17"/>
    </row>
    <row r="352" spans="1:31" x14ac:dyDescent="0.3">
      <c r="A352" s="250">
        <f>A351+1</f>
        <v>249</v>
      </c>
      <c r="B352" s="20" t="s">
        <v>1584</v>
      </c>
      <c r="C352" s="273">
        <f t="shared" si="95"/>
        <v>7468524</v>
      </c>
      <c r="D352" s="273"/>
      <c r="E352" s="273"/>
      <c r="F352" s="273"/>
      <c r="G352" s="273"/>
      <c r="H352" s="273"/>
      <c r="I352" s="273"/>
      <c r="J352" s="273"/>
      <c r="K352" s="273"/>
      <c r="L352" s="273">
        <v>488</v>
      </c>
      <c r="M352" s="273">
        <v>7468524</v>
      </c>
      <c r="N352" s="273"/>
      <c r="O352" s="273"/>
      <c r="P352" s="273"/>
      <c r="Q352" s="273"/>
      <c r="R352" s="273"/>
      <c r="S352" s="273"/>
      <c r="T352" s="273"/>
      <c r="U352" s="283"/>
      <c r="V352" s="273"/>
      <c r="W352" s="273"/>
      <c r="X352" s="273"/>
      <c r="Y352" s="273"/>
      <c r="Z352" s="273"/>
      <c r="AA352" s="273"/>
      <c r="AB352" s="16"/>
      <c r="AC352" s="17"/>
      <c r="AD352" s="17"/>
      <c r="AE352" s="17"/>
    </row>
    <row r="353" spans="1:34" x14ac:dyDescent="0.3">
      <c r="A353" s="250">
        <f>A352+1</f>
        <v>250</v>
      </c>
      <c r="B353" s="20" t="s">
        <v>1585</v>
      </c>
      <c r="C353" s="273">
        <f t="shared" si="95"/>
        <v>4733592.34</v>
      </c>
      <c r="D353" s="273"/>
      <c r="E353" s="273"/>
      <c r="F353" s="273"/>
      <c r="G353" s="273"/>
      <c r="H353" s="273"/>
      <c r="I353" s="273"/>
      <c r="J353" s="273"/>
      <c r="K353" s="273"/>
      <c r="L353" s="273">
        <v>351.22</v>
      </c>
      <c r="M353" s="273">
        <v>4733592.34</v>
      </c>
      <c r="N353" s="273"/>
      <c r="O353" s="273"/>
      <c r="P353" s="273"/>
      <c r="Q353" s="273"/>
      <c r="R353" s="273"/>
      <c r="S353" s="273"/>
      <c r="T353" s="273"/>
      <c r="U353" s="283"/>
      <c r="V353" s="273"/>
      <c r="W353" s="273"/>
      <c r="X353" s="273"/>
      <c r="Y353" s="273"/>
      <c r="Z353" s="273"/>
      <c r="AA353" s="273"/>
      <c r="AB353" s="16"/>
      <c r="AC353" s="17"/>
      <c r="AD353" s="17"/>
      <c r="AE353" s="17"/>
    </row>
    <row r="354" spans="1:34" x14ac:dyDescent="0.3">
      <c r="A354" s="250"/>
      <c r="B354" s="20" t="s">
        <v>208</v>
      </c>
      <c r="C354" s="273">
        <f t="shared" ref="C354:T354" si="96">SUM(C351:C353)</f>
        <v>17357289.939999998</v>
      </c>
      <c r="D354" s="273">
        <f t="shared" si="96"/>
        <v>0</v>
      </c>
      <c r="E354" s="273">
        <f t="shared" si="96"/>
        <v>0</v>
      </c>
      <c r="F354" s="273">
        <f t="shared" si="96"/>
        <v>0</v>
      </c>
      <c r="G354" s="273">
        <f t="shared" si="96"/>
        <v>0</v>
      </c>
      <c r="H354" s="273">
        <f t="shared" si="96"/>
        <v>0</v>
      </c>
      <c r="I354" s="273">
        <f t="shared" si="96"/>
        <v>0</v>
      </c>
      <c r="J354" s="273">
        <f t="shared" si="96"/>
        <v>0</v>
      </c>
      <c r="K354" s="273">
        <f t="shared" si="96"/>
        <v>0</v>
      </c>
      <c r="L354" s="273">
        <f t="shared" si="96"/>
        <v>1162.3200000000002</v>
      </c>
      <c r="M354" s="273">
        <f t="shared" si="96"/>
        <v>17357289.939999998</v>
      </c>
      <c r="N354" s="273">
        <f t="shared" si="96"/>
        <v>0</v>
      </c>
      <c r="O354" s="273">
        <f t="shared" si="96"/>
        <v>0</v>
      </c>
      <c r="P354" s="273">
        <f t="shared" si="96"/>
        <v>0</v>
      </c>
      <c r="Q354" s="273">
        <f t="shared" si="96"/>
        <v>0</v>
      </c>
      <c r="R354" s="273">
        <f t="shared" si="96"/>
        <v>0</v>
      </c>
      <c r="S354" s="273">
        <f t="shared" si="96"/>
        <v>0</v>
      </c>
      <c r="T354" s="273">
        <f t="shared" si="96"/>
        <v>0</v>
      </c>
      <c r="U354" s="269"/>
      <c r="V354" s="269"/>
      <c r="W354" s="269"/>
      <c r="X354" s="269"/>
      <c r="Y354" s="269"/>
      <c r="Z354" s="269"/>
      <c r="AA354" s="269"/>
      <c r="AB354" s="84"/>
      <c r="AC354" s="82"/>
      <c r="AD354" s="82"/>
      <c r="AE354" s="82"/>
    </row>
    <row r="355" spans="1:34" x14ac:dyDescent="0.3">
      <c r="A355" s="319" t="s">
        <v>1589</v>
      </c>
      <c r="B355" s="320"/>
      <c r="C355" s="251">
        <f t="shared" ref="C355:T355" si="97">C354+C346+C349</f>
        <v>21217224.539999995</v>
      </c>
      <c r="D355" s="251">
        <f t="shared" si="97"/>
        <v>0</v>
      </c>
      <c r="E355" s="251">
        <f t="shared" si="97"/>
        <v>0</v>
      </c>
      <c r="F355" s="251">
        <f t="shared" si="97"/>
        <v>0</v>
      </c>
      <c r="G355" s="251">
        <f t="shared" si="97"/>
        <v>0</v>
      </c>
      <c r="H355" s="251">
        <f t="shared" si="97"/>
        <v>0</v>
      </c>
      <c r="I355" s="251">
        <f t="shared" si="97"/>
        <v>0</v>
      </c>
      <c r="J355" s="251">
        <f t="shared" si="97"/>
        <v>252.8</v>
      </c>
      <c r="K355" s="251">
        <f t="shared" si="97"/>
        <v>2308136.4</v>
      </c>
      <c r="L355" s="251">
        <f t="shared" si="97"/>
        <v>1162.3200000000002</v>
      </c>
      <c r="M355" s="251">
        <f t="shared" si="97"/>
        <v>17357289.939999998</v>
      </c>
      <c r="N355" s="251">
        <f t="shared" si="97"/>
        <v>0</v>
      </c>
      <c r="O355" s="251">
        <f t="shared" si="97"/>
        <v>0</v>
      </c>
      <c r="P355" s="251">
        <f t="shared" si="97"/>
        <v>0</v>
      </c>
      <c r="Q355" s="251">
        <f t="shared" si="97"/>
        <v>0</v>
      </c>
      <c r="R355" s="251">
        <f t="shared" si="97"/>
        <v>0</v>
      </c>
      <c r="S355" s="251">
        <f t="shared" si="97"/>
        <v>0</v>
      </c>
      <c r="T355" s="251">
        <f t="shared" si="97"/>
        <v>1551798.2</v>
      </c>
      <c r="U355" s="269"/>
      <c r="V355" s="269"/>
      <c r="W355" s="269"/>
      <c r="X355" s="269"/>
      <c r="Y355" s="269"/>
      <c r="Z355" s="269"/>
      <c r="AA355" s="269"/>
      <c r="AB355" s="84"/>
      <c r="AC355" s="82"/>
      <c r="AD355" s="82"/>
      <c r="AE355" s="82"/>
    </row>
    <row r="356" spans="1:34" ht="15" customHeight="1" x14ac:dyDescent="0.3">
      <c r="A356" s="336" t="s">
        <v>1590</v>
      </c>
      <c r="B356" s="337"/>
      <c r="C356" s="337"/>
      <c r="D356" s="337"/>
      <c r="E356" s="337"/>
      <c r="F356" s="337"/>
      <c r="G356" s="337"/>
      <c r="H356" s="337"/>
      <c r="I356" s="337"/>
      <c r="J356" s="337"/>
      <c r="K356" s="337"/>
      <c r="L356" s="337"/>
      <c r="M356" s="337"/>
      <c r="N356" s="337"/>
      <c r="O356" s="337"/>
      <c r="P356" s="337"/>
      <c r="Q356" s="337"/>
      <c r="R356" s="337"/>
      <c r="S356" s="337"/>
      <c r="T356" s="338"/>
      <c r="U356" s="283"/>
      <c r="V356" s="273"/>
      <c r="W356" s="273"/>
      <c r="X356" s="273"/>
      <c r="Y356" s="273"/>
      <c r="Z356" s="273"/>
      <c r="AA356" s="273"/>
      <c r="AB356" s="273"/>
      <c r="AC356" s="14"/>
      <c r="AD356" s="15"/>
      <c r="AE356" s="15"/>
      <c r="AF356" s="15"/>
      <c r="AG356" s="15"/>
      <c r="AH356" s="13"/>
    </row>
    <row r="357" spans="1:34" ht="15" customHeight="1" x14ac:dyDescent="0.3">
      <c r="A357" s="327" t="s">
        <v>1597</v>
      </c>
      <c r="B357" s="328"/>
      <c r="C357" s="273"/>
      <c r="D357" s="273"/>
      <c r="E357" s="273"/>
      <c r="F357" s="273"/>
      <c r="G357" s="273"/>
      <c r="H357" s="273"/>
      <c r="I357" s="273"/>
      <c r="J357" s="273"/>
      <c r="K357" s="273"/>
      <c r="L357" s="273"/>
      <c r="M357" s="273"/>
      <c r="N357" s="273"/>
      <c r="O357" s="273"/>
      <c r="P357" s="273"/>
      <c r="Q357" s="273"/>
      <c r="R357" s="273"/>
      <c r="S357" s="273"/>
      <c r="T357" s="273"/>
      <c r="U357" s="283"/>
      <c r="V357" s="273"/>
      <c r="W357" s="273"/>
      <c r="X357" s="273"/>
      <c r="Y357" s="273"/>
      <c r="Z357" s="273"/>
      <c r="AA357" s="273"/>
      <c r="AB357" s="273"/>
      <c r="AC357" s="14"/>
      <c r="AD357" s="15"/>
      <c r="AE357" s="15"/>
      <c r="AF357" s="15"/>
      <c r="AG357" s="15"/>
      <c r="AH357" s="13"/>
    </row>
    <row r="358" spans="1:34" x14ac:dyDescent="0.3">
      <c r="A358" s="250">
        <f>A353+1</f>
        <v>251</v>
      </c>
      <c r="B358" s="20" t="s">
        <v>1602</v>
      </c>
      <c r="C358" s="273">
        <f t="shared" ref="C358" si="98">D358+K358+M358+O358+P358+R358+S358+T358</f>
        <v>10972851.6</v>
      </c>
      <c r="D358" s="273"/>
      <c r="E358" s="273"/>
      <c r="F358" s="273"/>
      <c r="G358" s="273"/>
      <c r="H358" s="273"/>
      <c r="I358" s="273"/>
      <c r="J358" s="273"/>
      <c r="K358" s="273"/>
      <c r="L358" s="273"/>
      <c r="M358" s="273">
        <v>10972851.6</v>
      </c>
      <c r="N358" s="273"/>
      <c r="O358" s="273"/>
      <c r="P358" s="273"/>
      <c r="Q358" s="273"/>
      <c r="R358" s="273"/>
      <c r="S358" s="273"/>
      <c r="T358" s="273"/>
      <c r="U358" s="283"/>
      <c r="V358" s="273"/>
      <c r="W358" s="273"/>
      <c r="X358" s="273"/>
      <c r="Y358" s="273"/>
      <c r="Z358" s="273"/>
      <c r="AA358" s="273"/>
      <c r="AB358" s="273"/>
      <c r="AC358" s="14"/>
      <c r="AD358" s="15"/>
      <c r="AE358" s="15"/>
      <c r="AF358" s="15"/>
      <c r="AG358" s="15"/>
      <c r="AH358" s="13"/>
    </row>
    <row r="359" spans="1:34" x14ac:dyDescent="0.3">
      <c r="A359" s="250"/>
      <c r="B359" s="20" t="s">
        <v>208</v>
      </c>
      <c r="C359" s="273">
        <f t="shared" ref="C359:T359" si="99">SUM(C358:C358)</f>
        <v>10972851.6</v>
      </c>
      <c r="D359" s="273">
        <f t="shared" si="99"/>
        <v>0</v>
      </c>
      <c r="E359" s="273">
        <f t="shared" si="99"/>
        <v>0</v>
      </c>
      <c r="F359" s="273">
        <f t="shared" si="99"/>
        <v>0</v>
      </c>
      <c r="G359" s="273">
        <f t="shared" si="99"/>
        <v>0</v>
      </c>
      <c r="H359" s="273">
        <f t="shared" si="99"/>
        <v>0</v>
      </c>
      <c r="I359" s="273">
        <f t="shared" si="99"/>
        <v>0</v>
      </c>
      <c r="J359" s="273">
        <f t="shared" si="99"/>
        <v>0</v>
      </c>
      <c r="K359" s="273">
        <f t="shared" si="99"/>
        <v>0</v>
      </c>
      <c r="L359" s="273">
        <f t="shared" si="99"/>
        <v>0</v>
      </c>
      <c r="M359" s="273">
        <f t="shared" si="99"/>
        <v>10972851.6</v>
      </c>
      <c r="N359" s="273">
        <f t="shared" si="99"/>
        <v>0</v>
      </c>
      <c r="O359" s="273">
        <f t="shared" si="99"/>
        <v>0</v>
      </c>
      <c r="P359" s="273">
        <f t="shared" si="99"/>
        <v>0</v>
      </c>
      <c r="Q359" s="273">
        <f t="shared" si="99"/>
        <v>0</v>
      </c>
      <c r="R359" s="273">
        <f t="shared" si="99"/>
        <v>0</v>
      </c>
      <c r="S359" s="273">
        <f t="shared" si="99"/>
        <v>0</v>
      </c>
      <c r="T359" s="273">
        <f t="shared" si="99"/>
        <v>0</v>
      </c>
      <c r="U359" s="283"/>
      <c r="V359" s="273"/>
      <c r="W359" s="273"/>
      <c r="X359" s="273"/>
      <c r="Y359" s="273"/>
      <c r="Z359" s="273"/>
      <c r="AA359" s="273"/>
      <c r="AB359" s="273"/>
      <c r="AC359" s="14"/>
      <c r="AD359" s="15"/>
      <c r="AE359" s="15"/>
      <c r="AF359" s="15"/>
      <c r="AG359" s="15"/>
      <c r="AH359" s="13"/>
    </row>
    <row r="360" spans="1:34" ht="15" customHeight="1" x14ac:dyDescent="0.3">
      <c r="A360" s="327" t="s">
        <v>1609</v>
      </c>
      <c r="B360" s="328"/>
      <c r="C360" s="273"/>
      <c r="D360" s="273"/>
      <c r="E360" s="273"/>
      <c r="F360" s="273"/>
      <c r="G360" s="273"/>
      <c r="H360" s="273"/>
      <c r="I360" s="273"/>
      <c r="J360" s="273"/>
      <c r="K360" s="273"/>
      <c r="L360" s="273"/>
      <c r="M360" s="273"/>
      <c r="N360" s="273"/>
      <c r="O360" s="273"/>
      <c r="P360" s="273"/>
      <c r="Q360" s="273"/>
      <c r="R360" s="273"/>
      <c r="S360" s="273"/>
      <c r="T360" s="273"/>
      <c r="U360" s="283"/>
      <c r="V360" s="273"/>
      <c r="W360" s="273"/>
      <c r="X360" s="273"/>
      <c r="Y360" s="273"/>
      <c r="Z360" s="273"/>
      <c r="AA360" s="273"/>
      <c r="AB360" s="273"/>
      <c r="AC360" s="14"/>
      <c r="AD360" s="15"/>
      <c r="AE360" s="15"/>
      <c r="AF360" s="15"/>
      <c r="AG360" s="15"/>
      <c r="AH360" s="13"/>
    </row>
    <row r="361" spans="1:34" x14ac:dyDescent="0.3">
      <c r="A361" s="250">
        <f>A358+1</f>
        <v>252</v>
      </c>
      <c r="B361" s="20" t="s">
        <v>1622</v>
      </c>
      <c r="C361" s="273">
        <f t="shared" ref="C361:C371" si="100">D361+K361+M361+O361+P361+R361+S361+T361</f>
        <v>7884596.4000000004</v>
      </c>
      <c r="D361" s="273">
        <f t="shared" ref="D361:D371" si="101">E361+F361+G361+H361+I361</f>
        <v>7884596.4000000004</v>
      </c>
      <c r="E361" s="273"/>
      <c r="F361" s="273">
        <v>6755617.2000000002</v>
      </c>
      <c r="G361" s="273">
        <v>1128979.2</v>
      </c>
      <c r="H361" s="273"/>
      <c r="I361" s="273"/>
      <c r="J361" s="273"/>
      <c r="K361" s="273"/>
      <c r="L361" s="273"/>
      <c r="M361" s="273"/>
      <c r="N361" s="273"/>
      <c r="O361" s="273"/>
      <c r="P361" s="273"/>
      <c r="Q361" s="273"/>
      <c r="R361" s="273"/>
      <c r="S361" s="273"/>
      <c r="T361" s="273"/>
      <c r="U361" s="96"/>
      <c r="V361" s="273"/>
      <c r="W361" s="273"/>
      <c r="X361" s="273"/>
      <c r="Y361" s="273"/>
      <c r="Z361" s="273"/>
      <c r="AA361" s="273"/>
      <c r="AB361" s="273"/>
      <c r="AC361" s="14"/>
      <c r="AD361" s="15"/>
      <c r="AE361" s="15"/>
      <c r="AF361" s="15"/>
      <c r="AG361" s="15"/>
      <c r="AH361" s="13"/>
    </row>
    <row r="362" spans="1:34" x14ac:dyDescent="0.3">
      <c r="A362" s="250">
        <f t="shared" ref="A362:A371" si="102">A361+1</f>
        <v>253</v>
      </c>
      <c r="B362" s="20" t="s">
        <v>1625</v>
      </c>
      <c r="C362" s="273">
        <f t="shared" si="100"/>
        <v>5821392</v>
      </c>
      <c r="D362" s="273">
        <f t="shared" si="101"/>
        <v>5821392</v>
      </c>
      <c r="E362" s="273"/>
      <c r="F362" s="273">
        <v>4172853.6</v>
      </c>
      <c r="G362" s="273">
        <v>709896</v>
      </c>
      <c r="H362" s="273">
        <v>938642.4</v>
      </c>
      <c r="I362" s="273"/>
      <c r="J362" s="273"/>
      <c r="K362" s="273"/>
      <c r="L362" s="273"/>
      <c r="M362" s="273"/>
      <c r="N362" s="273"/>
      <c r="O362" s="273"/>
      <c r="P362" s="273"/>
      <c r="Q362" s="273"/>
      <c r="R362" s="273"/>
      <c r="S362" s="273"/>
      <c r="T362" s="273"/>
      <c r="U362" s="96"/>
      <c r="V362" s="273"/>
      <c r="W362" s="273"/>
      <c r="X362" s="273"/>
      <c r="Y362" s="273"/>
      <c r="Z362" s="273"/>
      <c r="AA362" s="273"/>
      <c r="AB362" s="273"/>
      <c r="AC362" s="14"/>
      <c r="AD362" s="15"/>
      <c r="AE362" s="15"/>
      <c r="AF362" s="15"/>
      <c r="AG362" s="15"/>
      <c r="AH362" s="13"/>
    </row>
    <row r="363" spans="1:34" x14ac:dyDescent="0.3">
      <c r="A363" s="250">
        <f t="shared" si="102"/>
        <v>254</v>
      </c>
      <c r="B363" s="20" t="s">
        <v>1626</v>
      </c>
      <c r="C363" s="273">
        <f t="shared" si="100"/>
        <v>5974731.5999999996</v>
      </c>
      <c r="D363" s="273">
        <f t="shared" si="101"/>
        <v>5974731.5999999996</v>
      </c>
      <c r="E363" s="273"/>
      <c r="F363" s="273">
        <v>5116860</v>
      </c>
      <c r="G363" s="273">
        <v>857871.6</v>
      </c>
      <c r="H363" s="273"/>
      <c r="I363" s="273"/>
      <c r="J363" s="273"/>
      <c r="K363" s="273"/>
      <c r="L363" s="273"/>
      <c r="M363" s="273"/>
      <c r="N363" s="273"/>
      <c r="O363" s="273"/>
      <c r="P363" s="273"/>
      <c r="Q363" s="273"/>
      <c r="R363" s="273"/>
      <c r="S363" s="273"/>
      <c r="T363" s="273"/>
      <c r="U363" s="96"/>
      <c r="V363" s="273"/>
      <c r="W363" s="273"/>
      <c r="X363" s="273"/>
      <c r="Y363" s="273"/>
      <c r="Z363" s="273"/>
      <c r="AA363" s="273"/>
      <c r="AB363" s="273"/>
      <c r="AC363" s="14"/>
      <c r="AD363" s="15"/>
      <c r="AE363" s="15"/>
      <c r="AF363" s="15"/>
      <c r="AG363" s="15"/>
      <c r="AH363" s="13"/>
    </row>
    <row r="364" spans="1:34" x14ac:dyDescent="0.3">
      <c r="A364" s="250">
        <f t="shared" si="102"/>
        <v>255</v>
      </c>
      <c r="B364" s="20" t="s">
        <v>1632</v>
      </c>
      <c r="C364" s="273">
        <f t="shared" si="100"/>
        <v>10776038.399999999</v>
      </c>
      <c r="D364" s="273">
        <f t="shared" si="101"/>
        <v>10776038.399999999</v>
      </c>
      <c r="E364" s="273"/>
      <c r="F364" s="273">
        <f>6127600.8+1723564.8</f>
        <v>7851165.5999999996</v>
      </c>
      <c r="G364" s="273">
        <v>1185091.2</v>
      </c>
      <c r="H364" s="273">
        <v>1739781.6</v>
      </c>
      <c r="I364" s="273"/>
      <c r="J364" s="273"/>
      <c r="K364" s="273"/>
      <c r="L364" s="273"/>
      <c r="M364" s="273"/>
      <c r="N364" s="273"/>
      <c r="O364" s="273"/>
      <c r="P364" s="273"/>
      <c r="Q364" s="273"/>
      <c r="R364" s="273"/>
      <c r="S364" s="273"/>
      <c r="T364" s="273"/>
      <c r="U364" s="96"/>
      <c r="V364" s="273"/>
      <c r="W364" s="273"/>
      <c r="X364" s="273"/>
      <c r="Y364" s="273"/>
      <c r="Z364" s="273"/>
      <c r="AA364" s="273"/>
      <c r="AB364" s="273"/>
      <c r="AC364" s="14"/>
      <c r="AD364" s="15"/>
      <c r="AE364" s="15"/>
      <c r="AF364" s="15"/>
      <c r="AG364" s="15"/>
      <c r="AH364" s="13"/>
    </row>
    <row r="365" spans="1:34" x14ac:dyDescent="0.3">
      <c r="A365" s="250">
        <f t="shared" si="102"/>
        <v>256</v>
      </c>
      <c r="B365" s="20" t="s">
        <v>1633</v>
      </c>
      <c r="C365" s="273">
        <f t="shared" si="100"/>
        <v>13332718.799999999</v>
      </c>
      <c r="D365" s="273">
        <f t="shared" si="101"/>
        <v>13332718.799999999</v>
      </c>
      <c r="E365" s="273"/>
      <c r="F365" s="273">
        <v>11629683.6</v>
      </c>
      <c r="G365" s="273">
        <v>1703035.2</v>
      </c>
      <c r="H365" s="273"/>
      <c r="I365" s="273"/>
      <c r="J365" s="273"/>
      <c r="K365" s="273"/>
      <c r="L365" s="273"/>
      <c r="M365" s="273"/>
      <c r="N365" s="273"/>
      <c r="O365" s="273"/>
      <c r="P365" s="273"/>
      <c r="Q365" s="273"/>
      <c r="R365" s="273"/>
      <c r="S365" s="273"/>
      <c r="T365" s="273"/>
      <c r="U365" s="96"/>
      <c r="V365" s="273"/>
      <c r="W365" s="273"/>
      <c r="X365" s="273"/>
      <c r="Y365" s="273"/>
      <c r="Z365" s="273"/>
      <c r="AA365" s="273"/>
      <c r="AB365" s="273"/>
      <c r="AC365" s="14"/>
      <c r="AD365" s="15"/>
      <c r="AE365" s="15"/>
      <c r="AF365" s="15"/>
      <c r="AG365" s="15"/>
      <c r="AH365" s="13"/>
    </row>
    <row r="366" spans="1:34" x14ac:dyDescent="0.3">
      <c r="A366" s="250">
        <f t="shared" si="102"/>
        <v>257</v>
      </c>
      <c r="B366" s="20" t="s">
        <v>1634</v>
      </c>
      <c r="C366" s="273">
        <f t="shared" si="100"/>
        <v>10283644.799999999</v>
      </c>
      <c r="D366" s="273">
        <f t="shared" si="101"/>
        <v>10283644.799999999</v>
      </c>
      <c r="E366" s="273"/>
      <c r="F366" s="273">
        <v>8709669.5999999996</v>
      </c>
      <c r="G366" s="273">
        <v>1573975.2</v>
      </c>
      <c r="H366" s="273"/>
      <c r="I366" s="273"/>
      <c r="J366" s="273"/>
      <c r="K366" s="273"/>
      <c r="L366" s="273"/>
      <c r="M366" s="273"/>
      <c r="N366" s="273"/>
      <c r="O366" s="273"/>
      <c r="P366" s="273"/>
      <c r="Q366" s="273"/>
      <c r="R366" s="273"/>
      <c r="S366" s="273"/>
      <c r="T366" s="273"/>
      <c r="U366" s="96"/>
      <c r="V366" s="273"/>
      <c r="W366" s="273"/>
      <c r="X366" s="273"/>
      <c r="Y366" s="273"/>
      <c r="Z366" s="273"/>
      <c r="AA366" s="273"/>
      <c r="AB366" s="273"/>
      <c r="AC366" s="14"/>
      <c r="AD366" s="15"/>
      <c r="AE366" s="15"/>
      <c r="AF366" s="15"/>
      <c r="AG366" s="15"/>
      <c r="AH366" s="13"/>
    </row>
    <row r="367" spans="1:34" x14ac:dyDescent="0.3">
      <c r="A367" s="250">
        <f t="shared" si="102"/>
        <v>258</v>
      </c>
      <c r="B367" s="20" t="s">
        <v>1638</v>
      </c>
      <c r="C367" s="273">
        <f t="shared" si="100"/>
        <v>1623939.6</v>
      </c>
      <c r="D367" s="273">
        <f t="shared" si="101"/>
        <v>1623939.6</v>
      </c>
      <c r="E367" s="273">
        <v>1623939.6</v>
      </c>
      <c r="F367" s="273"/>
      <c r="G367" s="273"/>
      <c r="H367" s="273"/>
      <c r="I367" s="273"/>
      <c r="J367" s="273"/>
      <c r="K367" s="273"/>
      <c r="L367" s="273"/>
      <c r="M367" s="273"/>
      <c r="N367" s="273"/>
      <c r="O367" s="273"/>
      <c r="P367" s="273"/>
      <c r="Q367" s="273"/>
      <c r="R367" s="273"/>
      <c r="S367" s="273"/>
      <c r="T367" s="273"/>
      <c r="U367" s="283"/>
      <c r="V367" s="273"/>
      <c r="W367" s="273"/>
      <c r="X367" s="273"/>
      <c r="Y367" s="273"/>
      <c r="Z367" s="273"/>
      <c r="AA367" s="273"/>
      <c r="AB367" s="273"/>
      <c r="AC367" s="14"/>
      <c r="AD367" s="15"/>
      <c r="AE367" s="15"/>
      <c r="AF367" s="15"/>
      <c r="AG367" s="15"/>
      <c r="AH367" s="13"/>
    </row>
    <row r="368" spans="1:34" x14ac:dyDescent="0.3">
      <c r="A368" s="250">
        <f t="shared" si="102"/>
        <v>259</v>
      </c>
      <c r="B368" s="20" t="s">
        <v>1639</v>
      </c>
      <c r="C368" s="273">
        <f t="shared" si="100"/>
        <v>2427673.2000000002</v>
      </c>
      <c r="D368" s="273">
        <f t="shared" si="101"/>
        <v>2427673.2000000002</v>
      </c>
      <c r="E368" s="273">
        <v>2427673.2000000002</v>
      </c>
      <c r="F368" s="273"/>
      <c r="G368" s="273"/>
      <c r="H368" s="273"/>
      <c r="I368" s="273"/>
      <c r="J368" s="273"/>
      <c r="K368" s="273"/>
      <c r="L368" s="273"/>
      <c r="M368" s="273"/>
      <c r="N368" s="273"/>
      <c r="O368" s="273"/>
      <c r="P368" s="273"/>
      <c r="Q368" s="273"/>
      <c r="R368" s="273"/>
      <c r="S368" s="273"/>
      <c r="T368" s="273"/>
      <c r="U368" s="283"/>
      <c r="V368" s="273"/>
      <c r="W368" s="273"/>
      <c r="X368" s="273"/>
      <c r="Y368" s="273"/>
      <c r="Z368" s="273"/>
      <c r="AA368" s="273"/>
      <c r="AB368" s="273"/>
      <c r="AC368" s="14"/>
      <c r="AD368" s="15"/>
      <c r="AE368" s="15"/>
      <c r="AF368" s="15"/>
      <c r="AG368" s="15"/>
      <c r="AH368" s="13"/>
    </row>
    <row r="369" spans="1:34" x14ac:dyDescent="0.3">
      <c r="A369" s="250">
        <f t="shared" si="102"/>
        <v>260</v>
      </c>
      <c r="B369" s="20" t="s">
        <v>1641</v>
      </c>
      <c r="C369" s="273">
        <f t="shared" si="100"/>
        <v>1573184.4</v>
      </c>
      <c r="D369" s="273">
        <f t="shared" si="101"/>
        <v>1573184.4</v>
      </c>
      <c r="E369" s="273">
        <v>1573184.4</v>
      </c>
      <c r="F369" s="273"/>
      <c r="G369" s="273"/>
      <c r="H369" s="273"/>
      <c r="I369" s="273"/>
      <c r="J369" s="273"/>
      <c r="K369" s="273"/>
      <c r="L369" s="273"/>
      <c r="M369" s="273"/>
      <c r="N369" s="273"/>
      <c r="O369" s="273"/>
      <c r="P369" s="273"/>
      <c r="Q369" s="273"/>
      <c r="R369" s="273"/>
      <c r="S369" s="273"/>
      <c r="T369" s="273"/>
      <c r="U369" s="283"/>
      <c r="V369" s="273"/>
      <c r="W369" s="273"/>
      <c r="X369" s="273"/>
      <c r="Y369" s="273"/>
      <c r="Z369" s="273"/>
      <c r="AA369" s="273"/>
      <c r="AB369" s="273"/>
      <c r="AC369" s="14"/>
      <c r="AD369" s="15"/>
      <c r="AE369" s="15"/>
      <c r="AF369" s="15"/>
      <c r="AG369" s="15"/>
      <c r="AH369" s="13"/>
    </row>
    <row r="370" spans="1:34" x14ac:dyDescent="0.3">
      <c r="A370" s="250">
        <f t="shared" si="102"/>
        <v>261</v>
      </c>
      <c r="B370" s="20" t="s">
        <v>1642</v>
      </c>
      <c r="C370" s="273">
        <f t="shared" si="100"/>
        <v>582786</v>
      </c>
      <c r="D370" s="273">
        <f t="shared" si="101"/>
        <v>582786</v>
      </c>
      <c r="E370" s="273">
        <v>582786</v>
      </c>
      <c r="F370" s="273"/>
      <c r="G370" s="273"/>
      <c r="H370" s="273"/>
      <c r="I370" s="273"/>
      <c r="J370" s="273"/>
      <c r="K370" s="273"/>
      <c r="L370" s="273"/>
      <c r="M370" s="273"/>
      <c r="N370" s="273"/>
      <c r="O370" s="273"/>
      <c r="P370" s="273"/>
      <c r="Q370" s="273"/>
      <c r="R370" s="273"/>
      <c r="S370" s="273"/>
      <c r="T370" s="273"/>
      <c r="U370" s="283"/>
      <c r="V370" s="273"/>
      <c r="W370" s="273"/>
      <c r="X370" s="273"/>
      <c r="Y370" s="273"/>
      <c r="Z370" s="273"/>
      <c r="AA370" s="273"/>
      <c r="AB370" s="273"/>
      <c r="AC370" s="14"/>
      <c r="AD370" s="15"/>
      <c r="AE370" s="15"/>
      <c r="AF370" s="15"/>
      <c r="AG370" s="15"/>
      <c r="AH370" s="13"/>
    </row>
    <row r="371" spans="1:34" x14ac:dyDescent="0.3">
      <c r="A371" s="250">
        <f t="shared" si="102"/>
        <v>262</v>
      </c>
      <c r="B371" s="20" t="s">
        <v>1643</v>
      </c>
      <c r="C371" s="273">
        <f t="shared" si="100"/>
        <v>1331134.8</v>
      </c>
      <c r="D371" s="273">
        <f t="shared" si="101"/>
        <v>1331134.8</v>
      </c>
      <c r="E371" s="273">
        <v>1331134.8</v>
      </c>
      <c r="F371" s="273"/>
      <c r="G371" s="273"/>
      <c r="H371" s="273"/>
      <c r="I371" s="273"/>
      <c r="J371" s="273"/>
      <c r="K371" s="273"/>
      <c r="L371" s="273"/>
      <c r="M371" s="273"/>
      <c r="N371" s="273"/>
      <c r="O371" s="273"/>
      <c r="P371" s="273"/>
      <c r="Q371" s="273"/>
      <c r="R371" s="273"/>
      <c r="S371" s="273"/>
      <c r="T371" s="273"/>
      <c r="U371" s="283"/>
      <c r="V371" s="273"/>
      <c r="W371" s="273"/>
      <c r="X371" s="273"/>
      <c r="Y371" s="273"/>
      <c r="Z371" s="273"/>
      <c r="AA371" s="273"/>
      <c r="AB371" s="273"/>
      <c r="AC371" s="14"/>
      <c r="AD371" s="15"/>
      <c r="AE371" s="15"/>
      <c r="AF371" s="15"/>
      <c r="AG371" s="15"/>
      <c r="AH371" s="13"/>
    </row>
    <row r="372" spans="1:34" x14ac:dyDescent="0.3">
      <c r="A372" s="250"/>
      <c r="B372" s="20" t="s">
        <v>208</v>
      </c>
      <c r="C372" s="273">
        <f t="shared" ref="C372:T372" si="103">SUM(C361:C371)</f>
        <v>61611839.999999993</v>
      </c>
      <c r="D372" s="273">
        <f t="shared" si="103"/>
        <v>61611839.999999993</v>
      </c>
      <c r="E372" s="273">
        <f t="shared" si="103"/>
        <v>7538718</v>
      </c>
      <c r="F372" s="273">
        <f t="shared" si="103"/>
        <v>44235849.600000001</v>
      </c>
      <c r="G372" s="273">
        <f t="shared" si="103"/>
        <v>7158848.4000000004</v>
      </c>
      <c r="H372" s="273">
        <f t="shared" si="103"/>
        <v>2678424</v>
      </c>
      <c r="I372" s="273">
        <f t="shared" si="103"/>
        <v>0</v>
      </c>
      <c r="J372" s="273">
        <f t="shared" si="103"/>
        <v>0</v>
      </c>
      <c r="K372" s="273">
        <f t="shared" si="103"/>
        <v>0</v>
      </c>
      <c r="L372" s="273">
        <f t="shared" si="103"/>
        <v>0</v>
      </c>
      <c r="M372" s="273">
        <f t="shared" si="103"/>
        <v>0</v>
      </c>
      <c r="N372" s="273">
        <f t="shared" si="103"/>
        <v>0</v>
      </c>
      <c r="O372" s="273">
        <f t="shared" si="103"/>
        <v>0</v>
      </c>
      <c r="P372" s="273">
        <f t="shared" si="103"/>
        <v>0</v>
      </c>
      <c r="Q372" s="273">
        <f t="shared" si="103"/>
        <v>0</v>
      </c>
      <c r="R372" s="273">
        <f t="shared" si="103"/>
        <v>0</v>
      </c>
      <c r="S372" s="273">
        <f t="shared" si="103"/>
        <v>0</v>
      </c>
      <c r="T372" s="273">
        <f t="shared" si="103"/>
        <v>0</v>
      </c>
      <c r="U372" s="283"/>
      <c r="V372" s="273"/>
      <c r="W372" s="273"/>
      <c r="X372" s="273"/>
      <c r="Y372" s="273"/>
      <c r="Z372" s="273"/>
      <c r="AA372" s="273"/>
      <c r="AB372" s="273"/>
      <c r="AC372" s="14"/>
      <c r="AD372" s="15"/>
      <c r="AE372" s="15"/>
      <c r="AF372" s="15"/>
      <c r="AG372" s="15"/>
      <c r="AH372" s="13"/>
    </row>
    <row r="373" spans="1:34" ht="15" customHeight="1" x14ac:dyDescent="0.3">
      <c r="A373" s="327" t="s">
        <v>1654</v>
      </c>
      <c r="B373" s="328"/>
      <c r="C373" s="273"/>
      <c r="D373" s="273"/>
      <c r="E373" s="273"/>
      <c r="F373" s="273"/>
      <c r="G373" s="273"/>
      <c r="H373" s="273"/>
      <c r="I373" s="273"/>
      <c r="J373" s="273"/>
      <c r="K373" s="273"/>
      <c r="L373" s="273"/>
      <c r="M373" s="273"/>
      <c r="N373" s="273"/>
      <c r="O373" s="273"/>
      <c r="P373" s="273"/>
      <c r="Q373" s="273"/>
      <c r="R373" s="273"/>
      <c r="S373" s="273"/>
      <c r="T373" s="273"/>
      <c r="U373" s="283"/>
      <c r="V373" s="273"/>
      <c r="W373" s="273"/>
      <c r="X373" s="273"/>
      <c r="Y373" s="273"/>
      <c r="Z373" s="273"/>
      <c r="AA373" s="273"/>
      <c r="AB373" s="273"/>
      <c r="AC373" s="14"/>
      <c r="AD373" s="15"/>
      <c r="AE373" s="15"/>
      <c r="AF373" s="15"/>
      <c r="AG373" s="15"/>
      <c r="AH373" s="13"/>
    </row>
    <row r="374" spans="1:34" x14ac:dyDescent="0.3">
      <c r="A374" s="250">
        <f>A371+1</f>
        <v>263</v>
      </c>
      <c r="B374" s="20" t="s">
        <v>1655</v>
      </c>
      <c r="C374" s="273">
        <f t="shared" ref="C374:C377" si="104">D374+K374+M374+O374+P374+R374+S374+T374</f>
        <v>866271.6</v>
      </c>
      <c r="D374" s="273"/>
      <c r="E374" s="273"/>
      <c r="F374" s="273"/>
      <c r="G374" s="273"/>
      <c r="H374" s="273"/>
      <c r="I374" s="273"/>
      <c r="J374" s="273"/>
      <c r="K374" s="273"/>
      <c r="L374" s="273">
        <v>210</v>
      </c>
      <c r="M374" s="273">
        <v>866271.6</v>
      </c>
      <c r="N374" s="273"/>
      <c r="O374" s="273"/>
      <c r="P374" s="273"/>
      <c r="Q374" s="273"/>
      <c r="R374" s="273"/>
      <c r="S374" s="273"/>
      <c r="T374" s="273"/>
      <c r="U374" s="283"/>
      <c r="V374" s="273"/>
      <c r="W374" s="273"/>
      <c r="X374" s="273"/>
      <c r="Y374" s="273"/>
      <c r="Z374" s="273"/>
      <c r="AA374" s="273"/>
      <c r="AB374" s="273"/>
      <c r="AC374" s="14"/>
      <c r="AD374" s="15"/>
      <c r="AE374" s="15"/>
      <c r="AF374" s="15"/>
      <c r="AG374" s="15"/>
      <c r="AH374" s="13"/>
    </row>
    <row r="375" spans="1:34" x14ac:dyDescent="0.3">
      <c r="A375" s="250">
        <f>A374+1</f>
        <v>264</v>
      </c>
      <c r="B375" s="20" t="s">
        <v>1656</v>
      </c>
      <c r="C375" s="273">
        <f t="shared" si="104"/>
        <v>293649.59999999998</v>
      </c>
      <c r="D375" s="273">
        <f>E375+F375+G375+H375+I375</f>
        <v>293649.59999999998</v>
      </c>
      <c r="E375" s="273">
        <v>293649.59999999998</v>
      </c>
      <c r="F375" s="273"/>
      <c r="G375" s="273"/>
      <c r="H375" s="273"/>
      <c r="I375" s="273"/>
      <c r="J375" s="273"/>
      <c r="K375" s="273"/>
      <c r="L375" s="273"/>
      <c r="M375" s="273"/>
      <c r="N375" s="273"/>
      <c r="O375" s="273"/>
      <c r="P375" s="273"/>
      <c r="Q375" s="273"/>
      <c r="R375" s="273"/>
      <c r="S375" s="273"/>
      <c r="T375" s="273"/>
      <c r="U375" s="283"/>
      <c r="V375" s="273"/>
      <c r="W375" s="273"/>
      <c r="X375" s="273"/>
      <c r="Y375" s="273"/>
      <c r="Z375" s="273"/>
      <c r="AA375" s="273"/>
      <c r="AB375" s="273"/>
      <c r="AC375" s="14"/>
      <c r="AD375" s="15"/>
      <c r="AE375" s="15"/>
      <c r="AF375" s="15"/>
      <c r="AG375" s="15"/>
      <c r="AH375" s="13"/>
    </row>
    <row r="376" spans="1:34" x14ac:dyDescent="0.3">
      <c r="A376" s="250">
        <f>A375+1</f>
        <v>265</v>
      </c>
      <c r="B376" s="20" t="s">
        <v>1660</v>
      </c>
      <c r="C376" s="273">
        <f t="shared" si="104"/>
        <v>779082</v>
      </c>
      <c r="D376" s="273"/>
      <c r="E376" s="273"/>
      <c r="F376" s="273"/>
      <c r="G376" s="273"/>
      <c r="H376" s="273"/>
      <c r="I376" s="273"/>
      <c r="J376" s="273"/>
      <c r="K376" s="273"/>
      <c r="L376" s="273">
        <v>236</v>
      </c>
      <c r="M376" s="273">
        <v>779082</v>
      </c>
      <c r="N376" s="273"/>
      <c r="O376" s="273"/>
      <c r="P376" s="273"/>
      <c r="Q376" s="273"/>
      <c r="R376" s="273"/>
      <c r="S376" s="273"/>
      <c r="T376" s="273"/>
      <c r="U376" s="283"/>
      <c r="V376" s="273"/>
      <c r="W376" s="273"/>
      <c r="X376" s="273"/>
      <c r="Y376" s="273"/>
      <c r="Z376" s="273"/>
      <c r="AA376" s="273"/>
      <c r="AB376" s="273"/>
      <c r="AC376" s="14"/>
      <c r="AD376" s="15"/>
      <c r="AE376" s="15"/>
      <c r="AF376" s="15"/>
      <c r="AG376" s="15"/>
      <c r="AH376" s="13"/>
    </row>
    <row r="377" spans="1:34" x14ac:dyDescent="0.3">
      <c r="A377" s="250">
        <f>A376+1</f>
        <v>266</v>
      </c>
      <c r="B377" s="20" t="s">
        <v>1663</v>
      </c>
      <c r="C377" s="273">
        <f t="shared" si="104"/>
        <v>1522027.2</v>
      </c>
      <c r="D377" s="273"/>
      <c r="E377" s="273"/>
      <c r="F377" s="273"/>
      <c r="G377" s="273"/>
      <c r="H377" s="273"/>
      <c r="I377" s="273"/>
      <c r="J377" s="273"/>
      <c r="K377" s="273"/>
      <c r="L377" s="273">
        <v>465</v>
      </c>
      <c r="M377" s="273">
        <v>1522027.2</v>
      </c>
      <c r="N377" s="273"/>
      <c r="O377" s="273"/>
      <c r="P377" s="273"/>
      <c r="Q377" s="273"/>
      <c r="R377" s="273"/>
      <c r="S377" s="273"/>
      <c r="T377" s="273"/>
      <c r="U377" s="283"/>
      <c r="V377" s="273"/>
      <c r="W377" s="273"/>
      <c r="X377" s="273"/>
      <c r="Y377" s="273"/>
      <c r="Z377" s="273"/>
      <c r="AA377" s="273"/>
      <c r="AB377" s="273"/>
      <c r="AC377" s="14"/>
      <c r="AD377" s="15"/>
      <c r="AE377" s="15"/>
      <c r="AF377" s="15"/>
      <c r="AG377" s="15"/>
      <c r="AH377" s="13"/>
    </row>
    <row r="378" spans="1:34" x14ac:dyDescent="0.3">
      <c r="A378" s="250"/>
      <c r="B378" s="20" t="s">
        <v>208</v>
      </c>
      <c r="C378" s="273">
        <f t="shared" ref="C378:T378" si="105">SUM(C374:C377)</f>
        <v>3461030.4</v>
      </c>
      <c r="D378" s="273">
        <f t="shared" si="105"/>
        <v>293649.59999999998</v>
      </c>
      <c r="E378" s="273">
        <f t="shared" si="105"/>
        <v>293649.59999999998</v>
      </c>
      <c r="F378" s="273">
        <f t="shared" si="105"/>
        <v>0</v>
      </c>
      <c r="G378" s="273">
        <f t="shared" si="105"/>
        <v>0</v>
      </c>
      <c r="H378" s="273">
        <f t="shared" si="105"/>
        <v>0</v>
      </c>
      <c r="I378" s="273">
        <f t="shared" si="105"/>
        <v>0</v>
      </c>
      <c r="J378" s="273">
        <f t="shared" si="105"/>
        <v>0</v>
      </c>
      <c r="K378" s="273">
        <f t="shared" si="105"/>
        <v>0</v>
      </c>
      <c r="L378" s="273">
        <f t="shared" si="105"/>
        <v>911</v>
      </c>
      <c r="M378" s="273">
        <f t="shared" si="105"/>
        <v>3167380.8</v>
      </c>
      <c r="N378" s="273">
        <f t="shared" si="105"/>
        <v>0</v>
      </c>
      <c r="O378" s="273">
        <f t="shared" si="105"/>
        <v>0</v>
      </c>
      <c r="P378" s="273">
        <f t="shared" si="105"/>
        <v>0</v>
      </c>
      <c r="Q378" s="273">
        <f t="shared" si="105"/>
        <v>0</v>
      </c>
      <c r="R378" s="273">
        <f t="shared" si="105"/>
        <v>0</v>
      </c>
      <c r="S378" s="273">
        <f t="shared" si="105"/>
        <v>0</v>
      </c>
      <c r="T378" s="273">
        <f t="shared" si="105"/>
        <v>0</v>
      </c>
      <c r="U378" s="283"/>
      <c r="V378" s="273"/>
      <c r="W378" s="273"/>
      <c r="X378" s="273"/>
      <c r="Y378" s="273"/>
      <c r="Z378" s="273"/>
      <c r="AA378" s="273"/>
      <c r="AB378" s="273"/>
      <c r="AC378" s="14"/>
      <c r="AD378" s="15"/>
      <c r="AE378" s="15"/>
      <c r="AF378" s="15"/>
      <c r="AG378" s="15"/>
      <c r="AH378" s="13"/>
    </row>
    <row r="379" spans="1:34" x14ac:dyDescent="0.3">
      <c r="A379" s="317" t="s">
        <v>1665</v>
      </c>
      <c r="B379" s="318"/>
      <c r="C379" s="251">
        <f t="shared" ref="C379:T379" si="106">C359+C372+C378</f>
        <v>76045722</v>
      </c>
      <c r="D379" s="251">
        <f t="shared" si="106"/>
        <v>61905489.599999994</v>
      </c>
      <c r="E379" s="251">
        <f t="shared" si="106"/>
        <v>7832367.5999999996</v>
      </c>
      <c r="F379" s="251">
        <f t="shared" si="106"/>
        <v>44235849.600000001</v>
      </c>
      <c r="G379" s="251">
        <f t="shared" si="106"/>
        <v>7158848.4000000004</v>
      </c>
      <c r="H379" s="251">
        <f t="shared" si="106"/>
        <v>2678424</v>
      </c>
      <c r="I379" s="251">
        <f t="shared" si="106"/>
        <v>0</v>
      </c>
      <c r="J379" s="251">
        <f t="shared" si="106"/>
        <v>0</v>
      </c>
      <c r="K379" s="251">
        <f t="shared" si="106"/>
        <v>0</v>
      </c>
      <c r="L379" s="251">
        <f t="shared" si="106"/>
        <v>911</v>
      </c>
      <c r="M379" s="251">
        <f t="shared" si="106"/>
        <v>14140232.399999999</v>
      </c>
      <c r="N379" s="251">
        <f t="shared" si="106"/>
        <v>0</v>
      </c>
      <c r="O379" s="251">
        <f t="shared" si="106"/>
        <v>0</v>
      </c>
      <c r="P379" s="251">
        <f t="shared" si="106"/>
        <v>0</v>
      </c>
      <c r="Q379" s="251">
        <f t="shared" si="106"/>
        <v>0</v>
      </c>
      <c r="R379" s="251">
        <f t="shared" si="106"/>
        <v>0</v>
      </c>
      <c r="S379" s="251">
        <f t="shared" si="106"/>
        <v>0</v>
      </c>
      <c r="T379" s="251">
        <f t="shared" si="106"/>
        <v>0</v>
      </c>
      <c r="U379" s="283"/>
      <c r="V379" s="273"/>
      <c r="W379" s="273"/>
      <c r="X379" s="273"/>
      <c r="Y379" s="273"/>
      <c r="Z379" s="273"/>
      <c r="AA379" s="273"/>
      <c r="AB379" s="273"/>
      <c r="AC379" s="14"/>
      <c r="AD379" s="15"/>
      <c r="AE379" s="15"/>
      <c r="AF379" s="15"/>
      <c r="AG379" s="15"/>
      <c r="AH379" s="13"/>
    </row>
    <row r="380" spans="1:34" ht="15" customHeight="1" x14ac:dyDescent="0.3">
      <c r="A380" s="336" t="s">
        <v>1666</v>
      </c>
      <c r="B380" s="337"/>
      <c r="C380" s="337"/>
      <c r="D380" s="337"/>
      <c r="E380" s="337"/>
      <c r="F380" s="337"/>
      <c r="G380" s="337"/>
      <c r="H380" s="337"/>
      <c r="I380" s="337"/>
      <c r="J380" s="337"/>
      <c r="K380" s="337"/>
      <c r="L380" s="337"/>
      <c r="M380" s="337"/>
      <c r="N380" s="337"/>
      <c r="O380" s="337"/>
      <c r="P380" s="337"/>
      <c r="Q380" s="337"/>
      <c r="R380" s="337"/>
      <c r="S380" s="337"/>
      <c r="T380" s="338"/>
      <c r="U380" s="96"/>
      <c r="V380" s="273"/>
      <c r="W380" s="271"/>
      <c r="X380" s="271"/>
      <c r="Y380" s="271"/>
      <c r="Z380" s="271"/>
      <c r="AA380" s="271"/>
      <c r="AB380" s="271"/>
      <c r="AC380" s="269"/>
      <c r="AD380" s="7"/>
      <c r="AE380" s="13"/>
      <c r="AF380" s="13"/>
      <c r="AG380" s="13"/>
      <c r="AH380" s="13"/>
    </row>
    <row r="381" spans="1:34" ht="15" customHeight="1" x14ac:dyDescent="0.3">
      <c r="A381" s="327" t="s">
        <v>1667</v>
      </c>
      <c r="B381" s="328"/>
      <c r="C381" s="273"/>
      <c r="D381" s="273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97"/>
      <c r="V381" s="273"/>
      <c r="W381" s="271"/>
      <c r="X381" s="271"/>
      <c r="Y381" s="271"/>
      <c r="Z381" s="271"/>
      <c r="AA381" s="271"/>
      <c r="AB381" s="271"/>
      <c r="AC381" s="269"/>
      <c r="AD381" s="7"/>
      <c r="AE381" s="13"/>
      <c r="AF381" s="13"/>
      <c r="AG381" s="13"/>
    </row>
    <row r="382" spans="1:34" x14ac:dyDescent="0.3">
      <c r="A382" s="250">
        <f>A377+1</f>
        <v>267</v>
      </c>
      <c r="B382" s="20" t="s">
        <v>1672</v>
      </c>
      <c r="C382" s="273">
        <f t="shared" ref="C382:C418" si="107">D382+K382+M382+O382+P382+R382+S382+T382</f>
        <v>1375917.6</v>
      </c>
      <c r="D382" s="273">
        <f t="shared" ref="D382:D418" si="108">E382+F382+G382+H382+I382</f>
        <v>1375917.6</v>
      </c>
      <c r="E382" s="273">
        <v>1068438</v>
      </c>
      <c r="F382" s="273"/>
      <c r="G382" s="273"/>
      <c r="H382" s="273">
        <v>307479.59999999998</v>
      </c>
      <c r="I382" s="273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83"/>
      <c r="V382" s="273"/>
      <c r="W382" s="271"/>
      <c r="X382" s="271"/>
      <c r="Y382" s="271"/>
      <c r="Z382" s="271"/>
      <c r="AA382" s="271"/>
      <c r="AB382" s="271"/>
      <c r="AC382" s="269"/>
      <c r="AD382" s="7"/>
      <c r="AE382" s="13"/>
      <c r="AF382" s="13"/>
      <c r="AG382" s="13"/>
    </row>
    <row r="383" spans="1:34" x14ac:dyDescent="0.3">
      <c r="A383" s="250">
        <f t="shared" ref="A383:A418" si="109">A382+1</f>
        <v>268</v>
      </c>
      <c r="B383" s="20" t="s">
        <v>1673</v>
      </c>
      <c r="C383" s="273">
        <f t="shared" si="107"/>
        <v>1072072.8</v>
      </c>
      <c r="D383" s="273">
        <f t="shared" si="108"/>
        <v>1072072.8</v>
      </c>
      <c r="E383" s="273">
        <v>801423.6</v>
      </c>
      <c r="F383" s="273"/>
      <c r="G383" s="273"/>
      <c r="H383" s="273">
        <v>270649.2</v>
      </c>
      <c r="I383" s="273"/>
      <c r="J383" s="273"/>
      <c r="K383" s="273"/>
      <c r="L383" s="273"/>
      <c r="M383" s="273"/>
      <c r="N383" s="273"/>
      <c r="O383" s="273"/>
      <c r="P383" s="273"/>
      <c r="Q383" s="273"/>
      <c r="R383" s="273"/>
      <c r="S383" s="273"/>
      <c r="T383" s="273"/>
      <c r="U383" s="83"/>
      <c r="V383" s="273"/>
      <c r="W383" s="271"/>
      <c r="X383" s="271"/>
      <c r="Y383" s="271"/>
      <c r="Z383" s="271"/>
      <c r="AA383" s="271"/>
      <c r="AB383" s="271"/>
      <c r="AC383" s="269"/>
      <c r="AD383" s="7"/>
      <c r="AE383" s="13"/>
      <c r="AF383" s="13"/>
      <c r="AG383" s="13"/>
    </row>
    <row r="384" spans="1:34" x14ac:dyDescent="0.3">
      <c r="A384" s="250">
        <f t="shared" si="109"/>
        <v>269</v>
      </c>
      <c r="B384" s="20" t="s">
        <v>1674</v>
      </c>
      <c r="C384" s="273">
        <f t="shared" si="107"/>
        <v>1845948.4000000001</v>
      </c>
      <c r="D384" s="273">
        <f t="shared" si="108"/>
        <v>1845948.4000000001</v>
      </c>
      <c r="E384" s="273"/>
      <c r="F384" s="273">
        <v>1445230</v>
      </c>
      <c r="G384" s="273">
        <v>182488.8</v>
      </c>
      <c r="H384" s="273">
        <v>218229.6</v>
      </c>
      <c r="I384" s="273"/>
      <c r="J384" s="273"/>
      <c r="K384" s="273"/>
      <c r="L384" s="273"/>
      <c r="M384" s="273"/>
      <c r="N384" s="273"/>
      <c r="O384" s="273"/>
      <c r="P384" s="273"/>
      <c r="Q384" s="273"/>
      <c r="R384" s="273"/>
      <c r="S384" s="273"/>
      <c r="T384" s="273"/>
      <c r="U384" s="83"/>
      <c r="V384" s="273"/>
      <c r="W384" s="271"/>
      <c r="X384" s="271"/>
      <c r="Y384" s="271"/>
      <c r="Z384" s="271"/>
      <c r="AA384" s="271"/>
      <c r="AB384" s="271"/>
      <c r="AC384" s="269"/>
      <c r="AD384" s="7"/>
      <c r="AE384" s="13"/>
      <c r="AF384" s="13"/>
      <c r="AG384" s="13"/>
    </row>
    <row r="385" spans="1:33" x14ac:dyDescent="0.3">
      <c r="A385" s="250">
        <f t="shared" si="109"/>
        <v>270</v>
      </c>
      <c r="B385" s="20" t="s">
        <v>1675</v>
      </c>
      <c r="C385" s="273">
        <f t="shared" si="107"/>
        <v>7813753.2000000002</v>
      </c>
      <c r="D385" s="273">
        <f t="shared" si="108"/>
        <v>1060924.8</v>
      </c>
      <c r="E385" s="273">
        <v>1060924.8</v>
      </c>
      <c r="F385" s="273"/>
      <c r="G385" s="273"/>
      <c r="H385" s="273"/>
      <c r="I385" s="273"/>
      <c r="J385" s="273">
        <v>883.9</v>
      </c>
      <c r="K385" s="273">
        <v>6752828.4000000004</v>
      </c>
      <c r="L385" s="273"/>
      <c r="M385" s="273"/>
      <c r="N385" s="273"/>
      <c r="O385" s="273"/>
      <c r="P385" s="273"/>
      <c r="Q385" s="273"/>
      <c r="R385" s="273"/>
      <c r="S385" s="273"/>
      <c r="T385" s="273"/>
      <c r="U385" s="83"/>
      <c r="V385" s="273"/>
      <c r="W385" s="271"/>
      <c r="X385" s="271"/>
      <c r="Y385" s="271"/>
      <c r="Z385" s="271"/>
      <c r="AA385" s="271"/>
      <c r="AB385" s="271"/>
      <c r="AC385" s="269"/>
      <c r="AD385" s="7"/>
      <c r="AE385" s="13"/>
      <c r="AF385" s="13"/>
      <c r="AG385" s="13"/>
    </row>
    <row r="386" spans="1:33" x14ac:dyDescent="0.3">
      <c r="A386" s="250">
        <f t="shared" si="109"/>
        <v>271</v>
      </c>
      <c r="B386" s="20" t="s">
        <v>1678</v>
      </c>
      <c r="C386" s="273">
        <f t="shared" si="107"/>
        <v>707014.8</v>
      </c>
      <c r="D386" s="273">
        <f t="shared" si="108"/>
        <v>707014.8</v>
      </c>
      <c r="E386" s="273">
        <v>707014.8</v>
      </c>
      <c r="F386" s="273"/>
      <c r="G386" s="273"/>
      <c r="H386" s="273"/>
      <c r="I386" s="273"/>
      <c r="J386" s="273"/>
      <c r="K386" s="273"/>
      <c r="L386" s="273"/>
      <c r="M386" s="273"/>
      <c r="N386" s="273"/>
      <c r="O386" s="273"/>
      <c r="P386" s="273"/>
      <c r="Q386" s="273"/>
      <c r="R386" s="273"/>
      <c r="S386" s="273"/>
      <c r="T386" s="273"/>
      <c r="U386" s="83"/>
      <c r="V386" s="273"/>
      <c r="W386" s="271"/>
      <c r="X386" s="271"/>
      <c r="Y386" s="271"/>
      <c r="Z386" s="271"/>
      <c r="AA386" s="271"/>
      <c r="AB386" s="271"/>
      <c r="AC386" s="269"/>
      <c r="AD386" s="7"/>
      <c r="AE386" s="13"/>
      <c r="AF386" s="13"/>
      <c r="AG386" s="13"/>
    </row>
    <row r="387" spans="1:33" x14ac:dyDescent="0.3">
      <c r="A387" s="250">
        <f t="shared" si="109"/>
        <v>272</v>
      </c>
      <c r="B387" s="20" t="s">
        <v>1685</v>
      </c>
      <c r="C387" s="273">
        <f t="shared" si="107"/>
        <v>592164</v>
      </c>
      <c r="D387" s="273">
        <f t="shared" si="108"/>
        <v>592164</v>
      </c>
      <c r="E387" s="273">
        <v>592164</v>
      </c>
      <c r="F387" s="273"/>
      <c r="G387" s="273"/>
      <c r="H387" s="273"/>
      <c r="I387" s="273"/>
      <c r="J387" s="273"/>
      <c r="K387" s="273"/>
      <c r="L387" s="273"/>
      <c r="M387" s="273"/>
      <c r="N387" s="273"/>
      <c r="O387" s="273"/>
      <c r="P387" s="273"/>
      <c r="Q387" s="273"/>
      <c r="R387" s="273"/>
      <c r="S387" s="273"/>
      <c r="T387" s="273"/>
      <c r="U387" s="83"/>
      <c r="V387" s="273"/>
      <c r="W387" s="271"/>
      <c r="X387" s="271"/>
      <c r="Y387" s="271"/>
      <c r="Z387" s="271"/>
      <c r="AA387" s="271"/>
      <c r="AB387" s="271"/>
      <c r="AC387" s="269"/>
      <c r="AD387" s="7"/>
      <c r="AE387" s="13"/>
      <c r="AF387" s="13"/>
      <c r="AG387" s="13"/>
    </row>
    <row r="388" spans="1:33" x14ac:dyDescent="0.3">
      <c r="A388" s="250">
        <f t="shared" si="109"/>
        <v>273</v>
      </c>
      <c r="B388" s="20" t="s">
        <v>1686</v>
      </c>
      <c r="C388" s="273">
        <f t="shared" si="107"/>
        <v>621628.80000000005</v>
      </c>
      <c r="D388" s="273">
        <f t="shared" si="108"/>
        <v>621628.80000000005</v>
      </c>
      <c r="E388" s="273">
        <v>621628.80000000005</v>
      </c>
      <c r="F388" s="273"/>
      <c r="G388" s="273"/>
      <c r="H388" s="273"/>
      <c r="I388" s="273"/>
      <c r="J388" s="273"/>
      <c r="K388" s="273"/>
      <c r="L388" s="273"/>
      <c r="M388" s="273"/>
      <c r="N388" s="273"/>
      <c r="O388" s="273"/>
      <c r="P388" s="273"/>
      <c r="Q388" s="273"/>
      <c r="R388" s="273"/>
      <c r="S388" s="273"/>
      <c r="T388" s="273"/>
      <c r="U388" s="83"/>
      <c r="V388" s="273"/>
      <c r="W388" s="271"/>
      <c r="X388" s="271"/>
      <c r="Y388" s="271"/>
      <c r="Z388" s="271"/>
      <c r="AA388" s="271"/>
      <c r="AB388" s="271"/>
      <c r="AC388" s="269"/>
      <c r="AD388" s="7"/>
      <c r="AE388" s="13"/>
      <c r="AF388" s="13"/>
      <c r="AG388" s="13"/>
    </row>
    <row r="389" spans="1:33" x14ac:dyDescent="0.3">
      <c r="A389" s="250">
        <f t="shared" si="109"/>
        <v>274</v>
      </c>
      <c r="B389" s="20" t="s">
        <v>1687</v>
      </c>
      <c r="C389" s="273">
        <f t="shared" si="107"/>
        <v>627748.80000000005</v>
      </c>
      <c r="D389" s="273">
        <f t="shared" si="108"/>
        <v>627748.80000000005</v>
      </c>
      <c r="E389" s="273">
        <v>627748.80000000005</v>
      </c>
      <c r="F389" s="273"/>
      <c r="G389" s="273"/>
      <c r="H389" s="273"/>
      <c r="I389" s="273"/>
      <c r="J389" s="273"/>
      <c r="K389" s="273"/>
      <c r="L389" s="273"/>
      <c r="M389" s="273"/>
      <c r="N389" s="273"/>
      <c r="O389" s="273"/>
      <c r="P389" s="273"/>
      <c r="Q389" s="273"/>
      <c r="R389" s="273"/>
      <c r="S389" s="273"/>
      <c r="T389" s="273"/>
      <c r="U389" s="83"/>
      <c r="V389" s="273"/>
      <c r="W389" s="271"/>
      <c r="X389" s="271"/>
      <c r="Y389" s="271"/>
      <c r="Z389" s="271"/>
      <c r="AA389" s="271"/>
      <c r="AB389" s="271"/>
      <c r="AC389" s="269"/>
      <c r="AD389" s="7"/>
      <c r="AE389" s="13"/>
      <c r="AF389" s="13"/>
      <c r="AG389" s="13"/>
    </row>
    <row r="390" spans="1:33" x14ac:dyDescent="0.3">
      <c r="A390" s="250">
        <f t="shared" si="109"/>
        <v>275</v>
      </c>
      <c r="B390" s="20" t="s">
        <v>1688</v>
      </c>
      <c r="C390" s="273">
        <f t="shared" si="107"/>
        <v>684561.6</v>
      </c>
      <c r="D390" s="273">
        <f t="shared" si="108"/>
        <v>684561.6</v>
      </c>
      <c r="E390" s="273">
        <v>684561.6</v>
      </c>
      <c r="F390" s="273"/>
      <c r="G390" s="273"/>
      <c r="H390" s="273"/>
      <c r="I390" s="273"/>
      <c r="J390" s="273"/>
      <c r="K390" s="273"/>
      <c r="L390" s="273"/>
      <c r="M390" s="273"/>
      <c r="N390" s="273"/>
      <c r="O390" s="273"/>
      <c r="P390" s="273"/>
      <c r="Q390" s="273"/>
      <c r="R390" s="273"/>
      <c r="S390" s="273"/>
      <c r="T390" s="273"/>
      <c r="U390" s="98"/>
      <c r="V390" s="271"/>
      <c r="W390" s="271"/>
      <c r="X390" s="271"/>
      <c r="Y390" s="271"/>
      <c r="Z390" s="271"/>
      <c r="AA390" s="271"/>
      <c r="AB390" s="271"/>
      <c r="AC390" s="269"/>
      <c r="AD390" s="7"/>
      <c r="AE390" s="13"/>
      <c r="AF390" s="13"/>
      <c r="AG390" s="13"/>
    </row>
    <row r="391" spans="1:33" x14ac:dyDescent="0.3">
      <c r="A391" s="250">
        <f t="shared" si="109"/>
        <v>276</v>
      </c>
      <c r="B391" s="20" t="s">
        <v>1689</v>
      </c>
      <c r="C391" s="273">
        <f t="shared" si="107"/>
        <v>634210.80000000005</v>
      </c>
      <c r="D391" s="273">
        <f t="shared" si="108"/>
        <v>634210.80000000005</v>
      </c>
      <c r="E391" s="273">
        <v>634210.80000000005</v>
      </c>
      <c r="F391" s="273"/>
      <c r="G391" s="273"/>
      <c r="H391" s="273"/>
      <c r="I391" s="273"/>
      <c r="J391" s="273"/>
      <c r="K391" s="273"/>
      <c r="L391" s="273"/>
      <c r="M391" s="273"/>
      <c r="N391" s="273"/>
      <c r="O391" s="273"/>
      <c r="P391" s="273"/>
      <c r="Q391" s="273"/>
      <c r="R391" s="273"/>
      <c r="S391" s="273"/>
      <c r="T391" s="273"/>
      <c r="U391" s="83"/>
      <c r="V391" s="273"/>
      <c r="W391" s="271"/>
      <c r="X391" s="271"/>
      <c r="Y391" s="271"/>
      <c r="Z391" s="271"/>
      <c r="AA391" s="271"/>
      <c r="AB391" s="271"/>
      <c r="AC391" s="269"/>
      <c r="AD391" s="7"/>
      <c r="AE391" s="13"/>
      <c r="AF391" s="13"/>
      <c r="AG391" s="13"/>
    </row>
    <row r="392" spans="1:33" x14ac:dyDescent="0.3">
      <c r="A392" s="250">
        <f t="shared" si="109"/>
        <v>277</v>
      </c>
      <c r="B392" s="20" t="s">
        <v>1690</v>
      </c>
      <c r="C392" s="273">
        <f t="shared" si="107"/>
        <v>634210.80000000005</v>
      </c>
      <c r="D392" s="273">
        <f t="shared" si="108"/>
        <v>634210.80000000005</v>
      </c>
      <c r="E392" s="273">
        <v>634210.80000000005</v>
      </c>
      <c r="F392" s="273"/>
      <c r="G392" s="273"/>
      <c r="H392" s="273"/>
      <c r="I392" s="273"/>
      <c r="J392" s="273"/>
      <c r="K392" s="273"/>
      <c r="L392" s="273"/>
      <c r="M392" s="273"/>
      <c r="N392" s="273"/>
      <c r="O392" s="273"/>
      <c r="P392" s="273"/>
      <c r="Q392" s="273"/>
      <c r="R392" s="273"/>
      <c r="S392" s="273"/>
      <c r="T392" s="273"/>
      <c r="U392" s="83"/>
      <c r="V392" s="273"/>
      <c r="W392" s="271"/>
      <c r="X392" s="271"/>
      <c r="Y392" s="271"/>
      <c r="Z392" s="271"/>
      <c r="AA392" s="271"/>
      <c r="AB392" s="271"/>
      <c r="AC392" s="269"/>
      <c r="AD392" s="7"/>
      <c r="AE392" s="13"/>
      <c r="AF392" s="13"/>
      <c r="AG392" s="13"/>
    </row>
    <row r="393" spans="1:33" x14ac:dyDescent="0.3">
      <c r="A393" s="250">
        <f t="shared" si="109"/>
        <v>278</v>
      </c>
      <c r="B393" s="20" t="s">
        <v>1691</v>
      </c>
      <c r="C393" s="273">
        <f t="shared" si="107"/>
        <v>4601672.3999999994</v>
      </c>
      <c r="D393" s="273">
        <f t="shared" si="108"/>
        <v>741309.6</v>
      </c>
      <c r="E393" s="273">
        <v>741309.6</v>
      </c>
      <c r="F393" s="273"/>
      <c r="G393" s="273"/>
      <c r="H393" s="273"/>
      <c r="I393" s="273"/>
      <c r="J393" s="273">
        <v>697.44</v>
      </c>
      <c r="K393" s="273">
        <v>3860362.8</v>
      </c>
      <c r="L393" s="273"/>
      <c r="M393" s="273"/>
      <c r="N393" s="273"/>
      <c r="O393" s="273"/>
      <c r="P393" s="273"/>
      <c r="Q393" s="273"/>
      <c r="R393" s="273"/>
      <c r="S393" s="273"/>
      <c r="T393" s="273"/>
      <c r="U393" s="83"/>
      <c r="V393" s="273"/>
      <c r="W393" s="271"/>
      <c r="X393" s="271"/>
      <c r="Y393" s="271"/>
      <c r="Z393" s="271"/>
      <c r="AA393" s="271"/>
      <c r="AB393" s="271"/>
      <c r="AC393" s="269"/>
      <c r="AD393" s="7"/>
      <c r="AE393" s="13"/>
      <c r="AF393" s="13"/>
      <c r="AG393" s="13"/>
    </row>
    <row r="394" spans="1:33" x14ac:dyDescent="0.3">
      <c r="A394" s="250">
        <f t="shared" si="109"/>
        <v>279</v>
      </c>
      <c r="B394" s="20" t="s">
        <v>1692</v>
      </c>
      <c r="C394" s="273">
        <f t="shared" si="107"/>
        <v>614258.4</v>
      </c>
      <c r="D394" s="273">
        <f t="shared" si="108"/>
        <v>614258.4</v>
      </c>
      <c r="E394" s="273">
        <v>614258.4</v>
      </c>
      <c r="F394" s="273"/>
      <c r="G394" s="273"/>
      <c r="H394" s="273"/>
      <c r="I394" s="273"/>
      <c r="J394" s="273"/>
      <c r="K394" s="273"/>
      <c r="L394" s="273"/>
      <c r="M394" s="273"/>
      <c r="N394" s="273"/>
      <c r="O394" s="273"/>
      <c r="P394" s="273"/>
      <c r="Q394" s="273"/>
      <c r="R394" s="273"/>
      <c r="S394" s="273"/>
      <c r="T394" s="273"/>
      <c r="U394" s="83"/>
      <c r="V394" s="273"/>
      <c r="W394" s="271"/>
      <c r="X394" s="271"/>
      <c r="Y394" s="271"/>
      <c r="Z394" s="271"/>
      <c r="AA394" s="271"/>
      <c r="AB394" s="271"/>
      <c r="AC394" s="269"/>
      <c r="AD394" s="7"/>
      <c r="AE394" s="13"/>
      <c r="AF394" s="13"/>
      <c r="AG394" s="13"/>
    </row>
    <row r="395" spans="1:33" x14ac:dyDescent="0.3">
      <c r="A395" s="250">
        <f t="shared" si="109"/>
        <v>280</v>
      </c>
      <c r="B395" s="20" t="s">
        <v>1693</v>
      </c>
      <c r="C395" s="273">
        <f t="shared" si="107"/>
        <v>6088468.6800000006</v>
      </c>
      <c r="D395" s="273">
        <f t="shared" si="108"/>
        <v>0</v>
      </c>
      <c r="E395" s="273"/>
      <c r="F395" s="273"/>
      <c r="G395" s="273"/>
      <c r="H395" s="273"/>
      <c r="I395" s="273"/>
      <c r="J395" s="273">
        <v>752.22</v>
      </c>
      <c r="K395" s="273">
        <f>J395*8094</f>
        <v>6088468.6800000006</v>
      </c>
      <c r="L395" s="273"/>
      <c r="M395" s="273"/>
      <c r="N395" s="273"/>
      <c r="O395" s="273"/>
      <c r="P395" s="273"/>
      <c r="Q395" s="273"/>
      <c r="R395" s="273"/>
      <c r="S395" s="273"/>
      <c r="T395" s="273"/>
      <c r="U395" s="83"/>
      <c r="V395" s="273"/>
      <c r="W395" s="271"/>
      <c r="X395" s="271"/>
      <c r="Y395" s="271"/>
      <c r="Z395" s="271"/>
      <c r="AA395" s="271"/>
      <c r="AB395" s="271"/>
      <c r="AC395" s="269"/>
      <c r="AD395" s="7"/>
      <c r="AE395" s="13"/>
      <c r="AF395" s="13"/>
      <c r="AG395" s="13"/>
    </row>
    <row r="396" spans="1:33" x14ac:dyDescent="0.3">
      <c r="A396" s="250">
        <f t="shared" si="109"/>
        <v>281</v>
      </c>
      <c r="B396" s="20" t="s">
        <v>1697</v>
      </c>
      <c r="C396" s="273">
        <f t="shared" si="107"/>
        <v>926395.2</v>
      </c>
      <c r="D396" s="273">
        <f t="shared" si="108"/>
        <v>926395.2</v>
      </c>
      <c r="E396" s="273">
        <v>926395.2</v>
      </c>
      <c r="F396" s="273"/>
      <c r="G396" s="273"/>
      <c r="H396" s="273"/>
      <c r="I396" s="273"/>
      <c r="J396" s="273"/>
      <c r="K396" s="273"/>
      <c r="L396" s="273"/>
      <c r="M396" s="273"/>
      <c r="N396" s="273"/>
      <c r="O396" s="273"/>
      <c r="P396" s="273"/>
      <c r="Q396" s="273"/>
      <c r="R396" s="273"/>
      <c r="S396" s="273"/>
      <c r="T396" s="273"/>
      <c r="U396" s="83"/>
      <c r="V396" s="273"/>
      <c r="W396" s="271"/>
      <c r="X396" s="271"/>
      <c r="Y396" s="271"/>
      <c r="Z396" s="271"/>
      <c r="AA396" s="271"/>
      <c r="AB396" s="271"/>
      <c r="AC396" s="269"/>
      <c r="AD396" s="7"/>
      <c r="AE396" s="13"/>
      <c r="AF396" s="13"/>
      <c r="AG396" s="13"/>
    </row>
    <row r="397" spans="1:33" x14ac:dyDescent="0.3">
      <c r="A397" s="250">
        <f t="shared" si="109"/>
        <v>282</v>
      </c>
      <c r="B397" s="20" t="s">
        <v>1698</v>
      </c>
      <c r="C397" s="273">
        <f t="shared" si="107"/>
        <v>716931.6</v>
      </c>
      <c r="D397" s="273">
        <f t="shared" si="108"/>
        <v>716931.6</v>
      </c>
      <c r="E397" s="273">
        <v>716931.6</v>
      </c>
      <c r="F397" s="273"/>
      <c r="G397" s="273"/>
      <c r="H397" s="273"/>
      <c r="I397" s="273"/>
      <c r="J397" s="273"/>
      <c r="K397" s="273"/>
      <c r="L397" s="273"/>
      <c r="M397" s="273"/>
      <c r="N397" s="273"/>
      <c r="O397" s="273"/>
      <c r="P397" s="273"/>
      <c r="Q397" s="273"/>
      <c r="R397" s="273"/>
      <c r="S397" s="273"/>
      <c r="T397" s="273"/>
      <c r="U397" s="83"/>
      <c r="V397" s="273"/>
      <c r="W397" s="271"/>
      <c r="X397" s="271"/>
      <c r="Y397" s="271"/>
      <c r="Z397" s="271"/>
      <c r="AA397" s="271"/>
      <c r="AB397" s="271"/>
      <c r="AC397" s="269"/>
      <c r="AD397" s="7"/>
      <c r="AE397" s="13"/>
      <c r="AF397" s="13"/>
      <c r="AG397" s="13"/>
    </row>
    <row r="398" spans="1:33" x14ac:dyDescent="0.3">
      <c r="A398" s="250">
        <f t="shared" si="109"/>
        <v>283</v>
      </c>
      <c r="B398" s="20" t="s">
        <v>1700</v>
      </c>
      <c r="C398" s="273">
        <f t="shared" si="107"/>
        <v>917001.6</v>
      </c>
      <c r="D398" s="273">
        <f t="shared" si="108"/>
        <v>917001.6</v>
      </c>
      <c r="E398" s="273">
        <v>917001.6</v>
      </c>
      <c r="F398" s="273"/>
      <c r="G398" s="273"/>
      <c r="H398" s="273"/>
      <c r="I398" s="273"/>
      <c r="J398" s="273"/>
      <c r="K398" s="273"/>
      <c r="L398" s="273"/>
      <c r="M398" s="273"/>
      <c r="N398" s="273"/>
      <c r="O398" s="273"/>
      <c r="P398" s="273"/>
      <c r="Q398" s="273"/>
      <c r="R398" s="273"/>
      <c r="S398" s="273"/>
      <c r="T398" s="273"/>
      <c r="U398" s="83"/>
      <c r="V398" s="273"/>
      <c r="W398" s="271"/>
      <c r="X398" s="271"/>
      <c r="Y398" s="271"/>
      <c r="Z398" s="271"/>
      <c r="AA398" s="271"/>
      <c r="AB398" s="271"/>
      <c r="AC398" s="269"/>
      <c r="AD398" s="7"/>
      <c r="AE398" s="13"/>
      <c r="AF398" s="13"/>
      <c r="AG398" s="13"/>
    </row>
    <row r="399" spans="1:33" x14ac:dyDescent="0.3">
      <c r="A399" s="250">
        <f t="shared" si="109"/>
        <v>284</v>
      </c>
      <c r="B399" s="20" t="s">
        <v>1703</v>
      </c>
      <c r="C399" s="273">
        <f t="shared" si="107"/>
        <v>2574566.3999999999</v>
      </c>
      <c r="D399" s="273">
        <f t="shared" si="108"/>
        <v>2574566.3999999999</v>
      </c>
      <c r="E399" s="273">
        <v>748368</v>
      </c>
      <c r="F399" s="273">
        <v>1357126.8</v>
      </c>
      <c r="G399" s="273">
        <v>195031.2</v>
      </c>
      <c r="H399" s="273">
        <v>274040.40000000002</v>
      </c>
      <c r="I399" s="273"/>
      <c r="J399" s="273"/>
      <c r="K399" s="273"/>
      <c r="L399" s="273"/>
      <c r="M399" s="273"/>
      <c r="N399" s="273"/>
      <c r="O399" s="273"/>
      <c r="P399" s="273"/>
      <c r="Q399" s="273"/>
      <c r="R399" s="273"/>
      <c r="S399" s="273"/>
      <c r="T399" s="273"/>
      <c r="U399" s="83"/>
      <c r="V399" s="273"/>
      <c r="W399" s="271"/>
      <c r="X399" s="271"/>
      <c r="Y399" s="271"/>
      <c r="Z399" s="271"/>
      <c r="AA399" s="271"/>
      <c r="AB399" s="271"/>
      <c r="AC399" s="269"/>
      <c r="AD399" s="7"/>
      <c r="AE399" s="13"/>
      <c r="AF399" s="13"/>
      <c r="AG399" s="13"/>
    </row>
    <row r="400" spans="1:33" x14ac:dyDescent="0.3">
      <c r="A400" s="250">
        <f t="shared" si="109"/>
        <v>285</v>
      </c>
      <c r="B400" s="20" t="s">
        <v>1705</v>
      </c>
      <c r="C400" s="273">
        <f t="shared" si="107"/>
        <v>2318676.2000000002</v>
      </c>
      <c r="D400" s="273">
        <f t="shared" si="108"/>
        <v>2318676.2000000002</v>
      </c>
      <c r="E400" s="273">
        <v>730779.6</v>
      </c>
      <c r="F400" s="273">
        <v>1314983</v>
      </c>
      <c r="G400" s="273"/>
      <c r="H400" s="273">
        <v>272913.59999999998</v>
      </c>
      <c r="I400" s="273"/>
      <c r="J400" s="273"/>
      <c r="K400" s="273"/>
      <c r="L400" s="273"/>
      <c r="M400" s="273"/>
      <c r="N400" s="273"/>
      <c r="O400" s="273"/>
      <c r="P400" s="273"/>
      <c r="Q400" s="273"/>
      <c r="R400" s="273"/>
      <c r="S400" s="273"/>
      <c r="T400" s="273"/>
      <c r="U400" s="83"/>
      <c r="V400" s="273"/>
      <c r="W400" s="271"/>
      <c r="X400" s="271"/>
      <c r="Y400" s="271"/>
      <c r="Z400" s="271"/>
      <c r="AA400" s="271"/>
      <c r="AB400" s="271"/>
      <c r="AC400" s="269"/>
      <c r="AD400" s="7"/>
      <c r="AE400" s="13"/>
      <c r="AF400" s="13"/>
      <c r="AG400" s="13"/>
    </row>
    <row r="401" spans="1:33" x14ac:dyDescent="0.3">
      <c r="A401" s="250">
        <f t="shared" si="109"/>
        <v>286</v>
      </c>
      <c r="B401" s="20" t="s">
        <v>1707</v>
      </c>
      <c r="C401" s="273">
        <f t="shared" si="107"/>
        <v>2422004.4</v>
      </c>
      <c r="D401" s="273">
        <f t="shared" si="108"/>
        <v>2422004.4</v>
      </c>
      <c r="E401" s="273">
        <v>789070.8</v>
      </c>
      <c r="F401" s="273">
        <v>1360020</v>
      </c>
      <c r="G401" s="273"/>
      <c r="H401" s="273">
        <v>272913.59999999998</v>
      </c>
      <c r="I401" s="273"/>
      <c r="J401" s="273"/>
      <c r="K401" s="273"/>
      <c r="L401" s="273"/>
      <c r="M401" s="273"/>
      <c r="N401" s="273"/>
      <c r="O401" s="273"/>
      <c r="P401" s="273"/>
      <c r="Q401" s="273"/>
      <c r="R401" s="273"/>
      <c r="S401" s="273"/>
      <c r="T401" s="273"/>
      <c r="U401" s="83"/>
      <c r="V401" s="273"/>
      <c r="W401" s="271"/>
      <c r="X401" s="271"/>
      <c r="Y401" s="271"/>
      <c r="Z401" s="271"/>
      <c r="AA401" s="271"/>
      <c r="AB401" s="271"/>
      <c r="AC401" s="269"/>
      <c r="AD401" s="7"/>
      <c r="AE401" s="13"/>
      <c r="AF401" s="13"/>
      <c r="AG401" s="13"/>
    </row>
    <row r="402" spans="1:33" x14ac:dyDescent="0.3">
      <c r="A402" s="250">
        <f t="shared" si="109"/>
        <v>287</v>
      </c>
      <c r="B402" s="20" t="s">
        <v>1709</v>
      </c>
      <c r="C402" s="273">
        <f t="shared" si="107"/>
        <v>1738904.4</v>
      </c>
      <c r="D402" s="273">
        <f t="shared" si="108"/>
        <v>1738904.4</v>
      </c>
      <c r="E402" s="273"/>
      <c r="F402" s="273">
        <v>1314955.2</v>
      </c>
      <c r="G402" s="273"/>
      <c r="H402" s="273">
        <v>220764</v>
      </c>
      <c r="I402" s="273">
        <v>203185.2</v>
      </c>
      <c r="J402" s="273"/>
      <c r="K402" s="273"/>
      <c r="L402" s="273"/>
      <c r="M402" s="273"/>
      <c r="N402" s="273"/>
      <c r="O402" s="273"/>
      <c r="P402" s="273"/>
      <c r="Q402" s="273"/>
      <c r="R402" s="273"/>
      <c r="S402" s="273"/>
      <c r="T402" s="273"/>
      <c r="U402" s="83"/>
      <c r="V402" s="273"/>
      <c r="W402" s="271"/>
      <c r="X402" s="271"/>
      <c r="Y402" s="271"/>
      <c r="Z402" s="271"/>
      <c r="AA402" s="271"/>
      <c r="AB402" s="271"/>
      <c r="AC402" s="269"/>
      <c r="AD402" s="7"/>
      <c r="AE402" s="13"/>
      <c r="AF402" s="13"/>
      <c r="AG402" s="13"/>
    </row>
    <row r="403" spans="1:33" x14ac:dyDescent="0.3">
      <c r="A403" s="250">
        <f t="shared" si="109"/>
        <v>288</v>
      </c>
      <c r="B403" s="20" t="s">
        <v>1712</v>
      </c>
      <c r="C403" s="273">
        <f t="shared" si="107"/>
        <v>1314062.3999999999</v>
      </c>
      <c r="D403" s="273">
        <f t="shared" si="108"/>
        <v>1314062.3999999999</v>
      </c>
      <c r="E403" s="273">
        <v>1314062.3999999999</v>
      </c>
      <c r="F403" s="273"/>
      <c r="G403" s="273"/>
      <c r="H403" s="273"/>
      <c r="I403" s="273"/>
      <c r="J403" s="273"/>
      <c r="K403" s="273"/>
      <c r="L403" s="273"/>
      <c r="M403" s="273"/>
      <c r="N403" s="273"/>
      <c r="O403" s="273"/>
      <c r="P403" s="273"/>
      <c r="Q403" s="273"/>
      <c r="R403" s="273"/>
      <c r="S403" s="273"/>
      <c r="T403" s="273"/>
      <c r="U403" s="83"/>
      <c r="V403" s="273"/>
      <c r="W403" s="271"/>
      <c r="X403" s="271"/>
      <c r="Y403" s="271"/>
      <c r="Z403" s="271"/>
      <c r="AA403" s="271"/>
      <c r="AB403" s="271"/>
      <c r="AC403" s="269"/>
      <c r="AD403" s="7"/>
      <c r="AE403" s="13"/>
      <c r="AF403" s="13"/>
      <c r="AG403" s="13"/>
    </row>
    <row r="404" spans="1:33" x14ac:dyDescent="0.3">
      <c r="A404" s="250">
        <f t="shared" si="109"/>
        <v>289</v>
      </c>
      <c r="B404" s="20" t="s">
        <v>1715</v>
      </c>
      <c r="C404" s="273">
        <f t="shared" si="107"/>
        <v>4182817.2</v>
      </c>
      <c r="D404" s="273">
        <f t="shared" si="108"/>
        <v>590508</v>
      </c>
      <c r="E404" s="273">
        <v>590508</v>
      </c>
      <c r="F404" s="273"/>
      <c r="G404" s="273"/>
      <c r="H404" s="273"/>
      <c r="I404" s="273"/>
      <c r="J404" s="273">
        <v>564.1</v>
      </c>
      <c r="K404" s="273">
        <v>3592309.2</v>
      </c>
      <c r="L404" s="273"/>
      <c r="M404" s="273"/>
      <c r="N404" s="273"/>
      <c r="O404" s="273"/>
      <c r="P404" s="273"/>
      <c r="Q404" s="273"/>
      <c r="R404" s="273"/>
      <c r="S404" s="273"/>
      <c r="T404" s="273"/>
      <c r="U404" s="83"/>
      <c r="V404" s="273"/>
      <c r="W404" s="271"/>
      <c r="X404" s="271"/>
      <c r="Y404" s="271"/>
      <c r="Z404" s="271"/>
      <c r="AA404" s="271"/>
      <c r="AB404" s="271"/>
      <c r="AC404" s="269"/>
      <c r="AD404" s="7"/>
      <c r="AE404" s="13"/>
      <c r="AF404" s="13"/>
      <c r="AG404" s="13"/>
    </row>
    <row r="405" spans="1:33" x14ac:dyDescent="0.3">
      <c r="A405" s="250">
        <f t="shared" si="109"/>
        <v>290</v>
      </c>
      <c r="B405" s="20" t="s">
        <v>1719</v>
      </c>
      <c r="C405" s="273">
        <f t="shared" si="107"/>
        <v>2033766</v>
      </c>
      <c r="D405" s="273">
        <f t="shared" si="108"/>
        <v>2033766</v>
      </c>
      <c r="E405" s="273">
        <f>490*2688+2*358323</f>
        <v>2033766</v>
      </c>
      <c r="F405" s="273"/>
      <c r="G405" s="273"/>
      <c r="H405" s="273"/>
      <c r="I405" s="273"/>
      <c r="J405" s="273"/>
      <c r="K405" s="273"/>
      <c r="L405" s="273"/>
      <c r="M405" s="273"/>
      <c r="N405" s="273"/>
      <c r="O405" s="273"/>
      <c r="P405" s="273"/>
      <c r="Q405" s="273"/>
      <c r="R405" s="273"/>
      <c r="S405" s="273"/>
      <c r="T405" s="273"/>
      <c r="U405" s="83"/>
      <c r="V405" s="273"/>
      <c r="W405" s="271"/>
      <c r="X405" s="271"/>
      <c r="Y405" s="271"/>
      <c r="Z405" s="271"/>
      <c r="AA405" s="271"/>
      <c r="AB405" s="271"/>
      <c r="AC405" s="269"/>
      <c r="AD405" s="7"/>
      <c r="AE405" s="13"/>
      <c r="AF405" s="13"/>
      <c r="AG405" s="13"/>
    </row>
    <row r="406" spans="1:33" x14ac:dyDescent="0.3">
      <c r="A406" s="250">
        <f t="shared" si="109"/>
        <v>291</v>
      </c>
      <c r="B406" s="20" t="s">
        <v>1740</v>
      </c>
      <c r="C406" s="273">
        <f t="shared" si="107"/>
        <v>621800.4</v>
      </c>
      <c r="D406" s="273">
        <f t="shared" si="108"/>
        <v>621800.4</v>
      </c>
      <c r="E406" s="273">
        <v>621800.4</v>
      </c>
      <c r="F406" s="273"/>
      <c r="G406" s="273"/>
      <c r="H406" s="273"/>
      <c r="I406" s="273"/>
      <c r="J406" s="273"/>
      <c r="K406" s="273"/>
      <c r="L406" s="273"/>
      <c r="M406" s="273"/>
      <c r="N406" s="273"/>
      <c r="O406" s="273"/>
      <c r="P406" s="273"/>
      <c r="Q406" s="273"/>
      <c r="R406" s="273"/>
      <c r="S406" s="273"/>
      <c r="T406" s="273"/>
      <c r="U406" s="83"/>
      <c r="V406" s="261"/>
      <c r="W406" s="271"/>
      <c r="X406" s="271"/>
      <c r="Y406" s="271"/>
      <c r="Z406" s="271"/>
      <c r="AA406" s="271"/>
      <c r="AB406" s="271"/>
      <c r="AC406" s="269"/>
      <c r="AD406" s="7"/>
      <c r="AE406" s="13"/>
      <c r="AF406" s="13"/>
      <c r="AG406" s="13"/>
    </row>
    <row r="407" spans="1:33" x14ac:dyDescent="0.3">
      <c r="A407" s="250">
        <f t="shared" si="109"/>
        <v>292</v>
      </c>
      <c r="B407" s="20" t="s">
        <v>1743</v>
      </c>
      <c r="C407" s="273">
        <f t="shared" si="107"/>
        <v>357688.8</v>
      </c>
      <c r="D407" s="273">
        <f t="shared" si="108"/>
        <v>357688.8</v>
      </c>
      <c r="E407" s="273">
        <v>357688.8</v>
      </c>
      <c r="F407" s="273"/>
      <c r="G407" s="273"/>
      <c r="H407" s="273"/>
      <c r="I407" s="273"/>
      <c r="J407" s="273"/>
      <c r="K407" s="273"/>
      <c r="L407" s="273"/>
      <c r="M407" s="273"/>
      <c r="N407" s="273"/>
      <c r="O407" s="273"/>
      <c r="P407" s="273"/>
      <c r="Q407" s="273"/>
      <c r="R407" s="273"/>
      <c r="S407" s="273"/>
      <c r="T407" s="273"/>
      <c r="U407" s="83"/>
      <c r="V407" s="261"/>
      <c r="W407" s="271"/>
      <c r="X407" s="271"/>
      <c r="Y407" s="271"/>
      <c r="Z407" s="271"/>
      <c r="AA407" s="271"/>
      <c r="AB407" s="271"/>
      <c r="AC407" s="269"/>
      <c r="AD407" s="7"/>
      <c r="AE407" s="13"/>
      <c r="AF407" s="13"/>
      <c r="AG407" s="13"/>
    </row>
    <row r="408" spans="1:33" x14ac:dyDescent="0.3">
      <c r="A408" s="250">
        <f t="shared" si="109"/>
        <v>293</v>
      </c>
      <c r="B408" s="20" t="s">
        <v>1745</v>
      </c>
      <c r="C408" s="273">
        <f t="shared" si="107"/>
        <v>12391585.199999999</v>
      </c>
      <c r="D408" s="273">
        <f t="shared" si="108"/>
        <v>12391585.199999999</v>
      </c>
      <c r="E408" s="273">
        <f>1100*2688+2*358323</f>
        <v>3673446</v>
      </c>
      <c r="F408" s="273">
        <v>6944337.5999999996</v>
      </c>
      <c r="G408" s="273"/>
      <c r="H408" s="273"/>
      <c r="I408" s="273">
        <v>1773801.6</v>
      </c>
      <c r="J408" s="273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83"/>
      <c r="V408" s="261"/>
      <c r="W408" s="271"/>
      <c r="X408" s="271"/>
      <c r="Y408" s="271"/>
      <c r="Z408" s="271"/>
      <c r="AA408" s="271"/>
      <c r="AB408" s="271"/>
      <c r="AC408" s="269"/>
      <c r="AD408" s="7"/>
      <c r="AE408" s="13"/>
      <c r="AF408" s="13"/>
      <c r="AG408" s="13"/>
    </row>
    <row r="409" spans="1:33" x14ac:dyDescent="0.3">
      <c r="A409" s="250">
        <f t="shared" si="109"/>
        <v>294</v>
      </c>
      <c r="B409" s="20" t="s">
        <v>1750</v>
      </c>
      <c r="C409" s="273">
        <f t="shared" si="107"/>
        <v>1018736.4</v>
      </c>
      <c r="D409" s="273">
        <f t="shared" si="108"/>
        <v>1018736.4</v>
      </c>
      <c r="E409" s="273">
        <v>1018736.4</v>
      </c>
      <c r="F409" s="273"/>
      <c r="G409" s="273"/>
      <c r="H409" s="273"/>
      <c r="I409" s="273"/>
      <c r="J409" s="273"/>
      <c r="K409" s="273"/>
      <c r="L409" s="273"/>
      <c r="M409" s="273"/>
      <c r="N409" s="273"/>
      <c r="O409" s="273"/>
      <c r="P409" s="273"/>
      <c r="Q409" s="273"/>
      <c r="R409" s="273"/>
      <c r="S409" s="273"/>
      <c r="T409" s="273"/>
      <c r="U409" s="83"/>
      <c r="V409" s="273"/>
      <c r="W409" s="271"/>
      <c r="X409" s="271"/>
      <c r="Y409" s="271"/>
      <c r="Z409" s="271"/>
      <c r="AA409" s="271"/>
      <c r="AB409" s="271"/>
      <c r="AC409" s="269"/>
      <c r="AD409" s="7"/>
      <c r="AE409" s="13"/>
      <c r="AF409" s="13"/>
      <c r="AG409" s="13"/>
    </row>
    <row r="410" spans="1:33" x14ac:dyDescent="0.3">
      <c r="A410" s="250">
        <f t="shared" si="109"/>
        <v>295</v>
      </c>
      <c r="B410" s="20" t="s">
        <v>1751</v>
      </c>
      <c r="C410" s="273">
        <f t="shared" si="107"/>
        <v>1286544</v>
      </c>
      <c r="D410" s="273">
        <f t="shared" si="108"/>
        <v>1286544</v>
      </c>
      <c r="E410" s="273">
        <v>1286544</v>
      </c>
      <c r="F410" s="273"/>
      <c r="G410" s="273"/>
      <c r="H410" s="273"/>
      <c r="I410" s="273"/>
      <c r="J410" s="273"/>
      <c r="K410" s="273"/>
      <c r="L410" s="273"/>
      <c r="M410" s="273"/>
      <c r="N410" s="273"/>
      <c r="O410" s="273"/>
      <c r="P410" s="273"/>
      <c r="Q410" s="273"/>
      <c r="R410" s="273"/>
      <c r="S410" s="273"/>
      <c r="T410" s="273"/>
      <c r="U410" s="83"/>
      <c r="V410" s="261"/>
      <c r="W410" s="271"/>
      <c r="X410" s="271"/>
      <c r="Y410" s="271"/>
      <c r="Z410" s="271"/>
      <c r="AA410" s="271"/>
      <c r="AB410" s="271"/>
      <c r="AC410" s="269"/>
      <c r="AD410" s="7"/>
      <c r="AE410" s="13"/>
      <c r="AF410" s="13"/>
      <c r="AG410" s="13"/>
    </row>
    <row r="411" spans="1:33" x14ac:dyDescent="0.3">
      <c r="A411" s="250">
        <f t="shared" si="109"/>
        <v>296</v>
      </c>
      <c r="B411" s="20" t="s">
        <v>1757</v>
      </c>
      <c r="C411" s="273">
        <f t="shared" si="107"/>
        <v>1077688.1000000001</v>
      </c>
      <c r="D411" s="273">
        <f t="shared" si="108"/>
        <v>1077688.1000000001</v>
      </c>
      <c r="E411" s="273">
        <v>1077688.1000000001</v>
      </c>
      <c r="F411" s="273"/>
      <c r="G411" s="273"/>
      <c r="H411" s="273"/>
      <c r="I411" s="273"/>
      <c r="J411" s="273"/>
      <c r="K411" s="273"/>
      <c r="L411" s="273"/>
      <c r="M411" s="273"/>
      <c r="N411" s="273"/>
      <c r="O411" s="273"/>
      <c r="P411" s="273"/>
      <c r="Q411" s="273"/>
      <c r="R411" s="273"/>
      <c r="S411" s="273"/>
      <c r="T411" s="273"/>
      <c r="U411" s="83"/>
      <c r="V411" s="273"/>
      <c r="W411" s="271"/>
      <c r="X411" s="271"/>
      <c r="Y411" s="271"/>
      <c r="Z411" s="271"/>
      <c r="AA411" s="271"/>
      <c r="AB411" s="271"/>
      <c r="AC411" s="269"/>
      <c r="AD411" s="7"/>
      <c r="AE411" s="13"/>
      <c r="AF411" s="13"/>
      <c r="AG411" s="13"/>
    </row>
    <row r="412" spans="1:33" x14ac:dyDescent="0.3">
      <c r="A412" s="250">
        <f t="shared" si="109"/>
        <v>297</v>
      </c>
      <c r="B412" s="20" t="s">
        <v>1759</v>
      </c>
      <c r="C412" s="273">
        <f t="shared" si="107"/>
        <v>1849022.62</v>
      </c>
      <c r="D412" s="273">
        <f t="shared" si="108"/>
        <v>1849022.62</v>
      </c>
      <c r="E412" s="273">
        <v>1849022.62</v>
      </c>
      <c r="F412" s="273"/>
      <c r="G412" s="273"/>
      <c r="H412" s="273"/>
      <c r="I412" s="273"/>
      <c r="J412" s="273"/>
      <c r="K412" s="273"/>
      <c r="L412" s="273"/>
      <c r="M412" s="273"/>
      <c r="N412" s="273"/>
      <c r="O412" s="273"/>
      <c r="P412" s="273"/>
      <c r="Q412" s="273"/>
      <c r="R412" s="273"/>
      <c r="S412" s="273"/>
      <c r="T412" s="273"/>
      <c r="U412" s="83"/>
      <c r="V412" s="261"/>
      <c r="W412" s="271"/>
      <c r="X412" s="271"/>
      <c r="Y412" s="271"/>
      <c r="Z412" s="271"/>
      <c r="AA412" s="271"/>
      <c r="AB412" s="271"/>
      <c r="AC412" s="269"/>
      <c r="AD412" s="7"/>
      <c r="AE412" s="13"/>
      <c r="AF412" s="13"/>
      <c r="AG412" s="13"/>
    </row>
    <row r="413" spans="1:33" x14ac:dyDescent="0.3">
      <c r="A413" s="250">
        <f t="shared" si="109"/>
        <v>298</v>
      </c>
      <c r="B413" s="20" t="s">
        <v>1762</v>
      </c>
      <c r="C413" s="273">
        <f t="shared" si="107"/>
        <v>1194132</v>
      </c>
      <c r="D413" s="273">
        <f t="shared" si="108"/>
        <v>1194132</v>
      </c>
      <c r="E413" s="273">
        <v>1194132</v>
      </c>
      <c r="F413" s="273"/>
      <c r="G413" s="273"/>
      <c r="H413" s="273"/>
      <c r="I413" s="273"/>
      <c r="J413" s="273"/>
      <c r="K413" s="273"/>
      <c r="L413" s="273"/>
      <c r="M413" s="273"/>
      <c r="N413" s="273"/>
      <c r="O413" s="273"/>
      <c r="P413" s="273"/>
      <c r="Q413" s="273"/>
      <c r="R413" s="273"/>
      <c r="S413" s="273"/>
      <c r="T413" s="273"/>
      <c r="U413" s="83"/>
      <c r="V413" s="273"/>
      <c r="W413" s="271"/>
      <c r="X413" s="271"/>
      <c r="Y413" s="271"/>
      <c r="Z413" s="271"/>
      <c r="AA413" s="271"/>
      <c r="AB413" s="271"/>
      <c r="AC413" s="269"/>
      <c r="AD413" s="7"/>
      <c r="AE413" s="13"/>
      <c r="AF413" s="13"/>
      <c r="AG413" s="13"/>
    </row>
    <row r="414" spans="1:33" x14ac:dyDescent="0.3">
      <c r="A414" s="250">
        <f t="shared" si="109"/>
        <v>299</v>
      </c>
      <c r="B414" s="20" t="s">
        <v>1763</v>
      </c>
      <c r="C414" s="273">
        <f t="shared" si="107"/>
        <v>2855400.58</v>
      </c>
      <c r="D414" s="273">
        <f t="shared" si="108"/>
        <v>589041.84</v>
      </c>
      <c r="E414" s="273">
        <v>589041.84</v>
      </c>
      <c r="F414" s="273"/>
      <c r="G414" s="273"/>
      <c r="H414" s="273"/>
      <c r="I414" s="273"/>
      <c r="J414" s="273">
        <v>540.79999999999995</v>
      </c>
      <c r="K414" s="273">
        <v>2266358.7400000002</v>
      </c>
      <c r="L414" s="273"/>
      <c r="M414" s="273"/>
      <c r="N414" s="273"/>
      <c r="O414" s="273"/>
      <c r="P414" s="273"/>
      <c r="Q414" s="273"/>
      <c r="R414" s="273"/>
      <c r="S414" s="273"/>
      <c r="T414" s="273"/>
      <c r="U414" s="83"/>
      <c r="V414" s="273"/>
      <c r="W414" s="271"/>
      <c r="X414" s="271"/>
      <c r="Y414" s="271"/>
      <c r="Z414" s="271"/>
      <c r="AA414" s="271"/>
      <c r="AB414" s="271"/>
      <c r="AC414" s="269"/>
      <c r="AD414" s="7"/>
      <c r="AE414" s="13"/>
      <c r="AF414" s="13"/>
      <c r="AG414" s="13"/>
    </row>
    <row r="415" spans="1:33" x14ac:dyDescent="0.3">
      <c r="A415" s="250">
        <f t="shared" si="109"/>
        <v>300</v>
      </c>
      <c r="B415" s="20" t="s">
        <v>1765</v>
      </c>
      <c r="C415" s="273">
        <f t="shared" si="107"/>
        <v>5710975.9199999999</v>
      </c>
      <c r="D415" s="273">
        <f t="shared" si="108"/>
        <v>5710975.9199999999</v>
      </c>
      <c r="E415" s="273">
        <v>984520.8</v>
      </c>
      <c r="F415" s="273">
        <v>4031548</v>
      </c>
      <c r="G415" s="273">
        <v>130125.68</v>
      </c>
      <c r="H415" s="273">
        <v>564781.43999999994</v>
      </c>
      <c r="I415" s="273"/>
      <c r="J415" s="273"/>
      <c r="K415" s="273"/>
      <c r="L415" s="273"/>
      <c r="M415" s="273"/>
      <c r="N415" s="273"/>
      <c r="O415" s="273"/>
      <c r="P415" s="273"/>
      <c r="Q415" s="273"/>
      <c r="R415" s="273"/>
      <c r="S415" s="273"/>
      <c r="T415" s="273"/>
      <c r="U415" s="83"/>
      <c r="V415" s="273"/>
      <c r="W415" s="271"/>
      <c r="X415" s="271"/>
      <c r="Y415" s="271"/>
      <c r="Z415" s="271"/>
      <c r="AA415" s="271"/>
      <c r="AB415" s="271"/>
      <c r="AC415" s="269"/>
      <c r="AD415" s="7"/>
      <c r="AE415" s="13"/>
      <c r="AF415" s="13"/>
      <c r="AG415" s="13"/>
    </row>
    <row r="416" spans="1:33" x14ac:dyDescent="0.3">
      <c r="A416" s="250">
        <f t="shared" si="109"/>
        <v>301</v>
      </c>
      <c r="B416" s="20" t="s">
        <v>1769</v>
      </c>
      <c r="C416" s="273">
        <f t="shared" si="107"/>
        <v>1124023</v>
      </c>
      <c r="D416" s="273">
        <f t="shared" si="108"/>
        <v>1124023</v>
      </c>
      <c r="E416" s="273">
        <v>1124023</v>
      </c>
      <c r="F416" s="273"/>
      <c r="G416" s="273"/>
      <c r="H416" s="273"/>
      <c r="I416" s="273"/>
      <c r="J416" s="273"/>
      <c r="K416" s="273"/>
      <c r="L416" s="273"/>
      <c r="M416" s="273"/>
      <c r="N416" s="273"/>
      <c r="O416" s="273"/>
      <c r="P416" s="273"/>
      <c r="Q416" s="273"/>
      <c r="R416" s="273"/>
      <c r="S416" s="273"/>
      <c r="T416" s="273"/>
      <c r="U416" s="83"/>
      <c r="V416" s="273"/>
      <c r="W416" s="271"/>
      <c r="X416" s="271"/>
      <c r="Y416" s="271"/>
      <c r="Z416" s="271"/>
      <c r="AA416" s="271"/>
      <c r="AB416" s="271"/>
      <c r="AC416" s="269"/>
      <c r="AD416" s="7"/>
      <c r="AE416" s="13"/>
      <c r="AF416" s="13"/>
      <c r="AG416" s="13"/>
    </row>
    <row r="417" spans="1:36" x14ac:dyDescent="0.3">
      <c r="A417" s="250">
        <f t="shared" si="109"/>
        <v>302</v>
      </c>
      <c r="B417" s="20" t="s">
        <v>1770</v>
      </c>
      <c r="C417" s="273">
        <f t="shared" si="107"/>
        <v>650130</v>
      </c>
      <c r="D417" s="273">
        <f t="shared" si="108"/>
        <v>650130</v>
      </c>
      <c r="E417" s="273">
        <v>650130</v>
      </c>
      <c r="F417" s="273"/>
      <c r="G417" s="273"/>
      <c r="H417" s="273"/>
      <c r="I417" s="273"/>
      <c r="J417" s="273"/>
      <c r="K417" s="273"/>
      <c r="L417" s="273"/>
      <c r="M417" s="273"/>
      <c r="N417" s="273"/>
      <c r="O417" s="273"/>
      <c r="P417" s="273"/>
      <c r="Q417" s="273"/>
      <c r="R417" s="273"/>
      <c r="S417" s="273"/>
      <c r="T417" s="273"/>
      <c r="U417" s="83"/>
      <c r="V417" s="273"/>
      <c r="W417" s="271"/>
      <c r="X417" s="271"/>
      <c r="Y417" s="271"/>
      <c r="Z417" s="271"/>
      <c r="AA417" s="271"/>
      <c r="AB417" s="271"/>
      <c r="AC417" s="269"/>
      <c r="AD417" s="7"/>
      <c r="AE417" s="13"/>
      <c r="AF417" s="13"/>
      <c r="AG417" s="13"/>
    </row>
    <row r="418" spans="1:36" x14ac:dyDescent="0.3">
      <c r="A418" s="250">
        <f t="shared" si="109"/>
        <v>303</v>
      </c>
      <c r="B418" s="20" t="s">
        <v>1772</v>
      </c>
      <c r="C418" s="273">
        <f t="shared" si="107"/>
        <v>3494227.7800000003</v>
      </c>
      <c r="D418" s="273">
        <f t="shared" si="108"/>
        <v>498397.78</v>
      </c>
      <c r="E418" s="273">
        <v>498397.78</v>
      </c>
      <c r="F418" s="273"/>
      <c r="G418" s="273"/>
      <c r="H418" s="273"/>
      <c r="I418" s="273"/>
      <c r="J418" s="273">
        <v>430</v>
      </c>
      <c r="K418" s="273">
        <v>2995830</v>
      </c>
      <c r="L418" s="273"/>
      <c r="M418" s="273"/>
      <c r="N418" s="273"/>
      <c r="O418" s="273"/>
      <c r="P418" s="273"/>
      <c r="Q418" s="273"/>
      <c r="R418" s="273"/>
      <c r="S418" s="273"/>
      <c r="T418" s="273"/>
      <c r="U418" s="83"/>
      <c r="V418" s="273"/>
      <c r="W418" s="271"/>
      <c r="X418" s="271"/>
      <c r="Y418" s="271"/>
      <c r="Z418" s="271"/>
      <c r="AA418" s="271"/>
      <c r="AB418" s="271"/>
      <c r="AC418" s="269"/>
      <c r="AD418" s="7"/>
      <c r="AE418" s="13"/>
      <c r="AF418" s="13"/>
      <c r="AG418" s="13"/>
    </row>
    <row r="419" spans="1:36" x14ac:dyDescent="0.3">
      <c r="A419" s="250"/>
      <c r="B419" s="20" t="s">
        <v>208</v>
      </c>
      <c r="C419" s="273">
        <f t="shared" ref="C419:T419" si="110">SUM(C382:C418)</f>
        <v>80690711.280000001</v>
      </c>
      <c r="D419" s="273">
        <f t="shared" si="110"/>
        <v>55134553.460000001</v>
      </c>
      <c r="E419" s="273">
        <f t="shared" si="110"/>
        <v>32479948.939999998</v>
      </c>
      <c r="F419" s="273">
        <f t="shared" si="110"/>
        <v>17768200.600000001</v>
      </c>
      <c r="G419" s="273">
        <f t="shared" si="110"/>
        <v>507645.68</v>
      </c>
      <c r="H419" s="273">
        <f t="shared" si="110"/>
        <v>2401771.44</v>
      </c>
      <c r="I419" s="273">
        <f t="shared" si="110"/>
        <v>1976986.8</v>
      </c>
      <c r="J419" s="273">
        <f t="shared" si="110"/>
        <v>3868.46</v>
      </c>
      <c r="K419" s="273">
        <f t="shared" si="110"/>
        <v>25556157.82</v>
      </c>
      <c r="L419" s="273">
        <f t="shared" si="110"/>
        <v>0</v>
      </c>
      <c r="M419" s="273">
        <f t="shared" si="110"/>
        <v>0</v>
      </c>
      <c r="N419" s="273">
        <f t="shared" si="110"/>
        <v>0</v>
      </c>
      <c r="O419" s="273">
        <f t="shared" si="110"/>
        <v>0</v>
      </c>
      <c r="P419" s="273">
        <f t="shared" si="110"/>
        <v>0</v>
      </c>
      <c r="Q419" s="273">
        <f t="shared" si="110"/>
        <v>0</v>
      </c>
      <c r="R419" s="273">
        <f t="shared" si="110"/>
        <v>0</v>
      </c>
      <c r="S419" s="273">
        <f t="shared" si="110"/>
        <v>0</v>
      </c>
      <c r="T419" s="273">
        <f t="shared" si="110"/>
        <v>0</v>
      </c>
      <c r="U419" s="83"/>
      <c r="V419" s="11"/>
      <c r="W419" s="271"/>
      <c r="X419" s="271"/>
      <c r="Y419" s="271"/>
      <c r="Z419" s="271"/>
      <c r="AA419" s="271"/>
      <c r="AB419" s="271"/>
      <c r="AC419" s="269"/>
      <c r="AD419" s="7"/>
      <c r="AE419" s="13"/>
      <c r="AF419" s="13"/>
      <c r="AG419" s="13"/>
    </row>
    <row r="420" spans="1:36" ht="15" customHeight="1" x14ac:dyDescent="0.3">
      <c r="A420" s="327" t="s">
        <v>1782</v>
      </c>
      <c r="B420" s="328"/>
      <c r="C420" s="273"/>
      <c r="D420" s="273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97"/>
      <c r="V420" s="273"/>
      <c r="W420" s="271"/>
      <c r="X420" s="271"/>
      <c r="Y420" s="271"/>
      <c r="Z420" s="271"/>
      <c r="AA420" s="271"/>
      <c r="AB420" s="271"/>
      <c r="AC420" s="269"/>
      <c r="AD420" s="7"/>
      <c r="AE420" s="13"/>
      <c r="AF420" s="13"/>
      <c r="AG420" s="13"/>
    </row>
    <row r="421" spans="1:36" x14ac:dyDescent="0.3">
      <c r="A421" s="250">
        <f>A418+1</f>
        <v>304</v>
      </c>
      <c r="B421" s="20" t="s">
        <v>1791</v>
      </c>
      <c r="C421" s="273">
        <f t="shared" ref="C421:C425" si="111">D421+K421+M421+O421+P421+R421+S421+T421</f>
        <v>2210338.56</v>
      </c>
      <c r="D421" s="273">
        <f>E421+F421+G421+H421+I421</f>
        <v>2210338.56</v>
      </c>
      <c r="E421" s="273">
        <v>545235.6</v>
      </c>
      <c r="F421" s="273"/>
      <c r="G421" s="273">
        <v>485654.96</v>
      </c>
      <c r="H421" s="273">
        <v>1179448</v>
      </c>
      <c r="I421" s="273"/>
      <c r="J421" s="273"/>
      <c r="K421" s="273"/>
      <c r="L421" s="273"/>
      <c r="M421" s="273"/>
      <c r="N421" s="273"/>
      <c r="O421" s="261"/>
      <c r="P421" s="273"/>
      <c r="Q421" s="273"/>
      <c r="R421" s="273"/>
      <c r="S421" s="273"/>
      <c r="T421" s="273"/>
      <c r="U421" s="83"/>
      <c r="V421" s="261"/>
      <c r="W421" s="271"/>
      <c r="X421" s="271"/>
      <c r="Y421" s="271"/>
      <c r="Z421" s="271"/>
      <c r="AA421" s="271"/>
      <c r="AB421" s="271"/>
      <c r="AC421" s="269"/>
      <c r="AD421" s="7"/>
      <c r="AE421" s="13"/>
      <c r="AF421" s="13"/>
      <c r="AG421" s="13"/>
    </row>
    <row r="422" spans="1:36" x14ac:dyDescent="0.3">
      <c r="A422" s="250">
        <f>A421+1</f>
        <v>305</v>
      </c>
      <c r="B422" s="20" t="s">
        <v>1792</v>
      </c>
      <c r="C422" s="273">
        <f t="shared" si="111"/>
        <v>3016190.92</v>
      </c>
      <c r="D422" s="273">
        <f>E422+F422+G422+H422+I422</f>
        <v>3016190.92</v>
      </c>
      <c r="E422" s="273">
        <v>431878.8</v>
      </c>
      <c r="F422" s="273">
        <v>1547461.44</v>
      </c>
      <c r="G422" s="273">
        <v>349163.2</v>
      </c>
      <c r="H422" s="273">
        <v>687687.48</v>
      </c>
      <c r="I422" s="273"/>
      <c r="J422" s="273"/>
      <c r="K422" s="273"/>
      <c r="L422" s="273"/>
      <c r="M422" s="273"/>
      <c r="N422" s="273"/>
      <c r="O422" s="273"/>
      <c r="P422" s="273"/>
      <c r="Q422" s="273"/>
      <c r="R422" s="273"/>
      <c r="S422" s="273"/>
      <c r="T422" s="273"/>
      <c r="U422" s="83"/>
      <c r="V422" s="261"/>
      <c r="W422" s="271"/>
      <c r="X422" s="271"/>
      <c r="Y422" s="271"/>
      <c r="Z422" s="271"/>
      <c r="AA422" s="271"/>
      <c r="AB422" s="271"/>
      <c r="AC422" s="269"/>
      <c r="AD422" s="7"/>
      <c r="AE422" s="13"/>
      <c r="AF422" s="13"/>
      <c r="AG422" s="13"/>
    </row>
    <row r="423" spans="1:36" x14ac:dyDescent="0.3">
      <c r="A423" s="250">
        <f>A422+1</f>
        <v>306</v>
      </c>
      <c r="B423" s="20" t="s">
        <v>1794</v>
      </c>
      <c r="C423" s="273">
        <f t="shared" si="111"/>
        <v>2915876.46</v>
      </c>
      <c r="D423" s="273">
        <f>E423+F423+G423+H423+I423</f>
        <v>2915876.46</v>
      </c>
      <c r="E423" s="273">
        <v>394885.82</v>
      </c>
      <c r="F423" s="273">
        <v>1547461.44</v>
      </c>
      <c r="G423" s="273">
        <v>349163.2</v>
      </c>
      <c r="H423" s="273">
        <v>624366</v>
      </c>
      <c r="I423" s="273"/>
      <c r="J423" s="273"/>
      <c r="K423" s="273"/>
      <c r="L423" s="273"/>
      <c r="M423" s="273"/>
      <c r="N423" s="273"/>
      <c r="O423" s="273"/>
      <c r="P423" s="273"/>
      <c r="Q423" s="273"/>
      <c r="R423" s="273"/>
      <c r="S423" s="273"/>
      <c r="T423" s="273"/>
      <c r="U423" s="83"/>
      <c r="V423" s="261"/>
      <c r="W423" s="271"/>
      <c r="X423" s="271"/>
      <c r="Y423" s="271"/>
      <c r="Z423" s="271"/>
      <c r="AA423" s="271"/>
      <c r="AB423" s="271"/>
      <c r="AC423" s="269"/>
      <c r="AD423" s="7"/>
      <c r="AE423" s="13"/>
      <c r="AF423" s="13"/>
      <c r="AG423" s="13"/>
    </row>
    <row r="424" spans="1:36" x14ac:dyDescent="0.3">
      <c r="A424" s="250">
        <f>A423+1</f>
        <v>307</v>
      </c>
      <c r="B424" s="20" t="s">
        <v>1796</v>
      </c>
      <c r="C424" s="273">
        <f t="shared" si="111"/>
        <v>3119849.5900000003</v>
      </c>
      <c r="D424" s="273">
        <f>E424+F424+G424+H424+I424</f>
        <v>3119849.5900000003</v>
      </c>
      <c r="E424" s="273">
        <v>409530.8</v>
      </c>
      <c r="F424" s="273">
        <v>1556005.82</v>
      </c>
      <c r="G424" s="273">
        <v>349343.25</v>
      </c>
      <c r="H424" s="273">
        <v>624366</v>
      </c>
      <c r="I424" s="273">
        <v>180603.72</v>
      </c>
      <c r="J424" s="273"/>
      <c r="K424" s="273"/>
      <c r="L424" s="273"/>
      <c r="M424" s="273"/>
      <c r="N424" s="273"/>
      <c r="O424" s="273"/>
      <c r="P424" s="273"/>
      <c r="Q424" s="273"/>
      <c r="R424" s="273"/>
      <c r="S424" s="273"/>
      <c r="T424" s="273"/>
      <c r="U424" s="83"/>
      <c r="V424" s="261"/>
      <c r="W424" s="271"/>
      <c r="X424" s="271"/>
      <c r="Y424" s="271"/>
      <c r="Z424" s="271"/>
      <c r="AA424" s="271"/>
      <c r="AB424" s="271"/>
      <c r="AC424" s="269"/>
      <c r="AD424" s="7"/>
      <c r="AE424" s="13"/>
      <c r="AF424" s="13"/>
      <c r="AG424" s="13"/>
    </row>
    <row r="425" spans="1:36" x14ac:dyDescent="0.3">
      <c r="A425" s="250">
        <f>A424+1</f>
        <v>308</v>
      </c>
      <c r="B425" s="20" t="s">
        <v>1822</v>
      </c>
      <c r="C425" s="273">
        <f t="shared" si="111"/>
        <v>411382.8</v>
      </c>
      <c r="D425" s="273">
        <f>E425+F425+G425+H425+I425</f>
        <v>411382.8</v>
      </c>
      <c r="E425" s="273">
        <v>411382.8</v>
      </c>
      <c r="F425" s="273"/>
      <c r="G425" s="273"/>
      <c r="H425" s="273"/>
      <c r="I425" s="273"/>
      <c r="J425" s="273"/>
      <c r="K425" s="273"/>
      <c r="L425" s="273"/>
      <c r="M425" s="273"/>
      <c r="N425" s="273"/>
      <c r="O425" s="273"/>
      <c r="P425" s="273"/>
      <c r="Q425" s="273"/>
      <c r="R425" s="273"/>
      <c r="S425" s="273"/>
      <c r="T425" s="273"/>
      <c r="U425" s="83"/>
      <c r="V425" s="261"/>
      <c r="W425" s="271"/>
      <c r="X425" s="271"/>
      <c r="Y425" s="271"/>
      <c r="Z425" s="271"/>
      <c r="AA425" s="271"/>
      <c r="AB425" s="271"/>
      <c r="AC425" s="269"/>
      <c r="AD425" s="7"/>
      <c r="AE425" s="13"/>
      <c r="AF425" s="13"/>
      <c r="AG425" s="13"/>
    </row>
    <row r="426" spans="1:36" x14ac:dyDescent="0.3">
      <c r="A426" s="250"/>
      <c r="B426" s="20" t="s">
        <v>208</v>
      </c>
      <c r="C426" s="273">
        <f t="shared" ref="C426:T426" si="112">SUM(C421:C425)</f>
        <v>11673638.330000002</v>
      </c>
      <c r="D426" s="273">
        <f t="shared" si="112"/>
        <v>11673638.330000002</v>
      </c>
      <c r="E426" s="273">
        <f t="shared" si="112"/>
        <v>2192913.8199999998</v>
      </c>
      <c r="F426" s="273">
        <f t="shared" si="112"/>
        <v>4650928.7</v>
      </c>
      <c r="G426" s="273">
        <f t="shared" si="112"/>
        <v>1533324.61</v>
      </c>
      <c r="H426" s="273">
        <f t="shared" si="112"/>
        <v>3115867.48</v>
      </c>
      <c r="I426" s="273">
        <f t="shared" si="112"/>
        <v>180603.72</v>
      </c>
      <c r="J426" s="273">
        <f t="shared" si="112"/>
        <v>0</v>
      </c>
      <c r="K426" s="273">
        <f t="shared" si="112"/>
        <v>0</v>
      </c>
      <c r="L426" s="273">
        <f t="shared" si="112"/>
        <v>0</v>
      </c>
      <c r="M426" s="273">
        <f t="shared" si="112"/>
        <v>0</v>
      </c>
      <c r="N426" s="273">
        <f t="shared" si="112"/>
        <v>0</v>
      </c>
      <c r="O426" s="273">
        <f t="shared" si="112"/>
        <v>0</v>
      </c>
      <c r="P426" s="273">
        <f t="shared" si="112"/>
        <v>0</v>
      </c>
      <c r="Q426" s="273">
        <f t="shared" si="112"/>
        <v>0</v>
      </c>
      <c r="R426" s="273">
        <f t="shared" si="112"/>
        <v>0</v>
      </c>
      <c r="S426" s="273">
        <f t="shared" si="112"/>
        <v>0</v>
      </c>
      <c r="T426" s="273">
        <f t="shared" si="112"/>
        <v>0</v>
      </c>
      <c r="U426" s="83"/>
      <c r="V426" s="11"/>
      <c r="W426" s="271"/>
      <c r="X426" s="271"/>
      <c r="Y426" s="271"/>
      <c r="Z426" s="271"/>
      <c r="AA426" s="271"/>
      <c r="AB426" s="271"/>
      <c r="AC426" s="269"/>
      <c r="AD426" s="7"/>
      <c r="AE426" s="13"/>
      <c r="AF426" s="13"/>
      <c r="AG426" s="13"/>
    </row>
    <row r="427" spans="1:36" s="36" customFormat="1" ht="15" customHeight="1" x14ac:dyDescent="0.3">
      <c r="A427" s="191" t="s">
        <v>1826</v>
      </c>
      <c r="B427" s="124"/>
      <c r="C427" s="273"/>
      <c r="D427" s="273"/>
      <c r="E427" s="273"/>
      <c r="F427" s="273"/>
      <c r="G427" s="273"/>
      <c r="H427" s="273"/>
      <c r="I427" s="273"/>
      <c r="J427" s="273"/>
      <c r="K427" s="273"/>
      <c r="L427" s="273"/>
      <c r="M427" s="273"/>
      <c r="N427" s="273"/>
      <c r="O427" s="273"/>
      <c r="P427" s="273"/>
      <c r="Q427" s="273"/>
      <c r="R427" s="273"/>
      <c r="S427" s="273"/>
      <c r="T427" s="273"/>
      <c r="U427" s="144"/>
      <c r="V427" s="144"/>
      <c r="W427" s="137"/>
      <c r="X427" s="83"/>
      <c r="Y427" s="271"/>
      <c r="Z427" s="271"/>
      <c r="AA427" s="271"/>
      <c r="AB427" s="271"/>
      <c r="AC427" s="271"/>
      <c r="AD427" s="271"/>
      <c r="AE427" s="269"/>
      <c r="AF427" s="7"/>
      <c r="AG427" s="13"/>
      <c r="AH427" s="13"/>
      <c r="AI427" s="13"/>
      <c r="AJ427" s="13"/>
    </row>
    <row r="428" spans="1:36" s="36" customFormat="1" x14ac:dyDescent="0.3">
      <c r="A428" s="8">
        <f>A425+1</f>
        <v>309</v>
      </c>
      <c r="B428" s="124" t="s">
        <v>3547</v>
      </c>
      <c r="C428" s="273">
        <f t="shared" ref="C428:C429" si="113">D428+K428+M428+O428+P428+R428+S428+T428</f>
        <v>2824308.9</v>
      </c>
      <c r="D428" s="273">
        <f>E428+F428+G428+H428+I428</f>
        <v>2824308.9</v>
      </c>
      <c r="E428" s="273">
        <v>2824308.9</v>
      </c>
      <c r="F428" s="273"/>
      <c r="G428" s="273"/>
      <c r="H428" s="273"/>
      <c r="I428" s="273"/>
      <c r="J428" s="273"/>
      <c r="K428" s="273"/>
      <c r="L428" s="273"/>
      <c r="M428" s="273"/>
      <c r="N428" s="273"/>
      <c r="O428" s="273"/>
      <c r="P428" s="273"/>
      <c r="Q428" s="273"/>
      <c r="R428" s="273"/>
      <c r="S428" s="273"/>
      <c r="T428" s="273"/>
      <c r="U428" s="147"/>
      <c r="V428" s="147"/>
      <c r="W428" s="148"/>
      <c r="X428" s="149"/>
      <c r="Y428" s="271"/>
      <c r="Z428" s="271"/>
      <c r="AA428" s="271"/>
      <c r="AB428" s="271"/>
      <c r="AC428" s="271"/>
      <c r="AD428" s="271"/>
      <c r="AE428" s="271"/>
      <c r="AF428" s="269"/>
      <c r="AG428" s="7"/>
      <c r="AH428" s="13"/>
      <c r="AI428" s="13"/>
      <c r="AJ428" s="13"/>
    </row>
    <row r="429" spans="1:36" s="36" customFormat="1" x14ac:dyDescent="0.3">
      <c r="A429" s="8">
        <f>A428+1</f>
        <v>310</v>
      </c>
      <c r="B429" s="124" t="s">
        <v>3548</v>
      </c>
      <c r="C429" s="273">
        <f t="shared" si="113"/>
        <v>810707.2</v>
      </c>
      <c r="D429" s="273">
        <f>E429+F429+G429+H429+I429</f>
        <v>0</v>
      </c>
      <c r="E429" s="273"/>
      <c r="F429" s="273"/>
      <c r="G429" s="273"/>
      <c r="H429" s="273"/>
      <c r="I429" s="273"/>
      <c r="J429" s="273"/>
      <c r="K429" s="273"/>
      <c r="L429" s="273"/>
      <c r="M429" s="273"/>
      <c r="N429" s="273"/>
      <c r="O429" s="273"/>
      <c r="P429" s="273">
        <v>680707.2</v>
      </c>
      <c r="Q429" s="273"/>
      <c r="R429" s="273"/>
      <c r="S429" s="273"/>
      <c r="T429" s="273">
        <v>130000</v>
      </c>
      <c r="U429" s="144"/>
      <c r="V429" s="144"/>
      <c r="W429" s="137"/>
      <c r="X429" s="283"/>
      <c r="Y429" s="271">
        <v>130000</v>
      </c>
      <c r="Z429" s="271"/>
      <c r="AA429" s="271"/>
      <c r="AB429" s="271"/>
      <c r="AC429" s="271"/>
      <c r="AD429" s="271"/>
      <c r="AE429" s="269"/>
      <c r="AF429" s="7"/>
      <c r="AG429" s="13"/>
      <c r="AH429" s="13"/>
      <c r="AI429" s="13"/>
      <c r="AJ429" s="13"/>
    </row>
    <row r="430" spans="1:36" s="36" customFormat="1" x14ac:dyDescent="0.3">
      <c r="A430" s="8"/>
      <c r="B430" s="124" t="s">
        <v>208</v>
      </c>
      <c r="C430" s="273">
        <f t="shared" ref="C430:T430" si="114">SUM(C428:C429)</f>
        <v>3635016.0999999996</v>
      </c>
      <c r="D430" s="273">
        <f t="shared" si="114"/>
        <v>2824308.9</v>
      </c>
      <c r="E430" s="273">
        <f t="shared" si="114"/>
        <v>2824308.9</v>
      </c>
      <c r="F430" s="273">
        <f t="shared" si="114"/>
        <v>0</v>
      </c>
      <c r="G430" s="273">
        <f t="shared" si="114"/>
        <v>0</v>
      </c>
      <c r="H430" s="273">
        <f t="shared" si="114"/>
        <v>0</v>
      </c>
      <c r="I430" s="273">
        <f t="shared" si="114"/>
        <v>0</v>
      </c>
      <c r="J430" s="273">
        <f t="shared" si="114"/>
        <v>0</v>
      </c>
      <c r="K430" s="273">
        <f t="shared" si="114"/>
        <v>0</v>
      </c>
      <c r="L430" s="273">
        <f t="shared" si="114"/>
        <v>0</v>
      </c>
      <c r="M430" s="273">
        <f t="shared" si="114"/>
        <v>0</v>
      </c>
      <c r="N430" s="273">
        <f t="shared" si="114"/>
        <v>0</v>
      </c>
      <c r="O430" s="273">
        <f t="shared" si="114"/>
        <v>0</v>
      </c>
      <c r="P430" s="273">
        <f t="shared" si="114"/>
        <v>680707.2</v>
      </c>
      <c r="Q430" s="273">
        <f t="shared" si="114"/>
        <v>0</v>
      </c>
      <c r="R430" s="273">
        <f t="shared" si="114"/>
        <v>0</v>
      </c>
      <c r="S430" s="273">
        <f t="shared" si="114"/>
        <v>0</v>
      </c>
      <c r="T430" s="273">
        <f t="shared" si="114"/>
        <v>130000</v>
      </c>
      <c r="U430" s="144"/>
      <c r="V430" s="144"/>
      <c r="W430" s="137"/>
      <c r="X430" s="83"/>
      <c r="Y430" s="271"/>
      <c r="Z430" s="271"/>
      <c r="AA430" s="271"/>
      <c r="AB430" s="271"/>
      <c r="AC430" s="271"/>
      <c r="AD430" s="271"/>
      <c r="AE430" s="269"/>
      <c r="AF430" s="7"/>
      <c r="AG430" s="13"/>
      <c r="AH430" s="13"/>
      <c r="AI430" s="13"/>
      <c r="AJ430" s="13"/>
    </row>
    <row r="431" spans="1:36" ht="15" customHeight="1" x14ac:dyDescent="0.3">
      <c r="A431" s="327" t="s">
        <v>1829</v>
      </c>
      <c r="B431" s="328"/>
      <c r="C431" s="273"/>
      <c r="D431" s="273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97"/>
      <c r="V431" s="273"/>
      <c r="W431" s="271"/>
      <c r="X431" s="271"/>
      <c r="Y431" s="271"/>
      <c r="Z431" s="271"/>
      <c r="AA431" s="271"/>
      <c r="AB431" s="271"/>
      <c r="AC431" s="269"/>
      <c r="AD431" s="7"/>
      <c r="AE431" s="13"/>
      <c r="AF431" s="13"/>
      <c r="AG431" s="13"/>
    </row>
    <row r="432" spans="1:36" x14ac:dyDescent="0.3">
      <c r="A432" s="8">
        <f>A429+1</f>
        <v>311</v>
      </c>
      <c r="B432" s="20" t="s">
        <v>1830</v>
      </c>
      <c r="C432" s="273">
        <f t="shared" ref="C432:C433" si="115">D432+K432+M432+O432+P432+R432+S432+T432</f>
        <v>941385.88</v>
      </c>
      <c r="D432" s="273">
        <f>E432+F432+G432+H432+I432</f>
        <v>0</v>
      </c>
      <c r="E432" s="273"/>
      <c r="F432" s="273"/>
      <c r="G432" s="273"/>
      <c r="H432" s="273"/>
      <c r="I432" s="273"/>
      <c r="J432" s="273"/>
      <c r="K432" s="273"/>
      <c r="L432" s="273"/>
      <c r="M432" s="273"/>
      <c r="N432" s="273"/>
      <c r="O432" s="273"/>
      <c r="P432" s="273"/>
      <c r="Q432" s="273"/>
      <c r="R432" s="273"/>
      <c r="S432" s="273"/>
      <c r="T432" s="273">
        <f>SUM('2022'!Y552:AJ552)</f>
        <v>941385.88</v>
      </c>
      <c r="U432" s="150"/>
      <c r="V432" s="273"/>
      <c r="W432" s="271"/>
      <c r="X432" s="271"/>
      <c r="Y432" s="271"/>
      <c r="Z432" s="271"/>
      <c r="AA432" s="271"/>
      <c r="AB432" s="271"/>
      <c r="AC432" s="13">
        <v>941385.88</v>
      </c>
      <c r="AD432" s="7"/>
      <c r="AF432" s="13"/>
      <c r="AG432" s="13"/>
    </row>
    <row r="433" spans="1:33" x14ac:dyDescent="0.3">
      <c r="A433" s="250">
        <f>A432+1</f>
        <v>312</v>
      </c>
      <c r="B433" s="20" t="s">
        <v>1831</v>
      </c>
      <c r="C433" s="273">
        <f t="shared" si="115"/>
        <v>1077271.8799999999</v>
      </c>
      <c r="D433" s="273">
        <f>E433+F433+G433+H433+I433</f>
        <v>0</v>
      </c>
      <c r="E433" s="273"/>
      <c r="F433" s="273"/>
      <c r="G433" s="273"/>
      <c r="H433" s="273"/>
      <c r="I433" s="273"/>
      <c r="J433" s="273"/>
      <c r="K433" s="273"/>
      <c r="L433" s="273"/>
      <c r="M433" s="273"/>
      <c r="N433" s="273"/>
      <c r="O433" s="273"/>
      <c r="P433" s="273"/>
      <c r="Q433" s="273"/>
      <c r="R433" s="273"/>
      <c r="S433" s="273"/>
      <c r="T433" s="273">
        <f>SUM('2022'!Y553:AJ553)</f>
        <v>1077271.8799999999</v>
      </c>
      <c r="U433" s="83"/>
      <c r="V433" s="273"/>
      <c r="W433" s="271"/>
      <c r="X433" s="271"/>
      <c r="Y433" s="271"/>
      <c r="Z433" s="271"/>
      <c r="AA433" s="269">
        <v>1077271.8799999999</v>
      </c>
      <c r="AB433" s="271"/>
      <c r="AD433" s="7"/>
      <c r="AE433" s="13"/>
      <c r="AF433" s="13"/>
      <c r="AG433" s="13"/>
    </row>
    <row r="434" spans="1:33" x14ac:dyDescent="0.3">
      <c r="A434" s="250"/>
      <c r="B434" s="20" t="s">
        <v>208</v>
      </c>
      <c r="C434" s="273">
        <f t="shared" ref="C434:T434" si="116">SUM(C432:C433)</f>
        <v>2018657.7599999998</v>
      </c>
      <c r="D434" s="273">
        <f t="shared" si="116"/>
        <v>0</v>
      </c>
      <c r="E434" s="273">
        <f t="shared" si="116"/>
        <v>0</v>
      </c>
      <c r="F434" s="273">
        <f t="shared" si="116"/>
        <v>0</v>
      </c>
      <c r="G434" s="273">
        <f t="shared" si="116"/>
        <v>0</v>
      </c>
      <c r="H434" s="273">
        <f t="shared" si="116"/>
        <v>0</v>
      </c>
      <c r="I434" s="273">
        <f t="shared" si="116"/>
        <v>0</v>
      </c>
      <c r="J434" s="273">
        <f t="shared" si="116"/>
        <v>0</v>
      </c>
      <c r="K434" s="273">
        <f t="shared" si="116"/>
        <v>0</v>
      </c>
      <c r="L434" s="273">
        <f t="shared" si="116"/>
        <v>0</v>
      </c>
      <c r="M434" s="273">
        <f t="shared" si="116"/>
        <v>0</v>
      </c>
      <c r="N434" s="273">
        <f t="shared" si="116"/>
        <v>0</v>
      </c>
      <c r="O434" s="273">
        <f t="shared" si="116"/>
        <v>0</v>
      </c>
      <c r="P434" s="273">
        <f t="shared" si="116"/>
        <v>0</v>
      </c>
      <c r="Q434" s="273">
        <f t="shared" si="116"/>
        <v>0</v>
      </c>
      <c r="R434" s="273">
        <f t="shared" si="116"/>
        <v>0</v>
      </c>
      <c r="S434" s="273">
        <f t="shared" si="116"/>
        <v>0</v>
      </c>
      <c r="T434" s="273">
        <f t="shared" si="116"/>
        <v>2018657.7599999998</v>
      </c>
      <c r="U434" s="83"/>
      <c r="V434" s="11"/>
      <c r="W434" s="271"/>
      <c r="X434" s="271"/>
      <c r="Y434" s="271"/>
      <c r="Z434" s="271"/>
      <c r="AA434" s="271"/>
      <c r="AB434" s="271"/>
      <c r="AC434" s="269"/>
      <c r="AD434" s="7"/>
      <c r="AE434" s="13"/>
      <c r="AF434" s="13"/>
      <c r="AG434" s="13"/>
    </row>
    <row r="435" spans="1:33" ht="15" customHeight="1" x14ac:dyDescent="0.3">
      <c r="A435" s="327" t="s">
        <v>1835</v>
      </c>
      <c r="B435" s="328"/>
      <c r="C435" s="273"/>
      <c r="D435" s="273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97"/>
      <c r="V435" s="273"/>
      <c r="W435" s="271"/>
      <c r="X435" s="271"/>
      <c r="Y435" s="271"/>
      <c r="Z435" s="271"/>
      <c r="AA435" s="271"/>
      <c r="AB435" s="271"/>
      <c r="AC435" s="269"/>
      <c r="AD435" s="7"/>
      <c r="AE435" s="13"/>
      <c r="AF435" s="13"/>
      <c r="AG435" s="13"/>
    </row>
    <row r="436" spans="1:33" ht="16.5" customHeight="1" x14ac:dyDescent="0.3">
      <c r="A436" s="250">
        <f>A433+1</f>
        <v>313</v>
      </c>
      <c r="B436" s="20" t="s">
        <v>1836</v>
      </c>
      <c r="C436" s="273">
        <f t="shared" ref="C436:C440" si="117">D436+K436+M436+O436+P436+R436+S436+T436</f>
        <v>2914862.41</v>
      </c>
      <c r="D436" s="273">
        <f>E436+F436+G436+H436+I436</f>
        <v>2914862.41</v>
      </c>
      <c r="E436" s="273"/>
      <c r="F436" s="273">
        <v>1998765.42</v>
      </c>
      <c r="G436" s="273"/>
      <c r="H436" s="273"/>
      <c r="I436" s="273">
        <v>916096.99</v>
      </c>
      <c r="J436" s="273"/>
      <c r="K436" s="273"/>
      <c r="L436" s="273"/>
      <c r="M436" s="273"/>
      <c r="N436" s="273"/>
      <c r="O436" s="273"/>
      <c r="P436" s="273"/>
      <c r="Q436" s="273"/>
      <c r="R436" s="273"/>
      <c r="S436" s="273">
        <v>0</v>
      </c>
      <c r="T436" s="273"/>
      <c r="U436" s="83"/>
      <c r="V436" s="261"/>
      <c r="W436" s="271"/>
      <c r="X436" s="271"/>
      <c r="Y436" s="271"/>
      <c r="Z436" s="271"/>
      <c r="AA436" s="271"/>
      <c r="AB436" s="271"/>
      <c r="AC436" s="269"/>
      <c r="AD436" s="7"/>
      <c r="AE436" s="13"/>
      <c r="AF436" s="13"/>
      <c r="AG436" s="13"/>
    </row>
    <row r="437" spans="1:33" ht="14.25" customHeight="1" x14ac:dyDescent="0.3">
      <c r="A437" s="250">
        <f>A436+1</f>
        <v>314</v>
      </c>
      <c r="B437" s="20" t="s">
        <v>1838</v>
      </c>
      <c r="C437" s="273">
        <f t="shared" si="117"/>
        <v>2914862.41</v>
      </c>
      <c r="D437" s="273">
        <f>E437+F437+G437+H437+I437</f>
        <v>2914862.41</v>
      </c>
      <c r="E437" s="273"/>
      <c r="F437" s="273">
        <v>1998765.42</v>
      </c>
      <c r="G437" s="273"/>
      <c r="H437" s="273"/>
      <c r="I437" s="273">
        <v>916096.99</v>
      </c>
      <c r="J437" s="273"/>
      <c r="K437" s="273"/>
      <c r="L437" s="273"/>
      <c r="M437" s="273"/>
      <c r="N437" s="273"/>
      <c r="O437" s="273"/>
      <c r="P437" s="273"/>
      <c r="Q437" s="273"/>
      <c r="R437" s="273"/>
      <c r="S437" s="273">
        <v>0</v>
      </c>
      <c r="T437" s="273"/>
      <c r="U437" s="83"/>
      <c r="V437" s="261"/>
      <c r="W437" s="271"/>
      <c r="X437" s="271"/>
      <c r="Y437" s="271"/>
      <c r="Z437" s="271"/>
      <c r="AA437" s="271"/>
      <c r="AB437" s="271"/>
      <c r="AC437" s="269"/>
      <c r="AD437" s="7"/>
      <c r="AE437" s="13"/>
      <c r="AF437" s="13"/>
      <c r="AG437" s="13"/>
    </row>
    <row r="438" spans="1:33" ht="18.75" customHeight="1" x14ac:dyDescent="0.3">
      <c r="A438" s="250">
        <f>A437+1</f>
        <v>315</v>
      </c>
      <c r="B438" s="20" t="s">
        <v>1839</v>
      </c>
      <c r="C438" s="273">
        <f t="shared" si="117"/>
        <v>2914862.41</v>
      </c>
      <c r="D438" s="273">
        <f>E438+F438+G438+H438+I438</f>
        <v>2914862.41</v>
      </c>
      <c r="E438" s="273"/>
      <c r="F438" s="273">
        <v>1998765.42</v>
      </c>
      <c r="G438" s="273"/>
      <c r="H438" s="273"/>
      <c r="I438" s="273">
        <v>916096.99</v>
      </c>
      <c r="J438" s="273"/>
      <c r="K438" s="273"/>
      <c r="L438" s="273"/>
      <c r="M438" s="273"/>
      <c r="N438" s="273"/>
      <c r="O438" s="273"/>
      <c r="P438" s="273"/>
      <c r="Q438" s="273"/>
      <c r="R438" s="273"/>
      <c r="S438" s="273">
        <v>0</v>
      </c>
      <c r="T438" s="273"/>
      <c r="U438" s="83"/>
      <c r="V438" s="261"/>
      <c r="W438" s="271"/>
      <c r="X438" s="271"/>
      <c r="Y438" s="271"/>
      <c r="Z438" s="271"/>
      <c r="AA438" s="271"/>
      <c r="AB438" s="271"/>
      <c r="AC438" s="269"/>
      <c r="AD438" s="7"/>
      <c r="AE438" s="13"/>
      <c r="AF438" s="13"/>
      <c r="AG438" s="13"/>
    </row>
    <row r="439" spans="1:33" x14ac:dyDescent="0.3">
      <c r="A439" s="250">
        <f>A438+1</f>
        <v>316</v>
      </c>
      <c r="B439" s="20" t="s">
        <v>1840</v>
      </c>
      <c r="C439" s="273">
        <f t="shared" si="117"/>
        <v>7506526.2799999993</v>
      </c>
      <c r="D439" s="273">
        <f>E439+F439+G439+H439+I439</f>
        <v>7199937.0799999991</v>
      </c>
      <c r="E439" s="273"/>
      <c r="F439" s="273">
        <v>3944043.6</v>
      </c>
      <c r="G439" s="273">
        <v>690612</v>
      </c>
      <c r="H439" s="273">
        <v>1677660.68</v>
      </c>
      <c r="I439" s="273">
        <v>887620.8</v>
      </c>
      <c r="J439" s="273"/>
      <c r="K439" s="273"/>
      <c r="L439" s="273"/>
      <c r="M439" s="273"/>
      <c r="N439" s="273"/>
      <c r="O439" s="273"/>
      <c r="P439" s="273"/>
      <c r="Q439" s="273"/>
      <c r="R439" s="273"/>
      <c r="S439" s="273">
        <v>306589.2</v>
      </c>
      <c r="T439" s="273"/>
      <c r="U439" s="83"/>
      <c r="V439" s="261"/>
      <c r="W439" s="271"/>
      <c r="X439" s="271"/>
      <c r="Y439" s="271"/>
      <c r="Z439" s="271"/>
      <c r="AA439" s="271"/>
      <c r="AB439" s="271"/>
      <c r="AC439" s="269"/>
      <c r="AD439" s="7"/>
      <c r="AE439" s="13"/>
      <c r="AF439" s="13"/>
      <c r="AG439" s="13"/>
    </row>
    <row r="440" spans="1:33" x14ac:dyDescent="0.3">
      <c r="A440" s="250">
        <f>A439+1</f>
        <v>317</v>
      </c>
      <c r="B440" s="20" t="s">
        <v>1841</v>
      </c>
      <c r="C440" s="273">
        <f t="shared" si="117"/>
        <v>6685671.29</v>
      </c>
      <c r="D440" s="273">
        <f>E440+F440+G440+H440+I440</f>
        <v>6391036.7999999998</v>
      </c>
      <c r="E440" s="273"/>
      <c r="F440" s="273">
        <v>3944043.6</v>
      </c>
      <c r="G440" s="273">
        <v>690612</v>
      </c>
      <c r="H440" s="273">
        <v>690612</v>
      </c>
      <c r="I440" s="273">
        <v>1065769.2</v>
      </c>
      <c r="J440" s="273"/>
      <c r="K440" s="273"/>
      <c r="L440" s="273"/>
      <c r="M440" s="273"/>
      <c r="N440" s="273"/>
      <c r="O440" s="273"/>
      <c r="P440" s="273"/>
      <c r="Q440" s="273"/>
      <c r="R440" s="273"/>
      <c r="S440" s="273">
        <v>294634.49</v>
      </c>
      <c r="T440" s="273"/>
      <c r="U440" s="83"/>
      <c r="V440" s="261"/>
      <c r="W440" s="271"/>
      <c r="X440" s="271"/>
      <c r="Y440" s="271"/>
      <c r="Z440" s="271"/>
      <c r="AA440" s="271"/>
      <c r="AB440" s="271"/>
      <c r="AC440" s="269"/>
      <c r="AD440" s="7"/>
      <c r="AE440" s="13"/>
      <c r="AF440" s="13"/>
      <c r="AG440" s="13"/>
    </row>
    <row r="441" spans="1:33" x14ac:dyDescent="0.3">
      <c r="A441" s="250"/>
      <c r="B441" s="20" t="s">
        <v>208</v>
      </c>
      <c r="C441" s="273">
        <f t="shared" ref="C441:T441" si="118">SUM(C436:C440)</f>
        <v>22936784.800000001</v>
      </c>
      <c r="D441" s="273">
        <f t="shared" si="118"/>
        <v>22335561.109999999</v>
      </c>
      <c r="E441" s="273">
        <f t="shared" si="118"/>
        <v>0</v>
      </c>
      <c r="F441" s="273">
        <f t="shared" si="118"/>
        <v>13884383.459999999</v>
      </c>
      <c r="G441" s="273">
        <f t="shared" si="118"/>
        <v>1381224</v>
      </c>
      <c r="H441" s="273">
        <f t="shared" si="118"/>
        <v>2368272.6799999997</v>
      </c>
      <c r="I441" s="273">
        <f t="shared" si="118"/>
        <v>4701680.97</v>
      </c>
      <c r="J441" s="273">
        <f t="shared" si="118"/>
        <v>0</v>
      </c>
      <c r="K441" s="273">
        <f t="shared" si="118"/>
        <v>0</v>
      </c>
      <c r="L441" s="273">
        <f t="shared" si="118"/>
        <v>0</v>
      </c>
      <c r="M441" s="273">
        <f t="shared" si="118"/>
        <v>0</v>
      </c>
      <c r="N441" s="273">
        <f t="shared" si="118"/>
        <v>0</v>
      </c>
      <c r="O441" s="273">
        <f t="shared" si="118"/>
        <v>0</v>
      </c>
      <c r="P441" s="273">
        <f t="shared" si="118"/>
        <v>0</v>
      </c>
      <c r="Q441" s="273">
        <f t="shared" si="118"/>
        <v>0</v>
      </c>
      <c r="R441" s="273">
        <f t="shared" si="118"/>
        <v>0</v>
      </c>
      <c r="S441" s="273">
        <f t="shared" si="118"/>
        <v>601223.68999999994</v>
      </c>
      <c r="T441" s="273">
        <f t="shared" si="118"/>
        <v>0</v>
      </c>
      <c r="U441" s="83"/>
      <c r="V441" s="11">
        <f>SUM(V436:V440)</f>
        <v>0</v>
      </c>
      <c r="W441" s="271"/>
      <c r="X441" s="271"/>
      <c r="Y441" s="271"/>
      <c r="Z441" s="271"/>
      <c r="AA441" s="271"/>
      <c r="AB441" s="271"/>
      <c r="AC441" s="269"/>
      <c r="AD441" s="7"/>
      <c r="AE441" s="13"/>
      <c r="AF441" s="13"/>
      <c r="AG441" s="13"/>
    </row>
    <row r="442" spans="1:33" ht="15" customHeight="1" x14ac:dyDescent="0.3">
      <c r="A442" s="327" t="s">
        <v>1842</v>
      </c>
      <c r="B442" s="328"/>
      <c r="C442" s="273"/>
      <c r="D442" s="273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97"/>
      <c r="V442" s="273"/>
      <c r="W442" s="271"/>
      <c r="X442" s="271"/>
      <c r="Y442" s="271"/>
      <c r="Z442" s="271"/>
      <c r="AA442" s="271"/>
      <c r="AB442" s="271"/>
      <c r="AC442" s="269"/>
      <c r="AD442" s="7"/>
      <c r="AE442" s="13"/>
      <c r="AF442" s="13"/>
      <c r="AG442" s="13"/>
    </row>
    <row r="443" spans="1:33" x14ac:dyDescent="0.3">
      <c r="A443" s="250">
        <f>A440+1</f>
        <v>318</v>
      </c>
      <c r="B443" s="20" t="s">
        <v>1844</v>
      </c>
      <c r="C443" s="273">
        <f t="shared" ref="C443" si="119">D443+K443+M443+O443+P443+R443+S443+T443</f>
        <v>150506.64000000001</v>
      </c>
      <c r="D443" s="273">
        <f>E443+F443+G443+H443+I443</f>
        <v>150506.64000000001</v>
      </c>
      <c r="E443" s="273"/>
      <c r="F443" s="273"/>
      <c r="G443" s="273"/>
      <c r="H443" s="273"/>
      <c r="I443" s="273">
        <v>150506.64000000001</v>
      </c>
      <c r="J443" s="273"/>
      <c r="K443" s="273"/>
      <c r="L443" s="273"/>
      <c r="M443" s="273"/>
      <c r="N443" s="273"/>
      <c r="O443" s="273"/>
      <c r="P443" s="273"/>
      <c r="Q443" s="273"/>
      <c r="R443" s="273"/>
      <c r="S443" s="273"/>
      <c r="T443" s="273"/>
      <c r="U443" s="83"/>
      <c r="V443" s="273"/>
      <c r="W443" s="271"/>
      <c r="X443" s="271"/>
      <c r="Y443" s="271"/>
      <c r="Z443" s="271"/>
      <c r="AA443" s="271"/>
      <c r="AB443" s="271"/>
      <c r="AC443" s="269"/>
      <c r="AD443" s="7"/>
      <c r="AE443" s="13"/>
      <c r="AF443" s="13"/>
      <c r="AG443" s="13"/>
    </row>
    <row r="444" spans="1:33" x14ac:dyDescent="0.3">
      <c r="A444" s="250"/>
      <c r="B444" s="20" t="s">
        <v>208</v>
      </c>
      <c r="C444" s="273">
        <f t="shared" ref="C444:T444" si="120">SUM(C443)</f>
        <v>150506.64000000001</v>
      </c>
      <c r="D444" s="273">
        <f t="shared" si="120"/>
        <v>150506.64000000001</v>
      </c>
      <c r="E444" s="273">
        <f t="shared" si="120"/>
        <v>0</v>
      </c>
      <c r="F444" s="273">
        <f t="shared" si="120"/>
        <v>0</v>
      </c>
      <c r="G444" s="273">
        <f t="shared" si="120"/>
        <v>0</v>
      </c>
      <c r="H444" s="273">
        <f t="shared" si="120"/>
        <v>0</v>
      </c>
      <c r="I444" s="273">
        <f t="shared" si="120"/>
        <v>150506.64000000001</v>
      </c>
      <c r="J444" s="273">
        <f t="shared" si="120"/>
        <v>0</v>
      </c>
      <c r="K444" s="273">
        <f t="shared" si="120"/>
        <v>0</v>
      </c>
      <c r="L444" s="273">
        <f t="shared" si="120"/>
        <v>0</v>
      </c>
      <c r="M444" s="273">
        <f t="shared" si="120"/>
        <v>0</v>
      </c>
      <c r="N444" s="273">
        <f t="shared" si="120"/>
        <v>0</v>
      </c>
      <c r="O444" s="273">
        <f t="shared" si="120"/>
        <v>0</v>
      </c>
      <c r="P444" s="273">
        <f t="shared" si="120"/>
        <v>0</v>
      </c>
      <c r="Q444" s="273">
        <f t="shared" si="120"/>
        <v>0</v>
      </c>
      <c r="R444" s="273">
        <f t="shared" si="120"/>
        <v>0</v>
      </c>
      <c r="S444" s="273">
        <f t="shared" si="120"/>
        <v>0</v>
      </c>
      <c r="T444" s="273">
        <f t="shared" si="120"/>
        <v>0</v>
      </c>
      <c r="U444" s="83"/>
      <c r="V444" s="11">
        <f>SUM(V443:V443)</f>
        <v>0</v>
      </c>
      <c r="W444" s="271"/>
      <c r="X444" s="271"/>
      <c r="Y444" s="271"/>
      <c r="Z444" s="271"/>
      <c r="AA444" s="271"/>
      <c r="AB444" s="271"/>
      <c r="AC444" s="269"/>
      <c r="AD444" s="7"/>
      <c r="AE444" s="13"/>
      <c r="AF444" s="13"/>
      <c r="AG444" s="13"/>
    </row>
    <row r="445" spans="1:33" ht="15" customHeight="1" x14ac:dyDescent="0.3">
      <c r="A445" s="327" t="s">
        <v>1853</v>
      </c>
      <c r="B445" s="328"/>
      <c r="C445" s="273"/>
      <c r="D445" s="273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97"/>
      <c r="V445" s="273"/>
      <c r="W445" s="271"/>
      <c r="X445" s="271"/>
      <c r="Y445" s="271"/>
      <c r="Z445" s="271"/>
      <c r="AA445" s="271"/>
      <c r="AB445" s="271"/>
      <c r="AC445" s="269"/>
      <c r="AD445" s="7"/>
      <c r="AE445" s="13"/>
      <c r="AF445" s="13"/>
      <c r="AG445" s="13"/>
    </row>
    <row r="446" spans="1:33" x14ac:dyDescent="0.3">
      <c r="A446" s="250">
        <f>A443+1</f>
        <v>319</v>
      </c>
      <c r="B446" s="20" t="s">
        <v>1856</v>
      </c>
      <c r="C446" s="273">
        <f t="shared" ref="C446:C448" si="121">D446+K446+M446+O446+P446+R446+S446+T446</f>
        <v>936109.2</v>
      </c>
      <c r="D446" s="273">
        <f>E446+F446+G446+H446+I446</f>
        <v>936109.2</v>
      </c>
      <c r="E446" s="273"/>
      <c r="F446" s="273"/>
      <c r="G446" s="273"/>
      <c r="H446" s="273"/>
      <c r="I446" s="273">
        <v>936109.2</v>
      </c>
      <c r="J446" s="273"/>
      <c r="K446" s="273"/>
      <c r="L446" s="273"/>
      <c r="M446" s="273"/>
      <c r="N446" s="273"/>
      <c r="O446" s="273"/>
      <c r="P446" s="273"/>
      <c r="Q446" s="273"/>
      <c r="R446" s="273"/>
      <c r="S446" s="273"/>
      <c r="T446" s="273"/>
      <c r="U446" s="83"/>
      <c r="V446" s="273"/>
      <c r="W446" s="271"/>
      <c r="X446" s="271"/>
      <c r="Y446" s="271"/>
      <c r="Z446" s="271"/>
      <c r="AA446" s="271"/>
      <c r="AB446" s="271"/>
      <c r="AC446" s="269"/>
      <c r="AD446" s="7"/>
      <c r="AE446" s="13"/>
      <c r="AF446" s="13"/>
      <c r="AG446" s="13"/>
    </row>
    <row r="447" spans="1:33" x14ac:dyDescent="0.3">
      <c r="A447" s="250">
        <f>A446+1</f>
        <v>320</v>
      </c>
      <c r="B447" s="20" t="s">
        <v>1857</v>
      </c>
      <c r="C447" s="273">
        <f t="shared" si="121"/>
        <v>416302.8</v>
      </c>
      <c r="D447" s="273">
        <f>E447+F447+G447+H447+I447</f>
        <v>401622</v>
      </c>
      <c r="E447" s="273"/>
      <c r="F447" s="273"/>
      <c r="G447" s="273"/>
      <c r="H447" s="273"/>
      <c r="I447" s="273">
        <v>401622</v>
      </c>
      <c r="J447" s="273"/>
      <c r="K447" s="273"/>
      <c r="L447" s="273"/>
      <c r="M447" s="273"/>
      <c r="N447" s="273"/>
      <c r="O447" s="273"/>
      <c r="P447" s="273"/>
      <c r="Q447" s="273"/>
      <c r="R447" s="273"/>
      <c r="S447" s="273">
        <v>14680.8</v>
      </c>
      <c r="T447" s="273"/>
      <c r="U447" s="83"/>
      <c r="V447" s="273"/>
      <c r="W447" s="271"/>
      <c r="X447" s="271"/>
      <c r="Y447" s="271"/>
      <c r="Z447" s="271"/>
      <c r="AA447" s="271"/>
      <c r="AB447" s="271"/>
      <c r="AC447" s="269"/>
      <c r="AD447" s="7"/>
      <c r="AE447" s="13"/>
      <c r="AF447" s="13"/>
      <c r="AG447" s="13"/>
    </row>
    <row r="448" spans="1:33" x14ac:dyDescent="0.3">
      <c r="A448" s="250">
        <f>A447+1</f>
        <v>321</v>
      </c>
      <c r="B448" s="20" t="s">
        <v>1859</v>
      </c>
      <c r="C448" s="273">
        <f t="shared" si="121"/>
        <v>834637.6</v>
      </c>
      <c r="D448" s="273">
        <f>E448+F448+G448+H448+I448</f>
        <v>834637.6</v>
      </c>
      <c r="E448" s="273"/>
      <c r="F448" s="273"/>
      <c r="G448" s="273"/>
      <c r="H448" s="273"/>
      <c r="I448" s="273">
        <v>834637.6</v>
      </c>
      <c r="J448" s="273"/>
      <c r="K448" s="273"/>
      <c r="L448" s="273"/>
      <c r="M448" s="273"/>
      <c r="N448" s="273"/>
      <c r="O448" s="273"/>
      <c r="P448" s="273"/>
      <c r="Q448" s="273"/>
      <c r="R448" s="273"/>
      <c r="S448" s="273"/>
      <c r="T448" s="273"/>
      <c r="U448" s="83"/>
      <c r="V448" s="273"/>
      <c r="W448" s="271"/>
      <c r="X448" s="271"/>
      <c r="Y448" s="271"/>
      <c r="Z448" s="271"/>
      <c r="AA448" s="271"/>
      <c r="AB448" s="271"/>
      <c r="AC448" s="269"/>
      <c r="AD448" s="7"/>
      <c r="AE448" s="13"/>
      <c r="AF448" s="13"/>
      <c r="AG448" s="13"/>
    </row>
    <row r="449" spans="1:33" x14ac:dyDescent="0.3">
      <c r="A449" s="250"/>
      <c r="B449" s="20" t="s">
        <v>208</v>
      </c>
      <c r="C449" s="273">
        <f t="shared" ref="C449:T449" si="122">SUM(C446:C448)</f>
        <v>2187049.6</v>
      </c>
      <c r="D449" s="273">
        <f t="shared" si="122"/>
        <v>2172368.7999999998</v>
      </c>
      <c r="E449" s="273">
        <f t="shared" si="122"/>
        <v>0</v>
      </c>
      <c r="F449" s="273">
        <f t="shared" si="122"/>
        <v>0</v>
      </c>
      <c r="G449" s="273">
        <f t="shared" si="122"/>
        <v>0</v>
      </c>
      <c r="H449" s="273">
        <f t="shared" si="122"/>
        <v>0</v>
      </c>
      <c r="I449" s="273">
        <f t="shared" si="122"/>
        <v>2172368.7999999998</v>
      </c>
      <c r="J449" s="273">
        <f t="shared" si="122"/>
        <v>0</v>
      </c>
      <c r="K449" s="273">
        <f t="shared" si="122"/>
        <v>0</v>
      </c>
      <c r="L449" s="273">
        <f t="shared" si="122"/>
        <v>0</v>
      </c>
      <c r="M449" s="273">
        <f t="shared" si="122"/>
        <v>0</v>
      </c>
      <c r="N449" s="273">
        <f t="shared" si="122"/>
        <v>0</v>
      </c>
      <c r="O449" s="273">
        <f t="shared" si="122"/>
        <v>0</v>
      </c>
      <c r="P449" s="273">
        <f t="shared" si="122"/>
        <v>0</v>
      </c>
      <c r="Q449" s="273">
        <f t="shared" si="122"/>
        <v>0</v>
      </c>
      <c r="R449" s="273">
        <f t="shared" si="122"/>
        <v>0</v>
      </c>
      <c r="S449" s="273">
        <f t="shared" si="122"/>
        <v>14680.8</v>
      </c>
      <c r="T449" s="273">
        <f t="shared" si="122"/>
        <v>0</v>
      </c>
      <c r="U449" s="83"/>
      <c r="V449" s="11">
        <f>SUM(V446:V448)</f>
        <v>0</v>
      </c>
      <c r="W449" s="271"/>
      <c r="X449" s="271"/>
      <c r="Y449" s="271"/>
      <c r="Z449" s="271"/>
      <c r="AA449" s="271"/>
      <c r="AB449" s="271"/>
      <c r="AC449" s="269"/>
      <c r="AD449" s="7"/>
      <c r="AE449" s="13"/>
      <c r="AF449" s="13"/>
      <c r="AG449" s="13"/>
    </row>
    <row r="450" spans="1:33" ht="15" customHeight="1" x14ac:dyDescent="0.3">
      <c r="A450" s="327" t="s">
        <v>1861</v>
      </c>
      <c r="B450" s="328"/>
      <c r="C450" s="273"/>
      <c r="D450" s="273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97"/>
      <c r="V450" s="273"/>
      <c r="W450" s="271"/>
      <c r="X450" s="271"/>
      <c r="Y450" s="271"/>
      <c r="Z450" s="271"/>
      <c r="AA450" s="271"/>
      <c r="AB450" s="271"/>
      <c r="AC450" s="269"/>
      <c r="AD450" s="7"/>
      <c r="AE450" s="13"/>
      <c r="AF450" s="13"/>
      <c r="AG450" s="13"/>
    </row>
    <row r="451" spans="1:33" x14ac:dyDescent="0.3">
      <c r="A451" s="250">
        <f>A448+1</f>
        <v>322</v>
      </c>
      <c r="B451" s="20" t="s">
        <v>1863</v>
      </c>
      <c r="C451" s="273">
        <f t="shared" ref="C451:C468" si="123">D451+K451+M451+O451+P451+R451+S451+T451</f>
        <v>817487.2</v>
      </c>
      <c r="D451" s="273">
        <f t="shared" ref="D451:D468" si="124">E451+F451+G451+H451+I451</f>
        <v>817487.2</v>
      </c>
      <c r="E451" s="273"/>
      <c r="F451" s="273">
        <v>629729</v>
      </c>
      <c r="G451" s="273">
        <v>112951.2</v>
      </c>
      <c r="H451" s="273">
        <v>0</v>
      </c>
      <c r="I451" s="273">
        <v>74807</v>
      </c>
      <c r="J451" s="273"/>
      <c r="K451" s="273"/>
      <c r="L451" s="273"/>
      <c r="M451" s="273"/>
      <c r="N451" s="273"/>
      <c r="O451" s="273"/>
      <c r="P451" s="273"/>
      <c r="Q451" s="273"/>
      <c r="R451" s="273"/>
      <c r="S451" s="273"/>
      <c r="T451" s="273"/>
      <c r="U451" s="83"/>
      <c r="V451" s="273"/>
      <c r="W451" s="271"/>
      <c r="X451" s="271"/>
      <c r="Y451" s="271"/>
      <c r="Z451" s="271"/>
      <c r="AA451" s="271"/>
      <c r="AB451" s="271"/>
      <c r="AC451" s="269"/>
      <c r="AD451" s="7"/>
      <c r="AE451" s="13"/>
      <c r="AF451" s="13"/>
      <c r="AG451" s="13"/>
    </row>
    <row r="452" spans="1:33" x14ac:dyDescent="0.3">
      <c r="A452" s="250">
        <f t="shared" ref="A452:A468" si="125">A451+1</f>
        <v>323</v>
      </c>
      <c r="B452" s="20" t="s">
        <v>1865</v>
      </c>
      <c r="C452" s="273">
        <f t="shared" si="123"/>
        <v>367917.6</v>
      </c>
      <c r="D452" s="273">
        <f t="shared" si="124"/>
        <v>367917.6</v>
      </c>
      <c r="E452" s="273">
        <v>367917.6</v>
      </c>
      <c r="F452" s="273"/>
      <c r="G452" s="273"/>
      <c r="H452" s="273"/>
      <c r="I452" s="273"/>
      <c r="J452" s="273"/>
      <c r="K452" s="273"/>
      <c r="L452" s="273"/>
      <c r="M452" s="273"/>
      <c r="N452" s="273"/>
      <c r="O452" s="273"/>
      <c r="P452" s="273"/>
      <c r="Q452" s="273"/>
      <c r="R452" s="273"/>
      <c r="S452" s="273"/>
      <c r="T452" s="273"/>
      <c r="U452" s="83"/>
      <c r="V452" s="273"/>
      <c r="W452" s="271"/>
      <c r="X452" s="271"/>
      <c r="Y452" s="271"/>
      <c r="Z452" s="271"/>
      <c r="AA452" s="271"/>
      <c r="AB452" s="271"/>
      <c r="AC452" s="269"/>
      <c r="AD452" s="7"/>
      <c r="AE452" s="13"/>
      <c r="AF452" s="13"/>
      <c r="AG452" s="13"/>
    </row>
    <row r="453" spans="1:33" x14ac:dyDescent="0.3">
      <c r="A453" s="250">
        <f t="shared" si="125"/>
        <v>324</v>
      </c>
      <c r="B453" s="20" t="s">
        <v>1874</v>
      </c>
      <c r="C453" s="273">
        <f t="shared" si="123"/>
        <v>9162906.0199999996</v>
      </c>
      <c r="D453" s="273">
        <f t="shared" si="124"/>
        <v>1787024.4000000001</v>
      </c>
      <c r="E453" s="273">
        <v>519063.6</v>
      </c>
      <c r="F453" s="273">
        <v>1070332</v>
      </c>
      <c r="G453" s="273">
        <v>111052.8</v>
      </c>
      <c r="H453" s="273"/>
      <c r="I453" s="273">
        <v>86576</v>
      </c>
      <c r="J453" s="273">
        <v>293.7</v>
      </c>
      <c r="K453" s="273">
        <v>2089549.2</v>
      </c>
      <c r="L453" s="273"/>
      <c r="M453" s="273"/>
      <c r="N453" s="273"/>
      <c r="O453" s="273"/>
      <c r="P453" s="273"/>
      <c r="Q453" s="273">
        <v>42.59</v>
      </c>
      <c r="R453" s="273">
        <v>5286332.42</v>
      </c>
      <c r="S453" s="273"/>
      <c r="T453" s="273"/>
      <c r="U453" s="83"/>
      <c r="V453" s="273"/>
      <c r="W453" s="271"/>
      <c r="X453" s="271"/>
      <c r="Y453" s="271"/>
      <c r="Z453" s="271"/>
      <c r="AA453" s="271"/>
      <c r="AB453" s="271"/>
      <c r="AC453" s="269"/>
      <c r="AD453" s="7"/>
      <c r="AE453" s="13"/>
      <c r="AF453" s="13"/>
      <c r="AG453" s="13"/>
    </row>
    <row r="454" spans="1:33" x14ac:dyDescent="0.3">
      <c r="A454" s="250">
        <f t="shared" si="125"/>
        <v>325</v>
      </c>
      <c r="B454" s="20" t="s">
        <v>1875</v>
      </c>
      <c r="C454" s="273">
        <f t="shared" si="123"/>
        <v>3067053.6</v>
      </c>
      <c r="D454" s="273">
        <f t="shared" si="124"/>
        <v>3067053.6</v>
      </c>
      <c r="E454" s="273">
        <v>3067053.6</v>
      </c>
      <c r="F454" s="273"/>
      <c r="G454" s="273"/>
      <c r="H454" s="273"/>
      <c r="I454" s="273"/>
      <c r="J454" s="273"/>
      <c r="K454" s="273"/>
      <c r="L454" s="273"/>
      <c r="M454" s="273"/>
      <c r="N454" s="273"/>
      <c r="O454" s="273"/>
      <c r="P454" s="273"/>
      <c r="Q454" s="273"/>
      <c r="R454" s="273"/>
      <c r="S454" s="273"/>
      <c r="T454" s="273"/>
      <c r="U454" s="83"/>
      <c r="V454" s="273"/>
      <c r="W454" s="271"/>
      <c r="X454" s="271"/>
      <c r="Y454" s="271"/>
      <c r="Z454" s="271"/>
      <c r="AA454" s="271"/>
      <c r="AB454" s="271"/>
      <c r="AC454" s="269"/>
      <c r="AD454" s="7"/>
      <c r="AE454" s="13"/>
      <c r="AF454" s="13"/>
      <c r="AG454" s="13"/>
    </row>
    <row r="455" spans="1:33" x14ac:dyDescent="0.3">
      <c r="A455" s="250">
        <f t="shared" si="125"/>
        <v>326</v>
      </c>
      <c r="B455" s="20" t="s">
        <v>1877</v>
      </c>
      <c r="C455" s="273">
        <f t="shared" si="123"/>
        <v>447471.6</v>
      </c>
      <c r="D455" s="273">
        <f t="shared" si="124"/>
        <v>447471.6</v>
      </c>
      <c r="E455" s="273">
        <v>447471.6</v>
      </c>
      <c r="F455" s="273"/>
      <c r="G455" s="273"/>
      <c r="H455" s="273"/>
      <c r="I455" s="273"/>
      <c r="J455" s="273"/>
      <c r="K455" s="273"/>
      <c r="L455" s="273"/>
      <c r="M455" s="273"/>
      <c r="N455" s="273"/>
      <c r="O455" s="273"/>
      <c r="P455" s="273"/>
      <c r="Q455" s="273"/>
      <c r="R455" s="273"/>
      <c r="S455" s="273"/>
      <c r="T455" s="273"/>
      <c r="U455" s="83"/>
      <c r="V455" s="273"/>
      <c r="W455" s="271"/>
      <c r="X455" s="271"/>
      <c r="Y455" s="271"/>
      <c r="Z455" s="271"/>
      <c r="AA455" s="271"/>
      <c r="AB455" s="271"/>
      <c r="AC455" s="269"/>
      <c r="AD455" s="7"/>
      <c r="AE455" s="13"/>
      <c r="AF455" s="13"/>
      <c r="AG455" s="13"/>
    </row>
    <row r="456" spans="1:33" x14ac:dyDescent="0.3">
      <c r="A456" s="250">
        <f t="shared" si="125"/>
        <v>327</v>
      </c>
      <c r="B456" s="20" t="s">
        <v>1879</v>
      </c>
      <c r="C456" s="273">
        <f t="shared" si="123"/>
        <v>2573526.9</v>
      </c>
      <c r="D456" s="273">
        <f t="shared" si="124"/>
        <v>2573526.9</v>
      </c>
      <c r="E456" s="273">
        <v>2573526.9</v>
      </c>
      <c r="F456" s="273"/>
      <c r="G456" s="273"/>
      <c r="H456" s="273"/>
      <c r="I456" s="273"/>
      <c r="J456" s="273"/>
      <c r="K456" s="273"/>
      <c r="L456" s="273"/>
      <c r="M456" s="273"/>
      <c r="N456" s="273"/>
      <c r="O456" s="273"/>
      <c r="P456" s="273"/>
      <c r="Q456" s="273"/>
      <c r="R456" s="273"/>
      <c r="S456" s="273"/>
      <c r="T456" s="273"/>
      <c r="U456" s="83"/>
      <c r="V456" s="273"/>
      <c r="W456" s="271"/>
      <c r="X456" s="271"/>
      <c r="Y456" s="271"/>
      <c r="Z456" s="271"/>
      <c r="AA456" s="271"/>
      <c r="AB456" s="271"/>
      <c r="AC456" s="269"/>
      <c r="AD456" s="7"/>
      <c r="AE456" s="13"/>
      <c r="AF456" s="13"/>
      <c r="AG456" s="13"/>
    </row>
    <row r="457" spans="1:33" x14ac:dyDescent="0.3">
      <c r="A457" s="250">
        <f t="shared" si="125"/>
        <v>328</v>
      </c>
      <c r="B457" s="20" t="s">
        <v>1882</v>
      </c>
      <c r="C457" s="273">
        <f t="shared" si="123"/>
        <v>363907.2</v>
      </c>
      <c r="D457" s="273">
        <f t="shared" si="124"/>
        <v>363907.2</v>
      </c>
      <c r="E457" s="273">
        <v>363907.2</v>
      </c>
      <c r="F457" s="273"/>
      <c r="G457" s="273"/>
      <c r="H457" s="273"/>
      <c r="I457" s="273"/>
      <c r="J457" s="273"/>
      <c r="K457" s="273"/>
      <c r="L457" s="273"/>
      <c r="M457" s="273"/>
      <c r="N457" s="273"/>
      <c r="O457" s="273"/>
      <c r="P457" s="273"/>
      <c r="Q457" s="273"/>
      <c r="R457" s="273"/>
      <c r="S457" s="273"/>
      <c r="T457" s="273"/>
      <c r="U457" s="83"/>
      <c r="V457" s="273"/>
      <c r="W457" s="271"/>
      <c r="X457" s="271"/>
      <c r="Y457" s="271"/>
      <c r="Z457" s="271"/>
      <c r="AA457" s="271"/>
      <c r="AB457" s="271"/>
      <c r="AC457" s="269"/>
      <c r="AD457" s="7"/>
      <c r="AE457" s="13"/>
      <c r="AF457" s="13"/>
      <c r="AG457" s="13"/>
    </row>
    <row r="458" spans="1:33" x14ac:dyDescent="0.3">
      <c r="A458" s="250">
        <f t="shared" si="125"/>
        <v>329</v>
      </c>
      <c r="B458" s="20" t="s">
        <v>1884</v>
      </c>
      <c r="C458" s="273">
        <f t="shared" si="123"/>
        <v>871710.84</v>
      </c>
      <c r="D458" s="273">
        <f t="shared" si="124"/>
        <v>871710.84</v>
      </c>
      <c r="E458" s="273">
        <v>871710.84</v>
      </c>
      <c r="F458" s="273"/>
      <c r="G458" s="273"/>
      <c r="H458" s="273"/>
      <c r="I458" s="273"/>
      <c r="J458" s="273"/>
      <c r="K458" s="273"/>
      <c r="L458" s="273"/>
      <c r="M458" s="273"/>
      <c r="N458" s="273"/>
      <c r="O458" s="273"/>
      <c r="P458" s="273"/>
      <c r="Q458" s="273"/>
      <c r="R458" s="273"/>
      <c r="S458" s="273"/>
      <c r="T458" s="273"/>
      <c r="U458" s="83"/>
      <c r="V458" s="273"/>
      <c r="W458" s="271"/>
      <c r="X458" s="271"/>
      <c r="Y458" s="271"/>
      <c r="Z458" s="271"/>
      <c r="AA458" s="271"/>
      <c r="AB458" s="271"/>
      <c r="AC458" s="269"/>
      <c r="AD458" s="7"/>
      <c r="AE458" s="13"/>
      <c r="AF458" s="13"/>
      <c r="AG458" s="13"/>
    </row>
    <row r="459" spans="1:33" x14ac:dyDescent="0.3">
      <c r="A459" s="250">
        <f t="shared" si="125"/>
        <v>330</v>
      </c>
      <c r="B459" s="20" t="s">
        <v>1891</v>
      </c>
      <c r="C459" s="273">
        <f t="shared" si="123"/>
        <v>286354</v>
      </c>
      <c r="D459" s="273">
        <f t="shared" si="124"/>
        <v>286354</v>
      </c>
      <c r="E459" s="273"/>
      <c r="F459" s="273">
        <v>0</v>
      </c>
      <c r="G459" s="273">
        <v>286354</v>
      </c>
      <c r="H459" s="273">
        <v>0</v>
      </c>
      <c r="I459" s="273"/>
      <c r="J459" s="273"/>
      <c r="K459" s="273"/>
      <c r="L459" s="273"/>
      <c r="M459" s="273"/>
      <c r="N459" s="273"/>
      <c r="O459" s="273"/>
      <c r="P459" s="273"/>
      <c r="Q459" s="273"/>
      <c r="R459" s="273"/>
      <c r="S459" s="273"/>
      <c r="T459" s="273"/>
      <c r="U459" s="83"/>
      <c r="V459" s="273"/>
      <c r="W459" s="271"/>
      <c r="X459" s="271"/>
      <c r="Y459" s="271"/>
      <c r="Z459" s="271"/>
      <c r="AA459" s="271"/>
      <c r="AB459" s="271"/>
      <c r="AC459" s="269"/>
      <c r="AD459" s="7"/>
      <c r="AE459" s="13"/>
      <c r="AF459" s="13"/>
      <c r="AG459" s="13"/>
    </row>
    <row r="460" spans="1:33" x14ac:dyDescent="0.3">
      <c r="A460" s="250">
        <f t="shared" si="125"/>
        <v>331</v>
      </c>
      <c r="B460" s="20" t="s">
        <v>1897</v>
      </c>
      <c r="C460" s="273">
        <f t="shared" si="123"/>
        <v>681808</v>
      </c>
      <c r="D460" s="273">
        <f t="shared" si="124"/>
        <v>681808</v>
      </c>
      <c r="E460" s="273">
        <v>395128.8</v>
      </c>
      <c r="F460" s="273"/>
      <c r="G460" s="273">
        <v>121207.2</v>
      </c>
      <c r="H460" s="273"/>
      <c r="I460" s="273">
        <v>165472</v>
      </c>
      <c r="J460" s="273"/>
      <c r="K460" s="273"/>
      <c r="L460" s="273"/>
      <c r="M460" s="273"/>
      <c r="N460" s="273"/>
      <c r="O460" s="273"/>
      <c r="P460" s="273"/>
      <c r="Q460" s="273"/>
      <c r="R460" s="273"/>
      <c r="S460" s="273"/>
      <c r="T460" s="273"/>
      <c r="U460" s="83"/>
      <c r="V460" s="273"/>
      <c r="W460" s="271"/>
      <c r="X460" s="271"/>
      <c r="Y460" s="271"/>
      <c r="Z460" s="271"/>
      <c r="AA460" s="271"/>
      <c r="AB460" s="271"/>
      <c r="AC460" s="269"/>
      <c r="AD460" s="7"/>
      <c r="AE460" s="13"/>
      <c r="AF460" s="13"/>
      <c r="AG460" s="13"/>
    </row>
    <row r="461" spans="1:33" x14ac:dyDescent="0.3">
      <c r="A461" s="250">
        <f t="shared" si="125"/>
        <v>332</v>
      </c>
      <c r="B461" s="20" t="s">
        <v>1900</v>
      </c>
      <c r="C461" s="273">
        <f t="shared" si="123"/>
        <v>346668.79999999999</v>
      </c>
      <c r="D461" s="273">
        <f t="shared" si="124"/>
        <v>346668.79999999999</v>
      </c>
      <c r="E461" s="273"/>
      <c r="F461" s="273">
        <v>0</v>
      </c>
      <c r="G461" s="273">
        <v>177608</v>
      </c>
      <c r="H461" s="273">
        <v>0</v>
      </c>
      <c r="I461" s="273">
        <v>169060.8</v>
      </c>
      <c r="J461" s="273"/>
      <c r="K461" s="273"/>
      <c r="L461" s="273"/>
      <c r="M461" s="273"/>
      <c r="N461" s="273"/>
      <c r="O461" s="273"/>
      <c r="P461" s="273"/>
      <c r="Q461" s="273"/>
      <c r="R461" s="273"/>
      <c r="S461" s="273"/>
      <c r="T461" s="273"/>
      <c r="U461" s="83"/>
      <c r="V461" s="273"/>
      <c r="W461" s="271"/>
      <c r="X461" s="271"/>
      <c r="Y461" s="271"/>
      <c r="Z461" s="271"/>
      <c r="AA461" s="271"/>
      <c r="AB461" s="271"/>
      <c r="AC461" s="269"/>
      <c r="AD461" s="7"/>
      <c r="AE461" s="13"/>
      <c r="AF461" s="13"/>
      <c r="AG461" s="13"/>
    </row>
    <row r="462" spans="1:33" x14ac:dyDescent="0.3">
      <c r="A462" s="250">
        <f t="shared" si="125"/>
        <v>333</v>
      </c>
      <c r="B462" s="20" t="s">
        <v>1901</v>
      </c>
      <c r="C462" s="273">
        <f t="shared" si="123"/>
        <v>1798063.2000000002</v>
      </c>
      <c r="D462" s="273">
        <f t="shared" si="124"/>
        <v>573638.40000000002</v>
      </c>
      <c r="E462" s="273">
        <v>573638.40000000002</v>
      </c>
      <c r="F462" s="273"/>
      <c r="G462" s="273"/>
      <c r="H462" s="273"/>
      <c r="I462" s="273"/>
      <c r="J462" s="273">
        <v>274.2</v>
      </c>
      <c r="K462" s="273">
        <v>1224424.8</v>
      </c>
      <c r="L462" s="273"/>
      <c r="M462" s="273"/>
      <c r="N462" s="273"/>
      <c r="O462" s="273"/>
      <c r="P462" s="273"/>
      <c r="Q462" s="273"/>
      <c r="R462" s="273"/>
      <c r="S462" s="273"/>
      <c r="T462" s="273"/>
      <c r="U462" s="83"/>
      <c r="V462" s="273"/>
      <c r="W462" s="271"/>
      <c r="X462" s="271"/>
      <c r="Y462" s="271"/>
      <c r="Z462" s="271"/>
      <c r="AA462" s="271"/>
      <c r="AB462" s="271"/>
      <c r="AC462" s="269"/>
      <c r="AD462" s="7"/>
      <c r="AE462" s="13"/>
      <c r="AF462" s="13"/>
      <c r="AG462" s="13"/>
    </row>
    <row r="463" spans="1:33" x14ac:dyDescent="0.3">
      <c r="A463" s="250">
        <f t="shared" si="125"/>
        <v>334</v>
      </c>
      <c r="B463" s="20" t="s">
        <v>1902</v>
      </c>
      <c r="C463" s="273">
        <f t="shared" si="123"/>
        <v>2444239.2000000002</v>
      </c>
      <c r="D463" s="273">
        <f t="shared" si="124"/>
        <v>2444239.2000000002</v>
      </c>
      <c r="E463" s="273">
        <v>802033.2</v>
      </c>
      <c r="F463" s="273">
        <v>1201358</v>
      </c>
      <c r="G463" s="273">
        <v>440848</v>
      </c>
      <c r="H463" s="273">
        <v>0</v>
      </c>
      <c r="I463" s="273"/>
      <c r="J463" s="273"/>
      <c r="K463" s="273"/>
      <c r="L463" s="273"/>
      <c r="M463" s="273"/>
      <c r="N463" s="273"/>
      <c r="O463" s="273"/>
      <c r="P463" s="273"/>
      <c r="Q463" s="273"/>
      <c r="R463" s="273"/>
      <c r="S463" s="273"/>
      <c r="T463" s="273"/>
      <c r="U463" s="83"/>
      <c r="V463" s="273"/>
      <c r="W463" s="271"/>
      <c r="X463" s="271"/>
      <c r="Y463" s="271"/>
      <c r="Z463" s="271"/>
      <c r="AA463" s="271"/>
      <c r="AB463" s="271"/>
      <c r="AC463" s="269"/>
      <c r="AD463" s="7"/>
      <c r="AE463" s="13"/>
      <c r="AF463" s="13"/>
      <c r="AG463" s="13"/>
    </row>
    <row r="464" spans="1:33" x14ac:dyDescent="0.3">
      <c r="A464" s="250">
        <f t="shared" si="125"/>
        <v>335</v>
      </c>
      <c r="B464" s="20" t="s">
        <v>1905</v>
      </c>
      <c r="C464" s="273">
        <f t="shared" si="123"/>
        <v>511012.8</v>
      </c>
      <c r="D464" s="273">
        <f t="shared" si="124"/>
        <v>493104</v>
      </c>
      <c r="E464" s="273">
        <v>493104</v>
      </c>
      <c r="F464" s="273"/>
      <c r="G464" s="273"/>
      <c r="H464" s="273"/>
      <c r="I464" s="273"/>
      <c r="J464" s="273"/>
      <c r="K464" s="273"/>
      <c r="L464" s="273"/>
      <c r="M464" s="273"/>
      <c r="N464" s="273"/>
      <c r="O464" s="273"/>
      <c r="P464" s="273"/>
      <c r="Q464" s="273"/>
      <c r="R464" s="273"/>
      <c r="S464" s="273">
        <v>17908.8</v>
      </c>
      <c r="T464" s="273"/>
      <c r="U464" s="83"/>
      <c r="V464" s="273"/>
      <c r="W464" s="271"/>
      <c r="X464" s="271"/>
      <c r="Y464" s="271"/>
      <c r="Z464" s="271"/>
      <c r="AA464" s="271"/>
      <c r="AB464" s="271"/>
      <c r="AC464" s="269"/>
      <c r="AD464" s="7"/>
      <c r="AE464" s="13"/>
      <c r="AF464" s="13"/>
      <c r="AG464" s="13"/>
    </row>
    <row r="465" spans="1:33" x14ac:dyDescent="0.3">
      <c r="A465" s="250">
        <f t="shared" si="125"/>
        <v>336</v>
      </c>
      <c r="B465" s="20" t="s">
        <v>1907</v>
      </c>
      <c r="C465" s="273">
        <f t="shared" si="123"/>
        <v>432868.84</v>
      </c>
      <c r="D465" s="273">
        <f t="shared" si="124"/>
        <v>432868.84</v>
      </c>
      <c r="E465" s="273">
        <v>432868.84</v>
      </c>
      <c r="F465" s="273"/>
      <c r="G465" s="273"/>
      <c r="H465" s="273"/>
      <c r="I465" s="273"/>
      <c r="J465" s="273"/>
      <c r="K465" s="273"/>
      <c r="L465" s="273"/>
      <c r="M465" s="273"/>
      <c r="N465" s="273"/>
      <c r="O465" s="273"/>
      <c r="P465" s="273"/>
      <c r="Q465" s="273"/>
      <c r="R465" s="273"/>
      <c r="S465" s="273"/>
      <c r="T465" s="273"/>
      <c r="U465" s="83"/>
      <c r="V465" s="273"/>
      <c r="W465" s="271"/>
      <c r="X465" s="271"/>
      <c r="Y465" s="271"/>
      <c r="Z465" s="271"/>
      <c r="AA465" s="271"/>
      <c r="AB465" s="271"/>
      <c r="AC465" s="269"/>
      <c r="AD465" s="7"/>
      <c r="AE465" s="13"/>
      <c r="AF465" s="13"/>
      <c r="AG465" s="13"/>
    </row>
    <row r="466" spans="1:33" x14ac:dyDescent="0.3">
      <c r="A466" s="250">
        <f t="shared" si="125"/>
        <v>337</v>
      </c>
      <c r="B466" s="20" t="s">
        <v>1908</v>
      </c>
      <c r="C466" s="273">
        <f t="shared" si="123"/>
        <v>515491.26</v>
      </c>
      <c r="D466" s="273">
        <f t="shared" si="124"/>
        <v>515491.26</v>
      </c>
      <c r="E466" s="273">
        <v>515491.26</v>
      </c>
      <c r="F466" s="273"/>
      <c r="G466" s="273"/>
      <c r="H466" s="273"/>
      <c r="I466" s="273"/>
      <c r="J466" s="273"/>
      <c r="K466" s="273"/>
      <c r="L466" s="273"/>
      <c r="M466" s="273"/>
      <c r="N466" s="273"/>
      <c r="O466" s="273"/>
      <c r="P466" s="273"/>
      <c r="Q466" s="273"/>
      <c r="R466" s="273"/>
      <c r="S466" s="273"/>
      <c r="T466" s="273"/>
      <c r="U466" s="83"/>
      <c r="V466" s="273"/>
      <c r="W466" s="271"/>
      <c r="X466" s="271"/>
      <c r="Y466" s="271"/>
      <c r="Z466" s="271"/>
      <c r="AA466" s="271"/>
      <c r="AB466" s="271"/>
      <c r="AC466" s="269"/>
      <c r="AD466" s="7"/>
      <c r="AE466" s="13"/>
      <c r="AF466" s="13"/>
      <c r="AG466" s="13"/>
    </row>
    <row r="467" spans="1:33" x14ac:dyDescent="0.3">
      <c r="A467" s="250">
        <f t="shared" si="125"/>
        <v>338</v>
      </c>
      <c r="B467" s="20" t="s">
        <v>1909</v>
      </c>
      <c r="C467" s="273">
        <f t="shared" si="123"/>
        <v>491548.8</v>
      </c>
      <c r="D467" s="273">
        <f t="shared" si="124"/>
        <v>491548.8</v>
      </c>
      <c r="E467" s="273">
        <v>491548.8</v>
      </c>
      <c r="F467" s="273"/>
      <c r="G467" s="273"/>
      <c r="H467" s="273"/>
      <c r="I467" s="273"/>
      <c r="J467" s="273"/>
      <c r="K467" s="273"/>
      <c r="L467" s="273"/>
      <c r="M467" s="273"/>
      <c r="N467" s="273"/>
      <c r="O467" s="273"/>
      <c r="P467" s="273"/>
      <c r="Q467" s="273"/>
      <c r="R467" s="273"/>
      <c r="S467" s="273"/>
      <c r="T467" s="273"/>
      <c r="U467" s="83"/>
      <c r="V467" s="273"/>
      <c r="W467" s="271"/>
      <c r="X467" s="271"/>
      <c r="Y467" s="271"/>
      <c r="Z467" s="271"/>
      <c r="AA467" s="271"/>
      <c r="AB467" s="271"/>
      <c r="AC467" s="269"/>
      <c r="AD467" s="7"/>
      <c r="AE467" s="13"/>
      <c r="AF467" s="13"/>
      <c r="AG467" s="13"/>
    </row>
    <row r="468" spans="1:33" x14ac:dyDescent="0.3">
      <c r="A468" s="250">
        <f t="shared" si="125"/>
        <v>339</v>
      </c>
      <c r="B468" s="20" t="s">
        <v>1910</v>
      </c>
      <c r="C468" s="273">
        <f t="shared" si="123"/>
        <v>440361.6</v>
      </c>
      <c r="D468" s="273">
        <f t="shared" si="124"/>
        <v>440361.6</v>
      </c>
      <c r="E468" s="273">
        <v>440361.6</v>
      </c>
      <c r="F468" s="273"/>
      <c r="G468" s="273"/>
      <c r="H468" s="273"/>
      <c r="I468" s="273"/>
      <c r="J468" s="273"/>
      <c r="K468" s="273"/>
      <c r="L468" s="273"/>
      <c r="M468" s="273"/>
      <c r="N468" s="273"/>
      <c r="O468" s="273"/>
      <c r="P468" s="273"/>
      <c r="Q468" s="273"/>
      <c r="R468" s="273"/>
      <c r="S468" s="273"/>
      <c r="T468" s="273"/>
      <c r="U468" s="83"/>
      <c r="V468" s="273"/>
      <c r="W468" s="271"/>
      <c r="X468" s="271"/>
      <c r="Y468" s="271"/>
      <c r="Z468" s="271"/>
      <c r="AA468" s="271"/>
      <c r="AB468" s="271"/>
      <c r="AC468" s="269"/>
      <c r="AD468" s="7"/>
      <c r="AE468" s="13"/>
      <c r="AF468" s="13"/>
      <c r="AG468" s="13"/>
    </row>
    <row r="469" spans="1:33" x14ac:dyDescent="0.3">
      <c r="A469" s="250"/>
      <c r="B469" s="20" t="s">
        <v>208</v>
      </c>
      <c r="C469" s="273">
        <f t="shared" ref="C469:T469" si="126">SUM(C451:C468)</f>
        <v>25620397.460000005</v>
      </c>
      <c r="D469" s="273">
        <f t="shared" si="126"/>
        <v>17002182.240000002</v>
      </c>
      <c r="E469" s="273">
        <f t="shared" si="126"/>
        <v>12354826.239999998</v>
      </c>
      <c r="F469" s="273">
        <f t="shared" si="126"/>
        <v>2901419</v>
      </c>
      <c r="G469" s="273">
        <f t="shared" si="126"/>
        <v>1250021.2</v>
      </c>
      <c r="H469" s="273">
        <f t="shared" si="126"/>
        <v>0</v>
      </c>
      <c r="I469" s="273">
        <f t="shared" si="126"/>
        <v>495915.8</v>
      </c>
      <c r="J469" s="273">
        <f t="shared" si="126"/>
        <v>567.9</v>
      </c>
      <c r="K469" s="273">
        <f t="shared" si="126"/>
        <v>3313974</v>
      </c>
      <c r="L469" s="273">
        <f t="shared" si="126"/>
        <v>0</v>
      </c>
      <c r="M469" s="273">
        <f t="shared" si="126"/>
        <v>0</v>
      </c>
      <c r="N469" s="273">
        <f t="shared" si="126"/>
        <v>0</v>
      </c>
      <c r="O469" s="273">
        <f t="shared" si="126"/>
        <v>0</v>
      </c>
      <c r="P469" s="273">
        <f t="shared" si="126"/>
        <v>0</v>
      </c>
      <c r="Q469" s="273">
        <f t="shared" si="126"/>
        <v>42.59</v>
      </c>
      <c r="R469" s="273">
        <f t="shared" si="126"/>
        <v>5286332.42</v>
      </c>
      <c r="S469" s="273">
        <f t="shared" si="126"/>
        <v>17908.8</v>
      </c>
      <c r="T469" s="273">
        <f t="shared" si="126"/>
        <v>0</v>
      </c>
      <c r="U469" s="83"/>
      <c r="V469" s="11"/>
      <c r="W469" s="271"/>
      <c r="X469" s="271"/>
      <c r="Y469" s="271"/>
      <c r="Z469" s="271"/>
      <c r="AA469" s="271"/>
      <c r="AB469" s="271"/>
      <c r="AC469" s="269"/>
      <c r="AD469" s="7"/>
      <c r="AE469" s="13"/>
      <c r="AF469" s="13"/>
      <c r="AG469" s="13"/>
    </row>
    <row r="470" spans="1:33" x14ac:dyDescent="0.3">
      <c r="A470" s="317" t="s">
        <v>1911</v>
      </c>
      <c r="B470" s="318"/>
      <c r="C470" s="251">
        <f t="shared" ref="C470:T470" si="127">C419+C426+C434+C441+C444+C449+C469+C430</f>
        <v>148912761.97</v>
      </c>
      <c r="D470" s="251">
        <f t="shared" si="127"/>
        <v>111293119.48000002</v>
      </c>
      <c r="E470" s="251">
        <f t="shared" si="127"/>
        <v>49851997.899999999</v>
      </c>
      <c r="F470" s="251">
        <f t="shared" si="127"/>
        <v>39204931.759999998</v>
      </c>
      <c r="G470" s="251">
        <f t="shared" si="127"/>
        <v>4672215.49</v>
      </c>
      <c r="H470" s="251">
        <f t="shared" si="127"/>
        <v>7885911.5999999996</v>
      </c>
      <c r="I470" s="251">
        <f t="shared" si="127"/>
        <v>9678062.7300000004</v>
      </c>
      <c r="J470" s="251">
        <f t="shared" si="127"/>
        <v>4436.3599999999997</v>
      </c>
      <c r="K470" s="251">
        <f t="shared" si="127"/>
        <v>28870131.82</v>
      </c>
      <c r="L470" s="251">
        <f t="shared" si="127"/>
        <v>0</v>
      </c>
      <c r="M470" s="251">
        <f t="shared" si="127"/>
        <v>0</v>
      </c>
      <c r="N470" s="251">
        <f t="shared" si="127"/>
        <v>0</v>
      </c>
      <c r="O470" s="251">
        <f t="shared" si="127"/>
        <v>0</v>
      </c>
      <c r="P470" s="251">
        <f t="shared" si="127"/>
        <v>680707.2</v>
      </c>
      <c r="Q470" s="251">
        <f t="shared" si="127"/>
        <v>42.59</v>
      </c>
      <c r="R470" s="251">
        <f t="shared" si="127"/>
        <v>5286332.42</v>
      </c>
      <c r="S470" s="251">
        <f t="shared" si="127"/>
        <v>633813.29</v>
      </c>
      <c r="T470" s="251">
        <f t="shared" si="127"/>
        <v>2148657.7599999998</v>
      </c>
      <c r="U470" s="98"/>
      <c r="V470" s="98"/>
      <c r="W470" s="271"/>
      <c r="X470" s="271"/>
      <c r="Y470" s="271"/>
      <c r="Z470" s="271"/>
      <c r="AA470" s="271"/>
      <c r="AB470" s="271"/>
      <c r="AC470" s="269"/>
      <c r="AD470" s="7"/>
      <c r="AE470" s="13"/>
      <c r="AF470" s="13"/>
      <c r="AG470" s="13"/>
    </row>
    <row r="471" spans="1:33" x14ac:dyDescent="0.3">
      <c r="A471" s="321" t="s">
        <v>1912</v>
      </c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3"/>
      <c r="U471" s="254"/>
      <c r="W471" s="277"/>
      <c r="X471" s="14"/>
      <c r="Y471" s="15"/>
      <c r="Z471" s="17"/>
      <c r="AA471" s="15"/>
      <c r="AB471" s="15"/>
    </row>
    <row r="472" spans="1:33" x14ac:dyDescent="0.3">
      <c r="A472" s="249" t="s">
        <v>1915</v>
      </c>
      <c r="B472" s="140"/>
      <c r="C472" s="273"/>
      <c r="D472" s="273"/>
      <c r="E472" s="273"/>
      <c r="F472" s="273"/>
      <c r="G472" s="273"/>
      <c r="H472" s="273"/>
      <c r="I472" s="273"/>
      <c r="J472" s="273"/>
      <c r="K472" s="273"/>
      <c r="L472" s="273"/>
      <c r="M472" s="273"/>
      <c r="N472" s="273"/>
      <c r="O472" s="273"/>
      <c r="P472" s="273"/>
      <c r="Q472" s="273"/>
      <c r="R472" s="273"/>
      <c r="S472" s="273"/>
      <c r="T472" s="273"/>
      <c r="U472" s="283"/>
      <c r="V472" s="273"/>
      <c r="W472" s="273"/>
      <c r="X472" s="273"/>
      <c r="Y472" s="273"/>
      <c r="Z472" s="273"/>
      <c r="AA472" s="15"/>
      <c r="AB472" s="15"/>
    </row>
    <row r="473" spans="1:33" x14ac:dyDescent="0.3">
      <c r="A473" s="250">
        <f>A468+1</f>
        <v>340</v>
      </c>
      <c r="B473" s="20" t="s">
        <v>1927</v>
      </c>
      <c r="C473" s="273">
        <f t="shared" ref="C473:C492" si="128">D473+K473+M473+O473+P473+R473+S473+T473</f>
        <v>13455486.85</v>
      </c>
      <c r="D473" s="273">
        <f t="shared" ref="D473:D492" si="129">E473+F473+G473+H473+I473</f>
        <v>13255913.65</v>
      </c>
      <c r="E473" s="273"/>
      <c r="F473" s="273">
        <v>11083658.4</v>
      </c>
      <c r="G473" s="273">
        <v>2172255.25</v>
      </c>
      <c r="H473" s="273"/>
      <c r="I473" s="273"/>
      <c r="J473" s="273"/>
      <c r="K473" s="273"/>
      <c r="L473" s="273"/>
      <c r="M473" s="273"/>
      <c r="N473" s="273"/>
      <c r="O473" s="273"/>
      <c r="P473" s="273"/>
      <c r="Q473" s="273"/>
      <c r="R473" s="273"/>
      <c r="S473" s="273">
        <v>199573.2</v>
      </c>
      <c r="T473" s="273"/>
      <c r="U473" s="283"/>
      <c r="V473" s="273"/>
      <c r="W473" s="273"/>
      <c r="X473" s="273"/>
      <c r="Y473" s="15"/>
      <c r="Z473" s="15"/>
      <c r="AA473" s="15"/>
      <c r="AB473" s="15"/>
    </row>
    <row r="474" spans="1:33" x14ac:dyDescent="0.3">
      <c r="A474" s="250">
        <f t="shared" ref="A474:A492" si="130">A473+1</f>
        <v>341</v>
      </c>
      <c r="B474" s="20" t="s">
        <v>1935</v>
      </c>
      <c r="C474" s="273">
        <f t="shared" si="128"/>
        <v>2664496.7999999998</v>
      </c>
      <c r="D474" s="273">
        <f t="shared" si="129"/>
        <v>2664496.7999999998</v>
      </c>
      <c r="E474" s="273">
        <v>2664496.7999999998</v>
      </c>
      <c r="F474" s="273"/>
      <c r="G474" s="273"/>
      <c r="H474" s="273"/>
      <c r="I474" s="273"/>
      <c r="J474" s="273"/>
      <c r="K474" s="273"/>
      <c r="L474" s="273"/>
      <c r="M474" s="273"/>
      <c r="N474" s="273"/>
      <c r="O474" s="273"/>
      <c r="P474" s="273"/>
      <c r="Q474" s="273"/>
      <c r="R474" s="273"/>
      <c r="S474" s="273"/>
      <c r="T474" s="273"/>
      <c r="U474" s="283"/>
      <c r="V474" s="273"/>
      <c r="W474" s="273"/>
      <c r="X474" s="273"/>
      <c r="Y474" s="273"/>
      <c r="Z474" s="15"/>
      <c r="AA474" s="15"/>
      <c r="AB474" s="15"/>
    </row>
    <row r="475" spans="1:33" x14ac:dyDescent="0.3">
      <c r="A475" s="250">
        <f t="shared" si="130"/>
        <v>342</v>
      </c>
      <c r="B475" s="20" t="s">
        <v>1952</v>
      </c>
      <c r="C475" s="273">
        <f t="shared" si="128"/>
        <v>309181.2</v>
      </c>
      <c r="D475" s="273">
        <f t="shared" si="129"/>
        <v>309181.2</v>
      </c>
      <c r="E475" s="273">
        <v>309181.2</v>
      </c>
      <c r="F475" s="273"/>
      <c r="G475" s="273"/>
      <c r="H475" s="273"/>
      <c r="I475" s="273"/>
      <c r="J475" s="273"/>
      <c r="K475" s="273"/>
      <c r="L475" s="273"/>
      <c r="M475" s="273"/>
      <c r="N475" s="273"/>
      <c r="O475" s="273"/>
      <c r="P475" s="273"/>
      <c r="Q475" s="273"/>
      <c r="R475" s="273"/>
      <c r="S475" s="273"/>
      <c r="T475" s="273"/>
      <c r="U475" s="283"/>
      <c r="V475" s="273"/>
      <c r="W475" s="273"/>
      <c r="X475" s="14"/>
      <c r="Y475" s="15"/>
      <c r="Z475" s="15"/>
      <c r="AA475" s="15"/>
      <c r="AB475" s="15"/>
    </row>
    <row r="476" spans="1:33" x14ac:dyDescent="0.3">
      <c r="A476" s="250">
        <f t="shared" si="130"/>
        <v>343</v>
      </c>
      <c r="B476" s="20" t="s">
        <v>1965</v>
      </c>
      <c r="C476" s="273">
        <f t="shared" si="128"/>
        <v>378399.6</v>
      </c>
      <c r="D476" s="273">
        <f t="shared" si="129"/>
        <v>378399.6</v>
      </c>
      <c r="E476" s="273">
        <v>378399.6</v>
      </c>
      <c r="F476" s="273"/>
      <c r="G476" s="273"/>
      <c r="H476" s="273"/>
      <c r="I476" s="273"/>
      <c r="J476" s="273"/>
      <c r="K476" s="273"/>
      <c r="L476" s="273"/>
      <c r="M476" s="273"/>
      <c r="N476" s="273"/>
      <c r="O476" s="273"/>
      <c r="P476" s="273"/>
      <c r="Q476" s="273"/>
      <c r="R476" s="273"/>
      <c r="S476" s="273"/>
      <c r="T476" s="273"/>
      <c r="U476" s="283"/>
      <c r="V476" s="273"/>
      <c r="W476" s="273"/>
      <c r="X476" s="273"/>
      <c r="Y476" s="273"/>
      <c r="Z476" s="15"/>
      <c r="AA476" s="15"/>
      <c r="AB476" s="15"/>
    </row>
    <row r="477" spans="1:33" x14ac:dyDescent="0.3">
      <c r="A477" s="250">
        <f t="shared" si="130"/>
        <v>344</v>
      </c>
      <c r="B477" s="20" t="s">
        <v>1978</v>
      </c>
      <c r="C477" s="273">
        <f t="shared" si="128"/>
        <v>1875399.6</v>
      </c>
      <c r="D477" s="273">
        <f t="shared" si="129"/>
        <v>1875399.6</v>
      </c>
      <c r="E477" s="273">
        <v>1875399.6</v>
      </c>
      <c r="F477" s="273"/>
      <c r="G477" s="273"/>
      <c r="H477" s="273"/>
      <c r="I477" s="273"/>
      <c r="J477" s="273"/>
      <c r="K477" s="273"/>
      <c r="L477" s="273"/>
      <c r="M477" s="273"/>
      <c r="N477" s="273"/>
      <c r="O477" s="273"/>
      <c r="P477" s="273"/>
      <c r="Q477" s="273"/>
      <c r="R477" s="273"/>
      <c r="S477" s="273"/>
      <c r="T477" s="273"/>
      <c r="U477" s="283"/>
      <c r="V477" s="273"/>
      <c r="W477" s="273"/>
      <c r="X477" s="14"/>
      <c r="Y477" s="15"/>
      <c r="Z477" s="15"/>
      <c r="AA477" s="15"/>
      <c r="AB477" s="15"/>
    </row>
    <row r="478" spans="1:33" x14ac:dyDescent="0.3">
      <c r="A478" s="250">
        <f t="shared" si="130"/>
        <v>345</v>
      </c>
      <c r="B478" s="20" t="s">
        <v>1992</v>
      </c>
      <c r="C478" s="273">
        <f t="shared" si="128"/>
        <v>1783457.7799999998</v>
      </c>
      <c r="D478" s="273">
        <f t="shared" si="129"/>
        <v>1372184.4</v>
      </c>
      <c r="E478" s="273">
        <v>1372184.4</v>
      </c>
      <c r="F478" s="273"/>
      <c r="G478" s="273"/>
      <c r="H478" s="273"/>
      <c r="I478" s="273"/>
      <c r="J478" s="273"/>
      <c r="K478" s="273"/>
      <c r="L478" s="273"/>
      <c r="M478" s="273"/>
      <c r="N478" s="273"/>
      <c r="O478" s="273"/>
      <c r="P478" s="273"/>
      <c r="Q478" s="273"/>
      <c r="R478" s="273"/>
      <c r="S478" s="273"/>
      <c r="T478" s="273">
        <v>411273.38</v>
      </c>
      <c r="U478" s="283"/>
      <c r="V478" s="273"/>
      <c r="W478" s="273"/>
      <c r="X478" s="273"/>
      <c r="Y478" s="273"/>
      <c r="Z478" s="15"/>
      <c r="AA478" s="15">
        <v>411273.38</v>
      </c>
      <c r="AB478" s="15" t="s">
        <v>352</v>
      </c>
    </row>
    <row r="479" spans="1:33" s="36" customFormat="1" x14ac:dyDescent="0.3">
      <c r="A479" s="250">
        <f t="shared" si="130"/>
        <v>346</v>
      </c>
      <c r="B479" s="124" t="s">
        <v>1995</v>
      </c>
      <c r="C479" s="273">
        <f t="shared" si="128"/>
        <v>268839.07</v>
      </c>
      <c r="D479" s="273">
        <f t="shared" si="129"/>
        <v>0</v>
      </c>
      <c r="E479" s="273"/>
      <c r="F479" s="273"/>
      <c r="G479" s="273"/>
      <c r="H479" s="273"/>
      <c r="I479" s="273"/>
      <c r="J479" s="273"/>
      <c r="K479" s="273"/>
      <c r="L479" s="273"/>
      <c r="M479" s="273"/>
      <c r="N479" s="273"/>
      <c r="O479" s="273"/>
      <c r="P479" s="273"/>
      <c r="Q479" s="273"/>
      <c r="R479" s="273"/>
      <c r="S479" s="273"/>
      <c r="T479" s="273">
        <f t="shared" ref="T479:T483" si="131">SUM(X479:AN479)</f>
        <v>268839.07</v>
      </c>
      <c r="U479" s="283"/>
      <c r="Y479" s="273"/>
      <c r="AA479" s="273"/>
      <c r="AB479" s="15"/>
      <c r="AC479" s="273">
        <v>268839.07</v>
      </c>
      <c r="AD479" s="273"/>
      <c r="AF479" s="15"/>
    </row>
    <row r="480" spans="1:33" s="36" customFormat="1" x14ac:dyDescent="0.3">
      <c r="A480" s="250">
        <f t="shared" si="130"/>
        <v>347</v>
      </c>
      <c r="B480" s="124" t="s">
        <v>1996</v>
      </c>
      <c r="C480" s="273">
        <f t="shared" si="128"/>
        <v>269285.5</v>
      </c>
      <c r="D480" s="273">
        <f t="shared" si="129"/>
        <v>0</v>
      </c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>
        <f t="shared" si="131"/>
        <v>269285.5</v>
      </c>
      <c r="U480" s="283"/>
      <c r="Y480" s="273"/>
      <c r="AA480" s="273"/>
      <c r="AB480" s="15"/>
      <c r="AC480" s="273">
        <v>269285.5</v>
      </c>
      <c r="AD480" s="273"/>
      <c r="AF480" s="15"/>
    </row>
    <row r="481" spans="1:32" s="36" customFormat="1" x14ac:dyDescent="0.3">
      <c r="A481" s="250">
        <f t="shared" si="130"/>
        <v>348</v>
      </c>
      <c r="B481" s="124" t="s">
        <v>1997</v>
      </c>
      <c r="C481" s="273">
        <f t="shared" si="128"/>
        <v>268049.18</v>
      </c>
      <c r="D481" s="273">
        <f t="shared" si="129"/>
        <v>0</v>
      </c>
      <c r="E481" s="273"/>
      <c r="F481" s="273"/>
      <c r="G481" s="273"/>
      <c r="H481" s="273"/>
      <c r="I481" s="273"/>
      <c r="J481" s="273"/>
      <c r="K481" s="273"/>
      <c r="L481" s="273"/>
      <c r="M481" s="273"/>
      <c r="N481" s="273"/>
      <c r="O481" s="273"/>
      <c r="P481" s="273"/>
      <c r="Q481" s="273"/>
      <c r="R481" s="273"/>
      <c r="S481" s="273"/>
      <c r="T481" s="273">
        <f t="shared" si="131"/>
        <v>268049.18</v>
      </c>
      <c r="U481" s="283"/>
      <c r="Y481" s="273"/>
      <c r="AA481" s="273"/>
      <c r="AB481" s="15"/>
      <c r="AC481" s="273">
        <v>268049.18</v>
      </c>
      <c r="AD481" s="273"/>
      <c r="AF481" s="15"/>
    </row>
    <row r="482" spans="1:32" s="36" customFormat="1" x14ac:dyDescent="0.3">
      <c r="A482" s="250">
        <f t="shared" si="130"/>
        <v>349</v>
      </c>
      <c r="B482" s="124" t="s">
        <v>1998</v>
      </c>
      <c r="C482" s="273">
        <f t="shared" si="128"/>
        <v>270315.78000000003</v>
      </c>
      <c r="D482" s="273">
        <f t="shared" si="129"/>
        <v>0</v>
      </c>
      <c r="E482" s="273"/>
      <c r="F482" s="273"/>
      <c r="G482" s="273"/>
      <c r="H482" s="273"/>
      <c r="I482" s="273"/>
      <c r="J482" s="273"/>
      <c r="K482" s="273"/>
      <c r="L482" s="273"/>
      <c r="M482" s="273"/>
      <c r="N482" s="273"/>
      <c r="O482" s="273"/>
      <c r="P482" s="273"/>
      <c r="Q482" s="273"/>
      <c r="R482" s="273"/>
      <c r="S482" s="273"/>
      <c r="T482" s="273">
        <f t="shared" si="131"/>
        <v>270315.78000000003</v>
      </c>
      <c r="U482" s="283"/>
      <c r="Y482" s="273"/>
      <c r="AA482" s="273"/>
      <c r="AB482" s="15"/>
      <c r="AC482" s="273">
        <v>270315.78000000003</v>
      </c>
      <c r="AD482" s="273"/>
      <c r="AF482" s="15"/>
    </row>
    <row r="483" spans="1:32" s="36" customFormat="1" x14ac:dyDescent="0.3">
      <c r="A483" s="250">
        <f t="shared" si="130"/>
        <v>350</v>
      </c>
      <c r="B483" s="124" t="s">
        <v>1999</v>
      </c>
      <c r="C483" s="273">
        <f t="shared" si="128"/>
        <v>293805.84000000003</v>
      </c>
      <c r="D483" s="273">
        <f t="shared" si="129"/>
        <v>0</v>
      </c>
      <c r="E483" s="273"/>
      <c r="F483" s="273"/>
      <c r="G483" s="273"/>
      <c r="H483" s="273"/>
      <c r="I483" s="273"/>
      <c r="J483" s="273"/>
      <c r="K483" s="273"/>
      <c r="L483" s="273"/>
      <c r="M483" s="273"/>
      <c r="N483" s="273"/>
      <c r="O483" s="273"/>
      <c r="P483" s="273"/>
      <c r="Q483" s="273"/>
      <c r="R483" s="273"/>
      <c r="S483" s="273"/>
      <c r="T483" s="273">
        <f t="shared" si="131"/>
        <v>293805.84000000003</v>
      </c>
      <c r="U483" s="283"/>
      <c r="Y483" s="273"/>
      <c r="AA483" s="273"/>
      <c r="AB483" s="15"/>
      <c r="AC483" s="273">
        <v>293805.84000000003</v>
      </c>
      <c r="AD483" s="273"/>
      <c r="AF483" s="15"/>
    </row>
    <row r="484" spans="1:32" x14ac:dyDescent="0.3">
      <c r="A484" s="250">
        <f t="shared" si="130"/>
        <v>351</v>
      </c>
      <c r="B484" s="20" t="s">
        <v>2005</v>
      </c>
      <c r="C484" s="273">
        <f t="shared" si="128"/>
        <v>376592.4</v>
      </c>
      <c r="D484" s="273">
        <f t="shared" si="129"/>
        <v>376592.4</v>
      </c>
      <c r="E484" s="273">
        <v>376592.4</v>
      </c>
      <c r="F484" s="273"/>
      <c r="G484" s="273"/>
      <c r="H484" s="273"/>
      <c r="I484" s="273"/>
      <c r="J484" s="273"/>
      <c r="K484" s="273"/>
      <c r="L484" s="273"/>
      <c r="M484" s="273"/>
      <c r="N484" s="273"/>
      <c r="O484" s="273"/>
      <c r="P484" s="273"/>
      <c r="Q484" s="273"/>
      <c r="R484" s="273"/>
      <c r="S484" s="273"/>
      <c r="T484" s="273"/>
      <c r="U484" s="283"/>
      <c r="V484" s="273"/>
      <c r="W484" s="273"/>
      <c r="X484" s="14"/>
      <c r="Y484" s="15"/>
      <c r="Z484" s="15"/>
      <c r="AA484" s="15"/>
      <c r="AB484" s="15"/>
    </row>
    <row r="485" spans="1:32" x14ac:dyDescent="0.3">
      <c r="A485" s="250">
        <f t="shared" si="130"/>
        <v>352</v>
      </c>
      <c r="B485" s="20" t="s">
        <v>2006</v>
      </c>
      <c r="C485" s="273">
        <f t="shared" si="128"/>
        <v>399238.8</v>
      </c>
      <c r="D485" s="273">
        <f t="shared" si="129"/>
        <v>399238.8</v>
      </c>
      <c r="E485" s="273">
        <v>399238.8</v>
      </c>
      <c r="F485" s="273"/>
      <c r="G485" s="273"/>
      <c r="H485" s="273"/>
      <c r="I485" s="273"/>
      <c r="J485" s="273"/>
      <c r="K485" s="273"/>
      <c r="L485" s="273"/>
      <c r="M485" s="273"/>
      <c r="N485" s="273"/>
      <c r="O485" s="273"/>
      <c r="P485" s="273"/>
      <c r="Q485" s="273"/>
      <c r="R485" s="273"/>
      <c r="S485" s="273"/>
      <c r="T485" s="273"/>
      <c r="U485" s="283"/>
      <c r="V485" s="273"/>
      <c r="W485" s="273"/>
      <c r="X485" s="14"/>
      <c r="Y485" s="15"/>
      <c r="Z485" s="15"/>
      <c r="AA485" s="15"/>
      <c r="AB485" s="15"/>
    </row>
    <row r="486" spans="1:32" x14ac:dyDescent="0.3">
      <c r="A486" s="250">
        <f t="shared" si="130"/>
        <v>353</v>
      </c>
      <c r="B486" s="20" t="s">
        <v>2007</v>
      </c>
      <c r="C486" s="273">
        <f t="shared" si="128"/>
        <v>401695.2</v>
      </c>
      <c r="D486" s="273">
        <f t="shared" si="129"/>
        <v>401695.2</v>
      </c>
      <c r="E486" s="273">
        <v>401695.2</v>
      </c>
      <c r="F486" s="273"/>
      <c r="G486" s="273"/>
      <c r="H486" s="273"/>
      <c r="I486" s="273"/>
      <c r="J486" s="273"/>
      <c r="K486" s="273"/>
      <c r="L486" s="273"/>
      <c r="M486" s="273"/>
      <c r="N486" s="273"/>
      <c r="O486" s="273"/>
      <c r="P486" s="273"/>
      <c r="Q486" s="273"/>
      <c r="R486" s="273"/>
      <c r="S486" s="273"/>
      <c r="T486" s="273"/>
      <c r="U486" s="283"/>
      <c r="V486" s="273"/>
      <c r="W486" s="273"/>
      <c r="X486" s="14"/>
      <c r="Y486" s="15"/>
      <c r="Z486" s="273"/>
      <c r="AA486" s="15"/>
      <c r="AB486" s="15"/>
    </row>
    <row r="487" spans="1:32" x14ac:dyDescent="0.3">
      <c r="A487" s="250">
        <f t="shared" si="130"/>
        <v>354</v>
      </c>
      <c r="B487" s="20" t="s">
        <v>2009</v>
      </c>
      <c r="C487" s="273">
        <f t="shared" si="128"/>
        <v>387574.8</v>
      </c>
      <c r="D487" s="273">
        <f t="shared" si="129"/>
        <v>387574.8</v>
      </c>
      <c r="E487" s="273">
        <v>387574.8</v>
      </c>
      <c r="F487" s="273"/>
      <c r="G487" s="273"/>
      <c r="H487" s="273"/>
      <c r="I487" s="273"/>
      <c r="J487" s="273"/>
      <c r="K487" s="273"/>
      <c r="L487" s="273"/>
      <c r="M487" s="273"/>
      <c r="N487" s="273"/>
      <c r="O487" s="273"/>
      <c r="P487" s="273"/>
      <c r="Q487" s="273"/>
      <c r="R487" s="273"/>
      <c r="S487" s="273"/>
      <c r="T487" s="273"/>
      <c r="U487" s="283"/>
      <c r="V487" s="273"/>
      <c r="W487" s="273"/>
      <c r="X487" s="14"/>
      <c r="Y487" s="15"/>
      <c r="Z487" s="15"/>
      <c r="AA487" s="15"/>
      <c r="AB487" s="15"/>
    </row>
    <row r="488" spans="1:32" x14ac:dyDescent="0.3">
      <c r="A488" s="250">
        <f t="shared" si="130"/>
        <v>355</v>
      </c>
      <c r="B488" s="20" t="s">
        <v>2013</v>
      </c>
      <c r="C488" s="273">
        <f t="shared" si="128"/>
        <v>1371745.2</v>
      </c>
      <c r="D488" s="273">
        <f t="shared" si="129"/>
        <v>1371745.2</v>
      </c>
      <c r="E488" s="273">
        <v>1371745.2</v>
      </c>
      <c r="F488" s="273"/>
      <c r="G488" s="273"/>
      <c r="H488" s="273"/>
      <c r="I488" s="273"/>
      <c r="J488" s="273"/>
      <c r="K488" s="273"/>
      <c r="L488" s="273"/>
      <c r="M488" s="273"/>
      <c r="N488" s="273"/>
      <c r="O488" s="273"/>
      <c r="P488" s="273"/>
      <c r="Q488" s="273"/>
      <c r="R488" s="273"/>
      <c r="S488" s="273"/>
      <c r="T488" s="273"/>
      <c r="U488" s="283"/>
      <c r="V488" s="273"/>
      <c r="W488" s="273"/>
      <c r="X488" s="14"/>
      <c r="Y488" s="15"/>
      <c r="Z488" s="15"/>
      <c r="AA488" s="15"/>
      <c r="AB488" s="15"/>
    </row>
    <row r="489" spans="1:32" x14ac:dyDescent="0.3">
      <c r="A489" s="250">
        <f t="shared" si="130"/>
        <v>356</v>
      </c>
      <c r="B489" s="20" t="s">
        <v>2024</v>
      </c>
      <c r="C489" s="273">
        <f t="shared" si="128"/>
        <v>417057.6</v>
      </c>
      <c r="D489" s="273">
        <f t="shared" si="129"/>
        <v>417057.6</v>
      </c>
      <c r="E489" s="273">
        <v>417057.6</v>
      </c>
      <c r="F489" s="273"/>
      <c r="G489" s="273"/>
      <c r="H489" s="273"/>
      <c r="I489" s="273"/>
      <c r="J489" s="273"/>
      <c r="K489" s="273"/>
      <c r="L489" s="273"/>
      <c r="M489" s="273"/>
      <c r="N489" s="273"/>
      <c r="O489" s="273"/>
      <c r="P489" s="273"/>
      <c r="Q489" s="273"/>
      <c r="R489" s="273"/>
      <c r="S489" s="273"/>
      <c r="T489" s="273"/>
      <c r="U489" s="283"/>
      <c r="V489" s="273"/>
      <c r="W489" s="273"/>
      <c r="X489" s="14"/>
      <c r="Y489" s="15"/>
      <c r="Z489" s="15"/>
      <c r="AA489" s="15"/>
      <c r="AB489" s="15"/>
    </row>
    <row r="490" spans="1:32" x14ac:dyDescent="0.3">
      <c r="A490" s="250">
        <f t="shared" si="130"/>
        <v>357</v>
      </c>
      <c r="B490" s="20" t="s">
        <v>2034</v>
      </c>
      <c r="C490" s="273">
        <f t="shared" si="128"/>
        <v>2160773.52</v>
      </c>
      <c r="D490" s="273">
        <f t="shared" si="129"/>
        <v>2160773.52</v>
      </c>
      <c r="E490" s="273">
        <v>2160773.52</v>
      </c>
      <c r="F490" s="273"/>
      <c r="G490" s="273"/>
      <c r="H490" s="273"/>
      <c r="I490" s="273"/>
      <c r="J490" s="273"/>
      <c r="K490" s="273"/>
      <c r="L490" s="273"/>
      <c r="M490" s="273"/>
      <c r="N490" s="273"/>
      <c r="O490" s="273"/>
      <c r="P490" s="273"/>
      <c r="Q490" s="273"/>
      <c r="R490" s="273"/>
      <c r="S490" s="273"/>
      <c r="T490" s="273"/>
      <c r="U490" s="283"/>
      <c r="V490" s="273"/>
      <c r="W490" s="273"/>
      <c r="X490" s="273"/>
      <c r="Y490" s="15"/>
      <c r="Z490" s="15"/>
      <c r="AA490" s="15"/>
      <c r="AB490" s="15"/>
    </row>
    <row r="491" spans="1:32" x14ac:dyDescent="0.3">
      <c r="A491" s="250">
        <f t="shared" si="130"/>
        <v>358</v>
      </c>
      <c r="B491" s="20" t="s">
        <v>2042</v>
      </c>
      <c r="C491" s="273">
        <f t="shared" si="128"/>
        <v>2163166.7999999998</v>
      </c>
      <c r="D491" s="273">
        <f t="shared" si="129"/>
        <v>2163166.7999999998</v>
      </c>
      <c r="E491" s="273">
        <v>2163166.7999999998</v>
      </c>
      <c r="F491" s="273"/>
      <c r="G491" s="273"/>
      <c r="H491" s="273"/>
      <c r="I491" s="273"/>
      <c r="J491" s="273"/>
      <c r="K491" s="273"/>
      <c r="L491" s="273"/>
      <c r="M491" s="273"/>
      <c r="N491" s="273"/>
      <c r="O491" s="273"/>
      <c r="P491" s="273"/>
      <c r="Q491" s="273"/>
      <c r="R491" s="273"/>
      <c r="S491" s="273"/>
      <c r="T491" s="273"/>
      <c r="U491" s="283"/>
      <c r="V491" s="273"/>
      <c r="W491" s="273"/>
      <c r="X491" s="273"/>
      <c r="Y491" s="15"/>
      <c r="Z491" s="15"/>
      <c r="AA491" s="15"/>
      <c r="AB491" s="15"/>
    </row>
    <row r="492" spans="1:32" x14ac:dyDescent="0.3">
      <c r="A492" s="250">
        <f t="shared" si="130"/>
        <v>359</v>
      </c>
      <c r="B492" s="20" t="s">
        <v>2064</v>
      </c>
      <c r="C492" s="273">
        <f t="shared" si="128"/>
        <v>1372184.4</v>
      </c>
      <c r="D492" s="273">
        <f t="shared" si="129"/>
        <v>1372184.4</v>
      </c>
      <c r="E492" s="273">
        <v>1372184.4</v>
      </c>
      <c r="F492" s="273"/>
      <c r="G492" s="273"/>
      <c r="H492" s="273"/>
      <c r="I492" s="273"/>
      <c r="J492" s="273"/>
      <c r="K492" s="273"/>
      <c r="L492" s="273"/>
      <c r="M492" s="273"/>
      <c r="N492" s="273"/>
      <c r="O492" s="273"/>
      <c r="P492" s="273"/>
      <c r="Q492" s="273"/>
      <c r="R492" s="273"/>
      <c r="S492" s="273"/>
      <c r="T492" s="273"/>
      <c r="U492" s="283"/>
      <c r="V492" s="273"/>
      <c r="W492" s="273"/>
      <c r="X492" s="14"/>
      <c r="Y492" s="273"/>
      <c r="Z492" s="15"/>
      <c r="AA492" s="15"/>
      <c r="AB492" s="15"/>
    </row>
    <row r="493" spans="1:32" x14ac:dyDescent="0.3">
      <c r="A493" s="250" t="s">
        <v>208</v>
      </c>
      <c r="B493" s="250"/>
      <c r="C493" s="273">
        <f>SUM(C473:C492)</f>
        <v>30886745.920000002</v>
      </c>
      <c r="D493" s="273">
        <f t="shared" ref="D493:T493" si="132">SUM(D473:D492)</f>
        <v>28905603.969999995</v>
      </c>
      <c r="E493" s="273">
        <f t="shared" si="132"/>
        <v>15649690.319999998</v>
      </c>
      <c r="F493" s="273">
        <f t="shared" si="132"/>
        <v>11083658.4</v>
      </c>
      <c r="G493" s="273">
        <f t="shared" si="132"/>
        <v>2172255.25</v>
      </c>
      <c r="H493" s="273">
        <f t="shared" si="132"/>
        <v>0</v>
      </c>
      <c r="I493" s="273">
        <f t="shared" si="132"/>
        <v>0</v>
      </c>
      <c r="J493" s="273">
        <f t="shared" si="132"/>
        <v>0</v>
      </c>
      <c r="K493" s="273">
        <f t="shared" si="132"/>
        <v>0</v>
      </c>
      <c r="L493" s="273">
        <f t="shared" si="132"/>
        <v>0</v>
      </c>
      <c r="M493" s="273">
        <f t="shared" si="132"/>
        <v>0</v>
      </c>
      <c r="N493" s="273">
        <f t="shared" si="132"/>
        <v>0</v>
      </c>
      <c r="O493" s="273">
        <f t="shared" si="132"/>
        <v>0</v>
      </c>
      <c r="P493" s="273">
        <f t="shared" si="132"/>
        <v>0</v>
      </c>
      <c r="Q493" s="273">
        <f t="shared" si="132"/>
        <v>0</v>
      </c>
      <c r="R493" s="273">
        <f t="shared" si="132"/>
        <v>0</v>
      </c>
      <c r="S493" s="273">
        <f t="shared" si="132"/>
        <v>199573.2</v>
      </c>
      <c r="T493" s="273">
        <f t="shared" si="132"/>
        <v>1781568.75</v>
      </c>
      <c r="U493" s="283"/>
      <c r="V493" s="273"/>
      <c r="W493" s="273"/>
      <c r="X493" s="14"/>
      <c r="Y493" s="15"/>
      <c r="Z493" s="15"/>
      <c r="AA493" s="15"/>
      <c r="AB493" s="15"/>
    </row>
    <row r="494" spans="1:32" x14ac:dyDescent="0.3">
      <c r="A494" s="252" t="s">
        <v>3541</v>
      </c>
      <c r="B494" s="252"/>
      <c r="C494" s="251">
        <f t="shared" ref="C494:T494" si="133">C493</f>
        <v>30886745.920000002</v>
      </c>
      <c r="D494" s="251">
        <f t="shared" si="133"/>
        <v>28905603.969999995</v>
      </c>
      <c r="E494" s="251">
        <f t="shared" si="133"/>
        <v>15649690.319999998</v>
      </c>
      <c r="F494" s="251">
        <f t="shared" si="133"/>
        <v>11083658.4</v>
      </c>
      <c r="G494" s="251">
        <f t="shared" si="133"/>
        <v>2172255.25</v>
      </c>
      <c r="H494" s="251">
        <f t="shared" si="133"/>
        <v>0</v>
      </c>
      <c r="I494" s="251">
        <f t="shared" si="133"/>
        <v>0</v>
      </c>
      <c r="J494" s="251">
        <f t="shared" si="133"/>
        <v>0</v>
      </c>
      <c r="K494" s="251">
        <f t="shared" si="133"/>
        <v>0</v>
      </c>
      <c r="L494" s="251">
        <f t="shared" si="133"/>
        <v>0</v>
      </c>
      <c r="M494" s="251">
        <f t="shared" si="133"/>
        <v>0</v>
      </c>
      <c r="N494" s="251">
        <f t="shared" si="133"/>
        <v>0</v>
      </c>
      <c r="O494" s="251">
        <f t="shared" si="133"/>
        <v>0</v>
      </c>
      <c r="P494" s="251">
        <f t="shared" si="133"/>
        <v>0</v>
      </c>
      <c r="Q494" s="251">
        <f t="shared" si="133"/>
        <v>0</v>
      </c>
      <c r="R494" s="251">
        <f t="shared" si="133"/>
        <v>0</v>
      </c>
      <c r="S494" s="251">
        <f t="shared" si="133"/>
        <v>199573.2</v>
      </c>
      <c r="T494" s="251">
        <f t="shared" si="133"/>
        <v>1781568.75</v>
      </c>
      <c r="U494" s="283"/>
      <c r="V494" s="273"/>
      <c r="W494" s="273"/>
      <c r="X494" s="14"/>
      <c r="Y494" s="15"/>
      <c r="Z494" s="15"/>
      <c r="AA494" s="15"/>
      <c r="AB494" s="15"/>
    </row>
    <row r="495" spans="1:32" x14ac:dyDescent="0.3">
      <c r="A495" s="321" t="s">
        <v>2079</v>
      </c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3"/>
      <c r="U495" s="271"/>
      <c r="V495" s="269"/>
      <c r="W495" s="7"/>
      <c r="X495" s="3"/>
      <c r="Y495" s="13"/>
      <c r="Z495" s="13"/>
      <c r="AA495" s="13"/>
    </row>
    <row r="496" spans="1:32" x14ac:dyDescent="0.3">
      <c r="A496" s="249" t="s">
        <v>2084</v>
      </c>
      <c r="B496" s="249"/>
      <c r="C496" s="273"/>
      <c r="D496" s="273"/>
      <c r="E496" s="273"/>
      <c r="F496" s="273"/>
      <c r="G496" s="273"/>
      <c r="H496" s="273"/>
      <c r="I496" s="273"/>
      <c r="J496" s="273"/>
      <c r="K496" s="273"/>
      <c r="L496" s="273"/>
      <c r="M496" s="273"/>
      <c r="N496" s="273"/>
      <c r="O496" s="273"/>
      <c r="P496" s="273"/>
      <c r="Q496" s="273"/>
      <c r="R496" s="273"/>
      <c r="S496" s="273"/>
      <c r="T496" s="273"/>
      <c r="U496" s="271"/>
      <c r="V496" s="269"/>
      <c r="W496" s="7"/>
      <c r="X496" s="3"/>
      <c r="Y496" s="13"/>
      <c r="Z496" s="13"/>
      <c r="AA496" s="13"/>
    </row>
    <row r="497" spans="1:29" x14ac:dyDescent="0.3">
      <c r="A497" s="250">
        <f>A492+1</f>
        <v>360</v>
      </c>
      <c r="B497" s="20" t="s">
        <v>2087</v>
      </c>
      <c r="C497" s="273">
        <f t="shared" ref="C497:C503" si="134">D497+K497+M497+O497+P497+R497+S497+T497</f>
        <v>2858649.0600000005</v>
      </c>
      <c r="D497" s="273">
        <f t="shared" ref="D497:D503" si="135">E497+F497+G497+H497+I497</f>
        <v>2858649.0600000005</v>
      </c>
      <c r="E497" s="273">
        <v>733825.67</v>
      </c>
      <c r="F497" s="273">
        <v>1550413.78</v>
      </c>
      <c r="G497" s="273">
        <v>174611.46</v>
      </c>
      <c r="H497" s="273">
        <v>207732.2</v>
      </c>
      <c r="I497" s="273">
        <v>192065.95</v>
      </c>
      <c r="J497" s="273"/>
      <c r="K497" s="273"/>
      <c r="L497" s="273"/>
      <c r="M497" s="273"/>
      <c r="N497" s="273"/>
      <c r="O497" s="273"/>
      <c r="P497" s="273"/>
      <c r="Q497" s="273"/>
      <c r="R497" s="273"/>
      <c r="S497" s="273"/>
      <c r="T497" s="273"/>
      <c r="U497" s="271"/>
      <c r="V497" s="269"/>
      <c r="W497" s="7"/>
      <c r="X497" s="269"/>
      <c r="Y497" s="13"/>
      <c r="Z497" s="13"/>
      <c r="AA497" s="13"/>
    </row>
    <row r="498" spans="1:29" x14ac:dyDescent="0.3">
      <c r="A498" s="250">
        <f t="shared" ref="A498:A503" si="136">A497+1</f>
        <v>361</v>
      </c>
      <c r="B498" s="20" t="s">
        <v>2088</v>
      </c>
      <c r="C498" s="273">
        <f t="shared" si="134"/>
        <v>2805394.9600000004</v>
      </c>
      <c r="D498" s="273">
        <f t="shared" si="135"/>
        <v>2805394.9600000004</v>
      </c>
      <c r="E498" s="273">
        <v>611353.11</v>
      </c>
      <c r="F498" s="273">
        <v>1619632.24</v>
      </c>
      <c r="G498" s="273">
        <v>174611.46</v>
      </c>
      <c r="H498" s="273">
        <v>207732.2</v>
      </c>
      <c r="I498" s="273">
        <v>192065.95</v>
      </c>
      <c r="J498" s="273"/>
      <c r="K498" s="273"/>
      <c r="L498" s="273"/>
      <c r="M498" s="273"/>
      <c r="N498" s="273"/>
      <c r="O498" s="273"/>
      <c r="P498" s="273"/>
      <c r="Q498" s="273"/>
      <c r="R498" s="273"/>
      <c r="S498" s="273"/>
      <c r="T498" s="273"/>
      <c r="U498" s="271"/>
      <c r="V498" s="269"/>
      <c r="W498" s="7"/>
      <c r="X498" s="269"/>
      <c r="Y498" s="13"/>
      <c r="Z498" s="13"/>
      <c r="AA498" s="13"/>
    </row>
    <row r="499" spans="1:29" x14ac:dyDescent="0.3">
      <c r="A499" s="250">
        <f t="shared" si="136"/>
        <v>362</v>
      </c>
      <c r="B499" s="20" t="s">
        <v>2089</v>
      </c>
      <c r="C499" s="273">
        <f t="shared" si="134"/>
        <v>2535309.5499999998</v>
      </c>
      <c r="D499" s="273">
        <f t="shared" si="135"/>
        <v>2107387.15</v>
      </c>
      <c r="E499" s="273">
        <v>388152</v>
      </c>
      <c r="F499" s="273">
        <v>1362786</v>
      </c>
      <c r="G499" s="273">
        <v>198214.8</v>
      </c>
      <c r="H499" s="273">
        <v>158234.35</v>
      </c>
      <c r="I499" s="273"/>
      <c r="J499" s="273"/>
      <c r="K499" s="273"/>
      <c r="L499" s="273"/>
      <c r="M499" s="273"/>
      <c r="N499" s="273"/>
      <c r="O499" s="273"/>
      <c r="P499" s="273"/>
      <c r="Q499" s="273"/>
      <c r="R499" s="273"/>
      <c r="S499" s="273">
        <f>336578.4+91344</f>
        <v>427922.4</v>
      </c>
      <c r="T499" s="273"/>
      <c r="U499" s="271"/>
      <c r="V499" s="269"/>
      <c r="W499" s="7"/>
      <c r="X499" s="269"/>
      <c r="Y499" s="13"/>
      <c r="Z499" s="13"/>
      <c r="AA499" s="13"/>
    </row>
    <row r="500" spans="1:29" x14ac:dyDescent="0.3">
      <c r="A500" s="250">
        <f t="shared" si="136"/>
        <v>363</v>
      </c>
      <c r="B500" s="20" t="s">
        <v>2091</v>
      </c>
      <c r="C500" s="273">
        <f t="shared" si="134"/>
        <v>2547051.6</v>
      </c>
      <c r="D500" s="273">
        <f t="shared" si="135"/>
        <v>2113946.4</v>
      </c>
      <c r="E500" s="273">
        <v>348223.2</v>
      </c>
      <c r="F500" s="273">
        <v>1366958.4</v>
      </c>
      <c r="G500" s="273">
        <v>202070.39999999999</v>
      </c>
      <c r="H500" s="273">
        <v>196694.39999999999</v>
      </c>
      <c r="I500" s="273"/>
      <c r="J500" s="273"/>
      <c r="K500" s="273"/>
      <c r="L500" s="273"/>
      <c r="M500" s="273"/>
      <c r="N500" s="273"/>
      <c r="O500" s="273"/>
      <c r="P500" s="273"/>
      <c r="Q500" s="273"/>
      <c r="R500" s="273"/>
      <c r="S500" s="273">
        <f>344210.4+88894.8</f>
        <v>433105.2</v>
      </c>
      <c r="T500" s="273"/>
      <c r="U500" s="271"/>
      <c r="V500" s="269"/>
      <c r="W500" s="84"/>
      <c r="X500" s="269"/>
      <c r="Y500" s="82"/>
      <c r="Z500" s="82"/>
      <c r="AA500" s="82"/>
    </row>
    <row r="501" spans="1:29" x14ac:dyDescent="0.3">
      <c r="A501" s="250">
        <f t="shared" si="136"/>
        <v>364</v>
      </c>
      <c r="B501" s="20" t="s">
        <v>2092</v>
      </c>
      <c r="C501" s="273">
        <f t="shared" si="134"/>
        <v>2477290.8000000003</v>
      </c>
      <c r="D501" s="273">
        <f t="shared" si="135"/>
        <v>2047717.2000000002</v>
      </c>
      <c r="E501" s="273">
        <v>325203.59999999998</v>
      </c>
      <c r="F501" s="273">
        <v>1366958.4</v>
      </c>
      <c r="G501" s="273">
        <v>221019.6</v>
      </c>
      <c r="H501" s="273">
        <v>134535.6</v>
      </c>
      <c r="I501" s="273"/>
      <c r="J501" s="273"/>
      <c r="K501" s="273"/>
      <c r="L501" s="273"/>
      <c r="M501" s="273"/>
      <c r="N501" s="273"/>
      <c r="O501" s="273"/>
      <c r="P501" s="273"/>
      <c r="Q501" s="273"/>
      <c r="R501" s="273"/>
      <c r="S501" s="273">
        <f>336099.6+93474</f>
        <v>429573.6</v>
      </c>
      <c r="T501" s="273"/>
      <c r="U501" s="271"/>
      <c r="V501" s="269"/>
      <c r="W501" s="84"/>
      <c r="X501" s="269"/>
      <c r="Y501" s="82"/>
      <c r="Z501" s="82"/>
      <c r="AA501" s="82"/>
    </row>
    <row r="502" spans="1:29" x14ac:dyDescent="0.3">
      <c r="A502" s="250">
        <f t="shared" si="136"/>
        <v>365</v>
      </c>
      <c r="B502" s="20" t="s">
        <v>2095</v>
      </c>
      <c r="C502" s="273">
        <f t="shared" si="134"/>
        <v>6443223.5999999996</v>
      </c>
      <c r="D502" s="273">
        <f t="shared" si="135"/>
        <v>5767061.9999999991</v>
      </c>
      <c r="E502" s="273">
        <v>1821037.2</v>
      </c>
      <c r="F502" s="273">
        <v>2020983.6</v>
      </c>
      <c r="G502" s="273">
        <v>501999.6</v>
      </c>
      <c r="H502" s="273">
        <v>540822</v>
      </c>
      <c r="I502" s="273">
        <v>882219.6</v>
      </c>
      <c r="J502" s="273"/>
      <c r="K502" s="273"/>
      <c r="L502" s="273"/>
      <c r="M502" s="273"/>
      <c r="N502" s="273"/>
      <c r="O502" s="273"/>
      <c r="P502" s="273"/>
      <c r="Q502" s="273"/>
      <c r="R502" s="273"/>
      <c r="S502" s="273">
        <f>284996.4+391165.2</f>
        <v>676161.60000000009</v>
      </c>
      <c r="T502" s="273"/>
      <c r="U502" s="271"/>
      <c r="V502" s="269"/>
      <c r="W502" s="84"/>
      <c r="X502" s="269"/>
      <c r="Y502" s="82"/>
      <c r="Z502" s="82"/>
      <c r="AA502" s="82"/>
    </row>
    <row r="503" spans="1:29" x14ac:dyDescent="0.3">
      <c r="A503" s="250">
        <f t="shared" si="136"/>
        <v>366</v>
      </c>
      <c r="B503" s="20" t="s">
        <v>2096</v>
      </c>
      <c r="C503" s="273">
        <f t="shared" si="134"/>
        <v>6544181.0099999998</v>
      </c>
      <c r="D503" s="273">
        <f t="shared" si="135"/>
        <v>6544181.0099999998</v>
      </c>
      <c r="E503" s="273">
        <v>721191.6</v>
      </c>
      <c r="F503" s="273">
        <v>3577132.8</v>
      </c>
      <c r="G503" s="273">
        <v>693109.57</v>
      </c>
      <c r="H503" s="273">
        <v>1552747.04</v>
      </c>
      <c r="I503" s="273"/>
      <c r="J503" s="273"/>
      <c r="K503" s="273"/>
      <c r="L503" s="273"/>
      <c r="M503" s="273"/>
      <c r="N503" s="273"/>
      <c r="O503" s="273"/>
      <c r="P503" s="273"/>
      <c r="Q503" s="273"/>
      <c r="R503" s="273"/>
      <c r="S503" s="273"/>
      <c r="T503" s="273"/>
      <c r="U503" s="271"/>
      <c r="V503" s="269"/>
      <c r="W503" s="84"/>
      <c r="X503" s="269"/>
      <c r="Y503" s="82"/>
      <c r="Z503" s="82"/>
      <c r="AA503" s="82"/>
    </row>
    <row r="504" spans="1:29" x14ac:dyDescent="0.3">
      <c r="A504" s="250" t="s">
        <v>208</v>
      </c>
      <c r="B504" s="250"/>
      <c r="C504" s="273">
        <f t="shared" ref="C504:T504" si="137">SUM(C497:C503)</f>
        <v>26211100.579999998</v>
      </c>
      <c r="D504" s="273">
        <f t="shared" si="137"/>
        <v>24244337.780000001</v>
      </c>
      <c r="E504" s="273">
        <f t="shared" si="137"/>
        <v>4948986.38</v>
      </c>
      <c r="F504" s="273">
        <f t="shared" si="137"/>
        <v>12864865.219999999</v>
      </c>
      <c r="G504" s="273">
        <f t="shared" si="137"/>
        <v>2165636.8899999997</v>
      </c>
      <c r="H504" s="273">
        <f t="shared" si="137"/>
        <v>2998497.79</v>
      </c>
      <c r="I504" s="273">
        <f t="shared" si="137"/>
        <v>1266351.5</v>
      </c>
      <c r="J504" s="273">
        <f t="shared" si="137"/>
        <v>0</v>
      </c>
      <c r="K504" s="273">
        <f t="shared" si="137"/>
        <v>0</v>
      </c>
      <c r="L504" s="273">
        <f t="shared" si="137"/>
        <v>0</v>
      </c>
      <c r="M504" s="273">
        <f t="shared" si="137"/>
        <v>0</v>
      </c>
      <c r="N504" s="273">
        <f t="shared" si="137"/>
        <v>0</v>
      </c>
      <c r="O504" s="273">
        <f t="shared" si="137"/>
        <v>0</v>
      </c>
      <c r="P504" s="273">
        <f t="shared" si="137"/>
        <v>0</v>
      </c>
      <c r="Q504" s="273">
        <f t="shared" si="137"/>
        <v>0</v>
      </c>
      <c r="R504" s="273">
        <f t="shared" si="137"/>
        <v>0</v>
      </c>
      <c r="S504" s="273">
        <f t="shared" si="137"/>
        <v>1966762.8000000003</v>
      </c>
      <c r="T504" s="273">
        <f t="shared" si="137"/>
        <v>0</v>
      </c>
      <c r="U504" s="271"/>
      <c r="V504" s="269"/>
      <c r="W504" s="84"/>
      <c r="X504" s="269"/>
      <c r="Y504" s="82"/>
      <c r="Z504" s="82"/>
      <c r="AA504" s="82"/>
    </row>
    <row r="505" spans="1:29" x14ac:dyDescent="0.3">
      <c r="A505" s="301" t="s">
        <v>2105</v>
      </c>
      <c r="B505" s="301"/>
      <c r="C505" s="273"/>
      <c r="D505" s="273"/>
      <c r="E505" s="273"/>
      <c r="F505" s="273"/>
      <c r="G505" s="273"/>
      <c r="H505" s="273"/>
      <c r="I505" s="273"/>
      <c r="J505" s="273"/>
      <c r="K505" s="273"/>
      <c r="L505" s="273"/>
      <c r="M505" s="273"/>
      <c r="N505" s="273"/>
      <c r="O505" s="273"/>
      <c r="P505" s="273"/>
      <c r="Q505" s="273"/>
      <c r="R505" s="273"/>
      <c r="S505" s="273"/>
      <c r="T505" s="273"/>
      <c r="U505" s="271"/>
      <c r="V505" s="271"/>
      <c r="W505" s="271"/>
      <c r="X505" s="271"/>
      <c r="Y505" s="269"/>
      <c r="Z505" s="84"/>
      <c r="AA505" s="269"/>
      <c r="AB505" s="82"/>
      <c r="AC505" s="82"/>
    </row>
    <row r="506" spans="1:29" x14ac:dyDescent="0.3">
      <c r="A506" s="259">
        <f>A503+1</f>
        <v>367</v>
      </c>
      <c r="B506" s="20" t="s">
        <v>2106</v>
      </c>
      <c r="C506" s="273">
        <f t="shared" ref="C506:C507" si="138">D506+K506+M506+O506+P506+R506+S506+T506</f>
        <v>66078821.5</v>
      </c>
      <c r="D506" s="273"/>
      <c r="E506" s="273"/>
      <c r="F506" s="273"/>
      <c r="G506" s="273"/>
      <c r="H506" s="273"/>
      <c r="I506" s="273"/>
      <c r="J506" s="273"/>
      <c r="K506" s="273"/>
      <c r="L506" s="273"/>
      <c r="M506" s="273"/>
      <c r="N506" s="273">
        <v>7464</v>
      </c>
      <c r="O506" s="273">
        <v>66078821.5</v>
      </c>
      <c r="P506" s="273"/>
      <c r="Q506" s="273"/>
      <c r="R506" s="273"/>
      <c r="S506" s="273"/>
      <c r="T506" s="273"/>
      <c r="U506" s="271"/>
      <c r="V506" s="271"/>
      <c r="W506" s="271"/>
      <c r="X506" s="271"/>
      <c r="Y506" s="269"/>
      <c r="Z506" s="84"/>
      <c r="AA506" s="269"/>
      <c r="AB506" s="82"/>
      <c r="AC506" s="82"/>
    </row>
    <row r="507" spans="1:29" x14ac:dyDescent="0.3">
      <c r="A507" s="250">
        <f>A506+1</f>
        <v>368</v>
      </c>
      <c r="B507" s="20" t="s">
        <v>2109</v>
      </c>
      <c r="C507" s="273">
        <f t="shared" si="138"/>
        <v>17871674.399999999</v>
      </c>
      <c r="D507" s="273"/>
      <c r="E507" s="273"/>
      <c r="F507" s="273"/>
      <c r="G507" s="273"/>
      <c r="H507" s="273"/>
      <c r="I507" s="273"/>
      <c r="J507" s="273"/>
      <c r="K507" s="273"/>
      <c r="L507" s="273"/>
      <c r="M507" s="273"/>
      <c r="N507" s="273">
        <v>3354</v>
      </c>
      <c r="O507" s="273">
        <v>17871674.399999999</v>
      </c>
      <c r="P507" s="273"/>
      <c r="Q507" s="273"/>
      <c r="R507" s="273"/>
      <c r="S507" s="273"/>
      <c r="T507" s="273"/>
      <c r="U507" s="271"/>
      <c r="V507" s="271"/>
      <c r="W507" s="271"/>
      <c r="X507" s="271"/>
      <c r="Y507" s="269"/>
      <c r="Z507" s="84"/>
      <c r="AA507" s="269"/>
      <c r="AB507" s="82"/>
      <c r="AC507" s="82"/>
    </row>
    <row r="508" spans="1:29" x14ac:dyDescent="0.3">
      <c r="A508" s="250" t="s">
        <v>208</v>
      </c>
      <c r="B508" s="250"/>
      <c r="C508" s="273">
        <f t="shared" ref="C508:T508" si="139">SUM(C506:C507)</f>
        <v>83950495.900000006</v>
      </c>
      <c r="D508" s="273">
        <f t="shared" si="139"/>
        <v>0</v>
      </c>
      <c r="E508" s="273">
        <f t="shared" si="139"/>
        <v>0</v>
      </c>
      <c r="F508" s="273">
        <f t="shared" si="139"/>
        <v>0</v>
      </c>
      <c r="G508" s="273">
        <f t="shared" si="139"/>
        <v>0</v>
      </c>
      <c r="H508" s="273">
        <f t="shared" si="139"/>
        <v>0</v>
      </c>
      <c r="I508" s="273">
        <f t="shared" si="139"/>
        <v>0</v>
      </c>
      <c r="J508" s="273">
        <f t="shared" si="139"/>
        <v>0</v>
      </c>
      <c r="K508" s="273">
        <f t="shared" si="139"/>
        <v>0</v>
      </c>
      <c r="L508" s="273">
        <f t="shared" si="139"/>
        <v>0</v>
      </c>
      <c r="M508" s="273">
        <f t="shared" si="139"/>
        <v>0</v>
      </c>
      <c r="N508" s="273">
        <f t="shared" si="139"/>
        <v>10818</v>
      </c>
      <c r="O508" s="273">
        <f t="shared" si="139"/>
        <v>83950495.900000006</v>
      </c>
      <c r="P508" s="273">
        <f t="shared" si="139"/>
        <v>0</v>
      </c>
      <c r="Q508" s="273">
        <f t="shared" si="139"/>
        <v>0</v>
      </c>
      <c r="R508" s="273">
        <f t="shared" si="139"/>
        <v>0</v>
      </c>
      <c r="S508" s="273">
        <f t="shared" si="139"/>
        <v>0</v>
      </c>
      <c r="T508" s="273">
        <f t="shared" si="139"/>
        <v>0</v>
      </c>
      <c r="U508" s="271"/>
      <c r="V508" s="269"/>
      <c r="W508" s="94"/>
      <c r="X508" s="269"/>
      <c r="Y508" s="82"/>
      <c r="Z508" s="82"/>
      <c r="AA508" s="82"/>
    </row>
    <row r="509" spans="1:29" x14ac:dyDescent="0.3">
      <c r="A509" s="249" t="s">
        <v>2110</v>
      </c>
      <c r="B509" s="249"/>
      <c r="C509" s="273"/>
      <c r="D509" s="273"/>
      <c r="E509" s="273"/>
      <c r="F509" s="273"/>
      <c r="G509" s="273"/>
      <c r="H509" s="273"/>
      <c r="I509" s="273"/>
      <c r="J509" s="273"/>
      <c r="K509" s="273"/>
      <c r="L509" s="273"/>
      <c r="M509" s="273"/>
      <c r="N509" s="273"/>
      <c r="O509" s="273"/>
      <c r="P509" s="273"/>
      <c r="Q509" s="273"/>
      <c r="R509" s="273"/>
      <c r="S509" s="273"/>
      <c r="T509" s="273"/>
      <c r="U509" s="271"/>
      <c r="V509" s="269"/>
      <c r="W509" s="84"/>
      <c r="X509" s="269"/>
      <c r="Y509" s="82"/>
      <c r="Z509" s="82"/>
      <c r="AA509" s="82"/>
    </row>
    <row r="510" spans="1:29" x14ac:dyDescent="0.3">
      <c r="A510" s="250">
        <f>A507+1</f>
        <v>369</v>
      </c>
      <c r="B510" s="20" t="s">
        <v>2121</v>
      </c>
      <c r="C510" s="273">
        <f t="shared" ref="C510" si="140">D510+K510+M510+O510+P510+R510+S510+T510</f>
        <v>1722078.91</v>
      </c>
      <c r="D510" s="273">
        <f>E510+F510+G510+H510+I510</f>
        <v>1722078.91</v>
      </c>
      <c r="E510" s="273">
        <v>659210.32999999996</v>
      </c>
      <c r="F510" s="273"/>
      <c r="G510" s="273">
        <v>162867.76999999999</v>
      </c>
      <c r="H510" s="273">
        <v>163418.04999999999</v>
      </c>
      <c r="I510" s="273">
        <v>736582.76</v>
      </c>
      <c r="J510" s="273"/>
      <c r="K510" s="273"/>
      <c r="L510" s="273"/>
      <c r="M510" s="273"/>
      <c r="N510" s="273"/>
      <c r="O510" s="273"/>
      <c r="P510" s="273"/>
      <c r="Q510" s="273"/>
      <c r="R510" s="273"/>
      <c r="S510" s="273"/>
      <c r="T510" s="273"/>
      <c r="U510" s="271"/>
      <c r="V510" s="269"/>
      <c r="W510" s="84"/>
      <c r="X510" s="269"/>
      <c r="Y510" s="82"/>
      <c r="Z510" s="82"/>
      <c r="AA510" s="82"/>
    </row>
    <row r="511" spans="1:29" x14ac:dyDescent="0.3">
      <c r="A511" s="250" t="s">
        <v>208</v>
      </c>
      <c r="B511" s="250"/>
      <c r="C511" s="273">
        <f t="shared" ref="C511:T511" si="141">SUM(C510:C510)</f>
        <v>1722078.91</v>
      </c>
      <c r="D511" s="273">
        <f t="shared" si="141"/>
        <v>1722078.91</v>
      </c>
      <c r="E511" s="273">
        <f t="shared" si="141"/>
        <v>659210.32999999996</v>
      </c>
      <c r="F511" s="273">
        <f t="shared" si="141"/>
        <v>0</v>
      </c>
      <c r="G511" s="273">
        <f t="shared" si="141"/>
        <v>162867.76999999999</v>
      </c>
      <c r="H511" s="273">
        <f t="shared" si="141"/>
        <v>163418.04999999999</v>
      </c>
      <c r="I511" s="273">
        <f t="shared" si="141"/>
        <v>736582.76</v>
      </c>
      <c r="J511" s="273">
        <f t="shared" si="141"/>
        <v>0</v>
      </c>
      <c r="K511" s="273">
        <f t="shared" si="141"/>
        <v>0</v>
      </c>
      <c r="L511" s="273">
        <f t="shared" si="141"/>
        <v>0</v>
      </c>
      <c r="M511" s="273">
        <f t="shared" si="141"/>
        <v>0</v>
      </c>
      <c r="N511" s="273">
        <f t="shared" si="141"/>
        <v>0</v>
      </c>
      <c r="O511" s="273">
        <f t="shared" si="141"/>
        <v>0</v>
      </c>
      <c r="P511" s="273">
        <f t="shared" si="141"/>
        <v>0</v>
      </c>
      <c r="Q511" s="273">
        <f t="shared" si="141"/>
        <v>0</v>
      </c>
      <c r="R511" s="273">
        <f t="shared" si="141"/>
        <v>0</v>
      </c>
      <c r="S511" s="273">
        <f t="shared" si="141"/>
        <v>0</v>
      </c>
      <c r="T511" s="273">
        <f t="shared" si="141"/>
        <v>0</v>
      </c>
      <c r="U511" s="271"/>
      <c r="V511" s="269"/>
      <c r="W511" s="84"/>
      <c r="X511" s="269"/>
      <c r="Y511" s="82"/>
      <c r="Z511" s="82"/>
      <c r="AA511" s="82"/>
    </row>
    <row r="512" spans="1:29" x14ac:dyDescent="0.3">
      <c r="A512" s="249" t="s">
        <v>2123</v>
      </c>
      <c r="B512" s="249"/>
      <c r="C512" s="273"/>
      <c r="D512" s="273"/>
      <c r="E512" s="273"/>
      <c r="F512" s="273"/>
      <c r="G512" s="273"/>
      <c r="H512" s="273"/>
      <c r="I512" s="273"/>
      <c r="J512" s="273"/>
      <c r="K512" s="273"/>
      <c r="L512" s="273"/>
      <c r="M512" s="273"/>
      <c r="N512" s="273"/>
      <c r="O512" s="273"/>
      <c r="P512" s="273"/>
      <c r="Q512" s="273"/>
      <c r="R512" s="273"/>
      <c r="S512" s="273"/>
      <c r="T512" s="273"/>
      <c r="U512" s="271"/>
      <c r="V512" s="269"/>
      <c r="W512" s="84"/>
      <c r="X512" s="269"/>
      <c r="Y512" s="82"/>
      <c r="Z512" s="82"/>
      <c r="AA512" s="82"/>
    </row>
    <row r="513" spans="1:27" x14ac:dyDescent="0.3">
      <c r="A513" s="250">
        <f>A510+1</f>
        <v>370</v>
      </c>
      <c r="B513" s="20" t="s">
        <v>2124</v>
      </c>
      <c r="C513" s="273">
        <f t="shared" ref="C513:C516" si="142">D513+K513+M513+O513+P513+R513+S513+T513</f>
        <v>27494469.600000001</v>
      </c>
      <c r="D513" s="273">
        <f>E513+F513+G513+H513+I513</f>
        <v>0</v>
      </c>
      <c r="E513" s="273"/>
      <c r="F513" s="273"/>
      <c r="G513" s="273"/>
      <c r="H513" s="273"/>
      <c r="I513" s="273"/>
      <c r="J513" s="273">
        <v>1229.07</v>
      </c>
      <c r="K513" s="273">
        <v>4671384</v>
      </c>
      <c r="L513" s="273"/>
      <c r="M513" s="273"/>
      <c r="N513" s="273">
        <v>3508</v>
      </c>
      <c r="O513" s="273">
        <v>22823085.600000001</v>
      </c>
      <c r="P513" s="273"/>
      <c r="Q513" s="273"/>
      <c r="R513" s="273"/>
      <c r="S513" s="273"/>
      <c r="T513" s="273"/>
      <c r="U513" s="271"/>
      <c r="V513" s="269"/>
      <c r="W513" s="84"/>
      <c r="X513" s="269"/>
      <c r="Y513" s="82"/>
      <c r="Z513" s="82"/>
      <c r="AA513" s="82"/>
    </row>
    <row r="514" spans="1:27" x14ac:dyDescent="0.3">
      <c r="A514" s="250">
        <f>A513+1</f>
        <v>371</v>
      </c>
      <c r="B514" s="20" t="s">
        <v>2126</v>
      </c>
      <c r="C514" s="273">
        <f t="shared" si="142"/>
        <v>24574214.399999999</v>
      </c>
      <c r="D514" s="273">
        <f>E514+F514+G514+H514+I514</f>
        <v>0</v>
      </c>
      <c r="E514" s="273"/>
      <c r="F514" s="273"/>
      <c r="G514" s="273"/>
      <c r="H514" s="273"/>
      <c r="I514" s="273"/>
      <c r="J514" s="273">
        <v>1297.7</v>
      </c>
      <c r="K514" s="273">
        <v>4737235.2</v>
      </c>
      <c r="L514" s="273"/>
      <c r="M514" s="273"/>
      <c r="N514" s="273">
        <v>3508</v>
      </c>
      <c r="O514" s="273">
        <v>19836979.199999999</v>
      </c>
      <c r="P514" s="273"/>
      <c r="Q514" s="273"/>
      <c r="R514" s="273"/>
      <c r="S514" s="273"/>
      <c r="T514" s="273"/>
      <c r="U514" s="271"/>
      <c r="V514" s="269"/>
      <c r="W514" s="84"/>
      <c r="X514" s="269"/>
      <c r="Y514" s="82"/>
      <c r="Z514" s="82"/>
      <c r="AA514" s="82"/>
    </row>
    <row r="515" spans="1:27" x14ac:dyDescent="0.3">
      <c r="A515" s="250">
        <f>A514+1</f>
        <v>372</v>
      </c>
      <c r="B515" s="20" t="s">
        <v>2127</v>
      </c>
      <c r="C515" s="273">
        <f t="shared" si="142"/>
        <v>6540166.7999999998</v>
      </c>
      <c r="D515" s="273">
        <f>E515+F515+G515+H515+I515</f>
        <v>0</v>
      </c>
      <c r="E515" s="273"/>
      <c r="F515" s="273"/>
      <c r="G515" s="273"/>
      <c r="H515" s="273"/>
      <c r="I515" s="273"/>
      <c r="J515" s="273">
        <v>412</v>
      </c>
      <c r="K515" s="273">
        <v>2082444</v>
      </c>
      <c r="L515" s="273"/>
      <c r="M515" s="273"/>
      <c r="N515" s="273">
        <v>502.86</v>
      </c>
      <c r="O515" s="273">
        <v>4457722.8</v>
      </c>
      <c r="P515" s="273"/>
      <c r="Q515" s="273"/>
      <c r="R515" s="273"/>
      <c r="S515" s="273"/>
      <c r="T515" s="273"/>
      <c r="U515" s="271"/>
      <c r="V515" s="269"/>
      <c r="W515" s="84"/>
      <c r="X515" s="269"/>
      <c r="Y515" s="82"/>
      <c r="Z515" s="82"/>
      <c r="AA515" s="82"/>
    </row>
    <row r="516" spans="1:27" x14ac:dyDescent="0.3">
      <c r="A516" s="250">
        <f>A515+1</f>
        <v>373</v>
      </c>
      <c r="B516" s="20" t="s">
        <v>2128</v>
      </c>
      <c r="C516" s="273">
        <f t="shared" si="142"/>
        <v>6540166.7999999998</v>
      </c>
      <c r="D516" s="273">
        <f>E516+F516+G516+H516+I516</f>
        <v>0</v>
      </c>
      <c r="E516" s="273"/>
      <c r="F516" s="273"/>
      <c r="G516" s="273"/>
      <c r="H516" s="273"/>
      <c r="I516" s="273"/>
      <c r="J516" s="273">
        <v>401.1</v>
      </c>
      <c r="K516" s="273">
        <v>2082444</v>
      </c>
      <c r="L516" s="273"/>
      <c r="M516" s="273"/>
      <c r="N516" s="273">
        <v>507.24</v>
      </c>
      <c r="O516" s="273">
        <v>4457722.8</v>
      </c>
      <c r="P516" s="273"/>
      <c r="Q516" s="273"/>
      <c r="R516" s="273"/>
      <c r="S516" s="273"/>
      <c r="T516" s="273"/>
      <c r="U516" s="271"/>
      <c r="V516" s="269"/>
      <c r="W516" s="94"/>
      <c r="X516" s="269"/>
      <c r="Y516" s="82"/>
      <c r="Z516" s="82"/>
      <c r="AA516" s="82"/>
    </row>
    <row r="517" spans="1:27" x14ac:dyDescent="0.3">
      <c r="A517" s="250" t="s">
        <v>208</v>
      </c>
      <c r="B517" s="250"/>
      <c r="C517" s="273">
        <f t="shared" ref="C517:T517" si="143">SUM(C513:C516)</f>
        <v>65149017.599999994</v>
      </c>
      <c r="D517" s="273">
        <f t="shared" si="143"/>
        <v>0</v>
      </c>
      <c r="E517" s="273">
        <f t="shared" si="143"/>
        <v>0</v>
      </c>
      <c r="F517" s="273">
        <f t="shared" si="143"/>
        <v>0</v>
      </c>
      <c r="G517" s="273">
        <f t="shared" si="143"/>
        <v>0</v>
      </c>
      <c r="H517" s="273">
        <f t="shared" si="143"/>
        <v>0</v>
      </c>
      <c r="I517" s="273">
        <f t="shared" si="143"/>
        <v>0</v>
      </c>
      <c r="J517" s="273">
        <f t="shared" si="143"/>
        <v>3339.87</v>
      </c>
      <c r="K517" s="273">
        <f t="shared" si="143"/>
        <v>13573507.199999999</v>
      </c>
      <c r="L517" s="273">
        <f t="shared" si="143"/>
        <v>0</v>
      </c>
      <c r="M517" s="273">
        <f t="shared" si="143"/>
        <v>0</v>
      </c>
      <c r="N517" s="273">
        <f t="shared" si="143"/>
        <v>8026.0999999999995</v>
      </c>
      <c r="O517" s="273">
        <f t="shared" si="143"/>
        <v>51575510.399999991</v>
      </c>
      <c r="P517" s="273">
        <f t="shared" si="143"/>
        <v>0</v>
      </c>
      <c r="Q517" s="273">
        <f t="shared" si="143"/>
        <v>0</v>
      </c>
      <c r="R517" s="273">
        <f t="shared" si="143"/>
        <v>0</v>
      </c>
      <c r="S517" s="273">
        <f t="shared" si="143"/>
        <v>0</v>
      </c>
      <c r="T517" s="273">
        <f t="shared" si="143"/>
        <v>0</v>
      </c>
      <c r="U517" s="271"/>
      <c r="V517" s="269"/>
      <c r="W517" s="94"/>
      <c r="X517" s="269"/>
      <c r="Y517" s="82"/>
      <c r="Z517" s="82"/>
      <c r="AA517" s="82"/>
    </row>
    <row r="518" spans="1:27" x14ac:dyDescent="0.3">
      <c r="A518" s="249" t="s">
        <v>2129</v>
      </c>
      <c r="B518" s="249"/>
      <c r="C518" s="273"/>
      <c r="D518" s="273"/>
      <c r="E518" s="273"/>
      <c r="F518" s="273"/>
      <c r="G518" s="273"/>
      <c r="H518" s="273"/>
      <c r="I518" s="273"/>
      <c r="J518" s="273"/>
      <c r="K518" s="273"/>
      <c r="L518" s="273"/>
      <c r="M518" s="273"/>
      <c r="N518" s="273"/>
      <c r="O518" s="273"/>
      <c r="P518" s="273"/>
      <c r="Q518" s="273"/>
      <c r="R518" s="273"/>
      <c r="S518" s="273"/>
      <c r="T518" s="273"/>
      <c r="U518" s="271"/>
      <c r="V518" s="269"/>
      <c r="W518" s="94"/>
      <c r="X518" s="269"/>
      <c r="Y518" s="82"/>
      <c r="Z518" s="82"/>
      <c r="AA518" s="82"/>
    </row>
    <row r="519" spans="1:27" x14ac:dyDescent="0.3">
      <c r="A519" s="250">
        <f>A516+1</f>
        <v>374</v>
      </c>
      <c r="B519" s="20" t="s">
        <v>2130</v>
      </c>
      <c r="C519" s="273">
        <f t="shared" ref="C519" si="144">D519+K519+M519+O519+P519+R519+S519+T519</f>
        <v>1864366.7999999998</v>
      </c>
      <c r="D519" s="273">
        <f>E519+F519+G519+H519+I519</f>
        <v>1864366.7999999998</v>
      </c>
      <c r="E519" s="273">
        <v>523803.6</v>
      </c>
      <c r="F519" s="273"/>
      <c r="G519" s="273"/>
      <c r="H519" s="273"/>
      <c r="I519" s="247">
        <v>1340563.2</v>
      </c>
      <c r="J519" s="273"/>
      <c r="K519" s="273"/>
      <c r="L519" s="273"/>
      <c r="M519" s="273"/>
      <c r="N519" s="273"/>
      <c r="O519" s="273"/>
      <c r="P519" s="273"/>
      <c r="Q519" s="273"/>
      <c r="R519" s="273"/>
      <c r="S519" s="273"/>
      <c r="T519" s="273"/>
      <c r="U519" s="271"/>
      <c r="V519" s="269"/>
      <c r="W519" s="94"/>
      <c r="X519" s="269"/>
      <c r="Y519" s="82"/>
      <c r="Z519" s="82"/>
      <c r="AA519" s="82"/>
    </row>
    <row r="520" spans="1:27" x14ac:dyDescent="0.3">
      <c r="A520" s="250" t="s">
        <v>208</v>
      </c>
      <c r="B520" s="250"/>
      <c r="C520" s="273">
        <f t="shared" ref="C520:T520" si="145">C519</f>
        <v>1864366.7999999998</v>
      </c>
      <c r="D520" s="273">
        <f t="shared" si="145"/>
        <v>1864366.7999999998</v>
      </c>
      <c r="E520" s="273">
        <f t="shared" si="145"/>
        <v>523803.6</v>
      </c>
      <c r="F520" s="273">
        <f t="shared" si="145"/>
        <v>0</v>
      </c>
      <c r="G520" s="273">
        <f t="shared" si="145"/>
        <v>0</v>
      </c>
      <c r="H520" s="273">
        <f t="shared" si="145"/>
        <v>0</v>
      </c>
      <c r="I520" s="273">
        <f t="shared" si="145"/>
        <v>1340563.2</v>
      </c>
      <c r="J520" s="273">
        <f t="shared" si="145"/>
        <v>0</v>
      </c>
      <c r="K520" s="273">
        <f t="shared" si="145"/>
        <v>0</v>
      </c>
      <c r="L520" s="273">
        <f t="shared" si="145"/>
        <v>0</v>
      </c>
      <c r="M520" s="273">
        <f t="shared" si="145"/>
        <v>0</v>
      </c>
      <c r="N520" s="273">
        <f t="shared" si="145"/>
        <v>0</v>
      </c>
      <c r="O520" s="273">
        <f t="shared" si="145"/>
        <v>0</v>
      </c>
      <c r="P520" s="273">
        <f t="shared" si="145"/>
        <v>0</v>
      </c>
      <c r="Q520" s="273">
        <f t="shared" si="145"/>
        <v>0</v>
      </c>
      <c r="R520" s="273">
        <f t="shared" si="145"/>
        <v>0</v>
      </c>
      <c r="S520" s="273">
        <f t="shared" si="145"/>
        <v>0</v>
      </c>
      <c r="T520" s="273">
        <f t="shared" si="145"/>
        <v>0</v>
      </c>
      <c r="U520" s="271"/>
      <c r="V520" s="269"/>
      <c r="W520" s="94"/>
      <c r="X520" s="269"/>
      <c r="Y520" s="82"/>
      <c r="Z520" s="82"/>
      <c r="AA520" s="82"/>
    </row>
    <row r="521" spans="1:27" x14ac:dyDescent="0.3">
      <c r="A521" s="249" t="s">
        <v>2143</v>
      </c>
      <c r="B521" s="249"/>
      <c r="C521" s="273"/>
      <c r="D521" s="273"/>
      <c r="E521" s="273"/>
      <c r="F521" s="273"/>
      <c r="G521" s="273"/>
      <c r="H521" s="273"/>
      <c r="I521" s="273"/>
      <c r="J521" s="273"/>
      <c r="K521" s="273"/>
      <c r="L521" s="273"/>
      <c r="M521" s="273"/>
      <c r="N521" s="273"/>
      <c r="O521" s="273"/>
      <c r="P521" s="273"/>
      <c r="Q521" s="273"/>
      <c r="R521" s="273"/>
      <c r="S521" s="273"/>
      <c r="T521" s="273"/>
      <c r="U521" s="271"/>
      <c r="V521" s="269"/>
      <c r="W521" s="94"/>
      <c r="X521" s="269"/>
      <c r="Y521" s="82"/>
      <c r="Z521" s="82"/>
      <c r="AA521" s="82"/>
    </row>
    <row r="522" spans="1:27" x14ac:dyDescent="0.3">
      <c r="A522" s="250">
        <f>A519+1</f>
        <v>375</v>
      </c>
      <c r="B522" s="20" t="s">
        <v>2147</v>
      </c>
      <c r="C522" s="273">
        <f t="shared" ref="C522" si="146">D522+K522+M522+O522+P522+R522+S522+T522</f>
        <v>5712328.7999999998</v>
      </c>
      <c r="D522" s="273">
        <f>E522+F522+G522+H522+I522</f>
        <v>5262904.8</v>
      </c>
      <c r="E522" s="273">
        <v>943450.8</v>
      </c>
      <c r="F522" s="273">
        <v>2654172</v>
      </c>
      <c r="G522" s="273">
        <v>393982.8</v>
      </c>
      <c r="H522" s="273">
        <v>857212.8</v>
      </c>
      <c r="I522" s="273">
        <v>414086.40000000002</v>
      </c>
      <c r="J522" s="273"/>
      <c r="K522" s="273"/>
      <c r="L522" s="273"/>
      <c r="M522" s="273"/>
      <c r="N522" s="273"/>
      <c r="O522" s="273"/>
      <c r="P522" s="273"/>
      <c r="Q522" s="273"/>
      <c r="R522" s="273"/>
      <c r="S522" s="273">
        <f>449424</f>
        <v>449424</v>
      </c>
      <c r="T522" s="273"/>
      <c r="U522" s="271"/>
      <c r="V522" s="269"/>
      <c r="W522" s="94"/>
      <c r="X522" s="269"/>
      <c r="Y522" s="82"/>
      <c r="Z522" s="82"/>
      <c r="AA522" s="82"/>
    </row>
    <row r="523" spans="1:27" x14ac:dyDescent="0.3">
      <c r="A523" s="250" t="s">
        <v>208</v>
      </c>
      <c r="B523" s="250"/>
      <c r="C523" s="273">
        <f t="shared" ref="C523:T523" si="147">SUM(C522:C522)</f>
        <v>5712328.7999999998</v>
      </c>
      <c r="D523" s="273">
        <f t="shared" si="147"/>
        <v>5262904.8</v>
      </c>
      <c r="E523" s="273">
        <f t="shared" si="147"/>
        <v>943450.8</v>
      </c>
      <c r="F523" s="273">
        <f t="shared" si="147"/>
        <v>2654172</v>
      </c>
      <c r="G523" s="273">
        <f t="shared" si="147"/>
        <v>393982.8</v>
      </c>
      <c r="H523" s="273">
        <f t="shared" si="147"/>
        <v>857212.8</v>
      </c>
      <c r="I523" s="273">
        <f t="shared" si="147"/>
        <v>414086.40000000002</v>
      </c>
      <c r="J523" s="273">
        <f t="shared" si="147"/>
        <v>0</v>
      </c>
      <c r="K523" s="273">
        <f t="shared" si="147"/>
        <v>0</v>
      </c>
      <c r="L523" s="273">
        <f t="shared" si="147"/>
        <v>0</v>
      </c>
      <c r="M523" s="273">
        <f t="shared" si="147"/>
        <v>0</v>
      </c>
      <c r="N523" s="273">
        <f t="shared" si="147"/>
        <v>0</v>
      </c>
      <c r="O523" s="273">
        <f t="shared" si="147"/>
        <v>0</v>
      </c>
      <c r="P523" s="273">
        <f t="shared" si="147"/>
        <v>0</v>
      </c>
      <c r="Q523" s="273">
        <f t="shared" si="147"/>
        <v>0</v>
      </c>
      <c r="R523" s="273">
        <f t="shared" si="147"/>
        <v>0</v>
      </c>
      <c r="S523" s="273">
        <f t="shared" si="147"/>
        <v>449424</v>
      </c>
      <c r="T523" s="273">
        <f t="shared" si="147"/>
        <v>0</v>
      </c>
      <c r="U523" s="271"/>
      <c r="V523" s="269"/>
      <c r="W523" s="94"/>
      <c r="X523" s="269"/>
      <c r="Y523" s="82"/>
      <c r="Z523" s="82"/>
      <c r="AA523" s="82"/>
    </row>
    <row r="524" spans="1:27" x14ac:dyDescent="0.3">
      <c r="A524" s="249" t="s">
        <v>2152</v>
      </c>
      <c r="B524" s="249"/>
      <c r="C524" s="273"/>
      <c r="D524" s="273"/>
      <c r="E524" s="273"/>
      <c r="F524" s="273"/>
      <c r="G524" s="273"/>
      <c r="H524" s="273"/>
      <c r="I524" s="273"/>
      <c r="J524" s="273"/>
      <c r="K524" s="273"/>
      <c r="L524" s="273"/>
      <c r="M524" s="273"/>
      <c r="N524" s="273"/>
      <c r="O524" s="273"/>
      <c r="P524" s="273"/>
      <c r="Q524" s="273"/>
      <c r="R524" s="273"/>
      <c r="S524" s="273"/>
      <c r="T524" s="273"/>
      <c r="U524" s="271"/>
      <c r="V524" s="269"/>
      <c r="W524" s="94"/>
      <c r="X524" s="269"/>
      <c r="Y524" s="82"/>
      <c r="Z524" s="82"/>
      <c r="AA524" s="82"/>
    </row>
    <row r="525" spans="1:27" x14ac:dyDescent="0.3">
      <c r="A525" s="250">
        <f>A522+1</f>
        <v>376</v>
      </c>
      <c r="B525" s="20" t="s">
        <v>2155</v>
      </c>
      <c r="C525" s="273">
        <f t="shared" ref="C525:C526" si="148">D525+K525+M525+O525+P525+R525+S525+T525</f>
        <v>184943.29</v>
      </c>
      <c r="D525" s="273">
        <f>E525+F525+G525+H525+I525</f>
        <v>0</v>
      </c>
      <c r="E525" s="273"/>
      <c r="F525" s="273"/>
      <c r="G525" s="273"/>
      <c r="H525" s="273"/>
      <c r="I525" s="273"/>
      <c r="J525" s="273"/>
      <c r="K525" s="273"/>
      <c r="L525" s="273"/>
      <c r="M525" s="273"/>
      <c r="N525" s="273"/>
      <c r="O525" s="273"/>
      <c r="P525" s="273"/>
      <c r="Q525" s="273"/>
      <c r="R525" s="273"/>
      <c r="S525" s="273"/>
      <c r="T525" s="273">
        <v>184943.29</v>
      </c>
      <c r="U525" s="271" t="s">
        <v>13</v>
      </c>
      <c r="V525" s="269"/>
      <c r="W525" s="94"/>
      <c r="X525" s="269"/>
      <c r="Y525" s="82"/>
      <c r="Z525" s="82"/>
      <c r="AA525" s="82">
        <v>184943.29</v>
      </c>
    </row>
    <row r="526" spans="1:27" x14ac:dyDescent="0.3">
      <c r="A526" s="250">
        <f>A525+1</f>
        <v>377</v>
      </c>
      <c r="B526" s="20" t="s">
        <v>2156</v>
      </c>
      <c r="C526" s="273">
        <f t="shared" si="148"/>
        <v>114992.99</v>
      </c>
      <c r="D526" s="273">
        <f>E526+F526+G526+H526+I526</f>
        <v>0</v>
      </c>
      <c r="E526" s="273"/>
      <c r="F526" s="273"/>
      <c r="G526" s="273"/>
      <c r="H526" s="273"/>
      <c r="I526" s="273"/>
      <c r="J526" s="273"/>
      <c r="K526" s="273"/>
      <c r="L526" s="273"/>
      <c r="M526" s="273"/>
      <c r="N526" s="273"/>
      <c r="O526" s="273"/>
      <c r="P526" s="273"/>
      <c r="Q526" s="273"/>
      <c r="R526" s="273"/>
      <c r="S526" s="273"/>
      <c r="T526" s="273">
        <f>SUM('2022'!Z686:AD686)</f>
        <v>114992.99</v>
      </c>
      <c r="U526" s="271">
        <v>114992.99</v>
      </c>
      <c r="V526" s="269"/>
      <c r="W526" s="94"/>
      <c r="X526" s="269"/>
      <c r="Y526" s="82"/>
      <c r="Z526" s="82"/>
      <c r="AA526" s="82"/>
    </row>
    <row r="527" spans="1:27" x14ac:dyDescent="0.3">
      <c r="A527" s="250" t="s">
        <v>208</v>
      </c>
      <c r="B527" s="250"/>
      <c r="C527" s="273">
        <f t="shared" ref="C527:T527" si="149">SUM(C525:C526)</f>
        <v>299936.28000000003</v>
      </c>
      <c r="D527" s="273">
        <f t="shared" si="149"/>
        <v>0</v>
      </c>
      <c r="E527" s="273">
        <f t="shared" si="149"/>
        <v>0</v>
      </c>
      <c r="F527" s="273">
        <f t="shared" si="149"/>
        <v>0</v>
      </c>
      <c r="G527" s="273">
        <f t="shared" si="149"/>
        <v>0</v>
      </c>
      <c r="H527" s="273">
        <f t="shared" si="149"/>
        <v>0</v>
      </c>
      <c r="I527" s="273">
        <f t="shared" si="149"/>
        <v>0</v>
      </c>
      <c r="J527" s="273">
        <f t="shared" si="149"/>
        <v>0</v>
      </c>
      <c r="K527" s="273">
        <f t="shared" si="149"/>
        <v>0</v>
      </c>
      <c r="L527" s="273">
        <f t="shared" si="149"/>
        <v>0</v>
      </c>
      <c r="M527" s="273">
        <f t="shared" si="149"/>
        <v>0</v>
      </c>
      <c r="N527" s="273">
        <f t="shared" si="149"/>
        <v>0</v>
      </c>
      <c r="O527" s="273">
        <f t="shared" si="149"/>
        <v>0</v>
      </c>
      <c r="P527" s="273">
        <f t="shared" si="149"/>
        <v>0</v>
      </c>
      <c r="Q527" s="273">
        <f t="shared" si="149"/>
        <v>0</v>
      </c>
      <c r="R527" s="273">
        <f t="shared" si="149"/>
        <v>0</v>
      </c>
      <c r="S527" s="273">
        <f t="shared" si="149"/>
        <v>0</v>
      </c>
      <c r="T527" s="273">
        <f t="shared" si="149"/>
        <v>299936.28000000003</v>
      </c>
      <c r="U527" s="271"/>
      <c r="V527" s="269"/>
      <c r="W527" s="94"/>
      <c r="X527" s="269"/>
      <c r="Y527" s="82"/>
      <c r="Z527" s="82"/>
      <c r="AA527" s="82"/>
    </row>
    <row r="528" spans="1:27" x14ac:dyDescent="0.3">
      <c r="A528" s="249" t="s">
        <v>2165</v>
      </c>
      <c r="B528" s="249"/>
      <c r="C528" s="273"/>
      <c r="D528" s="273"/>
      <c r="E528" s="273"/>
      <c r="F528" s="273"/>
      <c r="G528" s="273"/>
      <c r="H528" s="273"/>
      <c r="I528" s="273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1"/>
      <c r="V528" s="269"/>
      <c r="W528" s="94"/>
      <c r="X528" s="269"/>
      <c r="Y528" s="82"/>
      <c r="Z528" s="82"/>
      <c r="AA528" s="82"/>
    </row>
    <row r="529" spans="1:34" x14ac:dyDescent="0.3">
      <c r="A529" s="250">
        <f>A526+1</f>
        <v>378</v>
      </c>
      <c r="B529" s="20" t="s">
        <v>2166</v>
      </c>
      <c r="C529" s="273">
        <f t="shared" ref="C529" si="150">D529+K529+M529+O529+P529+R529+S529+T529</f>
        <v>10667647.279999999</v>
      </c>
      <c r="D529" s="273">
        <f>E529+F529+G529+H529+I529</f>
        <v>0</v>
      </c>
      <c r="E529" s="273"/>
      <c r="F529" s="273"/>
      <c r="G529" s="273"/>
      <c r="H529" s="273"/>
      <c r="I529" s="273"/>
      <c r="J529" s="273"/>
      <c r="K529" s="273"/>
      <c r="L529" s="273">
        <v>1320</v>
      </c>
      <c r="M529" s="273">
        <v>10667647.279999999</v>
      </c>
      <c r="N529" s="273"/>
      <c r="O529" s="273"/>
      <c r="P529" s="273"/>
      <c r="Q529" s="273"/>
      <c r="R529" s="273"/>
      <c r="S529" s="273"/>
      <c r="T529" s="273"/>
      <c r="U529" s="271"/>
      <c r="V529" s="269"/>
      <c r="W529" s="94"/>
      <c r="X529" s="269"/>
      <c r="Y529" s="82"/>
      <c r="Z529" s="82"/>
      <c r="AA529" s="82"/>
    </row>
    <row r="530" spans="1:34" x14ac:dyDescent="0.3">
      <c r="A530" s="250" t="s">
        <v>208</v>
      </c>
      <c r="B530" s="250"/>
      <c r="C530" s="273">
        <f t="shared" ref="C530:T530" si="151">SUM(C529:C529)</f>
        <v>10667647.279999999</v>
      </c>
      <c r="D530" s="273">
        <f t="shared" si="151"/>
        <v>0</v>
      </c>
      <c r="E530" s="273">
        <f t="shared" si="151"/>
        <v>0</v>
      </c>
      <c r="F530" s="273">
        <f t="shared" si="151"/>
        <v>0</v>
      </c>
      <c r="G530" s="273">
        <f t="shared" si="151"/>
        <v>0</v>
      </c>
      <c r="H530" s="273">
        <f t="shared" si="151"/>
        <v>0</v>
      </c>
      <c r="I530" s="273">
        <f t="shared" si="151"/>
        <v>0</v>
      </c>
      <c r="J530" s="273">
        <f t="shared" si="151"/>
        <v>0</v>
      </c>
      <c r="K530" s="273">
        <f t="shared" si="151"/>
        <v>0</v>
      </c>
      <c r="L530" s="273">
        <f t="shared" si="151"/>
        <v>1320</v>
      </c>
      <c r="M530" s="273">
        <f t="shared" si="151"/>
        <v>10667647.279999999</v>
      </c>
      <c r="N530" s="273">
        <f t="shared" si="151"/>
        <v>0</v>
      </c>
      <c r="O530" s="273">
        <f t="shared" si="151"/>
        <v>0</v>
      </c>
      <c r="P530" s="273">
        <f t="shared" si="151"/>
        <v>0</v>
      </c>
      <c r="Q530" s="273">
        <f t="shared" si="151"/>
        <v>0</v>
      </c>
      <c r="R530" s="273">
        <f t="shared" si="151"/>
        <v>0</v>
      </c>
      <c r="S530" s="273">
        <f t="shared" si="151"/>
        <v>0</v>
      </c>
      <c r="T530" s="273">
        <f t="shared" si="151"/>
        <v>0</v>
      </c>
      <c r="U530" s="271"/>
      <c r="V530" s="269"/>
      <c r="W530" s="94"/>
      <c r="X530" s="269"/>
      <c r="Y530" s="82"/>
      <c r="Z530" s="82"/>
      <c r="AA530" s="82"/>
    </row>
    <row r="531" spans="1:34" x14ac:dyDescent="0.3">
      <c r="A531" s="249" t="s">
        <v>2181</v>
      </c>
      <c r="B531" s="249"/>
      <c r="C531" s="273"/>
      <c r="D531" s="273"/>
      <c r="E531" s="273"/>
      <c r="F531" s="273"/>
      <c r="G531" s="273"/>
      <c r="H531" s="273"/>
      <c r="I531" s="273"/>
      <c r="J531" s="273"/>
      <c r="K531" s="273"/>
      <c r="L531" s="273"/>
      <c r="M531" s="273"/>
      <c r="N531" s="273"/>
      <c r="O531" s="273"/>
      <c r="P531" s="273"/>
      <c r="Q531" s="273"/>
      <c r="R531" s="273"/>
      <c r="S531" s="273"/>
      <c r="T531" s="273"/>
      <c r="U531" s="271"/>
      <c r="V531" s="269"/>
      <c r="W531" s="94"/>
      <c r="X531" s="269"/>
      <c r="Y531" s="82"/>
      <c r="Z531" s="82"/>
      <c r="AA531" s="82"/>
    </row>
    <row r="532" spans="1:34" x14ac:dyDescent="0.3">
      <c r="A532" s="250">
        <f>A529+1</f>
        <v>379</v>
      </c>
      <c r="B532" s="20" t="s">
        <v>2185</v>
      </c>
      <c r="C532" s="273">
        <f t="shared" ref="C532" si="152">D532+K532+M532+O532+P532+R532+S532+T532</f>
        <v>21282744.199999999</v>
      </c>
      <c r="D532" s="273">
        <f>E532+F532+G532+H532+I532</f>
        <v>11855365.199999999</v>
      </c>
      <c r="E532" s="273">
        <v>2840746.8</v>
      </c>
      <c r="F532" s="273">
        <v>5275912.8</v>
      </c>
      <c r="G532" s="273">
        <v>1397749.2</v>
      </c>
      <c r="H532" s="273">
        <v>2340956.4</v>
      </c>
      <c r="I532" s="273"/>
      <c r="J532" s="273"/>
      <c r="K532" s="273"/>
      <c r="L532" s="273"/>
      <c r="M532" s="273"/>
      <c r="N532" s="273"/>
      <c r="O532" s="273"/>
      <c r="P532" s="273"/>
      <c r="Q532" s="273"/>
      <c r="R532" s="273"/>
      <c r="S532" s="273">
        <f>13*(214531+392996+117656)</f>
        <v>9427379</v>
      </c>
      <c r="T532" s="273"/>
      <c r="U532" s="271"/>
      <c r="V532" s="269"/>
      <c r="W532" s="94"/>
      <c r="X532" s="269"/>
      <c r="Y532" s="82"/>
      <c r="Z532" s="82"/>
      <c r="AA532" s="82"/>
    </row>
    <row r="533" spans="1:34" x14ac:dyDescent="0.3">
      <c r="A533" s="250" t="s">
        <v>208</v>
      </c>
      <c r="B533" s="250"/>
      <c r="C533" s="273">
        <f t="shared" ref="C533:T533" si="153">SUM(C532:C532)</f>
        <v>21282744.199999999</v>
      </c>
      <c r="D533" s="273">
        <f t="shared" si="153"/>
        <v>11855365.199999999</v>
      </c>
      <c r="E533" s="273">
        <f t="shared" si="153"/>
        <v>2840746.8</v>
      </c>
      <c r="F533" s="273">
        <f t="shared" si="153"/>
        <v>5275912.8</v>
      </c>
      <c r="G533" s="273">
        <f t="shared" si="153"/>
        <v>1397749.2</v>
      </c>
      <c r="H533" s="273">
        <f t="shared" si="153"/>
        <v>2340956.4</v>
      </c>
      <c r="I533" s="273">
        <f t="shared" si="153"/>
        <v>0</v>
      </c>
      <c r="J533" s="273">
        <f t="shared" si="153"/>
        <v>0</v>
      </c>
      <c r="K533" s="273">
        <f t="shared" si="153"/>
        <v>0</v>
      </c>
      <c r="L533" s="273">
        <f t="shared" si="153"/>
        <v>0</v>
      </c>
      <c r="M533" s="273">
        <f t="shared" si="153"/>
        <v>0</v>
      </c>
      <c r="N533" s="273">
        <f t="shared" si="153"/>
        <v>0</v>
      </c>
      <c r="O533" s="273">
        <f t="shared" si="153"/>
        <v>0</v>
      </c>
      <c r="P533" s="273">
        <f t="shared" si="153"/>
        <v>0</v>
      </c>
      <c r="Q533" s="273">
        <f t="shared" si="153"/>
        <v>0</v>
      </c>
      <c r="R533" s="273">
        <f t="shared" si="153"/>
        <v>0</v>
      </c>
      <c r="S533" s="273">
        <f t="shared" si="153"/>
        <v>9427379</v>
      </c>
      <c r="T533" s="273">
        <f t="shared" si="153"/>
        <v>0</v>
      </c>
      <c r="U533" s="271"/>
      <c r="V533" s="269"/>
      <c r="W533" s="94"/>
      <c r="X533" s="269"/>
      <c r="Y533" s="82"/>
      <c r="Z533" s="82"/>
      <c r="AA533" s="82"/>
    </row>
    <row r="534" spans="1:34" x14ac:dyDescent="0.3">
      <c r="A534" s="252" t="s">
        <v>2190</v>
      </c>
      <c r="B534" s="252"/>
      <c r="C534" s="251">
        <f>C533+C530+C527+C523+C520+C517+C511+C504+C508</f>
        <v>216859716.34999996</v>
      </c>
      <c r="D534" s="251">
        <f t="shared" ref="D534:T534" si="154">D533+D530+D527+D523+D520+D517+D511+D504</f>
        <v>44949053.490000002</v>
      </c>
      <c r="E534" s="251">
        <f t="shared" si="154"/>
        <v>9916197.9100000001</v>
      </c>
      <c r="F534" s="251">
        <f t="shared" si="154"/>
        <v>20794950.02</v>
      </c>
      <c r="G534" s="251">
        <f t="shared" si="154"/>
        <v>4120236.6599999997</v>
      </c>
      <c r="H534" s="251">
        <f t="shared" si="154"/>
        <v>6360085.04</v>
      </c>
      <c r="I534" s="251">
        <f t="shared" si="154"/>
        <v>3757583.8600000003</v>
      </c>
      <c r="J534" s="251">
        <f t="shared" si="154"/>
        <v>3339.87</v>
      </c>
      <c r="K534" s="251">
        <f t="shared" si="154"/>
        <v>13573507.199999999</v>
      </c>
      <c r="L534" s="251">
        <f t="shared" si="154"/>
        <v>1320</v>
      </c>
      <c r="M534" s="251">
        <f t="shared" si="154"/>
        <v>10667647.279999999</v>
      </c>
      <c r="N534" s="251">
        <f t="shared" si="154"/>
        <v>8026.0999999999995</v>
      </c>
      <c r="O534" s="251">
        <f t="shared" si="154"/>
        <v>51575510.399999991</v>
      </c>
      <c r="P534" s="251">
        <f t="shared" si="154"/>
        <v>0</v>
      </c>
      <c r="Q534" s="251">
        <f t="shared" si="154"/>
        <v>0</v>
      </c>
      <c r="R534" s="251">
        <f t="shared" si="154"/>
        <v>0</v>
      </c>
      <c r="S534" s="251">
        <f t="shared" si="154"/>
        <v>11843565.800000001</v>
      </c>
      <c r="T534" s="251">
        <f t="shared" si="154"/>
        <v>299936.28000000003</v>
      </c>
      <c r="U534" s="271"/>
      <c r="V534" s="269"/>
      <c r="W534" s="94"/>
      <c r="X534" s="269"/>
      <c r="Y534" s="82"/>
      <c r="Z534" s="82"/>
      <c r="AA534" s="82"/>
    </row>
    <row r="535" spans="1:34" x14ac:dyDescent="0.3">
      <c r="A535" s="321" t="s">
        <v>3206</v>
      </c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3"/>
      <c r="U535" s="37"/>
      <c r="V535" s="273"/>
      <c r="W535" s="273"/>
      <c r="X535" s="273"/>
      <c r="Y535" s="273"/>
      <c r="Z535" s="273"/>
      <c r="AA535" s="273"/>
      <c r="AB535" s="273"/>
      <c r="AC535" s="273"/>
      <c r="AD535" s="273"/>
      <c r="AE535" s="261"/>
      <c r="AF535" s="273"/>
      <c r="AG535" s="273"/>
      <c r="AH535" s="273"/>
    </row>
    <row r="536" spans="1:34" x14ac:dyDescent="0.3">
      <c r="A536" s="249" t="s">
        <v>3207</v>
      </c>
      <c r="B536" s="249"/>
      <c r="C536" s="273"/>
      <c r="D536" s="273"/>
      <c r="E536" s="273"/>
      <c r="F536" s="273"/>
      <c r="G536" s="273"/>
      <c r="H536" s="273"/>
      <c r="I536" s="273"/>
      <c r="J536" s="273"/>
      <c r="K536" s="273"/>
      <c r="L536" s="273"/>
      <c r="M536" s="273"/>
      <c r="N536" s="273"/>
      <c r="O536" s="273"/>
      <c r="P536" s="273"/>
      <c r="Q536" s="273"/>
      <c r="R536" s="273"/>
      <c r="S536" s="273"/>
      <c r="T536" s="273"/>
      <c r="U536" s="283"/>
      <c r="V536" s="273"/>
      <c r="W536" s="273"/>
      <c r="X536" s="273"/>
      <c r="Y536" s="273"/>
      <c r="Z536" s="273"/>
      <c r="AA536" s="273"/>
      <c r="AB536" s="273"/>
      <c r="AC536" s="273"/>
      <c r="AD536" s="273"/>
      <c r="AE536" s="261"/>
      <c r="AF536" s="273"/>
      <c r="AG536" s="273"/>
      <c r="AH536" s="273"/>
    </row>
    <row r="537" spans="1:34" x14ac:dyDescent="0.3">
      <c r="A537" s="250">
        <f>A532+1</f>
        <v>380</v>
      </c>
      <c r="B537" s="20" t="s">
        <v>3208</v>
      </c>
      <c r="C537" s="273">
        <f t="shared" ref="C537" si="155">D537+K537+M537+O537+P537+R537+S537+T537</f>
        <v>3666566.4</v>
      </c>
      <c r="D537" s="273">
        <f>E537+F537+G537+H537+I537</f>
        <v>0</v>
      </c>
      <c r="E537" s="273"/>
      <c r="F537" s="273"/>
      <c r="G537" s="273"/>
      <c r="H537" s="273"/>
      <c r="I537" s="273"/>
      <c r="J537" s="273">
        <v>460</v>
      </c>
      <c r="K537" s="273">
        <v>3666566.4</v>
      </c>
      <c r="L537" s="273"/>
      <c r="M537" s="273"/>
      <c r="N537" s="273"/>
      <c r="O537" s="273"/>
      <c r="P537" s="273"/>
      <c r="Q537" s="273"/>
      <c r="R537" s="273"/>
      <c r="S537" s="273"/>
      <c r="T537" s="273"/>
      <c r="U537" s="283"/>
      <c r="V537" s="273"/>
      <c r="W537" s="273"/>
      <c r="X537" s="273"/>
      <c r="Y537" s="273"/>
      <c r="Z537" s="273"/>
      <c r="AA537" s="273"/>
      <c r="AB537" s="273"/>
      <c r="AC537" s="273"/>
      <c r="AD537" s="273"/>
      <c r="AE537" s="261"/>
      <c r="AF537" s="273"/>
      <c r="AG537" s="273"/>
      <c r="AH537" s="273"/>
    </row>
    <row r="538" spans="1:34" x14ac:dyDescent="0.3">
      <c r="A538" s="250" t="s">
        <v>208</v>
      </c>
      <c r="B538" s="250"/>
      <c r="C538" s="273">
        <f t="shared" ref="C538:T538" si="156">C537</f>
        <v>3666566.4</v>
      </c>
      <c r="D538" s="273">
        <f t="shared" si="156"/>
        <v>0</v>
      </c>
      <c r="E538" s="273">
        <f t="shared" si="156"/>
        <v>0</v>
      </c>
      <c r="F538" s="273">
        <f t="shared" si="156"/>
        <v>0</v>
      </c>
      <c r="G538" s="273">
        <f t="shared" si="156"/>
        <v>0</v>
      </c>
      <c r="H538" s="273">
        <f t="shared" si="156"/>
        <v>0</v>
      </c>
      <c r="I538" s="273">
        <f t="shared" si="156"/>
        <v>0</v>
      </c>
      <c r="J538" s="273">
        <f t="shared" si="156"/>
        <v>460</v>
      </c>
      <c r="K538" s="273">
        <f t="shared" si="156"/>
        <v>3666566.4</v>
      </c>
      <c r="L538" s="273">
        <f t="shared" si="156"/>
        <v>0</v>
      </c>
      <c r="M538" s="273">
        <f t="shared" si="156"/>
        <v>0</v>
      </c>
      <c r="N538" s="273">
        <f t="shared" si="156"/>
        <v>0</v>
      </c>
      <c r="O538" s="273">
        <f t="shared" si="156"/>
        <v>0</v>
      </c>
      <c r="P538" s="273">
        <f t="shared" si="156"/>
        <v>0</v>
      </c>
      <c r="Q538" s="273">
        <f t="shared" si="156"/>
        <v>0</v>
      </c>
      <c r="R538" s="273">
        <f t="shared" si="156"/>
        <v>0</v>
      </c>
      <c r="S538" s="273">
        <f t="shared" si="156"/>
        <v>0</v>
      </c>
      <c r="T538" s="273">
        <f t="shared" si="156"/>
        <v>0</v>
      </c>
      <c r="U538" s="83"/>
      <c r="V538" s="273"/>
      <c r="W538" s="273"/>
      <c r="X538" s="273"/>
      <c r="Y538" s="273"/>
      <c r="Z538" s="273"/>
      <c r="AA538" s="273"/>
      <c r="AB538" s="273"/>
      <c r="AC538" s="273"/>
      <c r="AD538" s="273"/>
      <c r="AE538" s="261"/>
      <c r="AF538" s="273"/>
      <c r="AG538" s="273"/>
      <c r="AH538" s="273"/>
    </row>
    <row r="539" spans="1:34" x14ac:dyDescent="0.3">
      <c r="A539" s="249" t="s">
        <v>3209</v>
      </c>
      <c r="B539" s="249"/>
      <c r="C539" s="273"/>
      <c r="D539" s="273"/>
      <c r="E539" s="273"/>
      <c r="F539" s="273"/>
      <c r="G539" s="273"/>
      <c r="H539" s="273"/>
      <c r="I539" s="273"/>
      <c r="J539" s="273"/>
      <c r="K539" s="273"/>
      <c r="L539" s="273"/>
      <c r="M539" s="273"/>
      <c r="N539" s="273"/>
      <c r="O539" s="273"/>
      <c r="P539" s="273"/>
      <c r="Q539" s="273"/>
      <c r="R539" s="273"/>
      <c r="S539" s="273"/>
      <c r="T539" s="273"/>
      <c r="U539" s="283"/>
      <c r="V539" s="273"/>
      <c r="W539" s="273"/>
      <c r="X539" s="273"/>
      <c r="Y539" s="273"/>
      <c r="Z539" s="273"/>
      <c r="AA539" s="273"/>
      <c r="AB539" s="273"/>
      <c r="AC539" s="273"/>
      <c r="AD539" s="273"/>
      <c r="AE539" s="261"/>
      <c r="AF539" s="273"/>
      <c r="AG539" s="273"/>
      <c r="AH539" s="273"/>
    </row>
    <row r="540" spans="1:34" x14ac:dyDescent="0.3">
      <c r="A540" s="250">
        <f>A537+1</f>
        <v>381</v>
      </c>
      <c r="B540" s="20" t="s">
        <v>3210</v>
      </c>
      <c r="C540" s="273">
        <f t="shared" ref="C540:C559" si="157">D540+K540+M540+O540+P540+R540+S540+T540</f>
        <v>6788856</v>
      </c>
      <c r="D540" s="273">
        <f t="shared" ref="D540:D559" si="158">E540+F540+G540+H540+I540</f>
        <v>0</v>
      </c>
      <c r="E540" s="273"/>
      <c r="F540" s="273"/>
      <c r="G540" s="273"/>
      <c r="H540" s="273"/>
      <c r="I540" s="273"/>
      <c r="J540" s="273">
        <v>997</v>
      </c>
      <c r="K540" s="273">
        <v>6788856</v>
      </c>
      <c r="L540" s="273"/>
      <c r="M540" s="273"/>
      <c r="N540" s="273"/>
      <c r="O540" s="273"/>
      <c r="P540" s="273"/>
      <c r="Q540" s="273"/>
      <c r="R540" s="273"/>
      <c r="S540" s="273"/>
      <c r="T540" s="273"/>
      <c r="U540" s="283"/>
      <c r="V540" s="273"/>
      <c r="W540" s="273"/>
      <c r="X540" s="273"/>
      <c r="Y540" s="273"/>
      <c r="Z540" s="273"/>
      <c r="AA540" s="273"/>
      <c r="AB540" s="273"/>
      <c r="AC540" s="273"/>
      <c r="AD540" s="273"/>
      <c r="AE540" s="261"/>
      <c r="AF540" s="273"/>
      <c r="AG540" s="273"/>
      <c r="AH540" s="273"/>
    </row>
    <row r="541" spans="1:34" x14ac:dyDescent="0.3">
      <c r="A541" s="250">
        <f t="shared" ref="A541:A547" si="159">A540+1</f>
        <v>382</v>
      </c>
      <c r="B541" s="20" t="s">
        <v>3211</v>
      </c>
      <c r="C541" s="273">
        <f t="shared" si="157"/>
        <v>295477.3</v>
      </c>
      <c r="D541" s="273">
        <f t="shared" si="158"/>
        <v>0</v>
      </c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>
        <v>295477.3</v>
      </c>
      <c r="U541" s="283"/>
      <c r="V541" s="273"/>
      <c r="W541" s="273"/>
      <c r="X541" s="273"/>
      <c r="Y541" s="273"/>
      <c r="Z541" s="273"/>
      <c r="AA541" s="273">
        <v>295477.3</v>
      </c>
      <c r="AB541" s="273"/>
      <c r="AC541" s="273"/>
      <c r="AD541" s="273"/>
      <c r="AE541" s="261"/>
      <c r="AF541" s="273"/>
      <c r="AG541" s="273"/>
      <c r="AH541" s="273"/>
    </row>
    <row r="542" spans="1:34" x14ac:dyDescent="0.3">
      <c r="A542" s="250">
        <f t="shared" si="159"/>
        <v>383</v>
      </c>
      <c r="B542" s="20" t="s">
        <v>3213</v>
      </c>
      <c r="C542" s="273">
        <f t="shared" si="157"/>
        <v>11541715.699999999</v>
      </c>
      <c r="D542" s="273">
        <f t="shared" si="158"/>
        <v>0</v>
      </c>
      <c r="E542" s="273"/>
      <c r="F542" s="273"/>
      <c r="G542" s="273"/>
      <c r="H542" s="273"/>
      <c r="I542" s="273"/>
      <c r="J542" s="273">
        <v>2959.56</v>
      </c>
      <c r="K542" s="273">
        <v>11541715.699999999</v>
      </c>
      <c r="L542" s="273"/>
      <c r="M542" s="273"/>
      <c r="N542" s="273"/>
      <c r="O542" s="273"/>
      <c r="P542" s="273"/>
      <c r="Q542" s="273"/>
      <c r="R542" s="273"/>
      <c r="S542" s="273"/>
      <c r="T542" s="273"/>
      <c r="U542" s="283"/>
      <c r="V542" s="273"/>
      <c r="W542" s="273"/>
      <c r="X542" s="273"/>
      <c r="Y542" s="273"/>
      <c r="Z542" s="273"/>
      <c r="AA542" s="273"/>
      <c r="AB542" s="273"/>
      <c r="AC542" s="273"/>
      <c r="AD542" s="273"/>
      <c r="AE542" s="261"/>
      <c r="AF542" s="273"/>
      <c r="AG542" s="273"/>
      <c r="AH542" s="273"/>
    </row>
    <row r="543" spans="1:34" x14ac:dyDescent="0.3">
      <c r="A543" s="250">
        <f t="shared" si="159"/>
        <v>384</v>
      </c>
      <c r="B543" s="20" t="s">
        <v>3214</v>
      </c>
      <c r="C543" s="273">
        <f t="shared" si="157"/>
        <v>19687856.509999998</v>
      </c>
      <c r="D543" s="273">
        <f t="shared" si="158"/>
        <v>17141682.109999999</v>
      </c>
      <c r="E543" s="273"/>
      <c r="F543" s="273">
        <v>11007218.4</v>
      </c>
      <c r="G543" s="273">
        <v>1907569.78</v>
      </c>
      <c r="H543" s="273">
        <v>4226893.93</v>
      </c>
      <c r="I543" s="273"/>
      <c r="J543" s="273">
        <v>1374.4</v>
      </c>
      <c r="K543" s="273">
        <v>2546174.4</v>
      </c>
      <c r="L543" s="273"/>
      <c r="M543" s="273"/>
      <c r="N543" s="273"/>
      <c r="O543" s="273"/>
      <c r="P543" s="273"/>
      <c r="Q543" s="273"/>
      <c r="R543" s="273"/>
      <c r="S543" s="273"/>
      <c r="T543" s="273"/>
      <c r="U543" s="283"/>
      <c r="V543" s="273"/>
      <c r="W543" s="273"/>
      <c r="X543" s="273"/>
      <c r="Y543" s="273"/>
      <c r="Z543" s="273"/>
      <c r="AA543" s="273"/>
      <c r="AB543" s="273"/>
      <c r="AC543" s="273"/>
      <c r="AD543" s="273"/>
      <c r="AE543" s="261"/>
      <c r="AF543" s="273"/>
      <c r="AG543" s="273"/>
      <c r="AH543" s="273"/>
    </row>
    <row r="544" spans="1:34" x14ac:dyDescent="0.3">
      <c r="A544" s="250">
        <f t="shared" si="159"/>
        <v>385</v>
      </c>
      <c r="B544" s="20" t="s">
        <v>3216</v>
      </c>
      <c r="C544" s="273">
        <f t="shared" si="157"/>
        <v>351458.79</v>
      </c>
      <c r="D544" s="273">
        <f t="shared" si="158"/>
        <v>0</v>
      </c>
      <c r="E544" s="273"/>
      <c r="F544" s="273"/>
      <c r="G544" s="273"/>
      <c r="H544" s="273"/>
      <c r="I544" s="273"/>
      <c r="J544" s="273"/>
      <c r="K544" s="273"/>
      <c r="L544" s="273"/>
      <c r="M544" s="273"/>
      <c r="N544" s="273"/>
      <c r="O544" s="273"/>
      <c r="P544" s="273"/>
      <c r="Q544" s="273"/>
      <c r="R544" s="273"/>
      <c r="S544" s="273"/>
      <c r="T544" s="273">
        <f>SUM('2021'!X1719:AK1719)</f>
        <v>351458.79</v>
      </c>
      <c r="U544" s="283"/>
      <c r="V544" s="273"/>
      <c r="W544" s="273"/>
      <c r="X544" s="273"/>
      <c r="Y544" s="273"/>
      <c r="Z544" s="273"/>
      <c r="AA544" s="273">
        <v>351458.79</v>
      </c>
      <c r="AB544" s="273"/>
      <c r="AC544" s="273"/>
      <c r="AD544" s="273"/>
      <c r="AE544" s="261"/>
      <c r="AF544" s="273"/>
      <c r="AG544" s="273"/>
      <c r="AH544" s="273"/>
    </row>
    <row r="545" spans="1:34" x14ac:dyDescent="0.3">
      <c r="A545" s="250">
        <f t="shared" si="159"/>
        <v>386</v>
      </c>
      <c r="B545" s="20" t="s">
        <v>3217</v>
      </c>
      <c r="C545" s="273">
        <f t="shared" si="157"/>
        <v>12863890.300000001</v>
      </c>
      <c r="D545" s="273">
        <f t="shared" si="158"/>
        <v>12863890.300000001</v>
      </c>
      <c r="E545" s="273"/>
      <c r="F545" s="273">
        <v>9602518.8000000007</v>
      </c>
      <c r="G545" s="273">
        <v>1151494.32</v>
      </c>
      <c r="H545" s="273">
        <v>2109877.1800000002</v>
      </c>
      <c r="I545" s="273"/>
      <c r="J545" s="273"/>
      <c r="K545" s="273"/>
      <c r="L545" s="273"/>
      <c r="M545" s="273"/>
      <c r="N545" s="273"/>
      <c r="O545" s="273"/>
      <c r="P545" s="273"/>
      <c r="Q545" s="273"/>
      <c r="R545" s="273"/>
      <c r="S545" s="273"/>
      <c r="T545" s="273"/>
      <c r="U545" s="283"/>
      <c r="V545" s="273"/>
      <c r="W545" s="273"/>
      <c r="X545" s="273"/>
      <c r="Y545" s="273"/>
      <c r="Z545" s="273"/>
      <c r="AA545" s="273"/>
      <c r="AB545" s="273"/>
      <c r="AC545" s="273"/>
      <c r="AD545" s="273"/>
      <c r="AE545" s="261"/>
      <c r="AF545" s="273"/>
      <c r="AG545" s="273"/>
      <c r="AH545" s="273"/>
    </row>
    <row r="546" spans="1:34" x14ac:dyDescent="0.3">
      <c r="A546" s="250">
        <f t="shared" si="159"/>
        <v>387</v>
      </c>
      <c r="B546" s="20" t="s">
        <v>3218</v>
      </c>
      <c r="C546" s="273">
        <f t="shared" si="157"/>
        <v>415098.26</v>
      </c>
      <c r="D546" s="273">
        <f t="shared" si="158"/>
        <v>0</v>
      </c>
      <c r="E546" s="273"/>
      <c r="F546" s="273"/>
      <c r="G546" s="273"/>
      <c r="H546" s="273"/>
      <c r="I546" s="273"/>
      <c r="J546" s="273"/>
      <c r="K546" s="273"/>
      <c r="L546" s="273"/>
      <c r="M546" s="273"/>
      <c r="N546" s="273"/>
      <c r="O546" s="273"/>
      <c r="P546" s="273"/>
      <c r="Q546" s="273"/>
      <c r="R546" s="273"/>
      <c r="S546" s="273"/>
      <c r="T546" s="273">
        <v>415098.26</v>
      </c>
      <c r="U546" s="283"/>
      <c r="V546" s="273"/>
      <c r="W546" s="273"/>
      <c r="X546" s="273"/>
      <c r="Y546" s="273"/>
      <c r="Z546" s="273"/>
      <c r="AA546" s="273">
        <v>415098.26</v>
      </c>
      <c r="AB546" s="273"/>
      <c r="AC546" s="273"/>
      <c r="AD546" s="273"/>
      <c r="AE546" s="261"/>
      <c r="AF546" s="273"/>
      <c r="AG546" s="273"/>
      <c r="AH546" s="273"/>
    </row>
    <row r="547" spans="1:34" x14ac:dyDescent="0.3">
      <c r="A547" s="250">
        <f t="shared" si="159"/>
        <v>388</v>
      </c>
      <c r="B547" s="20" t="s">
        <v>3219</v>
      </c>
      <c r="C547" s="273">
        <f t="shared" si="157"/>
        <v>508876.13</v>
      </c>
      <c r="D547" s="273">
        <f t="shared" si="158"/>
        <v>0</v>
      </c>
      <c r="E547" s="273"/>
      <c r="F547" s="273"/>
      <c r="G547" s="273"/>
      <c r="H547" s="273"/>
      <c r="I547" s="273"/>
      <c r="J547" s="273"/>
      <c r="K547" s="273"/>
      <c r="L547" s="273"/>
      <c r="M547" s="273"/>
      <c r="N547" s="273"/>
      <c r="O547" s="273"/>
      <c r="P547" s="273"/>
      <c r="Q547" s="273"/>
      <c r="R547" s="273"/>
      <c r="S547" s="273"/>
      <c r="T547" s="273">
        <f>SUM('2021'!X1737:AK1737)</f>
        <v>508876.13</v>
      </c>
      <c r="U547" s="283"/>
      <c r="V547" s="273"/>
      <c r="W547" s="273"/>
      <c r="X547" s="273"/>
      <c r="Y547" s="273"/>
      <c r="Z547" s="273"/>
      <c r="AA547" s="273">
        <v>508876.13</v>
      </c>
      <c r="AB547" s="273"/>
      <c r="AC547" s="273"/>
      <c r="AE547" s="261"/>
      <c r="AF547" s="273"/>
      <c r="AG547" s="273"/>
      <c r="AH547" s="273"/>
    </row>
    <row r="548" spans="1:34" x14ac:dyDescent="0.3">
      <c r="A548" s="250">
        <f t="shared" ref="A548:A559" si="160">A547+1</f>
        <v>389</v>
      </c>
      <c r="B548" s="20" t="s">
        <v>3220</v>
      </c>
      <c r="C548" s="273">
        <f t="shared" si="157"/>
        <v>602647.38</v>
      </c>
      <c r="D548" s="273">
        <f t="shared" si="158"/>
        <v>0</v>
      </c>
      <c r="E548" s="273"/>
      <c r="F548" s="273"/>
      <c r="G548" s="273"/>
      <c r="H548" s="273"/>
      <c r="I548" s="273"/>
      <c r="J548" s="273"/>
      <c r="K548" s="273"/>
      <c r="L548" s="273"/>
      <c r="M548" s="273"/>
      <c r="N548" s="273"/>
      <c r="O548" s="273"/>
      <c r="P548" s="273"/>
      <c r="Q548" s="273"/>
      <c r="R548" s="273"/>
      <c r="S548" s="273"/>
      <c r="T548" s="273">
        <f>SUM('2021'!X1738:AK1738)</f>
        <v>602647.38</v>
      </c>
      <c r="U548" s="283"/>
      <c r="V548" s="273"/>
      <c r="W548" s="273"/>
      <c r="X548" s="273"/>
      <c r="Y548" s="273"/>
      <c r="Z548" s="273"/>
      <c r="AA548" s="273">
        <v>602647.38</v>
      </c>
      <c r="AB548" s="273"/>
      <c r="AC548" s="273"/>
      <c r="AE548" s="261"/>
      <c r="AF548" s="273"/>
      <c r="AG548" s="273"/>
      <c r="AH548" s="273"/>
    </row>
    <row r="549" spans="1:34" x14ac:dyDescent="0.3">
      <c r="A549" s="250">
        <f t="shared" si="160"/>
        <v>390</v>
      </c>
      <c r="B549" s="20" t="s">
        <v>3221</v>
      </c>
      <c r="C549" s="273">
        <f t="shared" si="157"/>
        <v>210784.79</v>
      </c>
      <c r="D549" s="273">
        <f t="shared" si="158"/>
        <v>0</v>
      </c>
      <c r="E549" s="273"/>
      <c r="F549" s="273"/>
      <c r="G549" s="273"/>
      <c r="H549" s="273"/>
      <c r="I549" s="273"/>
      <c r="J549" s="273"/>
      <c r="K549" s="273"/>
      <c r="L549" s="273"/>
      <c r="M549" s="273"/>
      <c r="N549" s="273"/>
      <c r="O549" s="273"/>
      <c r="P549" s="273"/>
      <c r="Q549" s="273"/>
      <c r="R549" s="273"/>
      <c r="S549" s="273"/>
      <c r="T549" s="273">
        <f>SUM('2021'!X1740:AK1740)</f>
        <v>210784.79</v>
      </c>
      <c r="U549" s="283"/>
      <c r="V549" s="273"/>
      <c r="W549" s="273"/>
      <c r="X549" s="273"/>
      <c r="Y549" s="273"/>
      <c r="Z549" s="273"/>
      <c r="AA549" s="273">
        <v>210784.79</v>
      </c>
      <c r="AB549" s="273"/>
      <c r="AC549" s="273"/>
      <c r="AE549" s="261"/>
      <c r="AF549" s="273"/>
      <c r="AG549" s="273"/>
      <c r="AH549" s="273"/>
    </row>
    <row r="550" spans="1:34" x14ac:dyDescent="0.3">
      <c r="A550" s="250">
        <f t="shared" si="160"/>
        <v>391</v>
      </c>
      <c r="B550" s="20" t="s">
        <v>3222</v>
      </c>
      <c r="C550" s="273">
        <f t="shared" si="157"/>
        <v>12008071.199999999</v>
      </c>
      <c r="D550" s="273">
        <f t="shared" si="158"/>
        <v>0</v>
      </c>
      <c r="E550" s="273"/>
      <c r="F550" s="273"/>
      <c r="G550" s="273"/>
      <c r="H550" s="273"/>
      <c r="I550" s="273"/>
      <c r="J550" s="273">
        <v>1419.7</v>
      </c>
      <c r="K550" s="273">
        <v>12008071.199999999</v>
      </c>
      <c r="L550" s="273"/>
      <c r="M550" s="273"/>
      <c r="N550" s="273"/>
      <c r="O550" s="273"/>
      <c r="P550" s="273"/>
      <c r="Q550" s="273"/>
      <c r="R550" s="273"/>
      <c r="S550" s="273"/>
      <c r="T550" s="273"/>
      <c r="U550" s="283"/>
      <c r="V550" s="273"/>
      <c r="W550" s="273"/>
      <c r="X550" s="273"/>
      <c r="Y550" s="273"/>
      <c r="Z550" s="273"/>
      <c r="AA550" s="273"/>
      <c r="AB550" s="273"/>
      <c r="AC550" s="273"/>
      <c r="AD550" s="273"/>
      <c r="AE550" s="261"/>
      <c r="AF550" s="273"/>
      <c r="AG550" s="273"/>
      <c r="AH550" s="273"/>
    </row>
    <row r="551" spans="1:34" x14ac:dyDescent="0.3">
      <c r="A551" s="250">
        <f t="shared" si="160"/>
        <v>392</v>
      </c>
      <c r="B551" s="20" t="s">
        <v>3225</v>
      </c>
      <c r="C551" s="273">
        <f t="shared" si="157"/>
        <v>3111848.4</v>
      </c>
      <c r="D551" s="273">
        <f t="shared" si="158"/>
        <v>0</v>
      </c>
      <c r="E551" s="273"/>
      <c r="F551" s="273"/>
      <c r="G551" s="273"/>
      <c r="H551" s="273"/>
      <c r="I551" s="273"/>
      <c r="J551" s="273">
        <v>670</v>
      </c>
      <c r="K551" s="273">
        <v>3111848.4</v>
      </c>
      <c r="L551" s="273"/>
      <c r="M551" s="273"/>
      <c r="N551" s="273"/>
      <c r="O551" s="273"/>
      <c r="P551" s="273"/>
      <c r="Q551" s="273"/>
      <c r="R551" s="273"/>
      <c r="S551" s="273"/>
      <c r="T551" s="273"/>
      <c r="U551" s="283"/>
      <c r="V551" s="273"/>
      <c r="W551" s="273"/>
      <c r="X551" s="273"/>
      <c r="Y551" s="273"/>
      <c r="Z551" s="273"/>
      <c r="AA551" s="273"/>
      <c r="AB551" s="273"/>
      <c r="AC551" s="273"/>
      <c r="AD551" s="273"/>
      <c r="AE551" s="261"/>
      <c r="AF551" s="273"/>
      <c r="AG551" s="273"/>
      <c r="AH551" s="273"/>
    </row>
    <row r="552" spans="1:34" x14ac:dyDescent="0.3">
      <c r="A552" s="250">
        <f t="shared" si="160"/>
        <v>393</v>
      </c>
      <c r="B552" s="20" t="s">
        <v>3226</v>
      </c>
      <c r="C552" s="273">
        <f t="shared" si="157"/>
        <v>1332338.3999999999</v>
      </c>
      <c r="D552" s="273">
        <f t="shared" si="158"/>
        <v>0</v>
      </c>
      <c r="E552" s="273"/>
      <c r="F552" s="273"/>
      <c r="G552" s="273"/>
      <c r="H552" s="273"/>
      <c r="I552" s="273"/>
      <c r="J552" s="273">
        <v>650</v>
      </c>
      <c r="K552" s="273">
        <v>1332338.3999999999</v>
      </c>
      <c r="L552" s="273"/>
      <c r="M552" s="273"/>
      <c r="N552" s="273"/>
      <c r="O552" s="273"/>
      <c r="P552" s="273"/>
      <c r="Q552" s="273"/>
      <c r="R552" s="273"/>
      <c r="S552" s="273"/>
      <c r="T552" s="273"/>
      <c r="U552" s="283"/>
      <c r="V552" s="273"/>
      <c r="W552" s="273"/>
      <c r="X552" s="273"/>
      <c r="Y552" s="273"/>
      <c r="Z552" s="273"/>
      <c r="AA552" s="273"/>
      <c r="AB552" s="273"/>
      <c r="AC552" s="273"/>
      <c r="AD552" s="273"/>
      <c r="AE552" s="261"/>
      <c r="AF552" s="273"/>
      <c r="AG552" s="273"/>
      <c r="AH552" s="273"/>
    </row>
    <row r="553" spans="1:34" x14ac:dyDescent="0.3">
      <c r="A553" s="250">
        <f t="shared" si="160"/>
        <v>394</v>
      </c>
      <c r="B553" s="20" t="s">
        <v>3227</v>
      </c>
      <c r="C553" s="273">
        <f t="shared" si="157"/>
        <v>5259826.8</v>
      </c>
      <c r="D553" s="273">
        <f t="shared" si="158"/>
        <v>0</v>
      </c>
      <c r="E553" s="273"/>
      <c r="F553" s="273"/>
      <c r="G553" s="273"/>
      <c r="H553" s="273"/>
      <c r="I553" s="273"/>
      <c r="J553" s="273">
        <v>665</v>
      </c>
      <c r="K553" s="273">
        <v>5259826.8</v>
      </c>
      <c r="L553" s="273"/>
      <c r="M553" s="273"/>
      <c r="N553" s="273"/>
      <c r="O553" s="273"/>
      <c r="P553" s="273"/>
      <c r="Q553" s="273"/>
      <c r="R553" s="273"/>
      <c r="S553" s="273"/>
      <c r="T553" s="273"/>
      <c r="U553" s="283"/>
      <c r="V553" s="273"/>
      <c r="W553" s="273"/>
      <c r="X553" s="273"/>
      <c r="Y553" s="273"/>
      <c r="Z553" s="273"/>
      <c r="AA553" s="273"/>
      <c r="AB553" s="273"/>
      <c r="AC553" s="273"/>
      <c r="AD553" s="273"/>
      <c r="AE553" s="261"/>
      <c r="AF553" s="273"/>
      <c r="AG553" s="273"/>
      <c r="AH553" s="273"/>
    </row>
    <row r="554" spans="1:34" x14ac:dyDescent="0.3">
      <c r="A554" s="250">
        <f t="shared" si="160"/>
        <v>395</v>
      </c>
      <c r="B554" s="20" t="s">
        <v>3228</v>
      </c>
      <c r="C554" s="273">
        <f t="shared" si="157"/>
        <v>3353553.6</v>
      </c>
      <c r="D554" s="273">
        <f t="shared" si="158"/>
        <v>0</v>
      </c>
      <c r="E554" s="273"/>
      <c r="F554" s="273"/>
      <c r="G554" s="273"/>
      <c r="H554" s="273"/>
      <c r="I554" s="273"/>
      <c r="J554" s="273">
        <v>539.70000000000005</v>
      </c>
      <c r="K554" s="273">
        <v>3353553.6</v>
      </c>
      <c r="L554" s="273"/>
      <c r="M554" s="273"/>
      <c r="N554" s="273"/>
      <c r="O554" s="273"/>
      <c r="P554" s="273"/>
      <c r="Q554" s="273"/>
      <c r="R554" s="273"/>
      <c r="S554" s="273"/>
      <c r="T554" s="273"/>
      <c r="U554" s="283"/>
      <c r="V554" s="273"/>
      <c r="W554" s="273"/>
      <c r="X554" s="273"/>
      <c r="Y554" s="273"/>
      <c r="Z554" s="273"/>
      <c r="AA554" s="273"/>
      <c r="AB554" s="273"/>
      <c r="AC554" s="273"/>
      <c r="AD554" s="273"/>
      <c r="AE554" s="261"/>
      <c r="AF554" s="273"/>
      <c r="AG554" s="273"/>
      <c r="AH554" s="273"/>
    </row>
    <row r="555" spans="1:34" x14ac:dyDescent="0.3">
      <c r="A555" s="250">
        <f t="shared" si="160"/>
        <v>396</v>
      </c>
      <c r="B555" s="20" t="s">
        <v>3229</v>
      </c>
      <c r="C555" s="273">
        <f t="shared" si="157"/>
        <v>7734552</v>
      </c>
      <c r="D555" s="273">
        <f t="shared" si="158"/>
        <v>0</v>
      </c>
      <c r="E555" s="273"/>
      <c r="F555" s="273"/>
      <c r="G555" s="273"/>
      <c r="H555" s="273"/>
      <c r="I555" s="273"/>
      <c r="J555" s="273">
        <v>1051.8</v>
      </c>
      <c r="K555" s="273">
        <v>7734552</v>
      </c>
      <c r="L555" s="273"/>
      <c r="M555" s="273"/>
      <c r="N555" s="273"/>
      <c r="O555" s="273"/>
      <c r="P555" s="273"/>
      <c r="Q555" s="273"/>
      <c r="R555" s="273"/>
      <c r="S555" s="273"/>
      <c r="T555" s="273"/>
      <c r="U555" s="283"/>
      <c r="V555" s="273"/>
      <c r="W555" s="273"/>
      <c r="X555" s="273"/>
      <c r="Y555" s="273"/>
      <c r="Z555" s="273"/>
      <c r="AA555" s="273"/>
      <c r="AB555" s="273"/>
      <c r="AC555" s="273"/>
      <c r="AD555" s="273"/>
      <c r="AE555" s="261"/>
      <c r="AF555" s="273"/>
      <c r="AG555" s="273"/>
      <c r="AH555" s="273"/>
    </row>
    <row r="556" spans="1:34" x14ac:dyDescent="0.3">
      <c r="A556" s="250">
        <f t="shared" si="160"/>
        <v>397</v>
      </c>
      <c r="B556" s="20" t="s">
        <v>3230</v>
      </c>
      <c r="C556" s="273">
        <f t="shared" si="157"/>
        <v>5130295.2</v>
      </c>
      <c r="D556" s="273">
        <f t="shared" si="158"/>
        <v>0</v>
      </c>
      <c r="E556" s="273"/>
      <c r="F556" s="273"/>
      <c r="G556" s="273"/>
      <c r="H556" s="273"/>
      <c r="I556" s="273"/>
      <c r="J556" s="273">
        <v>697.7</v>
      </c>
      <c r="K556" s="273">
        <v>5130295.2</v>
      </c>
      <c r="L556" s="273"/>
      <c r="M556" s="273"/>
      <c r="N556" s="273"/>
      <c r="O556" s="273"/>
      <c r="P556" s="273"/>
      <c r="Q556" s="273"/>
      <c r="R556" s="273"/>
      <c r="S556" s="273"/>
      <c r="T556" s="273"/>
      <c r="U556" s="283"/>
      <c r="V556" s="273"/>
      <c r="W556" s="273"/>
      <c r="X556" s="273"/>
      <c r="Y556" s="273"/>
      <c r="Z556" s="273"/>
      <c r="AA556" s="273"/>
      <c r="AB556" s="273"/>
      <c r="AC556" s="273"/>
      <c r="AD556" s="273"/>
      <c r="AE556" s="261"/>
      <c r="AF556" s="273"/>
      <c r="AG556" s="273"/>
      <c r="AH556" s="273"/>
    </row>
    <row r="557" spans="1:34" x14ac:dyDescent="0.3">
      <c r="A557" s="250">
        <f t="shared" si="160"/>
        <v>398</v>
      </c>
      <c r="B557" s="20" t="s">
        <v>3231</v>
      </c>
      <c r="C557" s="273">
        <f t="shared" si="157"/>
        <v>3398946</v>
      </c>
      <c r="D557" s="273">
        <f t="shared" si="158"/>
        <v>0</v>
      </c>
      <c r="E557" s="273"/>
      <c r="F557" s="273"/>
      <c r="G557" s="273"/>
      <c r="H557" s="273"/>
      <c r="I557" s="273"/>
      <c r="J557" s="273">
        <v>572.23</v>
      </c>
      <c r="K557" s="273">
        <v>3398946</v>
      </c>
      <c r="L557" s="273"/>
      <c r="M557" s="273"/>
      <c r="N557" s="273"/>
      <c r="O557" s="273"/>
      <c r="P557" s="273"/>
      <c r="Q557" s="273"/>
      <c r="R557" s="273"/>
      <c r="S557" s="273"/>
      <c r="T557" s="273"/>
      <c r="U557" s="283"/>
      <c r="V557" s="273"/>
      <c r="W557" s="273"/>
      <c r="X557" s="273"/>
      <c r="Y557" s="273"/>
      <c r="Z557" s="273"/>
      <c r="AA557" s="273"/>
      <c r="AB557" s="273"/>
      <c r="AC557" s="273"/>
      <c r="AD557" s="273"/>
      <c r="AE557" s="261"/>
      <c r="AF557" s="273"/>
      <c r="AG557" s="273"/>
      <c r="AH557" s="273"/>
    </row>
    <row r="558" spans="1:34" x14ac:dyDescent="0.3">
      <c r="A558" s="250">
        <f t="shared" si="160"/>
        <v>399</v>
      </c>
      <c r="B558" s="20" t="s">
        <v>3232</v>
      </c>
      <c r="C558" s="273">
        <f t="shared" si="157"/>
        <v>6306580.7999999998</v>
      </c>
      <c r="D558" s="273">
        <f t="shared" si="158"/>
        <v>0</v>
      </c>
      <c r="E558" s="273"/>
      <c r="F558" s="273"/>
      <c r="G558" s="273"/>
      <c r="H558" s="273"/>
      <c r="I558" s="273"/>
      <c r="J558" s="273">
        <v>928.58</v>
      </c>
      <c r="K558" s="273">
        <v>6306580.7999999998</v>
      </c>
      <c r="L558" s="273"/>
      <c r="M558" s="273"/>
      <c r="N558" s="273"/>
      <c r="O558" s="273"/>
      <c r="P558" s="273"/>
      <c r="Q558" s="273"/>
      <c r="R558" s="273"/>
      <c r="S558" s="273"/>
      <c r="T558" s="273"/>
      <c r="U558" s="283"/>
      <c r="V558" s="273"/>
      <c r="W558" s="273"/>
      <c r="X558" s="273"/>
      <c r="Y558" s="273"/>
      <c r="Z558" s="273"/>
      <c r="AA558" s="273"/>
      <c r="AB558" s="273"/>
      <c r="AC558" s="273"/>
      <c r="AD558" s="273"/>
      <c r="AE558" s="261"/>
      <c r="AF558" s="273"/>
      <c r="AG558" s="273"/>
      <c r="AH558" s="273"/>
    </row>
    <row r="559" spans="1:34" x14ac:dyDescent="0.3">
      <c r="A559" s="250">
        <f t="shared" si="160"/>
        <v>400</v>
      </c>
      <c r="B559" s="20" t="s">
        <v>3233</v>
      </c>
      <c r="C559" s="273">
        <f t="shared" si="157"/>
        <v>2921263.2</v>
      </c>
      <c r="D559" s="273">
        <f t="shared" si="158"/>
        <v>0</v>
      </c>
      <c r="E559" s="273"/>
      <c r="F559" s="273"/>
      <c r="G559" s="273"/>
      <c r="H559" s="273"/>
      <c r="I559" s="273"/>
      <c r="J559" s="273">
        <v>505.6</v>
      </c>
      <c r="K559" s="273">
        <v>2921263.2</v>
      </c>
      <c r="L559" s="273"/>
      <c r="M559" s="273"/>
      <c r="N559" s="273"/>
      <c r="O559" s="273"/>
      <c r="P559" s="273"/>
      <c r="Q559" s="273"/>
      <c r="R559" s="273"/>
      <c r="S559" s="273"/>
      <c r="T559" s="273"/>
      <c r="U559" s="283"/>
      <c r="V559" s="273"/>
      <c r="W559" s="273"/>
      <c r="X559" s="273"/>
      <c r="Y559" s="273"/>
      <c r="Z559" s="273"/>
      <c r="AA559" s="273"/>
      <c r="AB559" s="273"/>
      <c r="AC559" s="273"/>
      <c r="AD559" s="273"/>
      <c r="AE559" s="261"/>
      <c r="AF559" s="273"/>
      <c r="AG559" s="273"/>
      <c r="AH559" s="273"/>
    </row>
    <row r="560" spans="1:34" x14ac:dyDescent="0.3">
      <c r="A560" s="250" t="s">
        <v>208</v>
      </c>
      <c r="B560" s="250"/>
      <c r="C560" s="273">
        <f t="shared" ref="C560:T560" si="161">SUM(C540:C559)</f>
        <v>103823936.76000001</v>
      </c>
      <c r="D560" s="273">
        <f t="shared" si="161"/>
        <v>30005572.41</v>
      </c>
      <c r="E560" s="273">
        <f t="shared" si="161"/>
        <v>0</v>
      </c>
      <c r="F560" s="273">
        <f t="shared" si="161"/>
        <v>20609737.200000003</v>
      </c>
      <c r="G560" s="273">
        <f t="shared" si="161"/>
        <v>3059064.1</v>
      </c>
      <c r="H560" s="273">
        <f t="shared" si="161"/>
        <v>6336771.1099999994</v>
      </c>
      <c r="I560" s="273">
        <f t="shared" si="161"/>
        <v>0</v>
      </c>
      <c r="J560" s="273">
        <f t="shared" si="161"/>
        <v>13031.27</v>
      </c>
      <c r="K560" s="273">
        <f t="shared" si="161"/>
        <v>71434021.700000003</v>
      </c>
      <c r="L560" s="273">
        <f t="shared" si="161"/>
        <v>0</v>
      </c>
      <c r="M560" s="273">
        <f t="shared" si="161"/>
        <v>0</v>
      </c>
      <c r="N560" s="273">
        <f t="shared" si="161"/>
        <v>0</v>
      </c>
      <c r="O560" s="273">
        <f t="shared" si="161"/>
        <v>0</v>
      </c>
      <c r="P560" s="273">
        <f t="shared" si="161"/>
        <v>0</v>
      </c>
      <c r="Q560" s="273">
        <f t="shared" si="161"/>
        <v>0</v>
      </c>
      <c r="R560" s="273">
        <f t="shared" si="161"/>
        <v>0</v>
      </c>
      <c r="S560" s="273">
        <f t="shared" si="161"/>
        <v>0</v>
      </c>
      <c r="T560" s="273">
        <f t="shared" si="161"/>
        <v>2384342.65</v>
      </c>
      <c r="U560" s="83"/>
      <c r="V560" s="273"/>
      <c r="W560" s="273"/>
      <c r="X560" s="273"/>
      <c r="Y560" s="273"/>
      <c r="Z560" s="273"/>
      <c r="AA560" s="273"/>
      <c r="AB560" s="273"/>
      <c r="AC560" s="273"/>
      <c r="AD560" s="273"/>
      <c r="AE560" s="261"/>
      <c r="AF560" s="273"/>
      <c r="AG560" s="273"/>
      <c r="AH560" s="273"/>
    </row>
    <row r="561" spans="1:34" x14ac:dyDescent="0.3">
      <c r="A561" s="249" t="s">
        <v>3234</v>
      </c>
      <c r="B561" s="249"/>
      <c r="C561" s="273"/>
      <c r="D561" s="273"/>
      <c r="E561" s="273"/>
      <c r="F561" s="273"/>
      <c r="G561" s="273"/>
      <c r="H561" s="273"/>
      <c r="I561" s="273"/>
      <c r="J561" s="273"/>
      <c r="K561" s="273"/>
      <c r="L561" s="273"/>
      <c r="M561" s="273"/>
      <c r="N561" s="273"/>
      <c r="O561" s="273"/>
      <c r="P561" s="273"/>
      <c r="Q561" s="273"/>
      <c r="R561" s="273"/>
      <c r="S561" s="273"/>
      <c r="T561" s="273"/>
      <c r="U561" s="283"/>
      <c r="V561" s="273"/>
      <c r="W561" s="273"/>
      <c r="X561" s="273"/>
      <c r="Y561" s="273"/>
      <c r="Z561" s="273"/>
      <c r="AA561" s="273"/>
      <c r="AB561" s="273"/>
      <c r="AC561" s="273"/>
      <c r="AD561" s="273"/>
      <c r="AE561" s="261"/>
      <c r="AF561" s="273"/>
      <c r="AG561" s="273"/>
      <c r="AH561" s="273"/>
    </row>
    <row r="562" spans="1:34" x14ac:dyDescent="0.3">
      <c r="A562" s="250">
        <f>A559+1</f>
        <v>401</v>
      </c>
      <c r="B562" s="20" t="s">
        <v>3235</v>
      </c>
      <c r="C562" s="273">
        <f t="shared" ref="C562:C564" si="162">D562+K562+M562+O562+P562+R562+S562+T562</f>
        <v>493243.54</v>
      </c>
      <c r="D562" s="273">
        <f>E562+F562+G562+H562+I562</f>
        <v>493243.54</v>
      </c>
      <c r="E562" s="273"/>
      <c r="F562" s="273"/>
      <c r="G562" s="273">
        <v>493243.54</v>
      </c>
      <c r="H562" s="273"/>
      <c r="I562" s="273"/>
      <c r="J562" s="273"/>
      <c r="K562" s="273"/>
      <c r="L562" s="273"/>
      <c r="M562" s="273"/>
      <c r="N562" s="273"/>
      <c r="O562" s="273"/>
      <c r="P562" s="273"/>
      <c r="Q562" s="273"/>
      <c r="R562" s="273"/>
      <c r="S562" s="273"/>
      <c r="T562" s="273"/>
      <c r="U562" s="283"/>
      <c r="V562" s="273"/>
      <c r="W562" s="273"/>
      <c r="X562" s="273"/>
      <c r="Y562" s="273"/>
      <c r="Z562" s="273"/>
      <c r="AA562" s="273"/>
      <c r="AB562" s="273"/>
      <c r="AC562" s="273"/>
      <c r="AD562" s="273"/>
      <c r="AE562" s="261"/>
      <c r="AF562" s="273"/>
      <c r="AG562" s="273"/>
      <c r="AH562" s="273"/>
    </row>
    <row r="563" spans="1:34" x14ac:dyDescent="0.3">
      <c r="A563" s="250">
        <f>A562+1</f>
        <v>402</v>
      </c>
      <c r="B563" s="20" t="s">
        <v>3236</v>
      </c>
      <c r="C563" s="273">
        <f t="shared" si="162"/>
        <v>1315864.8</v>
      </c>
      <c r="D563" s="273">
        <f>E563+F563+G563+H563+I563</f>
        <v>0</v>
      </c>
      <c r="E563" s="273"/>
      <c r="F563" s="273"/>
      <c r="G563" s="273"/>
      <c r="H563" s="273"/>
      <c r="I563" s="273"/>
      <c r="J563" s="273">
        <v>277.3</v>
      </c>
      <c r="K563" s="273">
        <v>1315864.8</v>
      </c>
      <c r="L563" s="273"/>
      <c r="M563" s="273"/>
      <c r="N563" s="273"/>
      <c r="O563" s="273"/>
      <c r="P563" s="273"/>
      <c r="Q563" s="273"/>
      <c r="R563" s="273"/>
      <c r="S563" s="273"/>
      <c r="T563" s="273"/>
      <c r="U563" s="283"/>
      <c r="V563" s="273"/>
      <c r="W563" s="273"/>
      <c r="X563" s="273"/>
      <c r="Y563" s="273"/>
      <c r="Z563" s="273"/>
      <c r="AA563" s="273"/>
      <c r="AB563" s="273"/>
      <c r="AC563" s="273"/>
      <c r="AD563" s="273"/>
      <c r="AE563" s="261"/>
      <c r="AF563" s="273"/>
      <c r="AG563" s="273"/>
      <c r="AH563" s="273"/>
    </row>
    <row r="564" spans="1:34" x14ac:dyDescent="0.3">
      <c r="A564" s="250">
        <f>A563+1</f>
        <v>403</v>
      </c>
      <c r="B564" s="20" t="s">
        <v>3237</v>
      </c>
      <c r="C564" s="273">
        <f t="shared" si="162"/>
        <v>3621663.6</v>
      </c>
      <c r="D564" s="273">
        <f>E564+F564+G564+H564+I564</f>
        <v>3621663.6</v>
      </c>
      <c r="E564" s="273"/>
      <c r="F564" s="273">
        <v>3621663.6</v>
      </c>
      <c r="G564" s="273"/>
      <c r="H564" s="273"/>
      <c r="I564" s="273"/>
      <c r="J564" s="273"/>
      <c r="K564" s="273"/>
      <c r="L564" s="273"/>
      <c r="M564" s="273"/>
      <c r="N564" s="273"/>
      <c r="O564" s="273"/>
      <c r="P564" s="273"/>
      <c r="Q564" s="273"/>
      <c r="R564" s="273"/>
      <c r="S564" s="273"/>
      <c r="T564" s="273"/>
      <c r="U564" s="283"/>
      <c r="V564" s="273"/>
      <c r="W564" s="273"/>
      <c r="X564" s="273"/>
      <c r="Y564" s="273"/>
      <c r="Z564" s="273"/>
      <c r="AA564" s="273"/>
      <c r="AB564" s="273"/>
      <c r="AC564" s="273"/>
      <c r="AD564" s="273"/>
      <c r="AE564" s="261"/>
      <c r="AF564" s="273"/>
      <c r="AG564" s="273"/>
      <c r="AH564" s="273"/>
    </row>
    <row r="565" spans="1:34" x14ac:dyDescent="0.3">
      <c r="A565" s="250" t="s">
        <v>208</v>
      </c>
      <c r="B565" s="250"/>
      <c r="C565" s="273">
        <f t="shared" ref="C565:T565" si="163">SUM(C562:C564)</f>
        <v>5430771.9400000004</v>
      </c>
      <c r="D565" s="273">
        <f t="shared" si="163"/>
        <v>4114907.14</v>
      </c>
      <c r="E565" s="273">
        <f t="shared" si="163"/>
        <v>0</v>
      </c>
      <c r="F565" s="273">
        <f t="shared" si="163"/>
        <v>3621663.6</v>
      </c>
      <c r="G565" s="273">
        <f t="shared" si="163"/>
        <v>493243.54</v>
      </c>
      <c r="H565" s="273">
        <f t="shared" si="163"/>
        <v>0</v>
      </c>
      <c r="I565" s="273">
        <f t="shared" si="163"/>
        <v>0</v>
      </c>
      <c r="J565" s="273">
        <f t="shared" si="163"/>
        <v>277.3</v>
      </c>
      <c r="K565" s="273">
        <f t="shared" si="163"/>
        <v>1315864.8</v>
      </c>
      <c r="L565" s="273">
        <f t="shared" si="163"/>
        <v>0</v>
      </c>
      <c r="M565" s="273">
        <f t="shared" si="163"/>
        <v>0</v>
      </c>
      <c r="N565" s="273">
        <f t="shared" si="163"/>
        <v>0</v>
      </c>
      <c r="O565" s="273">
        <f t="shared" si="163"/>
        <v>0</v>
      </c>
      <c r="P565" s="273">
        <f t="shared" si="163"/>
        <v>0</v>
      </c>
      <c r="Q565" s="273">
        <f t="shared" si="163"/>
        <v>0</v>
      </c>
      <c r="R565" s="273">
        <f t="shared" si="163"/>
        <v>0</v>
      </c>
      <c r="S565" s="273">
        <f t="shared" si="163"/>
        <v>0</v>
      </c>
      <c r="T565" s="273">
        <f t="shared" si="163"/>
        <v>0</v>
      </c>
      <c r="U565" s="83"/>
      <c r="V565" s="273"/>
      <c r="W565" s="273"/>
      <c r="X565" s="273"/>
      <c r="Y565" s="273"/>
      <c r="Z565" s="273"/>
      <c r="AA565" s="273"/>
      <c r="AB565" s="273"/>
      <c r="AC565" s="273"/>
      <c r="AD565" s="273"/>
      <c r="AE565" s="261"/>
      <c r="AF565" s="273"/>
      <c r="AG565" s="273"/>
      <c r="AH565" s="273"/>
    </row>
    <row r="566" spans="1:34" x14ac:dyDescent="0.3">
      <c r="A566" s="249" t="s">
        <v>3238</v>
      </c>
      <c r="B566" s="249"/>
      <c r="C566" s="273"/>
      <c r="D566" s="273"/>
      <c r="E566" s="273"/>
      <c r="F566" s="273"/>
      <c r="G566" s="273"/>
      <c r="H566" s="273"/>
      <c r="I566" s="273"/>
      <c r="J566" s="273"/>
      <c r="K566" s="273"/>
      <c r="L566" s="273"/>
      <c r="M566" s="273"/>
      <c r="N566" s="273"/>
      <c r="O566" s="273"/>
      <c r="P566" s="273"/>
      <c r="Q566" s="273"/>
      <c r="R566" s="273"/>
      <c r="S566" s="273"/>
      <c r="T566" s="273"/>
      <c r="U566" s="283"/>
      <c r="V566" s="273"/>
      <c r="W566" s="273"/>
      <c r="X566" s="273"/>
      <c r="Y566" s="273"/>
      <c r="Z566" s="273"/>
      <c r="AA566" s="273"/>
      <c r="AB566" s="273"/>
      <c r="AC566" s="273"/>
      <c r="AD566" s="273"/>
      <c r="AE566" s="261"/>
      <c r="AF566" s="273"/>
      <c r="AG566" s="273"/>
      <c r="AH566" s="273"/>
    </row>
    <row r="567" spans="1:34" x14ac:dyDescent="0.3">
      <c r="A567" s="250">
        <f>A564+1</f>
        <v>404</v>
      </c>
      <c r="B567" s="20" t="s">
        <v>3239</v>
      </c>
      <c r="C567" s="273">
        <f t="shared" ref="C567:C577" si="164">D567+K567+M567+O567+P567+R567+S567+T567</f>
        <v>1182634.8</v>
      </c>
      <c r="D567" s="273">
        <f t="shared" ref="D567:D577" si="165">E567+F567+G567+H567+I567</f>
        <v>1182634.8</v>
      </c>
      <c r="E567" s="273">
        <v>1182634.8</v>
      </c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83"/>
      <c r="V567" s="273"/>
      <c r="W567" s="273"/>
      <c r="X567" s="273"/>
      <c r="Y567" s="273"/>
      <c r="Z567" s="273"/>
      <c r="AA567" s="273"/>
      <c r="AB567" s="273"/>
      <c r="AC567" s="273"/>
      <c r="AD567" s="273"/>
      <c r="AE567" s="261"/>
      <c r="AF567" s="273"/>
      <c r="AG567" s="273"/>
      <c r="AH567" s="273"/>
    </row>
    <row r="568" spans="1:34" x14ac:dyDescent="0.3">
      <c r="A568" s="250">
        <f t="shared" ref="A568:A577" si="166">A567+1</f>
        <v>405</v>
      </c>
      <c r="B568" s="20" t="s">
        <v>3240</v>
      </c>
      <c r="C568" s="273">
        <f t="shared" si="164"/>
        <v>3820404.66</v>
      </c>
      <c r="D568" s="273">
        <f t="shared" si="165"/>
        <v>1702390.8</v>
      </c>
      <c r="E568" s="273">
        <v>1702390.8</v>
      </c>
      <c r="F568" s="273"/>
      <c r="G568" s="273"/>
      <c r="H568" s="273"/>
      <c r="I568" s="273"/>
      <c r="J568" s="273">
        <v>400.92</v>
      </c>
      <c r="K568" s="273">
        <v>2118013.86</v>
      </c>
      <c r="L568" s="273"/>
      <c r="M568" s="273"/>
      <c r="N568" s="273"/>
      <c r="O568" s="273"/>
      <c r="P568" s="273"/>
      <c r="Q568" s="273"/>
      <c r="R568" s="273"/>
      <c r="S568" s="273"/>
      <c r="T568" s="273"/>
      <c r="U568" s="283"/>
      <c r="V568" s="273"/>
      <c r="W568" s="273"/>
      <c r="X568" s="273"/>
      <c r="Y568" s="273"/>
      <c r="Z568" s="273"/>
      <c r="AA568" s="273"/>
      <c r="AB568" s="273"/>
      <c r="AC568" s="273"/>
      <c r="AD568" s="273"/>
      <c r="AE568" s="261"/>
      <c r="AF568" s="273"/>
      <c r="AG568" s="273"/>
      <c r="AH568" s="273"/>
    </row>
    <row r="569" spans="1:34" x14ac:dyDescent="0.3">
      <c r="A569" s="250">
        <f t="shared" si="166"/>
        <v>406</v>
      </c>
      <c r="B569" s="20" t="s">
        <v>3241</v>
      </c>
      <c r="C569" s="273">
        <f t="shared" si="164"/>
        <v>1032100.8</v>
      </c>
      <c r="D569" s="273">
        <f t="shared" si="165"/>
        <v>1032100.8</v>
      </c>
      <c r="E569" s="273">
        <v>1032100.8</v>
      </c>
      <c r="F569" s="273"/>
      <c r="G569" s="273"/>
      <c r="H569" s="273"/>
      <c r="I569" s="273"/>
      <c r="J569" s="273"/>
      <c r="K569" s="273"/>
      <c r="L569" s="273"/>
      <c r="M569" s="273"/>
      <c r="N569" s="273"/>
      <c r="O569" s="273"/>
      <c r="P569" s="273"/>
      <c r="Q569" s="273"/>
      <c r="R569" s="273"/>
      <c r="S569" s="273"/>
      <c r="T569" s="273"/>
      <c r="U569" s="283"/>
      <c r="V569" s="273"/>
      <c r="W569" s="273"/>
      <c r="X569" s="273"/>
      <c r="Y569" s="273"/>
      <c r="Z569" s="273"/>
      <c r="AA569" s="273"/>
      <c r="AB569" s="273"/>
      <c r="AC569" s="273"/>
      <c r="AD569" s="273"/>
      <c r="AE569" s="261"/>
      <c r="AF569" s="273"/>
      <c r="AG569" s="273"/>
      <c r="AH569" s="273"/>
    </row>
    <row r="570" spans="1:34" x14ac:dyDescent="0.3">
      <c r="A570" s="250">
        <f t="shared" si="166"/>
        <v>407</v>
      </c>
      <c r="B570" s="20" t="s">
        <v>3242</v>
      </c>
      <c r="C570" s="273">
        <f t="shared" si="164"/>
        <v>1032100.8</v>
      </c>
      <c r="D570" s="273">
        <f t="shared" si="165"/>
        <v>1032100.8</v>
      </c>
      <c r="E570" s="273">
        <v>1032100.8</v>
      </c>
      <c r="F570" s="273"/>
      <c r="G570" s="273"/>
      <c r="H570" s="273"/>
      <c r="I570" s="273"/>
      <c r="J570" s="273"/>
      <c r="K570" s="273"/>
      <c r="L570" s="273"/>
      <c r="M570" s="273"/>
      <c r="N570" s="273"/>
      <c r="O570" s="273"/>
      <c r="P570" s="273"/>
      <c r="Q570" s="273"/>
      <c r="R570" s="273"/>
      <c r="S570" s="273"/>
      <c r="T570" s="273"/>
      <c r="U570" s="283"/>
      <c r="V570" s="273"/>
      <c r="W570" s="273"/>
      <c r="X570" s="273"/>
      <c r="Y570" s="273"/>
      <c r="Z570" s="273"/>
      <c r="AA570" s="273"/>
      <c r="AB570" s="273"/>
      <c r="AC570" s="273"/>
      <c r="AD570" s="273"/>
      <c r="AE570" s="261"/>
      <c r="AF570" s="273"/>
      <c r="AG570" s="273"/>
      <c r="AH570" s="273"/>
    </row>
    <row r="571" spans="1:34" x14ac:dyDescent="0.3">
      <c r="A571" s="250">
        <f t="shared" si="166"/>
        <v>408</v>
      </c>
      <c r="B571" s="20" t="s">
        <v>3243</v>
      </c>
      <c r="C571" s="273">
        <f t="shared" si="164"/>
        <v>1032100.8</v>
      </c>
      <c r="D571" s="273">
        <f t="shared" si="165"/>
        <v>1032100.8</v>
      </c>
      <c r="E571" s="273">
        <v>1032100.8</v>
      </c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83"/>
      <c r="V571" s="273"/>
      <c r="W571" s="273"/>
      <c r="X571" s="273"/>
      <c r="Y571" s="273"/>
      <c r="Z571" s="273"/>
      <c r="AA571" s="273"/>
      <c r="AB571" s="273"/>
      <c r="AC571" s="273"/>
      <c r="AD571" s="273"/>
      <c r="AE571" s="261"/>
      <c r="AF571" s="273"/>
      <c r="AG571" s="273"/>
      <c r="AH571" s="273"/>
    </row>
    <row r="572" spans="1:34" x14ac:dyDescent="0.3">
      <c r="A572" s="250">
        <f t="shared" si="166"/>
        <v>409</v>
      </c>
      <c r="B572" s="20" t="s">
        <v>3244</v>
      </c>
      <c r="C572" s="273">
        <f t="shared" si="164"/>
        <v>6362042.4000000004</v>
      </c>
      <c r="D572" s="273">
        <f t="shared" si="165"/>
        <v>6362042.4000000004</v>
      </c>
      <c r="E572" s="273">
        <v>6362042.4000000004</v>
      </c>
      <c r="F572" s="273"/>
      <c r="G572" s="273"/>
      <c r="H572" s="273"/>
      <c r="I572" s="273"/>
      <c r="J572" s="273"/>
      <c r="K572" s="273"/>
      <c r="L572" s="273"/>
      <c r="M572" s="273"/>
      <c r="N572" s="273"/>
      <c r="O572" s="273"/>
      <c r="P572" s="273"/>
      <c r="Q572" s="273"/>
      <c r="R572" s="273"/>
      <c r="S572" s="273"/>
      <c r="T572" s="273"/>
      <c r="U572" s="283"/>
      <c r="V572" s="273"/>
      <c r="W572" s="273"/>
      <c r="X572" s="273"/>
      <c r="Y572" s="273"/>
      <c r="Z572" s="273"/>
      <c r="AA572" s="273"/>
      <c r="AB572" s="273"/>
      <c r="AC572" s="273"/>
      <c r="AD572" s="273"/>
      <c r="AE572" s="261"/>
      <c r="AF572" s="273"/>
      <c r="AG572" s="273"/>
      <c r="AH572" s="273"/>
    </row>
    <row r="573" spans="1:34" x14ac:dyDescent="0.3">
      <c r="A573" s="250">
        <f t="shared" si="166"/>
        <v>410</v>
      </c>
      <c r="B573" s="20" t="s">
        <v>3245</v>
      </c>
      <c r="C573" s="273">
        <f t="shared" si="164"/>
        <v>3489621.54</v>
      </c>
      <c r="D573" s="273">
        <f t="shared" si="165"/>
        <v>1300765.2</v>
      </c>
      <c r="E573" s="273">
        <v>1300765.2</v>
      </c>
      <c r="F573" s="273"/>
      <c r="G573" s="273"/>
      <c r="H573" s="273"/>
      <c r="I573" s="273"/>
      <c r="J573" s="273">
        <v>328.5</v>
      </c>
      <c r="K573" s="273">
        <v>2188856.34</v>
      </c>
      <c r="L573" s="273"/>
      <c r="M573" s="273"/>
      <c r="N573" s="273"/>
      <c r="O573" s="273"/>
      <c r="P573" s="273"/>
      <c r="Q573" s="273"/>
      <c r="R573" s="273"/>
      <c r="S573" s="273"/>
      <c r="T573" s="273"/>
      <c r="U573" s="283"/>
      <c r="V573" s="273"/>
      <c r="W573" s="273"/>
      <c r="X573" s="273"/>
      <c r="Y573" s="273"/>
      <c r="Z573" s="273"/>
      <c r="AA573" s="273"/>
      <c r="AB573" s="273"/>
      <c r="AC573" s="273"/>
      <c r="AD573" s="273"/>
      <c r="AE573" s="261"/>
      <c r="AF573" s="273"/>
      <c r="AG573" s="273"/>
      <c r="AH573" s="273"/>
    </row>
    <row r="574" spans="1:34" x14ac:dyDescent="0.3">
      <c r="A574" s="250">
        <f t="shared" si="166"/>
        <v>411</v>
      </c>
      <c r="B574" s="20" t="s">
        <v>3247</v>
      </c>
      <c r="C574" s="273">
        <f t="shared" si="164"/>
        <v>1080122.3999999999</v>
      </c>
      <c r="D574" s="273">
        <f t="shared" si="165"/>
        <v>1080122.3999999999</v>
      </c>
      <c r="E574" s="273">
        <v>1080122.3999999999</v>
      </c>
      <c r="F574" s="273"/>
      <c r="G574" s="273"/>
      <c r="H574" s="273"/>
      <c r="I574" s="273"/>
      <c r="J574" s="273"/>
      <c r="K574" s="273"/>
      <c r="L574" s="273"/>
      <c r="M574" s="273"/>
      <c r="N574" s="273"/>
      <c r="O574" s="273"/>
      <c r="P574" s="273"/>
      <c r="Q574" s="273"/>
      <c r="R574" s="273"/>
      <c r="S574" s="273"/>
      <c r="T574" s="273"/>
      <c r="U574" s="283"/>
      <c r="V574" s="273"/>
      <c r="W574" s="273"/>
      <c r="X574" s="273"/>
      <c r="Y574" s="273"/>
      <c r="Z574" s="273"/>
      <c r="AA574" s="273"/>
      <c r="AB574" s="273"/>
      <c r="AC574" s="273"/>
      <c r="AD574" s="273"/>
      <c r="AE574" s="261"/>
      <c r="AF574" s="273"/>
      <c r="AG574" s="273"/>
      <c r="AH574" s="273"/>
    </row>
    <row r="575" spans="1:34" x14ac:dyDescent="0.3">
      <c r="A575" s="250">
        <f t="shared" si="166"/>
        <v>412</v>
      </c>
      <c r="B575" s="20" t="s">
        <v>3248</v>
      </c>
      <c r="C575" s="273">
        <f t="shared" si="164"/>
        <v>982032</v>
      </c>
      <c r="D575" s="273">
        <f t="shared" si="165"/>
        <v>982032</v>
      </c>
      <c r="E575" s="273">
        <v>982032</v>
      </c>
      <c r="F575" s="273"/>
      <c r="G575" s="273"/>
      <c r="H575" s="273"/>
      <c r="I575" s="273"/>
      <c r="J575" s="273"/>
      <c r="K575" s="273"/>
      <c r="L575" s="273"/>
      <c r="M575" s="273"/>
      <c r="N575" s="273"/>
      <c r="O575" s="273"/>
      <c r="P575" s="273"/>
      <c r="Q575" s="273"/>
      <c r="R575" s="273"/>
      <c r="S575" s="273"/>
      <c r="T575" s="273"/>
      <c r="U575" s="283"/>
      <c r="V575" s="273"/>
      <c r="W575" s="273"/>
      <c r="X575" s="273"/>
      <c r="Y575" s="273"/>
      <c r="Z575" s="273"/>
      <c r="AA575" s="273"/>
      <c r="AB575" s="273"/>
      <c r="AC575" s="273"/>
      <c r="AD575" s="273"/>
      <c r="AE575" s="261"/>
      <c r="AF575" s="273"/>
      <c r="AG575" s="273"/>
      <c r="AH575" s="273"/>
    </row>
    <row r="576" spans="1:34" x14ac:dyDescent="0.3">
      <c r="A576" s="250">
        <f t="shared" si="166"/>
        <v>413</v>
      </c>
      <c r="B576" s="20" t="s">
        <v>3249</v>
      </c>
      <c r="C576" s="273">
        <f t="shared" si="164"/>
        <v>2576173.5999999996</v>
      </c>
      <c r="D576" s="273">
        <f t="shared" si="165"/>
        <v>1080122.3999999999</v>
      </c>
      <c r="E576" s="273">
        <v>1080122.3999999999</v>
      </c>
      <c r="F576" s="273"/>
      <c r="G576" s="273"/>
      <c r="H576" s="273"/>
      <c r="I576" s="273"/>
      <c r="J576" s="273">
        <v>226.62</v>
      </c>
      <c r="K576" s="273">
        <v>1496051.2</v>
      </c>
      <c r="L576" s="273"/>
      <c r="M576" s="273"/>
      <c r="N576" s="273"/>
      <c r="O576" s="273"/>
      <c r="P576" s="273"/>
      <c r="Q576" s="273"/>
      <c r="R576" s="273"/>
      <c r="S576" s="273"/>
      <c r="T576" s="273"/>
      <c r="U576" s="283"/>
      <c r="V576" s="273"/>
      <c r="W576" s="273"/>
      <c r="X576" s="273"/>
      <c r="Y576" s="273"/>
      <c r="Z576" s="273"/>
      <c r="AA576" s="273"/>
      <c r="AB576" s="273"/>
      <c r="AC576" s="273"/>
      <c r="AD576" s="273"/>
      <c r="AE576" s="261"/>
      <c r="AF576" s="273"/>
      <c r="AG576" s="273"/>
      <c r="AH576" s="273"/>
    </row>
    <row r="577" spans="1:34" x14ac:dyDescent="0.3">
      <c r="A577" s="250">
        <f t="shared" si="166"/>
        <v>414</v>
      </c>
      <c r="B577" s="20" t="s">
        <v>3250</v>
      </c>
      <c r="C577" s="273">
        <f t="shared" si="164"/>
        <v>1660358.4</v>
      </c>
      <c r="D577" s="273">
        <f t="shared" si="165"/>
        <v>1660358.4</v>
      </c>
      <c r="E577" s="273">
        <v>1660358.4</v>
      </c>
      <c r="F577" s="273"/>
      <c r="G577" s="273"/>
      <c r="H577" s="273"/>
      <c r="I577" s="273"/>
      <c r="J577" s="273"/>
      <c r="K577" s="273"/>
      <c r="L577" s="273"/>
      <c r="M577" s="273"/>
      <c r="N577" s="273"/>
      <c r="O577" s="273"/>
      <c r="P577" s="273"/>
      <c r="Q577" s="273"/>
      <c r="R577" s="273"/>
      <c r="S577" s="273"/>
      <c r="T577" s="273"/>
      <c r="U577" s="283"/>
      <c r="V577" s="273"/>
      <c r="W577" s="273"/>
      <c r="X577" s="273"/>
      <c r="Y577" s="273"/>
      <c r="Z577" s="273"/>
      <c r="AA577" s="273"/>
      <c r="AB577" s="273"/>
      <c r="AC577" s="273"/>
      <c r="AD577" s="273"/>
      <c r="AE577" s="261"/>
      <c r="AF577" s="273"/>
      <c r="AG577" s="273"/>
      <c r="AH577" s="273"/>
    </row>
    <row r="578" spans="1:34" x14ac:dyDescent="0.3">
      <c r="A578" s="250" t="s">
        <v>208</v>
      </c>
      <c r="B578" s="250"/>
      <c r="C578" s="273">
        <f t="shared" ref="C578:T578" si="167">SUM(C567:C577)</f>
        <v>24249692.199999996</v>
      </c>
      <c r="D578" s="273">
        <f t="shared" si="167"/>
        <v>18446770.799999997</v>
      </c>
      <c r="E578" s="273">
        <f t="shared" si="167"/>
        <v>18446770.799999997</v>
      </c>
      <c r="F578" s="273">
        <f t="shared" si="167"/>
        <v>0</v>
      </c>
      <c r="G578" s="273">
        <f t="shared" si="167"/>
        <v>0</v>
      </c>
      <c r="H578" s="273">
        <f t="shared" si="167"/>
        <v>0</v>
      </c>
      <c r="I578" s="273">
        <f t="shared" si="167"/>
        <v>0</v>
      </c>
      <c r="J578" s="273">
        <f t="shared" si="167"/>
        <v>956.04000000000008</v>
      </c>
      <c r="K578" s="273">
        <f t="shared" si="167"/>
        <v>5802921.3999999994</v>
      </c>
      <c r="L578" s="273">
        <f t="shared" si="167"/>
        <v>0</v>
      </c>
      <c r="M578" s="273">
        <f t="shared" si="167"/>
        <v>0</v>
      </c>
      <c r="N578" s="273">
        <f t="shared" si="167"/>
        <v>0</v>
      </c>
      <c r="O578" s="273">
        <f t="shared" si="167"/>
        <v>0</v>
      </c>
      <c r="P578" s="273">
        <f t="shared" si="167"/>
        <v>0</v>
      </c>
      <c r="Q578" s="273">
        <f t="shared" si="167"/>
        <v>0</v>
      </c>
      <c r="R578" s="273">
        <f t="shared" si="167"/>
        <v>0</v>
      </c>
      <c r="S578" s="273">
        <f t="shared" si="167"/>
        <v>0</v>
      </c>
      <c r="T578" s="273">
        <f t="shared" si="167"/>
        <v>0</v>
      </c>
      <c r="U578" s="83"/>
      <c r="V578" s="273"/>
      <c r="W578" s="273"/>
      <c r="X578" s="273"/>
      <c r="Y578" s="273"/>
      <c r="Z578" s="273"/>
      <c r="AA578" s="273"/>
      <c r="AB578" s="273"/>
      <c r="AC578" s="273"/>
      <c r="AD578" s="273"/>
      <c r="AE578" s="261"/>
      <c r="AF578" s="273"/>
      <c r="AG578" s="273"/>
      <c r="AH578" s="273"/>
    </row>
    <row r="579" spans="1:34" x14ac:dyDescent="0.3">
      <c r="A579" s="249" t="s">
        <v>3251</v>
      </c>
      <c r="B579" s="249"/>
      <c r="C579" s="273"/>
      <c r="D579" s="273"/>
      <c r="E579" s="273"/>
      <c r="F579" s="273"/>
      <c r="G579" s="273"/>
      <c r="H579" s="273"/>
      <c r="I579" s="273"/>
      <c r="J579" s="273"/>
      <c r="K579" s="273"/>
      <c r="L579" s="273"/>
      <c r="M579" s="273"/>
      <c r="N579" s="273"/>
      <c r="O579" s="273"/>
      <c r="P579" s="273"/>
      <c r="Q579" s="273"/>
      <c r="R579" s="273"/>
      <c r="S579" s="273"/>
      <c r="T579" s="273"/>
      <c r="U579" s="283"/>
      <c r="V579" s="273"/>
      <c r="W579" s="273"/>
      <c r="X579" s="273"/>
      <c r="Y579" s="273"/>
      <c r="Z579" s="273"/>
      <c r="AA579" s="273"/>
      <c r="AB579" s="273"/>
      <c r="AC579" s="273"/>
      <c r="AD579" s="273"/>
      <c r="AE579" s="261"/>
      <c r="AF579" s="273"/>
      <c r="AG579" s="273"/>
      <c r="AH579" s="273"/>
    </row>
    <row r="580" spans="1:34" x14ac:dyDescent="0.3">
      <c r="A580" s="250">
        <f>A577+1</f>
        <v>415</v>
      </c>
      <c r="B580" s="20" t="s">
        <v>3252</v>
      </c>
      <c r="C580" s="273">
        <f t="shared" ref="C580:C581" si="168">D580+K580+M580+O580+P580+R580+S580+T580</f>
        <v>814578.78</v>
      </c>
      <c r="D580" s="273">
        <f>E580+F580+G580+H580+I580</f>
        <v>814578.78</v>
      </c>
      <c r="E580" s="273"/>
      <c r="F580" s="273"/>
      <c r="G580" s="273">
        <v>814578.78</v>
      </c>
      <c r="H580" s="273"/>
      <c r="I580" s="273"/>
      <c r="J580" s="273"/>
      <c r="K580" s="273"/>
      <c r="L580" s="273"/>
      <c r="M580" s="273"/>
      <c r="N580" s="273"/>
      <c r="O580" s="273"/>
      <c r="P580" s="273"/>
      <c r="Q580" s="273"/>
      <c r="R580" s="273"/>
      <c r="S580" s="273"/>
      <c r="T580" s="273"/>
      <c r="U580" s="283"/>
      <c r="V580" s="273"/>
      <c r="W580" s="273"/>
      <c r="X580" s="273"/>
      <c r="Y580" s="273"/>
      <c r="Z580" s="273"/>
      <c r="AA580" s="273"/>
      <c r="AB580" s="273"/>
      <c r="AC580" s="273"/>
      <c r="AD580" s="273"/>
      <c r="AE580" s="261"/>
      <c r="AF580" s="273"/>
      <c r="AG580" s="273"/>
      <c r="AH580" s="273"/>
    </row>
    <row r="581" spans="1:34" x14ac:dyDescent="0.3">
      <c r="A581" s="250">
        <f>A580+1</f>
        <v>416</v>
      </c>
      <c r="B581" s="20" t="s">
        <v>3253</v>
      </c>
      <c r="C581" s="273">
        <f t="shared" si="168"/>
        <v>1532422.8</v>
      </c>
      <c r="D581" s="273">
        <f>E581+F581+G581+H581+I581</f>
        <v>1532422.8</v>
      </c>
      <c r="E581" s="273">
        <v>1532422.8</v>
      </c>
      <c r="F581" s="273"/>
      <c r="G581" s="273"/>
      <c r="H581" s="273"/>
      <c r="I581" s="273"/>
      <c r="J581" s="273"/>
      <c r="K581" s="273"/>
      <c r="L581" s="273"/>
      <c r="M581" s="273"/>
      <c r="N581" s="273"/>
      <c r="O581" s="273"/>
      <c r="P581" s="273"/>
      <c r="Q581" s="273"/>
      <c r="R581" s="273"/>
      <c r="S581" s="273"/>
      <c r="T581" s="273"/>
      <c r="U581" s="283"/>
      <c r="V581" s="273"/>
      <c r="W581" s="273"/>
      <c r="X581" s="273"/>
      <c r="Y581" s="273"/>
      <c r="Z581" s="273"/>
      <c r="AA581" s="273"/>
      <c r="AB581" s="273"/>
      <c r="AC581" s="273"/>
      <c r="AD581" s="273"/>
      <c r="AE581" s="261"/>
      <c r="AF581" s="273"/>
      <c r="AG581" s="273"/>
      <c r="AH581" s="273"/>
    </row>
    <row r="582" spans="1:34" x14ac:dyDescent="0.3">
      <c r="A582" s="250" t="s">
        <v>208</v>
      </c>
      <c r="B582" s="250"/>
      <c r="C582" s="273">
        <f t="shared" ref="C582:T582" si="169">SUM(C580:C581)</f>
        <v>2347001.58</v>
      </c>
      <c r="D582" s="273">
        <f t="shared" si="169"/>
        <v>2347001.58</v>
      </c>
      <c r="E582" s="273">
        <f t="shared" si="169"/>
        <v>1532422.8</v>
      </c>
      <c r="F582" s="273">
        <f t="shared" si="169"/>
        <v>0</v>
      </c>
      <c r="G582" s="273">
        <f t="shared" si="169"/>
        <v>814578.78</v>
      </c>
      <c r="H582" s="273">
        <f t="shared" si="169"/>
        <v>0</v>
      </c>
      <c r="I582" s="273">
        <f t="shared" si="169"/>
        <v>0</v>
      </c>
      <c r="J582" s="273">
        <f t="shared" si="169"/>
        <v>0</v>
      </c>
      <c r="K582" s="273">
        <f t="shared" si="169"/>
        <v>0</v>
      </c>
      <c r="L582" s="273">
        <f t="shared" si="169"/>
        <v>0</v>
      </c>
      <c r="M582" s="273">
        <f t="shared" si="169"/>
        <v>0</v>
      </c>
      <c r="N582" s="273">
        <f t="shared" si="169"/>
        <v>0</v>
      </c>
      <c r="O582" s="273">
        <f t="shared" si="169"/>
        <v>0</v>
      </c>
      <c r="P582" s="273">
        <f t="shared" si="169"/>
        <v>0</v>
      </c>
      <c r="Q582" s="273">
        <f t="shared" si="169"/>
        <v>0</v>
      </c>
      <c r="R582" s="273">
        <f t="shared" si="169"/>
        <v>0</v>
      </c>
      <c r="S582" s="273">
        <f t="shared" si="169"/>
        <v>0</v>
      </c>
      <c r="T582" s="273">
        <f t="shared" si="169"/>
        <v>0</v>
      </c>
      <c r="U582" s="83"/>
      <c r="V582" s="273"/>
      <c r="W582" s="273"/>
      <c r="X582" s="273"/>
      <c r="Y582" s="273"/>
      <c r="Z582" s="273"/>
      <c r="AA582" s="273"/>
      <c r="AB582" s="273"/>
      <c r="AC582" s="273"/>
      <c r="AD582" s="273"/>
      <c r="AE582" s="261"/>
      <c r="AF582" s="273"/>
      <c r="AG582" s="273"/>
      <c r="AH582" s="273"/>
    </row>
    <row r="583" spans="1:34" x14ac:dyDescent="0.3">
      <c r="A583" s="249" t="s">
        <v>3259</v>
      </c>
      <c r="B583" s="249"/>
      <c r="C583" s="273"/>
      <c r="D583" s="273"/>
      <c r="E583" s="273"/>
      <c r="F583" s="273"/>
      <c r="G583" s="273"/>
      <c r="H583" s="273"/>
      <c r="I583" s="273"/>
      <c r="J583" s="273"/>
      <c r="K583" s="273"/>
      <c r="L583" s="273"/>
      <c r="M583" s="273"/>
      <c r="N583" s="273"/>
      <c r="O583" s="273"/>
      <c r="P583" s="273"/>
      <c r="Q583" s="273"/>
      <c r="R583" s="273"/>
      <c r="S583" s="273"/>
      <c r="T583" s="273"/>
      <c r="U583" s="283"/>
      <c r="V583" s="273"/>
      <c r="W583" s="273"/>
      <c r="X583" s="273"/>
      <c r="Y583" s="273"/>
      <c r="Z583" s="273"/>
      <c r="AA583" s="273"/>
      <c r="AB583" s="273"/>
      <c r="AC583" s="273"/>
      <c r="AD583" s="273"/>
      <c r="AE583" s="261"/>
      <c r="AF583" s="273"/>
      <c r="AG583" s="273"/>
      <c r="AH583" s="273"/>
    </row>
    <row r="584" spans="1:34" x14ac:dyDescent="0.3">
      <c r="A584" s="250">
        <f>A581+1</f>
        <v>417</v>
      </c>
      <c r="B584" s="20" t="s">
        <v>3260</v>
      </c>
      <c r="C584" s="273">
        <f t="shared" ref="C584" si="170">D584+K584+M584+O584+P584+R584+S584+T584</f>
        <v>1476730.8</v>
      </c>
      <c r="D584" s="273">
        <f>E584+F584+G584+H584+I584</f>
        <v>0</v>
      </c>
      <c r="E584" s="273"/>
      <c r="F584" s="273"/>
      <c r="G584" s="273"/>
      <c r="H584" s="273"/>
      <c r="I584" s="273"/>
      <c r="J584" s="273">
        <v>750</v>
      </c>
      <c r="K584" s="273">
        <v>1476730.8</v>
      </c>
      <c r="L584" s="273"/>
      <c r="M584" s="273"/>
      <c r="N584" s="273"/>
      <c r="O584" s="273"/>
      <c r="P584" s="273"/>
      <c r="Q584" s="273"/>
      <c r="R584" s="273"/>
      <c r="S584" s="273"/>
      <c r="T584" s="273"/>
      <c r="U584" s="283"/>
      <c r="V584" s="273"/>
      <c r="W584" s="273"/>
      <c r="X584" s="273"/>
      <c r="Y584" s="273"/>
      <c r="Z584" s="273"/>
      <c r="AA584" s="273"/>
      <c r="AB584" s="273"/>
      <c r="AC584" s="273"/>
      <c r="AD584" s="273"/>
      <c r="AE584" s="261"/>
      <c r="AF584" s="273"/>
      <c r="AG584" s="273"/>
      <c r="AH584" s="273"/>
    </row>
    <row r="585" spans="1:34" x14ac:dyDescent="0.3">
      <c r="A585" s="250" t="s">
        <v>208</v>
      </c>
      <c r="B585" s="250"/>
      <c r="C585" s="273">
        <f t="shared" ref="C585:T585" si="171">C584</f>
        <v>1476730.8</v>
      </c>
      <c r="D585" s="273">
        <f t="shared" si="171"/>
        <v>0</v>
      </c>
      <c r="E585" s="273">
        <f t="shared" si="171"/>
        <v>0</v>
      </c>
      <c r="F585" s="273">
        <f t="shared" si="171"/>
        <v>0</v>
      </c>
      <c r="G585" s="273">
        <f t="shared" si="171"/>
        <v>0</v>
      </c>
      <c r="H585" s="273">
        <f t="shared" si="171"/>
        <v>0</v>
      </c>
      <c r="I585" s="273">
        <f t="shared" si="171"/>
        <v>0</v>
      </c>
      <c r="J585" s="273">
        <f t="shared" si="171"/>
        <v>750</v>
      </c>
      <c r="K585" s="273">
        <f t="shared" si="171"/>
        <v>1476730.8</v>
      </c>
      <c r="L585" s="273">
        <f t="shared" si="171"/>
        <v>0</v>
      </c>
      <c r="M585" s="273">
        <f t="shared" si="171"/>
        <v>0</v>
      </c>
      <c r="N585" s="273">
        <f t="shared" si="171"/>
        <v>0</v>
      </c>
      <c r="O585" s="273">
        <f t="shared" si="171"/>
        <v>0</v>
      </c>
      <c r="P585" s="273">
        <f t="shared" si="171"/>
        <v>0</v>
      </c>
      <c r="Q585" s="273">
        <f t="shared" si="171"/>
        <v>0</v>
      </c>
      <c r="R585" s="273">
        <f t="shared" si="171"/>
        <v>0</v>
      </c>
      <c r="S585" s="273">
        <f t="shared" si="171"/>
        <v>0</v>
      </c>
      <c r="T585" s="273">
        <f t="shared" si="171"/>
        <v>0</v>
      </c>
      <c r="U585" s="83"/>
      <c r="V585" s="273"/>
      <c r="W585" s="273"/>
      <c r="X585" s="273"/>
      <c r="Y585" s="273"/>
      <c r="Z585" s="273"/>
      <c r="AA585" s="273"/>
      <c r="AB585" s="273"/>
      <c r="AC585" s="273"/>
      <c r="AD585" s="273"/>
      <c r="AE585" s="261"/>
      <c r="AF585" s="273"/>
      <c r="AG585" s="273"/>
      <c r="AH585" s="273"/>
    </row>
    <row r="586" spans="1:34" x14ac:dyDescent="0.3">
      <c r="A586" s="249" t="s">
        <v>3261</v>
      </c>
      <c r="B586" s="249"/>
      <c r="C586" s="273"/>
      <c r="D586" s="273"/>
      <c r="E586" s="273"/>
      <c r="F586" s="273"/>
      <c r="G586" s="273"/>
      <c r="H586" s="273"/>
      <c r="I586" s="273"/>
      <c r="J586" s="273"/>
      <c r="K586" s="273"/>
      <c r="L586" s="273"/>
      <c r="M586" s="273"/>
      <c r="N586" s="273"/>
      <c r="O586" s="273"/>
      <c r="P586" s="273"/>
      <c r="Q586" s="273"/>
      <c r="R586" s="273"/>
      <c r="S586" s="273"/>
      <c r="T586" s="273"/>
      <c r="U586" s="283"/>
      <c r="V586" s="273"/>
      <c r="W586" s="273"/>
      <c r="X586" s="273"/>
      <c r="Y586" s="273"/>
      <c r="Z586" s="273"/>
      <c r="AA586" s="273"/>
      <c r="AB586" s="273"/>
      <c r="AC586" s="273"/>
      <c r="AD586" s="273"/>
      <c r="AE586" s="261"/>
      <c r="AF586" s="273"/>
      <c r="AG586" s="273"/>
      <c r="AH586" s="273"/>
    </row>
    <row r="587" spans="1:34" x14ac:dyDescent="0.3">
      <c r="A587" s="250">
        <f>A584+1</f>
        <v>418</v>
      </c>
      <c r="B587" s="20" t="s">
        <v>3262</v>
      </c>
      <c r="C587" s="273">
        <f t="shared" ref="C587:C596" si="172">D587+K587+M587+O587+P587+R587+S587+T587</f>
        <v>1513023.6</v>
      </c>
      <c r="D587" s="273">
        <f t="shared" ref="D587:D596" si="173">E587+F587+G587+H587+I587</f>
        <v>1513023.6</v>
      </c>
      <c r="E587" s="273"/>
      <c r="F587" s="273"/>
      <c r="G587" s="273"/>
      <c r="H587" s="273"/>
      <c r="I587" s="273">
        <v>1513023.6</v>
      </c>
      <c r="J587" s="273"/>
      <c r="K587" s="273"/>
      <c r="L587" s="273"/>
      <c r="M587" s="273"/>
      <c r="N587" s="273"/>
      <c r="O587" s="273"/>
      <c r="P587" s="273"/>
      <c r="Q587" s="273"/>
      <c r="R587" s="273"/>
      <c r="S587" s="273"/>
      <c r="T587" s="273"/>
      <c r="U587" s="283"/>
      <c r="V587" s="273"/>
      <c r="W587" s="273"/>
      <c r="X587" s="273"/>
      <c r="Y587" s="273"/>
      <c r="Z587" s="273"/>
      <c r="AA587" s="273"/>
      <c r="AB587" s="273"/>
      <c r="AC587" s="273"/>
      <c r="AD587" s="273"/>
      <c r="AE587" s="261"/>
      <c r="AF587" s="273"/>
      <c r="AG587" s="273"/>
      <c r="AH587" s="273"/>
    </row>
    <row r="588" spans="1:34" x14ac:dyDescent="0.3">
      <c r="A588" s="250">
        <f t="shared" ref="A588:A596" si="174">A587+1</f>
        <v>419</v>
      </c>
      <c r="B588" s="20" t="s">
        <v>3263</v>
      </c>
      <c r="C588" s="273">
        <f t="shared" si="172"/>
        <v>942014.4</v>
      </c>
      <c r="D588" s="273">
        <f t="shared" si="173"/>
        <v>942014.4</v>
      </c>
      <c r="E588" s="273"/>
      <c r="F588" s="273"/>
      <c r="G588" s="273"/>
      <c r="H588" s="273"/>
      <c r="I588" s="273">
        <v>942014.4</v>
      </c>
      <c r="J588" s="273"/>
      <c r="K588" s="273"/>
      <c r="L588" s="273"/>
      <c r="M588" s="273"/>
      <c r="N588" s="273"/>
      <c r="O588" s="273"/>
      <c r="P588" s="273"/>
      <c r="Q588" s="273"/>
      <c r="R588" s="273"/>
      <c r="S588" s="273"/>
      <c r="T588" s="273"/>
      <c r="U588" s="283"/>
      <c r="V588" s="273"/>
      <c r="W588" s="273"/>
      <c r="X588" s="273"/>
      <c r="Y588" s="273"/>
      <c r="Z588" s="273"/>
      <c r="AA588" s="273"/>
      <c r="AB588" s="273"/>
      <c r="AC588" s="273"/>
      <c r="AD588" s="273"/>
      <c r="AE588" s="261"/>
      <c r="AF588" s="273"/>
      <c r="AG588" s="273"/>
      <c r="AH588" s="273"/>
    </row>
    <row r="589" spans="1:34" x14ac:dyDescent="0.3">
      <c r="A589" s="250">
        <f t="shared" si="174"/>
        <v>420</v>
      </c>
      <c r="B589" s="20" t="s">
        <v>3264</v>
      </c>
      <c r="C589" s="273">
        <f t="shared" si="172"/>
        <v>1084203.6000000001</v>
      </c>
      <c r="D589" s="273">
        <f t="shared" si="173"/>
        <v>1084203.6000000001</v>
      </c>
      <c r="E589" s="273"/>
      <c r="F589" s="273"/>
      <c r="G589" s="273"/>
      <c r="H589" s="273"/>
      <c r="I589" s="273">
        <v>1084203.6000000001</v>
      </c>
      <c r="J589" s="273"/>
      <c r="K589" s="273"/>
      <c r="L589" s="273"/>
      <c r="M589" s="273"/>
      <c r="N589" s="273"/>
      <c r="O589" s="273"/>
      <c r="P589" s="273"/>
      <c r="Q589" s="273"/>
      <c r="R589" s="273"/>
      <c r="S589" s="273"/>
      <c r="T589" s="273"/>
      <c r="U589" s="283"/>
      <c r="V589" s="273"/>
      <c r="W589" s="273"/>
      <c r="X589" s="273"/>
      <c r="Y589" s="273"/>
      <c r="Z589" s="273"/>
      <c r="AA589" s="273"/>
      <c r="AB589" s="273"/>
      <c r="AC589" s="273"/>
      <c r="AD589" s="273"/>
      <c r="AE589" s="261"/>
      <c r="AF589" s="273"/>
      <c r="AG589" s="273"/>
      <c r="AH589" s="273"/>
    </row>
    <row r="590" spans="1:34" x14ac:dyDescent="0.3">
      <c r="A590" s="250">
        <f t="shared" si="174"/>
        <v>421</v>
      </c>
      <c r="B590" s="20" t="s">
        <v>3265</v>
      </c>
      <c r="C590" s="273">
        <f t="shared" si="172"/>
        <v>1131913.2</v>
      </c>
      <c r="D590" s="273">
        <f t="shared" si="173"/>
        <v>1131913.2</v>
      </c>
      <c r="E590" s="273"/>
      <c r="F590" s="273"/>
      <c r="G590" s="273"/>
      <c r="H590" s="273"/>
      <c r="I590" s="273">
        <v>1131913.2</v>
      </c>
      <c r="J590" s="273"/>
      <c r="K590" s="273"/>
      <c r="L590" s="273"/>
      <c r="M590" s="273"/>
      <c r="N590" s="273"/>
      <c r="O590" s="273"/>
      <c r="P590" s="273"/>
      <c r="Q590" s="273"/>
      <c r="R590" s="273"/>
      <c r="S590" s="273"/>
      <c r="T590" s="273"/>
      <c r="U590" s="283"/>
      <c r="V590" s="273"/>
      <c r="W590" s="273"/>
      <c r="X590" s="273"/>
      <c r="Y590" s="273"/>
      <c r="Z590" s="273"/>
      <c r="AA590" s="273"/>
      <c r="AB590" s="273"/>
      <c r="AC590" s="273"/>
      <c r="AD590" s="273"/>
      <c r="AE590" s="261"/>
      <c r="AF590" s="273"/>
      <c r="AG590" s="273"/>
      <c r="AH590" s="273"/>
    </row>
    <row r="591" spans="1:34" x14ac:dyDescent="0.3">
      <c r="A591" s="250">
        <f t="shared" si="174"/>
        <v>422</v>
      </c>
      <c r="B591" s="20" t="s">
        <v>3266</v>
      </c>
      <c r="C591" s="273">
        <f t="shared" si="172"/>
        <v>1077894</v>
      </c>
      <c r="D591" s="273">
        <f t="shared" si="173"/>
        <v>1077894</v>
      </c>
      <c r="E591" s="273"/>
      <c r="F591" s="273"/>
      <c r="G591" s="273"/>
      <c r="H591" s="273"/>
      <c r="I591" s="273">
        <v>1077894</v>
      </c>
      <c r="J591" s="273"/>
      <c r="K591" s="273"/>
      <c r="L591" s="273"/>
      <c r="M591" s="273"/>
      <c r="N591" s="273"/>
      <c r="O591" s="273"/>
      <c r="P591" s="273"/>
      <c r="Q591" s="273"/>
      <c r="R591" s="273"/>
      <c r="S591" s="273"/>
      <c r="T591" s="273"/>
      <c r="U591" s="283"/>
      <c r="V591" s="273"/>
      <c r="W591" s="273"/>
      <c r="X591" s="273"/>
      <c r="Y591" s="273"/>
      <c r="Z591" s="273"/>
      <c r="AA591" s="273"/>
      <c r="AB591" s="273"/>
      <c r="AC591" s="273"/>
      <c r="AD591" s="273"/>
      <c r="AE591" s="261"/>
      <c r="AF591" s="273"/>
      <c r="AG591" s="273"/>
      <c r="AH591" s="273"/>
    </row>
    <row r="592" spans="1:34" x14ac:dyDescent="0.3">
      <c r="A592" s="250">
        <f t="shared" si="174"/>
        <v>423</v>
      </c>
      <c r="B592" s="20" t="s">
        <v>3267</v>
      </c>
      <c r="C592" s="273">
        <f t="shared" si="172"/>
        <v>1077912</v>
      </c>
      <c r="D592" s="273">
        <f t="shared" si="173"/>
        <v>1077912</v>
      </c>
      <c r="E592" s="273"/>
      <c r="F592" s="273"/>
      <c r="G592" s="273"/>
      <c r="H592" s="273"/>
      <c r="I592" s="273">
        <v>1077912</v>
      </c>
      <c r="J592" s="273"/>
      <c r="K592" s="273"/>
      <c r="L592" s="273"/>
      <c r="M592" s="273"/>
      <c r="N592" s="273"/>
      <c r="O592" s="273"/>
      <c r="P592" s="273"/>
      <c r="Q592" s="273"/>
      <c r="R592" s="273"/>
      <c r="S592" s="273"/>
      <c r="T592" s="273"/>
      <c r="U592" s="283"/>
      <c r="V592" s="273"/>
      <c r="W592" s="273"/>
      <c r="X592" s="273"/>
      <c r="Y592" s="273"/>
      <c r="Z592" s="273"/>
      <c r="AA592" s="273"/>
      <c r="AB592" s="273"/>
      <c r="AC592" s="273"/>
      <c r="AD592" s="273"/>
      <c r="AE592" s="261"/>
      <c r="AF592" s="273"/>
      <c r="AG592" s="273"/>
      <c r="AH592" s="273"/>
    </row>
    <row r="593" spans="1:34" x14ac:dyDescent="0.3">
      <c r="A593" s="250">
        <f t="shared" si="174"/>
        <v>424</v>
      </c>
      <c r="B593" s="20" t="s">
        <v>3268</v>
      </c>
      <c r="C593" s="273">
        <f t="shared" si="172"/>
        <v>2453539.2000000002</v>
      </c>
      <c r="D593" s="273">
        <f t="shared" si="173"/>
        <v>2453539.2000000002</v>
      </c>
      <c r="E593" s="273">
        <v>1571550</v>
      </c>
      <c r="F593" s="273"/>
      <c r="G593" s="273">
        <v>881989.2</v>
      </c>
      <c r="H593" s="273"/>
      <c r="I593" s="273"/>
      <c r="J593" s="273"/>
      <c r="K593" s="273"/>
      <c r="L593" s="273"/>
      <c r="M593" s="273"/>
      <c r="N593" s="273"/>
      <c r="O593" s="273"/>
      <c r="P593" s="273"/>
      <c r="Q593" s="273"/>
      <c r="R593" s="273"/>
      <c r="S593" s="273"/>
      <c r="T593" s="273"/>
      <c r="U593" s="283"/>
      <c r="V593" s="273"/>
      <c r="W593" s="273"/>
      <c r="X593" s="273"/>
      <c r="Y593" s="273"/>
      <c r="Z593" s="273"/>
      <c r="AA593" s="273"/>
      <c r="AB593" s="273"/>
      <c r="AC593" s="273"/>
      <c r="AD593" s="273"/>
      <c r="AE593" s="261"/>
      <c r="AF593" s="273"/>
      <c r="AG593" s="273"/>
      <c r="AH593" s="273"/>
    </row>
    <row r="594" spans="1:34" x14ac:dyDescent="0.3">
      <c r="A594" s="250">
        <f t="shared" si="174"/>
        <v>425</v>
      </c>
      <c r="B594" s="20" t="s">
        <v>3269</v>
      </c>
      <c r="C594" s="273">
        <f t="shared" si="172"/>
        <v>148816.88</v>
      </c>
      <c r="D594" s="273">
        <f t="shared" si="173"/>
        <v>148816.88</v>
      </c>
      <c r="E594" s="273"/>
      <c r="F594" s="273"/>
      <c r="G594" s="273">
        <v>148816.88</v>
      </c>
      <c r="H594" s="273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83"/>
      <c r="V594" s="273"/>
      <c r="W594" s="273"/>
      <c r="X594" s="273"/>
      <c r="Y594" s="273"/>
      <c r="Z594" s="273"/>
      <c r="AA594" s="273"/>
      <c r="AB594" s="273"/>
      <c r="AC594" s="273"/>
      <c r="AD594" s="273"/>
      <c r="AE594" s="261"/>
      <c r="AF594" s="273"/>
      <c r="AG594" s="273"/>
      <c r="AH594" s="273"/>
    </row>
    <row r="595" spans="1:34" x14ac:dyDescent="0.3">
      <c r="A595" s="250">
        <f t="shared" si="174"/>
        <v>426</v>
      </c>
      <c r="B595" s="20" t="s">
        <v>3270</v>
      </c>
      <c r="C595" s="273">
        <f t="shared" si="172"/>
        <v>637102.15999999992</v>
      </c>
      <c r="D595" s="273">
        <f t="shared" si="173"/>
        <v>637102.15999999992</v>
      </c>
      <c r="E595" s="273">
        <v>385228.79999999999</v>
      </c>
      <c r="F595" s="273"/>
      <c r="G595" s="273">
        <v>251873.36</v>
      </c>
      <c r="H595" s="273"/>
      <c r="I595" s="273"/>
      <c r="J595" s="273"/>
      <c r="K595" s="273"/>
      <c r="L595" s="273"/>
      <c r="M595" s="273"/>
      <c r="N595" s="273"/>
      <c r="O595" s="273"/>
      <c r="P595" s="273"/>
      <c r="Q595" s="273"/>
      <c r="R595" s="273"/>
      <c r="S595" s="273"/>
      <c r="T595" s="273"/>
      <c r="U595" s="283"/>
      <c r="V595" s="273"/>
      <c r="W595" s="273"/>
      <c r="X595" s="273"/>
      <c r="Y595" s="273"/>
      <c r="Z595" s="273"/>
      <c r="AA595" s="273"/>
      <c r="AB595" s="273"/>
      <c r="AC595" s="273"/>
      <c r="AD595" s="273"/>
      <c r="AE595" s="261"/>
      <c r="AF595" s="273"/>
      <c r="AG595" s="273"/>
      <c r="AH595" s="273"/>
    </row>
    <row r="596" spans="1:34" x14ac:dyDescent="0.3">
      <c r="A596" s="250">
        <f t="shared" si="174"/>
        <v>427</v>
      </c>
      <c r="B596" s="20" t="s">
        <v>3271</v>
      </c>
      <c r="C596" s="273">
        <f t="shared" si="172"/>
        <v>256831.72</v>
      </c>
      <c r="D596" s="273">
        <f t="shared" si="173"/>
        <v>256831.72</v>
      </c>
      <c r="E596" s="273"/>
      <c r="F596" s="273"/>
      <c r="G596" s="273">
        <v>256831.72</v>
      </c>
      <c r="H596" s="273"/>
      <c r="I596" s="273"/>
      <c r="J596" s="273"/>
      <c r="K596" s="273"/>
      <c r="L596" s="273"/>
      <c r="M596" s="273"/>
      <c r="N596" s="273"/>
      <c r="O596" s="273"/>
      <c r="P596" s="273"/>
      <c r="Q596" s="273"/>
      <c r="R596" s="273"/>
      <c r="S596" s="273"/>
      <c r="T596" s="273"/>
      <c r="U596" s="283"/>
      <c r="V596" s="273"/>
      <c r="W596" s="273"/>
      <c r="X596" s="273"/>
      <c r="Y596" s="273"/>
      <c r="Z596" s="273"/>
      <c r="AA596" s="273"/>
      <c r="AB596" s="273"/>
      <c r="AC596" s="273"/>
      <c r="AD596" s="273"/>
      <c r="AE596" s="261"/>
      <c r="AF596" s="273"/>
      <c r="AG596" s="273"/>
      <c r="AH596" s="273"/>
    </row>
    <row r="597" spans="1:34" x14ac:dyDescent="0.3">
      <c r="A597" s="250" t="s">
        <v>208</v>
      </c>
      <c r="B597" s="250"/>
      <c r="C597" s="273">
        <f t="shared" ref="C597:T597" si="175">SUM(C587:C596)</f>
        <v>10323250.760000002</v>
      </c>
      <c r="D597" s="273">
        <f t="shared" si="175"/>
        <v>10323250.760000002</v>
      </c>
      <c r="E597" s="273">
        <f t="shared" si="175"/>
        <v>1956778.8</v>
      </c>
      <c r="F597" s="273">
        <f t="shared" si="175"/>
        <v>0</v>
      </c>
      <c r="G597" s="273">
        <f t="shared" si="175"/>
        <v>1539511.16</v>
      </c>
      <c r="H597" s="273">
        <f t="shared" si="175"/>
        <v>0</v>
      </c>
      <c r="I597" s="273">
        <f t="shared" si="175"/>
        <v>6826960.7999999998</v>
      </c>
      <c r="J597" s="273">
        <f t="shared" si="175"/>
        <v>0</v>
      </c>
      <c r="K597" s="273">
        <f t="shared" si="175"/>
        <v>0</v>
      </c>
      <c r="L597" s="273">
        <f t="shared" si="175"/>
        <v>0</v>
      </c>
      <c r="M597" s="273">
        <f t="shared" si="175"/>
        <v>0</v>
      </c>
      <c r="N597" s="273">
        <f t="shared" si="175"/>
        <v>0</v>
      </c>
      <c r="O597" s="273">
        <f t="shared" si="175"/>
        <v>0</v>
      </c>
      <c r="P597" s="273">
        <f t="shared" si="175"/>
        <v>0</v>
      </c>
      <c r="Q597" s="273">
        <f t="shared" si="175"/>
        <v>0</v>
      </c>
      <c r="R597" s="273">
        <f t="shared" si="175"/>
        <v>0</v>
      </c>
      <c r="S597" s="273">
        <f t="shared" si="175"/>
        <v>0</v>
      </c>
      <c r="T597" s="273">
        <f t="shared" si="175"/>
        <v>0</v>
      </c>
      <c r="U597" s="83"/>
      <c r="V597" s="273"/>
      <c r="W597" s="273"/>
      <c r="X597" s="273"/>
      <c r="Y597" s="273"/>
      <c r="Z597" s="273"/>
      <c r="AA597" s="273"/>
      <c r="AB597" s="273"/>
      <c r="AC597" s="273"/>
      <c r="AD597" s="273"/>
      <c r="AE597" s="261"/>
      <c r="AF597" s="273"/>
      <c r="AG597" s="273"/>
      <c r="AH597" s="273"/>
    </row>
    <row r="598" spans="1:34" x14ac:dyDescent="0.3">
      <c r="A598" s="249" t="s">
        <v>3272</v>
      </c>
      <c r="B598" s="249"/>
      <c r="C598" s="273"/>
      <c r="D598" s="273"/>
      <c r="E598" s="273"/>
      <c r="F598" s="273"/>
      <c r="G598" s="273"/>
      <c r="H598" s="273"/>
      <c r="I598" s="273"/>
      <c r="J598" s="273"/>
      <c r="K598" s="273"/>
      <c r="L598" s="273"/>
      <c r="M598" s="273"/>
      <c r="N598" s="273"/>
      <c r="O598" s="273"/>
      <c r="P598" s="273"/>
      <c r="Q598" s="273"/>
      <c r="R598" s="273"/>
      <c r="S598" s="273"/>
      <c r="T598" s="273"/>
      <c r="U598" s="283"/>
      <c r="V598" s="273"/>
      <c r="W598" s="273"/>
      <c r="X598" s="273"/>
      <c r="Y598" s="273"/>
      <c r="Z598" s="273"/>
      <c r="AA598" s="273"/>
      <c r="AB598" s="273"/>
      <c r="AC598" s="273"/>
      <c r="AD598" s="273"/>
      <c r="AE598" s="261"/>
      <c r="AF598" s="273"/>
      <c r="AG598" s="273"/>
      <c r="AH598" s="273"/>
    </row>
    <row r="599" spans="1:34" x14ac:dyDescent="0.3">
      <c r="A599" s="250">
        <f>A596+1</f>
        <v>428</v>
      </c>
      <c r="B599" s="20" t="s">
        <v>3273</v>
      </c>
      <c r="C599" s="273">
        <f t="shared" ref="C599" si="176">D599+K599+M599+O599+P599+R599+S599+T599</f>
        <v>3782320.8</v>
      </c>
      <c r="D599" s="273">
        <f>E599+F599+G599+H599+I599</f>
        <v>0</v>
      </c>
      <c r="E599" s="273"/>
      <c r="F599" s="273"/>
      <c r="G599" s="273"/>
      <c r="H599" s="273"/>
      <c r="I599" s="273"/>
      <c r="J599" s="273">
        <v>580</v>
      </c>
      <c r="K599" s="273">
        <v>3782320.8</v>
      </c>
      <c r="L599" s="273"/>
      <c r="M599" s="273"/>
      <c r="N599" s="273"/>
      <c r="O599" s="273"/>
      <c r="P599" s="273"/>
      <c r="Q599" s="273"/>
      <c r="R599" s="273"/>
      <c r="S599" s="273"/>
      <c r="T599" s="273"/>
      <c r="U599" s="283"/>
      <c r="V599" s="273"/>
      <c r="W599" s="273"/>
      <c r="X599" s="273"/>
      <c r="Y599" s="273"/>
      <c r="Z599" s="273"/>
      <c r="AA599" s="273"/>
      <c r="AB599" s="273"/>
      <c r="AC599" s="273"/>
      <c r="AD599" s="273"/>
      <c r="AE599" s="261"/>
      <c r="AF599" s="273"/>
      <c r="AG599" s="273"/>
      <c r="AH599" s="273"/>
    </row>
    <row r="600" spans="1:34" x14ac:dyDescent="0.3">
      <c r="A600" s="250" t="s">
        <v>208</v>
      </c>
      <c r="B600" s="250"/>
      <c r="C600" s="273">
        <f t="shared" ref="C600:T600" si="177">SUM(C599:C599)</f>
        <v>3782320.8</v>
      </c>
      <c r="D600" s="273">
        <f t="shared" si="177"/>
        <v>0</v>
      </c>
      <c r="E600" s="273">
        <f t="shared" si="177"/>
        <v>0</v>
      </c>
      <c r="F600" s="273">
        <f t="shared" si="177"/>
        <v>0</v>
      </c>
      <c r="G600" s="273">
        <f t="shared" si="177"/>
        <v>0</v>
      </c>
      <c r="H600" s="273">
        <f t="shared" si="177"/>
        <v>0</v>
      </c>
      <c r="I600" s="273">
        <f t="shared" si="177"/>
        <v>0</v>
      </c>
      <c r="J600" s="273">
        <f t="shared" si="177"/>
        <v>580</v>
      </c>
      <c r="K600" s="273">
        <f t="shared" si="177"/>
        <v>3782320.8</v>
      </c>
      <c r="L600" s="273">
        <f t="shared" si="177"/>
        <v>0</v>
      </c>
      <c r="M600" s="273">
        <f t="shared" si="177"/>
        <v>0</v>
      </c>
      <c r="N600" s="273">
        <f t="shared" si="177"/>
        <v>0</v>
      </c>
      <c r="O600" s="273">
        <f t="shared" si="177"/>
        <v>0</v>
      </c>
      <c r="P600" s="273">
        <f t="shared" si="177"/>
        <v>0</v>
      </c>
      <c r="Q600" s="273">
        <f t="shared" si="177"/>
        <v>0</v>
      </c>
      <c r="R600" s="273">
        <f t="shared" si="177"/>
        <v>0</v>
      </c>
      <c r="S600" s="273">
        <f t="shared" si="177"/>
        <v>0</v>
      </c>
      <c r="T600" s="273">
        <f t="shared" si="177"/>
        <v>0</v>
      </c>
      <c r="U600" s="83"/>
      <c r="V600" s="273"/>
      <c r="W600" s="273"/>
      <c r="X600" s="273"/>
      <c r="Y600" s="273"/>
      <c r="Z600" s="273"/>
      <c r="AA600" s="273"/>
      <c r="AB600" s="273"/>
      <c r="AC600" s="273"/>
      <c r="AD600" s="273"/>
      <c r="AE600" s="261"/>
      <c r="AF600" s="273"/>
      <c r="AG600" s="273"/>
      <c r="AH600" s="273"/>
    </row>
    <row r="601" spans="1:34" x14ac:dyDescent="0.3">
      <c r="A601" s="249" t="s">
        <v>3274</v>
      </c>
      <c r="B601" s="249"/>
      <c r="C601" s="273"/>
      <c r="D601" s="273"/>
      <c r="E601" s="273"/>
      <c r="F601" s="273"/>
      <c r="G601" s="273"/>
      <c r="H601" s="273"/>
      <c r="I601" s="273"/>
      <c r="J601" s="273"/>
      <c r="K601" s="273"/>
      <c r="L601" s="273"/>
      <c r="M601" s="273"/>
      <c r="N601" s="273"/>
      <c r="O601" s="273"/>
      <c r="P601" s="273"/>
      <c r="Q601" s="273"/>
      <c r="R601" s="273"/>
      <c r="S601" s="273"/>
      <c r="T601" s="273"/>
      <c r="U601" s="283"/>
      <c r="V601" s="273"/>
      <c r="W601" s="273"/>
      <c r="X601" s="273"/>
      <c r="Y601" s="273"/>
      <c r="Z601" s="273"/>
      <c r="AA601" s="273"/>
      <c r="AB601" s="273"/>
      <c r="AC601" s="273"/>
      <c r="AD601" s="273"/>
      <c r="AE601" s="261"/>
      <c r="AF601" s="273"/>
      <c r="AG601" s="273"/>
      <c r="AH601" s="273"/>
    </row>
    <row r="602" spans="1:34" x14ac:dyDescent="0.3">
      <c r="A602" s="250">
        <f>A599+1</f>
        <v>429</v>
      </c>
      <c r="B602" s="20" t="s">
        <v>3275</v>
      </c>
      <c r="C602" s="273">
        <f t="shared" ref="C602:C605" si="178">D602+K602+M602+O602+P602+R602+S602+T602</f>
        <v>4185718.8</v>
      </c>
      <c r="D602" s="273">
        <f>E602+F602+G602+H602+I602</f>
        <v>0</v>
      </c>
      <c r="E602" s="273"/>
      <c r="F602" s="273"/>
      <c r="G602" s="273"/>
      <c r="H602" s="273"/>
      <c r="I602" s="273"/>
      <c r="J602" s="273">
        <v>658</v>
      </c>
      <c r="K602" s="273">
        <v>4185718.8</v>
      </c>
      <c r="L602" s="273"/>
      <c r="M602" s="273"/>
      <c r="N602" s="273"/>
      <c r="O602" s="273"/>
      <c r="P602" s="273"/>
      <c r="Q602" s="273"/>
      <c r="R602" s="273"/>
      <c r="S602" s="273"/>
      <c r="T602" s="273"/>
      <c r="U602" s="283"/>
      <c r="V602" s="273"/>
      <c r="W602" s="273"/>
      <c r="X602" s="273"/>
      <c r="Y602" s="273"/>
      <c r="Z602" s="273"/>
      <c r="AA602" s="273"/>
      <c r="AB602" s="273"/>
      <c r="AC602" s="273"/>
      <c r="AD602" s="273"/>
      <c r="AE602" s="261"/>
      <c r="AF602" s="273"/>
      <c r="AG602" s="273"/>
      <c r="AH602" s="273"/>
    </row>
    <row r="603" spans="1:34" x14ac:dyDescent="0.3">
      <c r="A603" s="250">
        <f>A602+1</f>
        <v>430</v>
      </c>
      <c r="B603" s="20" t="s">
        <v>3276</v>
      </c>
      <c r="C603" s="273">
        <f t="shared" si="178"/>
        <v>2525403.6</v>
      </c>
      <c r="D603" s="273">
        <f>E603+F603+G603+H603+I603</f>
        <v>0</v>
      </c>
      <c r="E603" s="273"/>
      <c r="F603" s="273"/>
      <c r="G603" s="273"/>
      <c r="H603" s="273"/>
      <c r="I603" s="273"/>
      <c r="J603" s="273">
        <v>365</v>
      </c>
      <c r="K603" s="273">
        <v>2525403.6</v>
      </c>
      <c r="L603" s="273"/>
      <c r="M603" s="273"/>
      <c r="N603" s="273"/>
      <c r="O603" s="273"/>
      <c r="P603" s="273"/>
      <c r="Q603" s="273"/>
      <c r="R603" s="273"/>
      <c r="S603" s="273"/>
      <c r="T603" s="273"/>
      <c r="U603" s="283"/>
      <c r="V603" s="273"/>
      <c r="W603" s="273"/>
      <c r="X603" s="273"/>
      <c r="Y603" s="273"/>
      <c r="Z603" s="273"/>
      <c r="AA603" s="273"/>
      <c r="AB603" s="273"/>
      <c r="AC603" s="273"/>
      <c r="AD603" s="273"/>
      <c r="AE603" s="261"/>
      <c r="AF603" s="273"/>
      <c r="AG603" s="273"/>
      <c r="AH603" s="273"/>
    </row>
    <row r="604" spans="1:34" x14ac:dyDescent="0.3">
      <c r="A604" s="250">
        <f>A603+1</f>
        <v>431</v>
      </c>
      <c r="B604" s="20" t="s">
        <v>3277</v>
      </c>
      <c r="C604" s="273">
        <f t="shared" si="178"/>
        <v>3028677.6</v>
      </c>
      <c r="D604" s="273">
        <f>E604+F604+G604+H604+I604</f>
        <v>0</v>
      </c>
      <c r="E604" s="273"/>
      <c r="F604" s="273"/>
      <c r="G604" s="273"/>
      <c r="H604" s="273"/>
      <c r="I604" s="273"/>
      <c r="J604" s="273">
        <v>456</v>
      </c>
      <c r="K604" s="273">
        <v>3028677.6</v>
      </c>
      <c r="L604" s="273"/>
      <c r="M604" s="273"/>
      <c r="N604" s="273"/>
      <c r="O604" s="273"/>
      <c r="P604" s="273"/>
      <c r="Q604" s="273"/>
      <c r="R604" s="273"/>
      <c r="S604" s="273"/>
      <c r="T604" s="273"/>
      <c r="U604" s="283"/>
      <c r="V604" s="273"/>
      <c r="W604" s="273"/>
      <c r="X604" s="273"/>
      <c r="Y604" s="273"/>
      <c r="Z604" s="273"/>
      <c r="AA604" s="273"/>
      <c r="AB604" s="273"/>
      <c r="AC604" s="273"/>
      <c r="AD604" s="273"/>
      <c r="AE604" s="261"/>
      <c r="AF604" s="273"/>
      <c r="AG604" s="273"/>
      <c r="AH604" s="273"/>
    </row>
    <row r="605" spans="1:34" x14ac:dyDescent="0.3">
      <c r="A605" s="250">
        <f>A604+1</f>
        <v>432</v>
      </c>
      <c r="B605" s="20" t="s">
        <v>3278</v>
      </c>
      <c r="C605" s="273">
        <f t="shared" si="178"/>
        <v>2820273.6</v>
      </c>
      <c r="D605" s="273">
        <f>E605+F605+G605+H605+I605</f>
        <v>0</v>
      </c>
      <c r="E605" s="273"/>
      <c r="F605" s="273"/>
      <c r="G605" s="273"/>
      <c r="H605" s="273"/>
      <c r="I605" s="273"/>
      <c r="J605" s="273">
        <v>422</v>
      </c>
      <c r="K605" s="273">
        <v>2820273.6</v>
      </c>
      <c r="L605" s="273"/>
      <c r="M605" s="273"/>
      <c r="N605" s="273"/>
      <c r="O605" s="273"/>
      <c r="P605" s="273"/>
      <c r="Q605" s="273"/>
      <c r="R605" s="273"/>
      <c r="S605" s="273"/>
      <c r="T605" s="273"/>
      <c r="U605" s="283"/>
      <c r="V605" s="273"/>
      <c r="W605" s="273"/>
      <c r="X605" s="273"/>
      <c r="Y605" s="273"/>
      <c r="Z605" s="273"/>
      <c r="AA605" s="273"/>
      <c r="AB605" s="273"/>
      <c r="AC605" s="273"/>
      <c r="AD605" s="273"/>
      <c r="AE605" s="261"/>
      <c r="AF605" s="273"/>
      <c r="AG605" s="273"/>
      <c r="AH605" s="273"/>
    </row>
    <row r="606" spans="1:34" x14ac:dyDescent="0.3">
      <c r="A606" s="250" t="s">
        <v>208</v>
      </c>
      <c r="B606" s="250"/>
      <c r="C606" s="273">
        <f t="shared" ref="C606:T606" si="179">SUM(C602:C605)</f>
        <v>12560073.6</v>
      </c>
      <c r="D606" s="273">
        <f t="shared" si="179"/>
        <v>0</v>
      </c>
      <c r="E606" s="273">
        <f t="shared" si="179"/>
        <v>0</v>
      </c>
      <c r="F606" s="273">
        <f t="shared" si="179"/>
        <v>0</v>
      </c>
      <c r="G606" s="273">
        <f t="shared" si="179"/>
        <v>0</v>
      </c>
      <c r="H606" s="273">
        <f t="shared" si="179"/>
        <v>0</v>
      </c>
      <c r="I606" s="273">
        <f t="shared" si="179"/>
        <v>0</v>
      </c>
      <c r="J606" s="273">
        <f t="shared" si="179"/>
        <v>1901</v>
      </c>
      <c r="K606" s="273">
        <f t="shared" si="179"/>
        <v>12560073.6</v>
      </c>
      <c r="L606" s="273">
        <f t="shared" si="179"/>
        <v>0</v>
      </c>
      <c r="M606" s="273">
        <f t="shared" si="179"/>
        <v>0</v>
      </c>
      <c r="N606" s="273">
        <f t="shared" si="179"/>
        <v>0</v>
      </c>
      <c r="O606" s="273">
        <f t="shared" si="179"/>
        <v>0</v>
      </c>
      <c r="P606" s="273">
        <f t="shared" si="179"/>
        <v>0</v>
      </c>
      <c r="Q606" s="273">
        <f t="shared" si="179"/>
        <v>0</v>
      </c>
      <c r="R606" s="273">
        <f t="shared" si="179"/>
        <v>0</v>
      </c>
      <c r="S606" s="273">
        <f t="shared" si="179"/>
        <v>0</v>
      </c>
      <c r="T606" s="273">
        <f t="shared" si="179"/>
        <v>0</v>
      </c>
      <c r="U606" s="83"/>
      <c r="V606" s="273"/>
      <c r="W606" s="273"/>
      <c r="X606" s="273"/>
      <c r="Y606" s="273"/>
      <c r="Z606" s="273"/>
      <c r="AA606" s="273"/>
      <c r="AB606" s="273"/>
      <c r="AC606" s="273"/>
      <c r="AD606" s="273"/>
      <c r="AE606" s="261"/>
      <c r="AF606" s="273"/>
      <c r="AG606" s="273"/>
      <c r="AH606" s="273"/>
    </row>
    <row r="607" spans="1:34" x14ac:dyDescent="0.3">
      <c r="A607" s="252" t="s">
        <v>3279</v>
      </c>
      <c r="B607" s="252"/>
      <c r="C607" s="251">
        <f t="shared" ref="C607:T607" si="180">C560+C565+C578+C582+C585+C597+C600+C606+C538</f>
        <v>167660344.84000003</v>
      </c>
      <c r="D607" s="251">
        <f t="shared" si="180"/>
        <v>65237502.689999998</v>
      </c>
      <c r="E607" s="251">
        <f t="shared" si="180"/>
        <v>21935972.399999999</v>
      </c>
      <c r="F607" s="251">
        <f t="shared" si="180"/>
        <v>24231400.800000004</v>
      </c>
      <c r="G607" s="251">
        <f t="shared" si="180"/>
        <v>5906397.5800000001</v>
      </c>
      <c r="H607" s="251">
        <f t="shared" si="180"/>
        <v>6336771.1099999994</v>
      </c>
      <c r="I607" s="251">
        <f t="shared" si="180"/>
        <v>6826960.7999999998</v>
      </c>
      <c r="J607" s="251">
        <f t="shared" si="180"/>
        <v>17955.61</v>
      </c>
      <c r="K607" s="251">
        <f t="shared" si="180"/>
        <v>100038499.5</v>
      </c>
      <c r="L607" s="251">
        <f t="shared" si="180"/>
        <v>0</v>
      </c>
      <c r="M607" s="251">
        <f t="shared" si="180"/>
        <v>0</v>
      </c>
      <c r="N607" s="251">
        <f t="shared" si="180"/>
        <v>0</v>
      </c>
      <c r="O607" s="251">
        <f t="shared" si="180"/>
        <v>0</v>
      </c>
      <c r="P607" s="251">
        <f t="shared" si="180"/>
        <v>0</v>
      </c>
      <c r="Q607" s="251">
        <f t="shared" si="180"/>
        <v>0</v>
      </c>
      <c r="R607" s="251">
        <f t="shared" si="180"/>
        <v>0</v>
      </c>
      <c r="S607" s="251">
        <f t="shared" si="180"/>
        <v>0</v>
      </c>
      <c r="T607" s="251">
        <f t="shared" si="180"/>
        <v>2384342.65</v>
      </c>
      <c r="U607" s="269"/>
      <c r="V607" s="271"/>
      <c r="W607" s="271"/>
      <c r="X607" s="271"/>
      <c r="Y607" s="271"/>
      <c r="Z607" s="271"/>
      <c r="AA607" s="271"/>
      <c r="AB607" s="271"/>
      <c r="AC607" s="271"/>
      <c r="AD607" s="269"/>
      <c r="AE607" s="94"/>
      <c r="AF607" s="269"/>
      <c r="AG607" s="269"/>
      <c r="AH607" s="269"/>
    </row>
    <row r="608" spans="1:34" x14ac:dyDescent="0.3">
      <c r="A608" s="321" t="s">
        <v>2191</v>
      </c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3"/>
      <c r="U608" s="254"/>
      <c r="V608" s="273"/>
      <c r="W608" s="273"/>
      <c r="X608" s="14"/>
      <c r="Y608" s="15"/>
      <c r="Z608" s="15"/>
      <c r="AA608" s="15"/>
    </row>
    <row r="609" spans="1:32" x14ac:dyDescent="0.3">
      <c r="A609" s="249" t="s">
        <v>2192</v>
      </c>
      <c r="B609" s="249"/>
      <c r="C609" s="251"/>
      <c r="D609" s="251"/>
      <c r="E609" s="251"/>
      <c r="F609" s="251"/>
      <c r="G609" s="251"/>
      <c r="H609" s="251"/>
      <c r="I609" s="251"/>
      <c r="J609" s="251"/>
      <c r="K609" s="251"/>
      <c r="L609" s="251"/>
      <c r="M609" s="251"/>
      <c r="N609" s="251"/>
      <c r="O609" s="251"/>
      <c r="P609" s="251"/>
      <c r="Q609" s="251"/>
      <c r="R609" s="251"/>
      <c r="S609" s="251"/>
      <c r="T609" s="251"/>
      <c r="U609" s="254"/>
      <c r="V609" s="273"/>
      <c r="W609" s="273"/>
      <c r="X609" s="14"/>
      <c r="Y609" s="15"/>
      <c r="Z609" s="15"/>
      <c r="AA609" s="15"/>
    </row>
    <row r="610" spans="1:32" x14ac:dyDescent="0.3">
      <c r="A610" s="250">
        <f>A605+1</f>
        <v>433</v>
      </c>
      <c r="B610" s="20" t="s">
        <v>2194</v>
      </c>
      <c r="C610" s="273">
        <f t="shared" ref="C610:C613" si="181">D610+K610+M610+O610+P610+R610+S610+T610</f>
        <v>3759972</v>
      </c>
      <c r="D610" s="273">
        <f>E610+F610+G610+H610+I610</f>
        <v>3759972</v>
      </c>
      <c r="E610" s="273">
        <v>1082541.6000000001</v>
      </c>
      <c r="F610" s="273">
        <v>1867328.4</v>
      </c>
      <c r="G610" s="273">
        <v>367722</v>
      </c>
      <c r="H610" s="273"/>
      <c r="I610" s="273">
        <v>442380</v>
      </c>
      <c r="J610" s="273"/>
      <c r="K610" s="273"/>
      <c r="L610" s="273"/>
      <c r="M610" s="273"/>
      <c r="N610" s="273"/>
      <c r="O610" s="273"/>
      <c r="P610" s="273"/>
      <c r="Q610" s="273"/>
      <c r="R610" s="273"/>
      <c r="S610" s="273"/>
      <c r="T610" s="273"/>
      <c r="U610" s="271"/>
      <c r="V610" s="273"/>
      <c r="W610" s="273"/>
      <c r="X610" s="14"/>
      <c r="Y610" s="15"/>
      <c r="Z610" s="15"/>
      <c r="AA610" s="15"/>
    </row>
    <row r="611" spans="1:32" x14ac:dyDescent="0.3">
      <c r="A611" s="250">
        <f>A610+1</f>
        <v>434</v>
      </c>
      <c r="B611" s="20" t="s">
        <v>2195</v>
      </c>
      <c r="C611" s="273">
        <f t="shared" si="181"/>
        <v>1773441.6</v>
      </c>
      <c r="D611" s="273">
        <f>E611+F611+G611+H611+I611</f>
        <v>1773441.6</v>
      </c>
      <c r="E611" s="273">
        <v>1773441.6</v>
      </c>
      <c r="F611" s="273"/>
      <c r="G611" s="273"/>
      <c r="H611" s="273"/>
      <c r="I611" s="273"/>
      <c r="J611" s="273"/>
      <c r="K611" s="273"/>
      <c r="L611" s="273"/>
      <c r="M611" s="273"/>
      <c r="N611" s="273"/>
      <c r="O611" s="273"/>
      <c r="P611" s="273"/>
      <c r="Q611" s="273"/>
      <c r="R611" s="273"/>
      <c r="T611" s="273"/>
      <c r="U611" s="271"/>
      <c r="V611" s="273"/>
      <c r="W611" s="273"/>
      <c r="X611" s="14"/>
      <c r="Y611" s="15"/>
      <c r="Z611" s="15"/>
      <c r="AA611" s="15"/>
    </row>
    <row r="612" spans="1:32" x14ac:dyDescent="0.3">
      <c r="A612" s="250">
        <f>A611+1</f>
        <v>435</v>
      </c>
      <c r="B612" s="20" t="s">
        <v>2196</v>
      </c>
      <c r="C612" s="273">
        <f t="shared" si="181"/>
        <v>2702377.2</v>
      </c>
      <c r="D612" s="273">
        <f>E612+F612+G612+H612+I612</f>
        <v>2702377.2</v>
      </c>
      <c r="E612" s="273">
        <v>2002192.8</v>
      </c>
      <c r="F612" s="273"/>
      <c r="G612" s="273"/>
      <c r="H612" s="273"/>
      <c r="I612" s="273">
        <v>700184.4</v>
      </c>
      <c r="J612" s="273"/>
      <c r="K612" s="273"/>
      <c r="L612" s="273"/>
      <c r="M612" s="273"/>
      <c r="N612" s="273"/>
      <c r="O612" s="273"/>
      <c r="P612" s="273"/>
      <c r="Q612" s="273"/>
      <c r="R612" s="273"/>
      <c r="S612" s="273"/>
      <c r="T612" s="273"/>
      <c r="U612" s="271"/>
      <c r="V612" s="273"/>
      <c r="W612" s="273"/>
      <c r="X612" s="14"/>
      <c r="Y612" s="15"/>
      <c r="Z612" s="15"/>
      <c r="AA612" s="15"/>
    </row>
    <row r="613" spans="1:32" x14ac:dyDescent="0.3">
      <c r="A613" s="250">
        <f>A612+1</f>
        <v>436</v>
      </c>
      <c r="B613" s="20" t="s">
        <v>2197</v>
      </c>
      <c r="C613" s="273">
        <f t="shared" si="181"/>
        <v>1692098.4</v>
      </c>
      <c r="D613" s="273">
        <f>E613+F613+G613+H613+I613</f>
        <v>1692098.4</v>
      </c>
      <c r="E613" s="273">
        <v>1692098.4</v>
      </c>
      <c r="F613" s="273"/>
      <c r="G613" s="273"/>
      <c r="H613" s="273"/>
      <c r="I613" s="273"/>
      <c r="J613" s="273"/>
      <c r="K613" s="273"/>
      <c r="L613" s="273"/>
      <c r="M613" s="273"/>
      <c r="N613" s="273"/>
      <c r="O613" s="273"/>
      <c r="P613" s="273"/>
      <c r="Q613" s="273"/>
      <c r="R613" s="273"/>
      <c r="S613" s="273"/>
      <c r="T613" s="273"/>
      <c r="U613" s="271"/>
      <c r="V613" s="273"/>
      <c r="W613" s="273"/>
      <c r="X613" s="14"/>
      <c r="Y613" s="15"/>
      <c r="Z613" s="15"/>
      <c r="AA613" s="15"/>
    </row>
    <row r="614" spans="1:32" x14ac:dyDescent="0.3">
      <c r="A614" s="250" t="s">
        <v>208</v>
      </c>
      <c r="B614" s="250"/>
      <c r="C614" s="273">
        <f t="shared" ref="C614:T614" si="182">SUM(C610:C613)</f>
        <v>9927889.1999999993</v>
      </c>
      <c r="D614" s="273">
        <f t="shared" si="182"/>
        <v>9927889.1999999993</v>
      </c>
      <c r="E614" s="273">
        <f t="shared" si="182"/>
        <v>6550274.4000000004</v>
      </c>
      <c r="F614" s="273">
        <f t="shared" si="182"/>
        <v>1867328.4</v>
      </c>
      <c r="G614" s="273">
        <f t="shared" si="182"/>
        <v>367722</v>
      </c>
      <c r="H614" s="273">
        <f t="shared" si="182"/>
        <v>0</v>
      </c>
      <c r="I614" s="273">
        <f t="shared" si="182"/>
        <v>1142564.3999999999</v>
      </c>
      <c r="J614" s="273">
        <f t="shared" si="182"/>
        <v>0</v>
      </c>
      <c r="K614" s="273">
        <f t="shared" si="182"/>
        <v>0</v>
      </c>
      <c r="L614" s="273">
        <f t="shared" si="182"/>
        <v>0</v>
      </c>
      <c r="M614" s="273">
        <f t="shared" si="182"/>
        <v>0</v>
      </c>
      <c r="N614" s="273">
        <f t="shared" si="182"/>
        <v>0</v>
      </c>
      <c r="O614" s="273">
        <f t="shared" si="182"/>
        <v>0</v>
      </c>
      <c r="P614" s="273">
        <f t="shared" si="182"/>
        <v>0</v>
      </c>
      <c r="Q614" s="273">
        <f t="shared" si="182"/>
        <v>0</v>
      </c>
      <c r="R614" s="273">
        <f t="shared" si="182"/>
        <v>0</v>
      </c>
      <c r="S614" s="273">
        <f t="shared" si="182"/>
        <v>0</v>
      </c>
      <c r="T614" s="273">
        <f t="shared" si="182"/>
        <v>0</v>
      </c>
      <c r="U614" s="271"/>
      <c r="V614" s="273"/>
      <c r="W614" s="273"/>
      <c r="X614" s="14"/>
      <c r="Y614" s="15"/>
      <c r="Z614" s="15"/>
      <c r="AA614" s="15"/>
    </row>
    <row r="615" spans="1:32" x14ac:dyDescent="0.3">
      <c r="A615" s="301" t="s">
        <v>2204</v>
      </c>
      <c r="B615" s="301"/>
      <c r="C615" s="273"/>
      <c r="D615" s="273"/>
      <c r="E615" s="273"/>
      <c r="F615" s="273"/>
      <c r="G615" s="273"/>
      <c r="H615" s="273"/>
      <c r="I615" s="273"/>
      <c r="J615" s="273"/>
      <c r="K615" s="273"/>
      <c r="L615" s="273"/>
      <c r="M615" s="273"/>
      <c r="N615" s="273"/>
      <c r="O615" s="273"/>
      <c r="P615" s="273"/>
      <c r="Q615" s="273"/>
      <c r="R615" s="273"/>
      <c r="S615" s="273"/>
      <c r="T615" s="273"/>
      <c r="U615" s="271"/>
      <c r="V615" s="273"/>
      <c r="W615" s="273"/>
      <c r="X615" s="16"/>
      <c r="Y615" s="17"/>
      <c r="Z615" s="17"/>
      <c r="AA615" s="15"/>
      <c r="AB615" s="13"/>
    </row>
    <row r="616" spans="1:32" x14ac:dyDescent="0.3">
      <c r="A616" s="250">
        <f>A613+1</f>
        <v>437</v>
      </c>
      <c r="B616" s="20" t="s">
        <v>2208</v>
      </c>
      <c r="C616" s="273">
        <f t="shared" ref="C616" si="183">D616+K616+M616+O616+P616+R616+S616+T616</f>
        <v>23017783.18</v>
      </c>
      <c r="D616" s="273">
        <f>E616+F616+G616+H616+I616</f>
        <v>0</v>
      </c>
      <c r="E616" s="273"/>
      <c r="F616" s="273"/>
      <c r="G616" s="273"/>
      <c r="H616" s="273"/>
      <c r="I616" s="273"/>
      <c r="J616" s="273"/>
      <c r="K616" s="273"/>
      <c r="L616" s="273"/>
      <c r="M616" s="273"/>
      <c r="N616" s="273">
        <v>13</v>
      </c>
      <c r="O616" s="273">
        <v>21637310</v>
      </c>
      <c r="P616" s="273"/>
      <c r="Q616" s="273"/>
      <c r="R616" s="273"/>
      <c r="S616" s="273"/>
      <c r="T616" s="273">
        <f>SUM(W616:AC616)</f>
        <v>1380473.1800000002</v>
      </c>
      <c r="U616" s="271"/>
      <c r="V616" s="273"/>
      <c r="W616" s="273">
        <v>335960.9</v>
      </c>
      <c r="X616" s="16">
        <v>290923.61</v>
      </c>
      <c r="Y616" s="17">
        <v>753588.67</v>
      </c>
      <c r="Z616" s="17"/>
      <c r="AA616" s="15"/>
      <c r="AB616" s="13"/>
    </row>
    <row r="617" spans="1:32" x14ac:dyDescent="0.3">
      <c r="A617" s="302" t="s">
        <v>208</v>
      </c>
      <c r="B617" s="302"/>
      <c r="C617" s="273">
        <f t="shared" ref="C617:T617" si="184">SUM(C616:C616)</f>
        <v>23017783.18</v>
      </c>
      <c r="D617" s="273">
        <f t="shared" si="184"/>
        <v>0</v>
      </c>
      <c r="E617" s="273">
        <f t="shared" si="184"/>
        <v>0</v>
      </c>
      <c r="F617" s="273">
        <f t="shared" si="184"/>
        <v>0</v>
      </c>
      <c r="G617" s="273">
        <f t="shared" si="184"/>
        <v>0</v>
      </c>
      <c r="H617" s="273">
        <f t="shared" si="184"/>
        <v>0</v>
      </c>
      <c r="I617" s="273">
        <f t="shared" si="184"/>
        <v>0</v>
      </c>
      <c r="J617" s="273">
        <f t="shared" si="184"/>
        <v>0</v>
      </c>
      <c r="K617" s="273">
        <f t="shared" si="184"/>
        <v>0</v>
      </c>
      <c r="L617" s="273">
        <f t="shared" si="184"/>
        <v>0</v>
      </c>
      <c r="M617" s="273">
        <f t="shared" si="184"/>
        <v>0</v>
      </c>
      <c r="N617" s="273">
        <f t="shared" si="184"/>
        <v>13</v>
      </c>
      <c r="O617" s="273">
        <f t="shared" si="184"/>
        <v>21637310</v>
      </c>
      <c r="P617" s="273">
        <f t="shared" si="184"/>
        <v>0</v>
      </c>
      <c r="Q617" s="273">
        <f t="shared" si="184"/>
        <v>0</v>
      </c>
      <c r="R617" s="273">
        <f t="shared" si="184"/>
        <v>0</v>
      </c>
      <c r="S617" s="273">
        <f t="shared" si="184"/>
        <v>0</v>
      </c>
      <c r="T617" s="273">
        <f t="shared" si="184"/>
        <v>1380473.1800000002</v>
      </c>
      <c r="U617" s="271"/>
      <c r="V617" s="273"/>
      <c r="W617" s="273"/>
      <c r="X617" s="16"/>
      <c r="Y617" s="17"/>
      <c r="Z617" s="17"/>
      <c r="AA617" s="15"/>
      <c r="AB617" s="13"/>
    </row>
    <row r="618" spans="1:32" s="36" customFormat="1" x14ac:dyDescent="0.3">
      <c r="A618" s="130" t="s">
        <v>2209</v>
      </c>
      <c r="B618" s="111"/>
      <c r="C618" s="273"/>
      <c r="D618" s="273"/>
      <c r="E618" s="273"/>
      <c r="F618" s="273"/>
      <c r="G618" s="273"/>
      <c r="H618" s="273"/>
      <c r="I618" s="273"/>
      <c r="J618" s="273"/>
      <c r="K618" s="273"/>
      <c r="L618" s="273"/>
      <c r="M618" s="273"/>
      <c r="N618" s="273"/>
      <c r="O618" s="273"/>
      <c r="P618" s="273"/>
      <c r="Q618" s="273"/>
      <c r="R618" s="273"/>
      <c r="S618" s="273"/>
      <c r="T618" s="273"/>
      <c r="U618" s="271"/>
      <c r="V618" s="271"/>
      <c r="W618" s="135"/>
      <c r="X618" s="271"/>
      <c r="Y618" s="273"/>
      <c r="Z618" s="273"/>
      <c r="AA618" s="16"/>
      <c r="AB618" s="17"/>
      <c r="AC618" s="17"/>
      <c r="AD618" s="15"/>
      <c r="AE618" s="13"/>
      <c r="AF618" s="13"/>
    </row>
    <row r="619" spans="1:32" s="36" customFormat="1" ht="18" x14ac:dyDescent="0.35">
      <c r="A619" s="8">
        <f>A616+1</f>
        <v>438</v>
      </c>
      <c r="B619" s="124" t="s">
        <v>3535</v>
      </c>
      <c r="C619" s="273">
        <f t="shared" ref="C619" si="185">D619+K619+M619+O619+P619+R619+S619+T619</f>
        <v>464108.87</v>
      </c>
      <c r="D619" s="273">
        <f>E619+F619+G619+H619+I619</f>
        <v>0</v>
      </c>
      <c r="E619" s="273"/>
      <c r="F619" s="273"/>
      <c r="G619" s="273"/>
      <c r="H619" s="273"/>
      <c r="I619" s="273"/>
      <c r="J619" s="273"/>
      <c r="K619" s="273"/>
      <c r="L619" s="273"/>
      <c r="M619" s="273"/>
      <c r="N619" s="273"/>
      <c r="O619" s="273"/>
      <c r="P619" s="273"/>
      <c r="Q619" s="273"/>
      <c r="R619" s="273"/>
      <c r="S619" s="273"/>
      <c r="T619" s="273">
        <f>464108.87</f>
        <v>464108.87</v>
      </c>
      <c r="U619" s="206"/>
      <c r="V619" s="271"/>
      <c r="W619" s="135"/>
      <c r="X619" s="271"/>
      <c r="Y619" s="273"/>
      <c r="Z619" s="273"/>
      <c r="AA619" s="16">
        <v>464108.87</v>
      </c>
      <c r="AB619" s="17"/>
      <c r="AC619" s="17"/>
      <c r="AD619" s="15"/>
      <c r="AE619" s="13"/>
      <c r="AF619" s="13"/>
    </row>
    <row r="620" spans="1:32" s="36" customFormat="1" x14ac:dyDescent="0.3">
      <c r="A620" s="8" t="s">
        <v>208</v>
      </c>
      <c r="B620" s="122"/>
      <c r="C620" s="273">
        <f t="shared" ref="C620:T620" si="186">SUM(C619:C619)</f>
        <v>464108.87</v>
      </c>
      <c r="D620" s="273">
        <f t="shared" si="186"/>
        <v>0</v>
      </c>
      <c r="E620" s="273">
        <f t="shared" si="186"/>
        <v>0</v>
      </c>
      <c r="F620" s="273">
        <f t="shared" si="186"/>
        <v>0</v>
      </c>
      <c r="G620" s="273">
        <f t="shared" si="186"/>
        <v>0</v>
      </c>
      <c r="H620" s="273">
        <f t="shared" si="186"/>
        <v>0</v>
      </c>
      <c r="I620" s="273">
        <f t="shared" si="186"/>
        <v>0</v>
      </c>
      <c r="J620" s="273">
        <f t="shared" si="186"/>
        <v>0</v>
      </c>
      <c r="K620" s="273">
        <f t="shared" si="186"/>
        <v>0</v>
      </c>
      <c r="L620" s="273">
        <f t="shared" si="186"/>
        <v>0</v>
      </c>
      <c r="M620" s="273">
        <f t="shared" si="186"/>
        <v>0</v>
      </c>
      <c r="N620" s="273">
        <f t="shared" si="186"/>
        <v>0</v>
      </c>
      <c r="O620" s="273">
        <f t="shared" si="186"/>
        <v>0</v>
      </c>
      <c r="P620" s="273">
        <f t="shared" si="186"/>
        <v>0</v>
      </c>
      <c r="Q620" s="273">
        <f t="shared" si="186"/>
        <v>0</v>
      </c>
      <c r="R620" s="273">
        <f t="shared" si="186"/>
        <v>0</v>
      </c>
      <c r="S620" s="273">
        <f t="shared" si="186"/>
        <v>0</v>
      </c>
      <c r="T620" s="273">
        <f t="shared" si="186"/>
        <v>464108.87</v>
      </c>
      <c r="U620" s="271"/>
      <c r="V620" s="271"/>
      <c r="W620" s="136"/>
      <c r="X620" s="271"/>
      <c r="Y620" s="273"/>
      <c r="Z620" s="273"/>
      <c r="AA620" s="16"/>
      <c r="AB620" s="17"/>
      <c r="AC620" s="17"/>
      <c r="AD620" s="15"/>
      <c r="AE620" s="13"/>
      <c r="AF620" s="13"/>
    </row>
    <row r="621" spans="1:32" x14ac:dyDescent="0.3">
      <c r="A621" s="252" t="s">
        <v>2216</v>
      </c>
      <c r="B621" s="252"/>
      <c r="C621" s="251">
        <f t="shared" ref="C621:T621" si="187">C614+C617+C620</f>
        <v>33409781.25</v>
      </c>
      <c r="D621" s="251">
        <f t="shared" si="187"/>
        <v>9927889.1999999993</v>
      </c>
      <c r="E621" s="251">
        <f t="shared" si="187"/>
        <v>6550274.4000000004</v>
      </c>
      <c r="F621" s="251">
        <f t="shared" si="187"/>
        <v>1867328.4</v>
      </c>
      <c r="G621" s="251">
        <f t="shared" si="187"/>
        <v>367722</v>
      </c>
      <c r="H621" s="251">
        <f t="shared" si="187"/>
        <v>0</v>
      </c>
      <c r="I621" s="251">
        <f t="shared" si="187"/>
        <v>1142564.3999999999</v>
      </c>
      <c r="J621" s="251">
        <f t="shared" si="187"/>
        <v>0</v>
      </c>
      <c r="K621" s="251">
        <f t="shared" si="187"/>
        <v>0</v>
      </c>
      <c r="L621" s="251">
        <f t="shared" si="187"/>
        <v>0</v>
      </c>
      <c r="M621" s="251">
        <f t="shared" si="187"/>
        <v>0</v>
      </c>
      <c r="N621" s="251">
        <f t="shared" si="187"/>
        <v>13</v>
      </c>
      <c r="O621" s="251">
        <f t="shared" si="187"/>
        <v>21637310</v>
      </c>
      <c r="P621" s="251">
        <f t="shared" si="187"/>
        <v>0</v>
      </c>
      <c r="Q621" s="251">
        <f t="shared" si="187"/>
        <v>0</v>
      </c>
      <c r="R621" s="251">
        <f t="shared" si="187"/>
        <v>0</v>
      </c>
      <c r="S621" s="251">
        <f t="shared" si="187"/>
        <v>0</v>
      </c>
      <c r="T621" s="251">
        <f t="shared" si="187"/>
        <v>1844582.0500000003</v>
      </c>
      <c r="U621" s="271"/>
      <c r="V621" s="273"/>
      <c r="W621" s="273"/>
      <c r="X621" s="16"/>
      <c r="Y621" s="17"/>
      <c r="Z621" s="17"/>
      <c r="AA621" s="15"/>
    </row>
    <row r="622" spans="1:32" x14ac:dyDescent="0.3">
      <c r="A622" s="321" t="s">
        <v>2219</v>
      </c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3"/>
      <c r="U622" s="269"/>
      <c r="V622" s="269"/>
      <c r="W622" s="269"/>
      <c r="X622" s="269"/>
      <c r="Y622" s="269"/>
      <c r="Z622" s="269"/>
      <c r="AA622" s="7"/>
      <c r="AB622" s="13"/>
      <c r="AC622" s="13"/>
      <c r="AD622" s="13"/>
      <c r="AE622" s="13"/>
    </row>
    <row r="623" spans="1:32" ht="18.75" customHeight="1" x14ac:dyDescent="0.3">
      <c r="A623" s="339" t="s">
        <v>3280</v>
      </c>
      <c r="B623" s="340"/>
      <c r="C623" s="273"/>
      <c r="D623" s="273"/>
      <c r="E623" s="273"/>
      <c r="F623" s="273"/>
      <c r="G623" s="273"/>
      <c r="H623" s="273"/>
      <c r="I623" s="273"/>
      <c r="J623" s="273"/>
      <c r="K623" s="273"/>
      <c r="L623" s="273"/>
      <c r="M623" s="273"/>
      <c r="N623" s="273"/>
      <c r="O623" s="273"/>
      <c r="P623" s="273"/>
      <c r="Q623" s="273"/>
      <c r="R623" s="273"/>
      <c r="S623" s="273"/>
      <c r="T623" s="273"/>
      <c r="U623" s="269"/>
      <c r="V623" s="269"/>
      <c r="W623" s="269"/>
      <c r="X623" s="269"/>
      <c r="Y623" s="269"/>
      <c r="Z623" s="269"/>
      <c r="AA623" s="7"/>
      <c r="AB623" s="13"/>
      <c r="AC623" s="13"/>
      <c r="AD623" s="13"/>
      <c r="AE623" s="13"/>
    </row>
    <row r="624" spans="1:32" x14ac:dyDescent="0.3">
      <c r="A624" s="8">
        <f>A619+1</f>
        <v>439</v>
      </c>
      <c r="B624" s="20" t="s">
        <v>3281</v>
      </c>
      <c r="C624" s="273">
        <f t="shared" ref="C624" si="188">D624+K624+M624+O624+P624+R624+S624+T624</f>
        <v>171454.46</v>
      </c>
      <c r="D624" s="273">
        <f>E624+F624+G624+H624+I624</f>
        <v>0</v>
      </c>
      <c r="E624" s="273"/>
      <c r="F624" s="273"/>
      <c r="G624" s="273"/>
      <c r="H624" s="273"/>
      <c r="I624" s="273"/>
      <c r="J624" s="273"/>
      <c r="K624" s="273"/>
      <c r="L624" s="273"/>
      <c r="M624" s="273"/>
      <c r="N624" s="273"/>
      <c r="O624" s="273"/>
      <c r="P624" s="273"/>
      <c r="Q624" s="273"/>
      <c r="R624" s="273"/>
      <c r="S624" s="273"/>
      <c r="T624" s="273">
        <v>171454.46</v>
      </c>
      <c r="U624" s="269"/>
      <c r="V624" s="269"/>
      <c r="W624" s="269"/>
      <c r="X624" s="269"/>
      <c r="Y624" s="269"/>
      <c r="Z624" s="269"/>
      <c r="AA624" s="7">
        <v>171454.46</v>
      </c>
      <c r="AB624" s="13"/>
      <c r="AC624" s="13"/>
      <c r="AD624" s="13"/>
      <c r="AE624" s="13"/>
    </row>
    <row r="625" spans="1:31" x14ac:dyDescent="0.3">
      <c r="A625" s="250" t="s">
        <v>208</v>
      </c>
      <c r="B625" s="250"/>
      <c r="C625" s="273">
        <f t="shared" ref="C625:T625" si="189">SUM(C624:C624)</f>
        <v>171454.46</v>
      </c>
      <c r="D625" s="273">
        <f t="shared" si="189"/>
        <v>0</v>
      </c>
      <c r="E625" s="273">
        <f t="shared" si="189"/>
        <v>0</v>
      </c>
      <c r="F625" s="273">
        <f t="shared" si="189"/>
        <v>0</v>
      </c>
      <c r="G625" s="273">
        <f t="shared" si="189"/>
        <v>0</v>
      </c>
      <c r="H625" s="273">
        <f t="shared" si="189"/>
        <v>0</v>
      </c>
      <c r="I625" s="273">
        <f t="shared" si="189"/>
        <v>0</v>
      </c>
      <c r="J625" s="273">
        <f t="shared" si="189"/>
        <v>0</v>
      </c>
      <c r="K625" s="273">
        <f t="shared" si="189"/>
        <v>0</v>
      </c>
      <c r="L625" s="273">
        <f t="shared" si="189"/>
        <v>0</v>
      </c>
      <c r="M625" s="273">
        <f t="shared" si="189"/>
        <v>0</v>
      </c>
      <c r="N625" s="273">
        <f t="shared" si="189"/>
        <v>0</v>
      </c>
      <c r="O625" s="273">
        <f t="shared" si="189"/>
        <v>0</v>
      </c>
      <c r="P625" s="273">
        <f t="shared" si="189"/>
        <v>0</v>
      </c>
      <c r="Q625" s="273">
        <f t="shared" si="189"/>
        <v>0</v>
      </c>
      <c r="R625" s="273">
        <f t="shared" si="189"/>
        <v>0</v>
      </c>
      <c r="S625" s="273">
        <f t="shared" si="189"/>
        <v>0</v>
      </c>
      <c r="T625" s="273">
        <f t="shared" si="189"/>
        <v>171454.46</v>
      </c>
      <c r="U625" s="269"/>
      <c r="V625" s="269"/>
      <c r="W625" s="269"/>
      <c r="X625" s="269"/>
      <c r="Y625" s="269"/>
      <c r="Z625" s="269"/>
      <c r="AA625" s="7"/>
      <c r="AB625" s="13"/>
      <c r="AC625" s="13"/>
      <c r="AD625" s="13"/>
      <c r="AE625" s="13"/>
    </row>
    <row r="626" spans="1:31" x14ac:dyDescent="0.3">
      <c r="A626" s="249" t="s">
        <v>2229</v>
      </c>
      <c r="B626" s="249"/>
      <c r="C626" s="273"/>
      <c r="D626" s="273"/>
      <c r="E626" s="273"/>
      <c r="F626" s="273"/>
      <c r="G626" s="273"/>
      <c r="H626" s="273"/>
      <c r="I626" s="273"/>
      <c r="J626" s="273"/>
      <c r="K626" s="273"/>
      <c r="L626" s="273"/>
      <c r="M626" s="273"/>
      <c r="N626" s="273"/>
      <c r="O626" s="273"/>
      <c r="P626" s="273"/>
      <c r="Q626" s="273"/>
      <c r="R626" s="273"/>
      <c r="S626" s="273"/>
      <c r="T626" s="273"/>
      <c r="U626" s="269"/>
      <c r="V626" s="269"/>
      <c r="W626" s="269"/>
      <c r="X626" s="269"/>
      <c r="Y626" s="269"/>
      <c r="Z626" s="269"/>
      <c r="AA626" s="7"/>
      <c r="AB626" s="13"/>
      <c r="AC626" s="13"/>
      <c r="AD626" s="13"/>
      <c r="AE626" s="13"/>
    </row>
    <row r="627" spans="1:31" x14ac:dyDescent="0.3">
      <c r="A627" s="8">
        <f>A624+1</f>
        <v>440</v>
      </c>
      <c r="B627" s="20" t="s">
        <v>2232</v>
      </c>
      <c r="C627" s="273">
        <f t="shared" ref="C627:C628" si="190">D627+K627+M627+O627+P627+R627+S627+T627</f>
        <v>2377029.6</v>
      </c>
      <c r="D627" s="273">
        <f>E627+F627+G627+H627+I627</f>
        <v>0</v>
      </c>
      <c r="E627" s="273"/>
      <c r="F627" s="273"/>
      <c r="G627" s="273"/>
      <c r="H627" s="273"/>
      <c r="I627" s="273"/>
      <c r="J627" s="273">
        <v>525.29999999999995</v>
      </c>
      <c r="K627" s="273">
        <v>2377029.6</v>
      </c>
      <c r="L627" s="273"/>
      <c r="M627" s="273"/>
      <c r="N627" s="273"/>
      <c r="O627" s="273"/>
      <c r="P627" s="273"/>
      <c r="Q627" s="273"/>
      <c r="R627" s="273"/>
      <c r="S627" s="273"/>
      <c r="T627" s="273"/>
      <c r="U627" s="269"/>
      <c r="V627" s="269"/>
      <c r="W627" s="269"/>
      <c r="X627" s="269"/>
      <c r="Y627" s="269"/>
      <c r="Z627" s="269"/>
      <c r="AA627" s="7"/>
      <c r="AB627" s="13"/>
      <c r="AC627" s="13"/>
      <c r="AD627" s="13"/>
      <c r="AE627" s="13"/>
    </row>
    <row r="628" spans="1:31" x14ac:dyDescent="0.3">
      <c r="A628" s="250">
        <f>A627+1</f>
        <v>441</v>
      </c>
      <c r="B628" s="20" t="s">
        <v>2233</v>
      </c>
      <c r="C628" s="273">
        <f t="shared" si="190"/>
        <v>117626.2</v>
      </c>
      <c r="D628" s="273">
        <f>E628+F628+G628+H628+I628</f>
        <v>0</v>
      </c>
      <c r="E628" s="273"/>
      <c r="F628" s="273"/>
      <c r="G628" s="273"/>
      <c r="H628" s="273"/>
      <c r="I628" s="273"/>
      <c r="J628" s="273"/>
      <c r="K628" s="273"/>
      <c r="L628" s="273"/>
      <c r="M628" s="273"/>
      <c r="N628" s="273"/>
      <c r="O628" s="273"/>
      <c r="P628" s="273"/>
      <c r="Q628" s="273"/>
      <c r="R628" s="273"/>
      <c r="S628" s="273"/>
      <c r="T628" s="273">
        <v>117626.2</v>
      </c>
      <c r="U628" s="269"/>
      <c r="V628" s="269"/>
      <c r="W628" s="269"/>
      <c r="X628" s="269"/>
      <c r="Y628" s="269">
        <v>117626.2</v>
      </c>
      <c r="Z628" s="269"/>
      <c r="AA628" s="7"/>
      <c r="AB628" s="13"/>
      <c r="AC628" s="13"/>
      <c r="AD628" s="13"/>
      <c r="AE628" s="13"/>
    </row>
    <row r="629" spans="1:31" x14ac:dyDescent="0.3">
      <c r="A629" s="250" t="s">
        <v>208</v>
      </c>
      <c r="B629" s="250"/>
      <c r="C629" s="273">
        <f t="shared" ref="C629:T629" si="191">SUM(C627:C628)</f>
        <v>2494655.8000000003</v>
      </c>
      <c r="D629" s="273">
        <f t="shared" si="191"/>
        <v>0</v>
      </c>
      <c r="E629" s="273">
        <f t="shared" si="191"/>
        <v>0</v>
      </c>
      <c r="F629" s="273">
        <f t="shared" si="191"/>
        <v>0</v>
      </c>
      <c r="G629" s="273">
        <f t="shared" si="191"/>
        <v>0</v>
      </c>
      <c r="H629" s="273">
        <f t="shared" si="191"/>
        <v>0</v>
      </c>
      <c r="I629" s="273">
        <f t="shared" si="191"/>
        <v>0</v>
      </c>
      <c r="J629" s="273">
        <f t="shared" si="191"/>
        <v>525.29999999999995</v>
      </c>
      <c r="K629" s="273">
        <f t="shared" si="191"/>
        <v>2377029.6</v>
      </c>
      <c r="L629" s="273">
        <f t="shared" si="191"/>
        <v>0</v>
      </c>
      <c r="M629" s="273">
        <f t="shared" si="191"/>
        <v>0</v>
      </c>
      <c r="N629" s="273">
        <f t="shared" si="191"/>
        <v>0</v>
      </c>
      <c r="O629" s="273">
        <f t="shared" si="191"/>
        <v>0</v>
      </c>
      <c r="P629" s="273">
        <f t="shared" si="191"/>
        <v>0</v>
      </c>
      <c r="Q629" s="273">
        <f t="shared" si="191"/>
        <v>0</v>
      </c>
      <c r="R629" s="273">
        <f t="shared" si="191"/>
        <v>0</v>
      </c>
      <c r="S629" s="273">
        <f t="shared" si="191"/>
        <v>0</v>
      </c>
      <c r="T629" s="273">
        <f t="shared" si="191"/>
        <v>117626.2</v>
      </c>
      <c r="U629" s="269"/>
      <c r="V629" s="269"/>
      <c r="W629" s="269"/>
      <c r="X629" s="269"/>
      <c r="Y629" s="269"/>
      <c r="Z629" s="269"/>
      <c r="AA629" s="7"/>
      <c r="AB629" s="13"/>
      <c r="AC629" s="13"/>
      <c r="AD629" s="13"/>
      <c r="AE629" s="13"/>
    </row>
    <row r="630" spans="1:31" x14ac:dyDescent="0.3">
      <c r="A630" s="249" t="s">
        <v>2238</v>
      </c>
      <c r="B630" s="249"/>
      <c r="C630" s="273"/>
      <c r="D630" s="273"/>
      <c r="E630" s="273"/>
      <c r="F630" s="273"/>
      <c r="G630" s="273"/>
      <c r="H630" s="273"/>
      <c r="I630" s="273"/>
      <c r="J630" s="273"/>
      <c r="K630" s="273"/>
      <c r="L630" s="273"/>
      <c r="M630" s="273"/>
      <c r="N630" s="273"/>
      <c r="O630" s="273"/>
      <c r="P630" s="273"/>
      <c r="Q630" s="273"/>
      <c r="R630" s="273"/>
      <c r="S630" s="273"/>
      <c r="T630" s="273"/>
      <c r="U630" s="269"/>
      <c r="V630" s="269"/>
      <c r="W630" s="269"/>
      <c r="X630" s="269"/>
      <c r="Y630" s="269"/>
      <c r="Z630" s="269"/>
      <c r="AA630" s="7"/>
      <c r="AB630" s="13"/>
      <c r="AC630" s="13"/>
      <c r="AD630" s="13"/>
      <c r="AE630" s="13"/>
    </row>
    <row r="631" spans="1:31" x14ac:dyDescent="0.3">
      <c r="A631" s="250">
        <f>A628+1</f>
        <v>442</v>
      </c>
      <c r="B631" s="20" t="s">
        <v>2247</v>
      </c>
      <c r="C631" s="273">
        <f t="shared" ref="C631:C632" si="192">D631+K631+M631+O631+P631+R631+S631+T631</f>
        <v>737712</v>
      </c>
      <c r="D631" s="273">
        <f>E631+F631+G631+H631+I631</f>
        <v>737712</v>
      </c>
      <c r="E631" s="273">
        <v>737712</v>
      </c>
      <c r="F631" s="273"/>
      <c r="G631" s="273"/>
      <c r="H631" s="273"/>
      <c r="I631" s="273"/>
      <c r="J631" s="273"/>
      <c r="K631" s="273"/>
      <c r="L631" s="273"/>
      <c r="M631" s="273"/>
      <c r="N631" s="273"/>
      <c r="O631" s="273"/>
      <c r="P631" s="273"/>
      <c r="Q631" s="273"/>
      <c r="R631" s="273"/>
      <c r="S631" s="273"/>
      <c r="T631" s="273"/>
      <c r="U631" s="269"/>
      <c r="V631" s="269"/>
      <c r="W631" s="269"/>
      <c r="X631" s="269"/>
      <c r="Y631" s="269"/>
      <c r="Z631" s="269"/>
      <c r="AA631" s="7"/>
      <c r="AB631" s="13"/>
      <c r="AC631" s="13"/>
      <c r="AD631" s="13"/>
      <c r="AE631" s="13"/>
    </row>
    <row r="632" spans="1:31" x14ac:dyDescent="0.3">
      <c r="A632" s="250">
        <f>A631+1</f>
        <v>443</v>
      </c>
      <c r="B632" s="20" t="s">
        <v>2248</v>
      </c>
      <c r="C632" s="273">
        <f t="shared" si="192"/>
        <v>364813.2</v>
      </c>
      <c r="D632" s="273">
        <f>E632+F632+G632+H632+I632</f>
        <v>364813.2</v>
      </c>
      <c r="E632" s="273">
        <v>364813.2</v>
      </c>
      <c r="F632" s="273"/>
      <c r="G632" s="273"/>
      <c r="H632" s="273"/>
      <c r="I632" s="273"/>
      <c r="J632" s="273"/>
      <c r="K632" s="273"/>
      <c r="L632" s="273"/>
      <c r="M632" s="273"/>
      <c r="N632" s="273"/>
      <c r="O632" s="273"/>
      <c r="P632" s="273"/>
      <c r="Q632" s="273"/>
      <c r="R632" s="273"/>
      <c r="S632" s="273"/>
      <c r="T632" s="273"/>
      <c r="U632" s="269"/>
      <c r="V632" s="269"/>
      <c r="W632" s="269"/>
      <c r="X632" s="269"/>
      <c r="Y632" s="269"/>
      <c r="Z632" s="269"/>
      <c r="AA632" s="7"/>
      <c r="AB632" s="13"/>
      <c r="AC632" s="13"/>
      <c r="AD632" s="13"/>
      <c r="AE632" s="13"/>
    </row>
    <row r="633" spans="1:31" x14ac:dyDescent="0.3">
      <c r="A633" s="250" t="s">
        <v>208</v>
      </c>
      <c r="B633" s="250"/>
      <c r="C633" s="273">
        <f t="shared" ref="C633:T633" si="193">SUM(C631:C632)</f>
        <v>1102525.2</v>
      </c>
      <c r="D633" s="273">
        <f t="shared" si="193"/>
        <v>1102525.2</v>
      </c>
      <c r="E633" s="273">
        <f t="shared" si="193"/>
        <v>1102525.2</v>
      </c>
      <c r="F633" s="273">
        <f t="shared" si="193"/>
        <v>0</v>
      </c>
      <c r="G633" s="273">
        <f t="shared" si="193"/>
        <v>0</v>
      </c>
      <c r="H633" s="273">
        <f t="shared" si="193"/>
        <v>0</v>
      </c>
      <c r="I633" s="273">
        <f t="shared" si="193"/>
        <v>0</v>
      </c>
      <c r="J633" s="273">
        <f t="shared" si="193"/>
        <v>0</v>
      </c>
      <c r="K633" s="273">
        <f t="shared" si="193"/>
        <v>0</v>
      </c>
      <c r="L633" s="273">
        <f t="shared" si="193"/>
        <v>0</v>
      </c>
      <c r="M633" s="273">
        <f t="shared" si="193"/>
        <v>0</v>
      </c>
      <c r="N633" s="273">
        <f t="shared" si="193"/>
        <v>0</v>
      </c>
      <c r="O633" s="273">
        <f t="shared" si="193"/>
        <v>0</v>
      </c>
      <c r="P633" s="273">
        <f t="shared" si="193"/>
        <v>0</v>
      </c>
      <c r="Q633" s="273">
        <f t="shared" si="193"/>
        <v>0</v>
      </c>
      <c r="R633" s="273">
        <f t="shared" si="193"/>
        <v>0</v>
      </c>
      <c r="S633" s="273">
        <f t="shared" si="193"/>
        <v>0</v>
      </c>
      <c r="T633" s="273">
        <f t="shared" si="193"/>
        <v>0</v>
      </c>
      <c r="U633" s="269"/>
      <c r="V633" s="269"/>
      <c r="W633" s="269"/>
      <c r="X633" s="269"/>
      <c r="Y633" s="269"/>
      <c r="Z633" s="269"/>
      <c r="AA633" s="7"/>
      <c r="AB633" s="13"/>
      <c r="AC633" s="13"/>
      <c r="AD633" s="13"/>
      <c r="AE633" s="13"/>
    </row>
    <row r="634" spans="1:31" x14ac:dyDescent="0.3">
      <c r="A634" s="249" t="s">
        <v>2271</v>
      </c>
      <c r="B634" s="249"/>
      <c r="C634" s="273"/>
      <c r="D634" s="273"/>
      <c r="E634" s="273"/>
      <c r="F634" s="273"/>
      <c r="G634" s="273"/>
      <c r="H634" s="273"/>
      <c r="I634" s="273"/>
      <c r="J634" s="273"/>
      <c r="K634" s="273"/>
      <c r="L634" s="273"/>
      <c r="M634" s="273"/>
      <c r="N634" s="273"/>
      <c r="O634" s="273"/>
      <c r="P634" s="273"/>
      <c r="Q634" s="273"/>
      <c r="R634" s="273"/>
      <c r="S634" s="273"/>
      <c r="T634" s="273"/>
      <c r="U634" s="269"/>
      <c r="V634" s="269"/>
      <c r="W634" s="269"/>
      <c r="X634" s="269"/>
      <c r="Y634" s="269"/>
      <c r="Z634" s="269"/>
      <c r="AA634" s="7"/>
      <c r="AB634" s="13"/>
      <c r="AC634" s="13"/>
      <c r="AD634" s="13"/>
      <c r="AE634" s="13"/>
    </row>
    <row r="635" spans="1:31" x14ac:dyDescent="0.3">
      <c r="A635" s="250">
        <f>A632+1</f>
        <v>444</v>
      </c>
      <c r="B635" s="20" t="s">
        <v>2276</v>
      </c>
      <c r="C635" s="273">
        <f t="shared" ref="C635:C636" si="194">D635+K635+M635+O635+P635+R635+S635+T635</f>
        <v>602182.80000000005</v>
      </c>
      <c r="D635" s="273">
        <f>E635+F635+G635+H635+I635</f>
        <v>602182.80000000005</v>
      </c>
      <c r="E635" s="273">
        <v>602182.80000000005</v>
      </c>
      <c r="F635" s="273"/>
      <c r="G635" s="273"/>
      <c r="H635" s="273"/>
      <c r="I635" s="273"/>
      <c r="J635" s="273"/>
      <c r="K635" s="273"/>
      <c r="L635" s="273"/>
      <c r="M635" s="273"/>
      <c r="N635" s="273"/>
      <c r="O635" s="273"/>
      <c r="P635" s="273"/>
      <c r="Q635" s="273"/>
      <c r="R635" s="273"/>
      <c r="S635" s="273"/>
      <c r="T635" s="273"/>
      <c r="U635" s="269"/>
      <c r="V635" s="269"/>
      <c r="W635" s="269"/>
      <c r="X635" s="269"/>
      <c r="Y635" s="269"/>
      <c r="Z635" s="269"/>
      <c r="AA635" s="7"/>
      <c r="AB635" s="13"/>
      <c r="AC635" s="13"/>
      <c r="AD635" s="13"/>
      <c r="AE635" s="13"/>
    </row>
    <row r="636" spans="1:31" x14ac:dyDescent="0.3">
      <c r="A636" s="250">
        <f>A635+1</f>
        <v>445</v>
      </c>
      <c r="B636" s="20" t="s">
        <v>2277</v>
      </c>
      <c r="C636" s="273">
        <f t="shared" si="194"/>
        <v>613724.4</v>
      </c>
      <c r="D636" s="273">
        <f>E636+F636+G636+H636+I636</f>
        <v>613724.4</v>
      </c>
      <c r="E636" s="273">
        <v>613724.4</v>
      </c>
      <c r="F636" s="273"/>
      <c r="G636" s="273"/>
      <c r="H636" s="273"/>
      <c r="I636" s="273"/>
      <c r="J636" s="273"/>
      <c r="K636" s="273"/>
      <c r="L636" s="273"/>
      <c r="M636" s="273"/>
      <c r="N636" s="273"/>
      <c r="O636" s="273"/>
      <c r="P636" s="273"/>
      <c r="Q636" s="273"/>
      <c r="R636" s="273"/>
      <c r="S636" s="273"/>
      <c r="T636" s="273"/>
      <c r="U636" s="269"/>
      <c r="V636" s="269"/>
      <c r="W636" s="269"/>
      <c r="X636" s="269"/>
      <c r="Y636" s="269"/>
      <c r="Z636" s="269"/>
      <c r="AA636" s="7"/>
      <c r="AB636" s="13"/>
      <c r="AC636" s="13"/>
      <c r="AD636" s="13"/>
      <c r="AE636" s="13"/>
    </row>
    <row r="637" spans="1:31" x14ac:dyDescent="0.3">
      <c r="A637" s="250" t="s">
        <v>208</v>
      </c>
      <c r="B637" s="250"/>
      <c r="C637" s="273">
        <f t="shared" ref="C637:T637" si="195">SUM(C635:C636)</f>
        <v>1215907.2000000002</v>
      </c>
      <c r="D637" s="273">
        <f t="shared" si="195"/>
        <v>1215907.2000000002</v>
      </c>
      <c r="E637" s="273">
        <f t="shared" si="195"/>
        <v>1215907.2000000002</v>
      </c>
      <c r="F637" s="273">
        <f t="shared" si="195"/>
        <v>0</v>
      </c>
      <c r="G637" s="273">
        <f t="shared" si="195"/>
        <v>0</v>
      </c>
      <c r="H637" s="273">
        <f t="shared" si="195"/>
        <v>0</v>
      </c>
      <c r="I637" s="273">
        <f t="shared" si="195"/>
        <v>0</v>
      </c>
      <c r="J637" s="273">
        <f t="shared" si="195"/>
        <v>0</v>
      </c>
      <c r="K637" s="273">
        <f t="shared" si="195"/>
        <v>0</v>
      </c>
      <c r="L637" s="273">
        <f t="shared" si="195"/>
        <v>0</v>
      </c>
      <c r="M637" s="273">
        <f t="shared" si="195"/>
        <v>0</v>
      </c>
      <c r="N637" s="273">
        <f t="shared" si="195"/>
        <v>0</v>
      </c>
      <c r="O637" s="273">
        <f t="shared" si="195"/>
        <v>0</v>
      </c>
      <c r="P637" s="273">
        <f t="shared" si="195"/>
        <v>0</v>
      </c>
      <c r="Q637" s="273">
        <f t="shared" si="195"/>
        <v>0</v>
      </c>
      <c r="R637" s="273">
        <f t="shared" si="195"/>
        <v>0</v>
      </c>
      <c r="S637" s="273">
        <f t="shared" si="195"/>
        <v>0</v>
      </c>
      <c r="T637" s="273">
        <f t="shared" si="195"/>
        <v>0</v>
      </c>
      <c r="U637" s="269"/>
      <c r="V637" s="269"/>
      <c r="W637" s="269"/>
      <c r="X637" s="269"/>
      <c r="Y637" s="269"/>
      <c r="Z637" s="269"/>
      <c r="AA637" s="7"/>
      <c r="AB637" s="13"/>
      <c r="AC637" s="13"/>
      <c r="AD637" s="13"/>
      <c r="AE637" s="13"/>
    </row>
    <row r="638" spans="1:31" x14ac:dyDescent="0.3">
      <c r="A638" s="249" t="s">
        <v>2281</v>
      </c>
      <c r="B638" s="249"/>
      <c r="C638" s="273"/>
      <c r="D638" s="273"/>
      <c r="E638" s="273"/>
      <c r="F638" s="273"/>
      <c r="G638" s="273"/>
      <c r="H638" s="273"/>
      <c r="I638" s="273"/>
      <c r="J638" s="273"/>
      <c r="K638" s="273"/>
      <c r="L638" s="273"/>
      <c r="M638" s="273"/>
      <c r="N638" s="273"/>
      <c r="O638" s="273"/>
      <c r="P638" s="273"/>
      <c r="Q638" s="273"/>
      <c r="R638" s="273"/>
      <c r="S638" s="273"/>
      <c r="T638" s="273"/>
      <c r="U638" s="269"/>
      <c r="V638" s="269"/>
      <c r="W638" s="269"/>
      <c r="X638" s="269"/>
      <c r="Y638" s="269"/>
      <c r="Z638" s="269"/>
      <c r="AA638" s="7"/>
      <c r="AB638" s="13"/>
      <c r="AC638" s="13"/>
      <c r="AD638" s="13"/>
      <c r="AE638" s="13"/>
    </row>
    <row r="639" spans="1:31" x14ac:dyDescent="0.3">
      <c r="A639" s="250">
        <f>A636+1</f>
        <v>446</v>
      </c>
      <c r="B639" s="20" t="s">
        <v>2303</v>
      </c>
      <c r="C639" s="273">
        <f t="shared" ref="C639" si="196">D639+K639+M639+O639+P639+R639+S639+T639</f>
        <v>7403280.5600000005</v>
      </c>
      <c r="D639" s="273">
        <f>E639+F639+G639+H639+I639</f>
        <v>4410780.5600000005</v>
      </c>
      <c r="E639" s="273">
        <v>575866.16</v>
      </c>
      <c r="F639" s="273">
        <v>2220354</v>
      </c>
      <c r="G639" s="273">
        <v>365384.4</v>
      </c>
      <c r="H639" s="273">
        <v>1249176</v>
      </c>
      <c r="I639" s="273"/>
      <c r="J639" s="273">
        <v>600.79999999999995</v>
      </c>
      <c r="K639" s="273">
        <v>2992500</v>
      </c>
      <c r="L639" s="273"/>
      <c r="M639" s="273"/>
      <c r="N639" s="273"/>
      <c r="O639" s="273"/>
      <c r="P639" s="273"/>
      <c r="Q639" s="273"/>
      <c r="R639" s="273"/>
      <c r="S639" s="273"/>
      <c r="T639" s="273"/>
      <c r="U639" s="269"/>
      <c r="V639" s="269"/>
      <c r="W639" s="269"/>
      <c r="X639" s="269"/>
      <c r="Y639" s="269"/>
      <c r="Z639" s="269"/>
      <c r="AA639" s="7"/>
      <c r="AB639" s="13"/>
      <c r="AC639" s="13"/>
      <c r="AD639" s="13"/>
      <c r="AE639" s="13"/>
    </row>
    <row r="640" spans="1:31" x14ac:dyDescent="0.3">
      <c r="A640" s="250" t="s">
        <v>208</v>
      </c>
      <c r="B640" s="250"/>
      <c r="C640" s="273">
        <f t="shared" ref="C640:T640" si="197">SUM(C639:C639)</f>
        <v>7403280.5600000005</v>
      </c>
      <c r="D640" s="273">
        <f t="shared" si="197"/>
        <v>4410780.5600000005</v>
      </c>
      <c r="E640" s="273">
        <f t="shared" si="197"/>
        <v>575866.16</v>
      </c>
      <c r="F640" s="273">
        <f t="shared" si="197"/>
        <v>2220354</v>
      </c>
      <c r="G640" s="273">
        <f t="shared" si="197"/>
        <v>365384.4</v>
      </c>
      <c r="H640" s="273">
        <f t="shared" si="197"/>
        <v>1249176</v>
      </c>
      <c r="I640" s="273">
        <f t="shared" si="197"/>
        <v>0</v>
      </c>
      <c r="J640" s="273">
        <f t="shared" si="197"/>
        <v>600.79999999999995</v>
      </c>
      <c r="K640" s="273">
        <f t="shared" si="197"/>
        <v>2992500</v>
      </c>
      <c r="L640" s="273">
        <f t="shared" si="197"/>
        <v>0</v>
      </c>
      <c r="M640" s="273">
        <f t="shared" si="197"/>
        <v>0</v>
      </c>
      <c r="N640" s="273">
        <f t="shared" si="197"/>
        <v>0</v>
      </c>
      <c r="O640" s="273">
        <f t="shared" si="197"/>
        <v>0</v>
      </c>
      <c r="P640" s="273">
        <f t="shared" si="197"/>
        <v>0</v>
      </c>
      <c r="Q640" s="273">
        <f t="shared" si="197"/>
        <v>0</v>
      </c>
      <c r="R640" s="273">
        <f t="shared" si="197"/>
        <v>0</v>
      </c>
      <c r="S640" s="273">
        <f t="shared" si="197"/>
        <v>0</v>
      </c>
      <c r="T640" s="273">
        <f t="shared" si="197"/>
        <v>0</v>
      </c>
      <c r="U640" s="269"/>
      <c r="V640" s="269"/>
      <c r="W640" s="269"/>
      <c r="X640" s="269"/>
      <c r="Y640" s="269"/>
      <c r="Z640" s="269"/>
      <c r="AA640" s="7"/>
      <c r="AB640" s="13"/>
      <c r="AC640" s="13"/>
      <c r="AD640" s="13"/>
      <c r="AE640" s="13"/>
    </row>
    <row r="641" spans="1:38" x14ac:dyDescent="0.3">
      <c r="A641" s="249" t="s">
        <v>2306</v>
      </c>
      <c r="B641" s="249"/>
      <c r="C641" s="273"/>
      <c r="D641" s="273"/>
      <c r="E641" s="273"/>
      <c r="F641" s="273"/>
      <c r="G641" s="273"/>
      <c r="H641" s="273"/>
      <c r="I641" s="273"/>
      <c r="J641" s="273"/>
      <c r="K641" s="273"/>
      <c r="L641" s="273"/>
      <c r="M641" s="273"/>
      <c r="N641" s="273"/>
      <c r="O641" s="273"/>
      <c r="P641" s="273"/>
      <c r="Q641" s="273"/>
      <c r="R641" s="273"/>
      <c r="S641" s="273"/>
      <c r="T641" s="273"/>
      <c r="U641" s="269"/>
      <c r="V641" s="269"/>
      <c r="W641" s="269"/>
      <c r="X641" s="269"/>
      <c r="Y641" s="269"/>
      <c r="Z641" s="269"/>
      <c r="AA641" s="7"/>
      <c r="AB641" s="13"/>
      <c r="AC641" s="13"/>
      <c r="AD641" s="13"/>
      <c r="AE641" s="13"/>
    </row>
    <row r="642" spans="1:38" x14ac:dyDescent="0.3">
      <c r="A642" s="250">
        <f>A639+1</f>
        <v>447</v>
      </c>
      <c r="B642" s="20" t="s">
        <v>2327</v>
      </c>
      <c r="C642" s="273">
        <f t="shared" ref="C642:C643" si="198">D642+K642+M642+O642+P642+R642+S642+T642</f>
        <v>1135400.1599999999</v>
      </c>
      <c r="D642" s="273">
        <f>E642+F642+G642+H642+I642</f>
        <v>0</v>
      </c>
      <c r="E642" s="273"/>
      <c r="F642" s="273"/>
      <c r="G642" s="273"/>
      <c r="H642" s="273"/>
      <c r="I642" s="273"/>
      <c r="J642" s="273"/>
      <c r="K642" s="273"/>
      <c r="L642" s="273"/>
      <c r="M642" s="273"/>
      <c r="N642" s="273"/>
      <c r="O642" s="273"/>
      <c r="P642" s="273"/>
      <c r="Q642" s="273"/>
      <c r="R642" s="273"/>
      <c r="S642" s="273"/>
      <c r="T642" s="273">
        <v>1135400.1599999999</v>
      </c>
      <c r="U642" s="269"/>
      <c r="V642" s="269"/>
      <c r="W642" s="269"/>
      <c r="X642" s="269"/>
      <c r="Y642" s="269"/>
      <c r="AA642" s="269">
        <v>318772.62</v>
      </c>
      <c r="AB642" s="7">
        <v>98105.02</v>
      </c>
      <c r="AC642" s="13">
        <v>718522.52</v>
      </c>
      <c r="AD642" s="13"/>
      <c r="AE642" s="13"/>
    </row>
    <row r="643" spans="1:38" x14ac:dyDescent="0.3">
      <c r="A643" s="250">
        <f>A642+1</f>
        <v>448</v>
      </c>
      <c r="B643" s="20" t="s">
        <v>2328</v>
      </c>
      <c r="C643" s="273">
        <f t="shared" si="198"/>
        <v>1184452.6600000001</v>
      </c>
      <c r="D643" s="273">
        <f>E643+F643+G643+H643+I643</f>
        <v>0</v>
      </c>
      <c r="E643" s="273"/>
      <c r="F643" s="273"/>
      <c r="G643" s="273"/>
      <c r="H643" s="273"/>
      <c r="I643" s="273"/>
      <c r="J643" s="273"/>
      <c r="K643" s="273"/>
      <c r="L643" s="273"/>
      <c r="M643" s="273"/>
      <c r="N643" s="273"/>
      <c r="O643" s="273"/>
      <c r="P643" s="273"/>
      <c r="Q643" s="273"/>
      <c r="R643" s="273"/>
      <c r="S643" s="273"/>
      <c r="T643" s="273">
        <v>1184452.6600000001</v>
      </c>
      <c r="U643" s="269"/>
      <c r="V643" s="269"/>
      <c r="W643" s="269"/>
      <c r="X643" s="269"/>
      <c r="Y643" s="269"/>
      <c r="AA643" s="269">
        <v>318772.62</v>
      </c>
      <c r="AB643" s="7">
        <v>147157.51999999999</v>
      </c>
      <c r="AC643" s="13">
        <v>718522.52</v>
      </c>
      <c r="AD643" s="13"/>
      <c r="AE643" s="13"/>
    </row>
    <row r="644" spans="1:38" x14ac:dyDescent="0.3">
      <c r="A644" s="250" t="s">
        <v>208</v>
      </c>
      <c r="B644" s="250"/>
      <c r="C644" s="273">
        <f t="shared" ref="C644:T644" si="199">SUM(C642:C643)</f>
        <v>2319852.8200000003</v>
      </c>
      <c r="D644" s="273">
        <f t="shared" si="199"/>
        <v>0</v>
      </c>
      <c r="E644" s="273">
        <f t="shared" si="199"/>
        <v>0</v>
      </c>
      <c r="F644" s="273">
        <f t="shared" si="199"/>
        <v>0</v>
      </c>
      <c r="G644" s="273">
        <f t="shared" si="199"/>
        <v>0</v>
      </c>
      <c r="H644" s="273">
        <f t="shared" si="199"/>
        <v>0</v>
      </c>
      <c r="I644" s="273">
        <f t="shared" si="199"/>
        <v>0</v>
      </c>
      <c r="J644" s="273">
        <f t="shared" si="199"/>
        <v>0</v>
      </c>
      <c r="K644" s="273">
        <f t="shared" si="199"/>
        <v>0</v>
      </c>
      <c r="L644" s="273">
        <f t="shared" si="199"/>
        <v>0</v>
      </c>
      <c r="M644" s="273">
        <f t="shared" si="199"/>
        <v>0</v>
      </c>
      <c r="N644" s="273">
        <f t="shared" si="199"/>
        <v>0</v>
      </c>
      <c r="O644" s="273">
        <f t="shared" si="199"/>
        <v>0</v>
      </c>
      <c r="P644" s="273">
        <f t="shared" si="199"/>
        <v>0</v>
      </c>
      <c r="Q644" s="273">
        <f t="shared" si="199"/>
        <v>0</v>
      </c>
      <c r="R644" s="273">
        <f t="shared" si="199"/>
        <v>0</v>
      </c>
      <c r="S644" s="273">
        <f t="shared" si="199"/>
        <v>0</v>
      </c>
      <c r="T644" s="273">
        <f t="shared" si="199"/>
        <v>2319852.8200000003</v>
      </c>
      <c r="U644" s="269"/>
      <c r="V644" s="269"/>
      <c r="W644" s="269"/>
      <c r="X644" s="269"/>
      <c r="Y644" s="269"/>
      <c r="Z644" s="269"/>
      <c r="AA644" s="7"/>
      <c r="AB644" s="13"/>
      <c r="AC644" s="13"/>
      <c r="AD644" s="13"/>
      <c r="AE644" s="13"/>
    </row>
    <row r="645" spans="1:38" x14ac:dyDescent="0.3">
      <c r="A645" s="252" t="s">
        <v>2336</v>
      </c>
      <c r="B645" s="252"/>
      <c r="C645" s="251">
        <f t="shared" ref="C645:T645" si="200">C629+C633+C637+C640+C644+C625</f>
        <v>14707676.040000003</v>
      </c>
      <c r="D645" s="251">
        <f t="shared" si="200"/>
        <v>6729212.9600000009</v>
      </c>
      <c r="E645" s="251">
        <f t="shared" si="200"/>
        <v>2894298.5600000005</v>
      </c>
      <c r="F645" s="251">
        <f t="shared" si="200"/>
        <v>2220354</v>
      </c>
      <c r="G645" s="251">
        <f t="shared" si="200"/>
        <v>365384.4</v>
      </c>
      <c r="H645" s="251">
        <f t="shared" si="200"/>
        <v>1249176</v>
      </c>
      <c r="I645" s="251">
        <f t="shared" si="200"/>
        <v>0</v>
      </c>
      <c r="J645" s="251">
        <f t="shared" si="200"/>
        <v>1126.0999999999999</v>
      </c>
      <c r="K645" s="251">
        <f t="shared" si="200"/>
        <v>5369529.5999999996</v>
      </c>
      <c r="L645" s="251">
        <f t="shared" si="200"/>
        <v>0</v>
      </c>
      <c r="M645" s="251">
        <f t="shared" si="200"/>
        <v>0</v>
      </c>
      <c r="N645" s="251">
        <f t="shared" si="200"/>
        <v>0</v>
      </c>
      <c r="O645" s="251">
        <f t="shared" si="200"/>
        <v>0</v>
      </c>
      <c r="P645" s="251">
        <f t="shared" si="200"/>
        <v>0</v>
      </c>
      <c r="Q645" s="251">
        <f t="shared" si="200"/>
        <v>0</v>
      </c>
      <c r="R645" s="251">
        <f t="shared" si="200"/>
        <v>0</v>
      </c>
      <c r="S645" s="251">
        <f t="shared" si="200"/>
        <v>0</v>
      </c>
      <c r="T645" s="251">
        <f t="shared" si="200"/>
        <v>2608933.4800000004</v>
      </c>
      <c r="U645" s="269"/>
      <c r="V645" s="269"/>
      <c r="W645" s="269"/>
      <c r="X645" s="269"/>
      <c r="Y645" s="269"/>
      <c r="Z645" s="269"/>
      <c r="AA645" s="7"/>
      <c r="AB645" s="13"/>
      <c r="AC645" s="13"/>
      <c r="AD645" s="13"/>
      <c r="AE645" s="13"/>
    </row>
    <row r="646" spans="1:38" x14ac:dyDescent="0.3">
      <c r="A646" s="321" t="s">
        <v>2337</v>
      </c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3"/>
      <c r="U646" s="254"/>
      <c r="V646" s="254"/>
      <c r="W646" s="254"/>
      <c r="X646" s="254"/>
      <c r="Y646" s="269"/>
      <c r="Z646" s="269"/>
      <c r="AA646" s="269"/>
      <c r="AB646" s="7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</row>
    <row r="647" spans="1:38" x14ac:dyDescent="0.3">
      <c r="A647" s="249" t="s">
        <v>2356</v>
      </c>
      <c r="B647" s="249"/>
      <c r="C647" s="273"/>
      <c r="D647" s="273"/>
      <c r="E647" s="273"/>
      <c r="F647" s="273"/>
      <c r="G647" s="273"/>
      <c r="H647" s="273"/>
      <c r="I647" s="273"/>
      <c r="J647" s="273"/>
      <c r="K647" s="273"/>
      <c r="L647" s="273"/>
      <c r="M647" s="273"/>
      <c r="N647" s="273"/>
      <c r="O647" s="273"/>
      <c r="P647" s="273"/>
      <c r="Q647" s="273"/>
      <c r="R647" s="273"/>
      <c r="S647" s="273"/>
      <c r="T647" s="273"/>
      <c r="U647" s="271"/>
      <c r="V647" s="271"/>
      <c r="W647" s="271"/>
      <c r="X647" s="271"/>
      <c r="Y647" s="271"/>
      <c r="Z647" s="269"/>
      <c r="AA647" s="269"/>
      <c r="AB647" s="7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</row>
    <row r="648" spans="1:38" x14ac:dyDescent="0.3">
      <c r="A648" s="250">
        <f>A643+1</f>
        <v>449</v>
      </c>
      <c r="B648" s="20" t="s">
        <v>2362</v>
      </c>
      <c r="C648" s="273">
        <f t="shared" ref="C648:C650" si="201">D648+K648+M648+O648+P648+R648+S648+T648</f>
        <v>4952852.4000000004</v>
      </c>
      <c r="D648" s="273">
        <f>E648+F648+G648+H648+I648</f>
        <v>4952852.4000000004</v>
      </c>
      <c r="E648" s="273"/>
      <c r="F648" s="273">
        <v>4952852.4000000004</v>
      </c>
      <c r="G648" s="273"/>
      <c r="H648" s="273"/>
      <c r="I648" s="273"/>
      <c r="J648" s="273"/>
      <c r="K648" s="273"/>
      <c r="L648" s="273"/>
      <c r="M648" s="273"/>
      <c r="N648" s="273"/>
      <c r="O648" s="273"/>
      <c r="P648" s="273"/>
      <c r="Q648" s="273"/>
      <c r="R648" s="273"/>
      <c r="S648" s="273"/>
      <c r="T648" s="273"/>
      <c r="U648" s="271"/>
      <c r="V648" s="271"/>
      <c r="W648" s="271"/>
      <c r="X648" s="271"/>
      <c r="Y648" s="271"/>
      <c r="Z648" s="269"/>
      <c r="AA648" s="269"/>
      <c r="AB648" s="7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</row>
    <row r="649" spans="1:38" x14ac:dyDescent="0.3">
      <c r="A649" s="250">
        <f>A648+1</f>
        <v>450</v>
      </c>
      <c r="B649" s="20" t="s">
        <v>2389</v>
      </c>
      <c r="C649" s="273">
        <f t="shared" si="201"/>
        <v>1224735.6000000001</v>
      </c>
      <c r="D649" s="273">
        <f>E649+F649+G649+H649+I649</f>
        <v>1224735.6000000001</v>
      </c>
      <c r="E649" s="273">
        <v>1224735.6000000001</v>
      </c>
      <c r="F649" s="273"/>
      <c r="G649" s="273"/>
      <c r="H649" s="273"/>
      <c r="I649" s="273"/>
      <c r="J649" s="273"/>
      <c r="K649" s="273"/>
      <c r="L649" s="273"/>
      <c r="M649" s="273"/>
      <c r="N649" s="273"/>
      <c r="O649" s="273"/>
      <c r="P649" s="273"/>
      <c r="Q649" s="273"/>
      <c r="R649" s="273"/>
      <c r="S649" s="273"/>
      <c r="T649" s="273"/>
      <c r="U649" s="271"/>
      <c r="V649" s="271"/>
      <c r="W649" s="335"/>
      <c r="X649" s="335"/>
      <c r="Y649" s="271"/>
      <c r="Z649" s="269"/>
      <c r="AA649" s="269"/>
      <c r="AB649" s="7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</row>
    <row r="650" spans="1:38" x14ac:dyDescent="0.3">
      <c r="A650" s="250">
        <f>A649+1</f>
        <v>451</v>
      </c>
      <c r="B650" s="20" t="s">
        <v>2407</v>
      </c>
      <c r="C650" s="273">
        <f t="shared" si="201"/>
        <v>2496852</v>
      </c>
      <c r="D650" s="273">
        <f>E650+F650+G650+H650+I650</f>
        <v>2496852</v>
      </c>
      <c r="E650" s="273"/>
      <c r="F650" s="273">
        <v>2496852</v>
      </c>
      <c r="G650" s="273"/>
      <c r="H650" s="273"/>
      <c r="I650" s="273"/>
      <c r="J650" s="273"/>
      <c r="K650" s="273"/>
      <c r="L650" s="273"/>
      <c r="M650" s="273"/>
      <c r="N650" s="273"/>
      <c r="O650" s="273"/>
      <c r="P650" s="273"/>
      <c r="Q650" s="273"/>
      <c r="R650" s="273"/>
      <c r="S650" s="273"/>
      <c r="T650" s="273"/>
      <c r="U650" s="271"/>
      <c r="V650" s="271"/>
      <c r="W650" s="271"/>
      <c r="X650" s="271"/>
      <c r="Y650" s="271"/>
      <c r="Z650" s="269"/>
      <c r="AA650" s="269"/>
      <c r="AB650" s="7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</row>
    <row r="651" spans="1:38" x14ac:dyDescent="0.3">
      <c r="A651" s="250" t="s">
        <v>208</v>
      </c>
      <c r="B651" s="250"/>
      <c r="C651" s="273">
        <f t="shared" ref="C651:T651" si="202">SUM(C648:C650)</f>
        <v>8674440</v>
      </c>
      <c r="D651" s="273">
        <f t="shared" si="202"/>
        <v>8674440</v>
      </c>
      <c r="E651" s="273">
        <f t="shared" si="202"/>
        <v>1224735.6000000001</v>
      </c>
      <c r="F651" s="273">
        <f t="shared" si="202"/>
        <v>7449704.4000000004</v>
      </c>
      <c r="G651" s="273">
        <f t="shared" si="202"/>
        <v>0</v>
      </c>
      <c r="H651" s="273">
        <f t="shared" si="202"/>
        <v>0</v>
      </c>
      <c r="I651" s="273">
        <f t="shared" si="202"/>
        <v>0</v>
      </c>
      <c r="J651" s="273">
        <f t="shared" si="202"/>
        <v>0</v>
      </c>
      <c r="K651" s="273">
        <f t="shared" si="202"/>
        <v>0</v>
      </c>
      <c r="L651" s="273">
        <f t="shared" si="202"/>
        <v>0</v>
      </c>
      <c r="M651" s="273">
        <f t="shared" si="202"/>
        <v>0</v>
      </c>
      <c r="N651" s="273">
        <f t="shared" si="202"/>
        <v>0</v>
      </c>
      <c r="O651" s="273">
        <f t="shared" si="202"/>
        <v>0</v>
      </c>
      <c r="P651" s="273">
        <f t="shared" si="202"/>
        <v>0</v>
      </c>
      <c r="Q651" s="273">
        <f t="shared" si="202"/>
        <v>0</v>
      </c>
      <c r="R651" s="273">
        <f t="shared" si="202"/>
        <v>0</v>
      </c>
      <c r="S651" s="273">
        <f t="shared" si="202"/>
        <v>0</v>
      </c>
      <c r="T651" s="273">
        <f t="shared" si="202"/>
        <v>0</v>
      </c>
      <c r="U651" s="98"/>
      <c r="V651" s="271"/>
      <c r="W651" s="271"/>
      <c r="X651" s="271"/>
      <c r="Y651" s="271"/>
      <c r="Z651" s="269"/>
      <c r="AA651" s="269"/>
      <c r="AB651" s="7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</row>
    <row r="652" spans="1:38" ht="21" customHeight="1" x14ac:dyDescent="0.3">
      <c r="A652" s="341" t="s">
        <v>2460</v>
      </c>
      <c r="B652" s="342"/>
      <c r="C652" s="251">
        <f t="shared" ref="C652:T652" si="203">C651</f>
        <v>8674440</v>
      </c>
      <c r="D652" s="251">
        <f t="shared" si="203"/>
        <v>8674440</v>
      </c>
      <c r="E652" s="251">
        <f t="shared" si="203"/>
        <v>1224735.6000000001</v>
      </c>
      <c r="F652" s="251">
        <f t="shared" si="203"/>
        <v>7449704.4000000004</v>
      </c>
      <c r="G652" s="251">
        <f t="shared" si="203"/>
        <v>0</v>
      </c>
      <c r="H652" s="251">
        <f t="shared" si="203"/>
        <v>0</v>
      </c>
      <c r="I652" s="251">
        <f t="shared" si="203"/>
        <v>0</v>
      </c>
      <c r="J652" s="251">
        <f t="shared" si="203"/>
        <v>0</v>
      </c>
      <c r="K652" s="251">
        <f t="shared" si="203"/>
        <v>0</v>
      </c>
      <c r="L652" s="251">
        <f t="shared" si="203"/>
        <v>0</v>
      </c>
      <c r="M652" s="251">
        <f t="shared" si="203"/>
        <v>0</v>
      </c>
      <c r="N652" s="251">
        <f t="shared" si="203"/>
        <v>0</v>
      </c>
      <c r="O652" s="251">
        <f t="shared" si="203"/>
        <v>0</v>
      </c>
      <c r="P652" s="251">
        <f t="shared" si="203"/>
        <v>0</v>
      </c>
      <c r="Q652" s="251">
        <f t="shared" si="203"/>
        <v>0</v>
      </c>
      <c r="R652" s="251">
        <f t="shared" si="203"/>
        <v>0</v>
      </c>
      <c r="S652" s="251">
        <f t="shared" si="203"/>
        <v>0</v>
      </c>
      <c r="T652" s="251">
        <f t="shared" si="203"/>
        <v>0</v>
      </c>
      <c r="U652" s="98"/>
      <c r="V652" s="271"/>
      <c r="W652" s="271"/>
      <c r="X652" s="271"/>
      <c r="Y652" s="271"/>
      <c r="Z652" s="269"/>
      <c r="AA652" s="269"/>
      <c r="AB652" s="7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</row>
    <row r="653" spans="1:38" x14ac:dyDescent="0.3">
      <c r="A653" s="321" t="s">
        <v>2461</v>
      </c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3"/>
      <c r="U653" s="269"/>
      <c r="V653" s="269"/>
      <c r="W653" s="269"/>
      <c r="X653" s="269"/>
      <c r="Y653" s="269"/>
      <c r="Z653" s="269"/>
      <c r="AA653" s="269"/>
      <c r="AB653" s="7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</row>
    <row r="654" spans="1:38" x14ac:dyDescent="0.3">
      <c r="A654" s="250">
        <f>A650+1</f>
        <v>452</v>
      </c>
      <c r="B654" s="20" t="s">
        <v>2488</v>
      </c>
      <c r="C654" s="273">
        <f t="shared" ref="C654:C681" si="204">D654+K654+M654+O654+P654+R654+S654+T654</f>
        <v>2055166.8</v>
      </c>
      <c r="D654" s="273">
        <f t="shared" ref="D654:D681" si="205">SUM(E654:I654)</f>
        <v>0</v>
      </c>
      <c r="E654" s="273"/>
      <c r="F654" s="273"/>
      <c r="G654" s="273"/>
      <c r="H654" s="273"/>
      <c r="I654" s="273"/>
      <c r="J654" s="273"/>
      <c r="K654" s="273"/>
      <c r="L654" s="273">
        <v>592.5</v>
      </c>
      <c r="M654" s="273">
        <v>2055166.8</v>
      </c>
      <c r="N654" s="273"/>
      <c r="O654" s="273"/>
      <c r="P654" s="273"/>
      <c r="Q654" s="273"/>
      <c r="R654" s="273"/>
      <c r="S654" s="273"/>
      <c r="T654" s="273"/>
    </row>
    <row r="655" spans="1:38" x14ac:dyDescent="0.3">
      <c r="A655" s="250">
        <f t="shared" ref="A655:A681" si="206">A654+1</f>
        <v>453</v>
      </c>
      <c r="B655" s="20" t="s">
        <v>2490</v>
      </c>
      <c r="C655" s="273">
        <f t="shared" si="204"/>
        <v>8732294.4000000004</v>
      </c>
      <c r="D655" s="273">
        <f t="shared" si="205"/>
        <v>0</v>
      </c>
      <c r="E655" s="273"/>
      <c r="F655" s="273"/>
      <c r="G655" s="273"/>
      <c r="H655" s="273"/>
      <c r="I655" s="273"/>
      <c r="J655" s="273"/>
      <c r="K655" s="273"/>
      <c r="L655" s="273">
        <v>714</v>
      </c>
      <c r="M655" s="273">
        <v>8732294.4000000004</v>
      </c>
      <c r="N655" s="273"/>
      <c r="O655" s="273"/>
      <c r="P655" s="273"/>
      <c r="Q655" s="273"/>
      <c r="R655" s="273"/>
      <c r="S655" s="273"/>
      <c r="T655" s="273"/>
    </row>
    <row r="656" spans="1:38" x14ac:dyDescent="0.3">
      <c r="A656" s="250">
        <f t="shared" si="206"/>
        <v>454</v>
      </c>
      <c r="B656" s="20" t="s">
        <v>2491</v>
      </c>
      <c r="C656" s="273">
        <f t="shared" si="204"/>
        <v>9140443.1999999993</v>
      </c>
      <c r="D656" s="273">
        <f t="shared" si="205"/>
        <v>0</v>
      </c>
      <c r="E656" s="273"/>
      <c r="F656" s="273"/>
      <c r="G656" s="273"/>
      <c r="H656" s="273"/>
      <c r="I656" s="273"/>
      <c r="J656" s="273"/>
      <c r="K656" s="273"/>
      <c r="L656" s="273">
        <v>640</v>
      </c>
      <c r="M656" s="273">
        <v>9140443.1999999993</v>
      </c>
      <c r="N656" s="273"/>
      <c r="O656" s="273"/>
      <c r="P656" s="273"/>
      <c r="Q656" s="273"/>
      <c r="R656" s="273"/>
      <c r="S656" s="273"/>
      <c r="T656" s="273"/>
    </row>
    <row r="657" spans="1:20" x14ac:dyDescent="0.3">
      <c r="A657" s="250">
        <f t="shared" si="206"/>
        <v>455</v>
      </c>
      <c r="B657" s="20" t="s">
        <v>2495</v>
      </c>
      <c r="C657" s="273">
        <f t="shared" si="204"/>
        <v>3221161.2</v>
      </c>
      <c r="D657" s="273">
        <f t="shared" si="205"/>
        <v>0</v>
      </c>
      <c r="E657" s="273"/>
      <c r="F657" s="273"/>
      <c r="G657" s="273"/>
      <c r="H657" s="273"/>
      <c r="I657" s="273"/>
      <c r="J657" s="273"/>
      <c r="K657" s="273"/>
      <c r="L657" s="273">
        <v>714</v>
      </c>
      <c r="M657" s="273">
        <v>3221161.2</v>
      </c>
      <c r="N657" s="273"/>
      <c r="O657" s="273"/>
      <c r="P657" s="273"/>
      <c r="Q657" s="273"/>
      <c r="R657" s="273"/>
      <c r="S657" s="273"/>
      <c r="T657" s="273"/>
    </row>
    <row r="658" spans="1:20" x14ac:dyDescent="0.3">
      <c r="A658" s="250">
        <f t="shared" si="206"/>
        <v>456</v>
      </c>
      <c r="B658" s="20" t="s">
        <v>2506</v>
      </c>
      <c r="C658" s="273">
        <f t="shared" si="204"/>
        <v>1026057.06</v>
      </c>
      <c r="D658" s="273">
        <f t="shared" si="205"/>
        <v>1026057.06</v>
      </c>
      <c r="E658" s="273">
        <v>1026057.06</v>
      </c>
      <c r="F658" s="273"/>
      <c r="G658" s="273"/>
      <c r="H658" s="273"/>
      <c r="I658" s="273"/>
      <c r="J658" s="273"/>
      <c r="K658" s="273"/>
      <c r="L658" s="273"/>
      <c r="M658" s="273"/>
      <c r="N658" s="22"/>
      <c r="O658" s="273"/>
      <c r="P658" s="273"/>
      <c r="Q658" s="273"/>
      <c r="R658" s="273"/>
      <c r="S658" s="273"/>
      <c r="T658" s="273"/>
    </row>
    <row r="659" spans="1:20" x14ac:dyDescent="0.3">
      <c r="A659" s="250">
        <f t="shared" si="206"/>
        <v>457</v>
      </c>
      <c r="B659" s="20" t="s">
        <v>2507</v>
      </c>
      <c r="C659" s="273">
        <f t="shared" si="204"/>
        <v>1559595.6</v>
      </c>
      <c r="D659" s="273">
        <f t="shared" si="205"/>
        <v>1559595.6</v>
      </c>
      <c r="E659" s="273">
        <v>1559595.6</v>
      </c>
      <c r="F659" s="273"/>
      <c r="G659" s="273"/>
      <c r="H659" s="273"/>
      <c r="I659" s="273"/>
      <c r="J659" s="273"/>
      <c r="K659" s="273"/>
      <c r="L659" s="273"/>
      <c r="M659" s="273"/>
      <c r="N659" s="22"/>
      <c r="O659" s="273"/>
      <c r="P659" s="273"/>
      <c r="Q659" s="273"/>
      <c r="R659" s="273"/>
      <c r="S659" s="273"/>
      <c r="T659" s="273"/>
    </row>
    <row r="660" spans="1:20" x14ac:dyDescent="0.3">
      <c r="A660" s="250">
        <f t="shared" si="206"/>
        <v>458</v>
      </c>
      <c r="B660" s="20" t="s">
        <v>2508</v>
      </c>
      <c r="C660" s="273">
        <f t="shared" si="204"/>
        <v>1559595.6</v>
      </c>
      <c r="D660" s="273">
        <f t="shared" si="205"/>
        <v>1559595.6</v>
      </c>
      <c r="E660" s="273">
        <v>1559595.6</v>
      </c>
      <c r="F660" s="273"/>
      <c r="G660" s="273"/>
      <c r="H660" s="273"/>
      <c r="I660" s="273"/>
      <c r="J660" s="273"/>
      <c r="K660" s="273"/>
      <c r="L660" s="273"/>
      <c r="M660" s="273"/>
      <c r="N660" s="273"/>
      <c r="O660" s="273"/>
      <c r="P660" s="273"/>
      <c r="Q660" s="273"/>
      <c r="R660" s="273"/>
      <c r="S660" s="273"/>
      <c r="T660" s="273"/>
    </row>
    <row r="661" spans="1:20" x14ac:dyDescent="0.3">
      <c r="A661" s="250">
        <f t="shared" si="206"/>
        <v>459</v>
      </c>
      <c r="B661" s="20" t="s">
        <v>2510</v>
      </c>
      <c r="C661" s="273">
        <f t="shared" si="204"/>
        <v>1711501.06</v>
      </c>
      <c r="D661" s="273">
        <f t="shared" si="205"/>
        <v>630482.26</v>
      </c>
      <c r="E661" s="273">
        <v>630482.26</v>
      </c>
      <c r="F661" s="273"/>
      <c r="G661" s="273"/>
      <c r="H661" s="273"/>
      <c r="I661" s="273"/>
      <c r="J661" s="273"/>
      <c r="K661" s="273"/>
      <c r="L661" s="273">
        <v>26.33</v>
      </c>
      <c r="M661" s="273">
        <v>1081018.8</v>
      </c>
      <c r="N661" s="273"/>
      <c r="O661" s="273"/>
      <c r="P661" s="273"/>
      <c r="Q661" s="273"/>
      <c r="R661" s="273"/>
      <c r="S661" s="273"/>
      <c r="T661" s="273"/>
    </row>
    <row r="662" spans="1:20" x14ac:dyDescent="0.3">
      <c r="A662" s="250">
        <f t="shared" si="206"/>
        <v>460</v>
      </c>
      <c r="B662" s="20" t="s">
        <v>2511</v>
      </c>
      <c r="C662" s="273">
        <f t="shared" si="204"/>
        <v>1003376.4</v>
      </c>
      <c r="D662" s="273">
        <f t="shared" si="205"/>
        <v>1003376.4</v>
      </c>
      <c r="E662" s="273">
        <v>1003376.4</v>
      </c>
      <c r="F662" s="273"/>
      <c r="G662" s="273"/>
      <c r="H662" s="273"/>
      <c r="I662" s="273"/>
      <c r="J662" s="273"/>
      <c r="K662" s="273"/>
      <c r="L662" s="273"/>
      <c r="M662" s="273"/>
      <c r="N662" s="22"/>
      <c r="O662" s="273"/>
      <c r="P662" s="273"/>
      <c r="Q662" s="273"/>
      <c r="R662" s="273"/>
      <c r="S662" s="273"/>
      <c r="T662" s="273"/>
    </row>
    <row r="663" spans="1:20" x14ac:dyDescent="0.3">
      <c r="A663" s="250">
        <f t="shared" si="206"/>
        <v>461</v>
      </c>
      <c r="B663" s="20" t="s">
        <v>2512</v>
      </c>
      <c r="C663" s="273">
        <f t="shared" si="204"/>
        <v>5252173.9399999995</v>
      </c>
      <c r="D663" s="273">
        <f t="shared" si="205"/>
        <v>779251.94</v>
      </c>
      <c r="E663" s="273">
        <v>779251.94</v>
      </c>
      <c r="F663" s="273"/>
      <c r="G663" s="273"/>
      <c r="H663" s="273"/>
      <c r="I663" s="273"/>
      <c r="J663" s="273"/>
      <c r="K663" s="273"/>
      <c r="L663" s="273">
        <v>540</v>
      </c>
      <c r="M663" s="273">
        <v>4472922</v>
      </c>
      <c r="N663" s="22"/>
      <c r="O663" s="273"/>
      <c r="P663" s="273"/>
      <c r="Q663" s="273"/>
      <c r="R663" s="273"/>
      <c r="S663" s="273"/>
      <c r="T663" s="273"/>
    </row>
    <row r="664" spans="1:20" x14ac:dyDescent="0.3">
      <c r="A664" s="250">
        <f t="shared" si="206"/>
        <v>462</v>
      </c>
      <c r="B664" s="20" t="s">
        <v>2513</v>
      </c>
      <c r="C664" s="273">
        <f t="shared" si="204"/>
        <v>860813.54</v>
      </c>
      <c r="D664" s="273">
        <f t="shared" si="205"/>
        <v>860813.54</v>
      </c>
      <c r="E664" s="273">
        <v>860813.54</v>
      </c>
      <c r="F664" s="273"/>
      <c r="G664" s="273"/>
      <c r="H664" s="273"/>
      <c r="I664" s="273"/>
      <c r="J664" s="273"/>
      <c r="K664" s="273"/>
      <c r="L664" s="273"/>
      <c r="M664" s="273"/>
      <c r="N664" s="141"/>
      <c r="O664" s="273"/>
      <c r="P664" s="273"/>
      <c r="Q664" s="273"/>
      <c r="R664" s="273"/>
      <c r="S664" s="273"/>
      <c r="T664" s="273"/>
    </row>
    <row r="665" spans="1:20" x14ac:dyDescent="0.3">
      <c r="A665" s="250">
        <f t="shared" si="206"/>
        <v>463</v>
      </c>
      <c r="B665" s="20" t="s">
        <v>2514</v>
      </c>
      <c r="C665" s="273">
        <f t="shared" si="204"/>
        <v>821949.06</v>
      </c>
      <c r="D665" s="273">
        <f t="shared" si="205"/>
        <v>821949.06</v>
      </c>
      <c r="E665" s="273">
        <v>821949.06</v>
      </c>
      <c r="F665" s="273"/>
      <c r="G665" s="273"/>
      <c r="H665" s="273"/>
      <c r="I665" s="273"/>
      <c r="J665" s="273"/>
      <c r="K665" s="273"/>
      <c r="L665" s="273"/>
      <c r="M665" s="273"/>
      <c r="N665" s="22"/>
      <c r="O665" s="273"/>
      <c r="P665" s="273"/>
      <c r="Q665" s="273"/>
      <c r="R665" s="273"/>
      <c r="S665" s="273"/>
      <c r="T665" s="273"/>
    </row>
    <row r="666" spans="1:20" x14ac:dyDescent="0.3">
      <c r="A666" s="250">
        <f t="shared" si="206"/>
        <v>464</v>
      </c>
      <c r="B666" s="20" t="s">
        <v>2525</v>
      </c>
      <c r="C666" s="273">
        <f t="shared" si="204"/>
        <v>12615906</v>
      </c>
      <c r="D666" s="273">
        <f t="shared" si="205"/>
        <v>0</v>
      </c>
      <c r="E666" s="273"/>
      <c r="F666" s="273"/>
      <c r="G666" s="273"/>
      <c r="H666" s="273"/>
      <c r="I666" s="273"/>
      <c r="J666" s="273"/>
      <c r="K666" s="273"/>
      <c r="L666" s="273">
        <v>1129</v>
      </c>
      <c r="M666" s="273">
        <v>12615906</v>
      </c>
      <c r="N666" s="22"/>
      <c r="O666" s="273"/>
      <c r="P666" s="273"/>
      <c r="Q666" s="273"/>
      <c r="R666" s="273"/>
      <c r="S666" s="273"/>
      <c r="T666" s="273"/>
    </row>
    <row r="667" spans="1:20" x14ac:dyDescent="0.3">
      <c r="A667" s="250">
        <f t="shared" si="206"/>
        <v>465</v>
      </c>
      <c r="B667" s="20" t="s">
        <v>2531</v>
      </c>
      <c r="C667" s="273">
        <f t="shared" si="204"/>
        <v>6565350</v>
      </c>
      <c r="D667" s="273">
        <f t="shared" si="205"/>
        <v>0</v>
      </c>
      <c r="E667" s="273"/>
      <c r="F667" s="273"/>
      <c r="G667" s="273"/>
      <c r="H667" s="273"/>
      <c r="I667" s="273"/>
      <c r="J667" s="273"/>
      <c r="K667" s="273"/>
      <c r="L667" s="273">
        <v>771.6</v>
      </c>
      <c r="M667" s="273">
        <v>6565350</v>
      </c>
      <c r="N667" s="273"/>
      <c r="O667" s="273"/>
      <c r="P667" s="273"/>
      <c r="Q667" s="273"/>
      <c r="R667" s="273"/>
      <c r="S667" s="273"/>
      <c r="T667" s="273"/>
    </row>
    <row r="668" spans="1:20" x14ac:dyDescent="0.3">
      <c r="A668" s="250">
        <f t="shared" si="206"/>
        <v>466</v>
      </c>
      <c r="B668" s="20" t="s">
        <v>2533</v>
      </c>
      <c r="C668" s="273">
        <f t="shared" si="204"/>
        <v>11243295.6</v>
      </c>
      <c r="D668" s="273">
        <f t="shared" si="205"/>
        <v>0</v>
      </c>
      <c r="E668" s="273"/>
      <c r="F668" s="273"/>
      <c r="G668" s="273"/>
      <c r="H668" s="273"/>
      <c r="I668" s="273"/>
      <c r="J668" s="273"/>
      <c r="K668" s="273"/>
      <c r="L668" s="273">
        <v>1099</v>
      </c>
      <c r="M668" s="273">
        <v>11243295.6</v>
      </c>
      <c r="N668" s="273"/>
      <c r="O668" s="273"/>
      <c r="P668" s="273"/>
      <c r="Q668" s="273"/>
      <c r="R668" s="273"/>
      <c r="S668" s="273"/>
      <c r="T668" s="273"/>
    </row>
    <row r="669" spans="1:20" x14ac:dyDescent="0.3">
      <c r="A669" s="250">
        <f t="shared" si="206"/>
        <v>467</v>
      </c>
      <c r="B669" s="20" t="s">
        <v>2539</v>
      </c>
      <c r="C669" s="273">
        <f t="shared" si="204"/>
        <v>2370546</v>
      </c>
      <c r="D669" s="273">
        <f>SUM(E669:I669)</f>
        <v>0</v>
      </c>
      <c r="E669" s="273"/>
      <c r="F669" s="273"/>
      <c r="G669" s="273"/>
      <c r="H669" s="273"/>
      <c r="I669" s="273"/>
      <c r="J669" s="273"/>
      <c r="K669" s="273"/>
      <c r="L669" s="273">
        <v>792</v>
      </c>
      <c r="M669" s="273">
        <v>2370546</v>
      </c>
      <c r="N669" s="273"/>
      <c r="O669" s="273"/>
      <c r="P669" s="273"/>
      <c r="Q669" s="273"/>
      <c r="R669" s="273"/>
      <c r="S669" s="273"/>
      <c r="T669" s="273"/>
    </row>
    <row r="670" spans="1:20" x14ac:dyDescent="0.3">
      <c r="A670" s="250">
        <f t="shared" si="206"/>
        <v>468</v>
      </c>
      <c r="B670" s="20" t="s">
        <v>2540</v>
      </c>
      <c r="C670" s="273">
        <f t="shared" si="204"/>
        <v>9599291.879999999</v>
      </c>
      <c r="D670" s="273">
        <f>SUM(E670:I670)</f>
        <v>0</v>
      </c>
      <c r="E670" s="273"/>
      <c r="F670" s="273"/>
      <c r="G670" s="273"/>
      <c r="H670" s="273"/>
      <c r="I670" s="273"/>
      <c r="J670" s="273">
        <v>998.3</v>
      </c>
      <c r="K670" s="273">
        <v>3289681.08</v>
      </c>
      <c r="L670" s="273">
        <v>999.3</v>
      </c>
      <c r="M670" s="273">
        <v>6309610.7999999998</v>
      </c>
      <c r="N670" s="273"/>
      <c r="O670" s="273"/>
      <c r="P670" s="273"/>
      <c r="Q670" s="273"/>
      <c r="R670" s="273"/>
      <c r="S670" s="273"/>
      <c r="T670" s="273"/>
    </row>
    <row r="671" spans="1:20" x14ac:dyDescent="0.3">
      <c r="A671" s="250">
        <f t="shared" si="206"/>
        <v>469</v>
      </c>
      <c r="B671" s="20" t="s">
        <v>2541</v>
      </c>
      <c r="C671" s="273">
        <f t="shared" si="204"/>
        <v>6981903.5999999996</v>
      </c>
      <c r="D671" s="273">
        <f t="shared" si="205"/>
        <v>0</v>
      </c>
      <c r="E671" s="273"/>
      <c r="F671" s="273"/>
      <c r="G671" s="273"/>
      <c r="H671" s="273"/>
      <c r="I671" s="273"/>
      <c r="J671" s="273"/>
      <c r="K671" s="273"/>
      <c r="L671" s="273">
        <v>702</v>
      </c>
      <c r="M671" s="273">
        <v>6981903.5999999996</v>
      </c>
      <c r="N671" s="22"/>
      <c r="O671" s="273"/>
      <c r="P671" s="273"/>
      <c r="Q671" s="273"/>
      <c r="R671" s="273"/>
      <c r="S671" s="273"/>
      <c r="T671" s="273"/>
    </row>
    <row r="672" spans="1:20" x14ac:dyDescent="0.3">
      <c r="A672" s="250">
        <f t="shared" si="206"/>
        <v>470</v>
      </c>
      <c r="B672" s="20" t="s">
        <v>2542</v>
      </c>
      <c r="C672" s="273">
        <f t="shared" si="204"/>
        <v>5426197.1999999993</v>
      </c>
      <c r="D672" s="273">
        <f t="shared" si="205"/>
        <v>0</v>
      </c>
      <c r="E672" s="273"/>
      <c r="F672" s="273"/>
      <c r="G672" s="273"/>
      <c r="H672" s="273"/>
      <c r="I672" s="273"/>
      <c r="J672" s="273">
        <v>250.58</v>
      </c>
      <c r="K672" s="273">
        <v>2054582.4</v>
      </c>
      <c r="L672" s="273">
        <v>178.5</v>
      </c>
      <c r="M672" s="273">
        <v>3371614.8</v>
      </c>
      <c r="N672" s="273"/>
      <c r="O672" s="273"/>
      <c r="P672" s="273"/>
      <c r="Q672" s="273"/>
      <c r="R672" s="273"/>
      <c r="S672" s="273"/>
      <c r="T672" s="273"/>
    </row>
    <row r="673" spans="1:33" x14ac:dyDescent="0.3">
      <c r="A673" s="250">
        <f t="shared" si="206"/>
        <v>471</v>
      </c>
      <c r="B673" s="20" t="s">
        <v>2543</v>
      </c>
      <c r="C673" s="273">
        <f t="shared" si="204"/>
        <v>3548998.8</v>
      </c>
      <c r="D673" s="273">
        <f t="shared" si="205"/>
        <v>0</v>
      </c>
      <c r="E673" s="273"/>
      <c r="F673" s="273"/>
      <c r="G673" s="273"/>
      <c r="H673" s="273"/>
      <c r="I673" s="273"/>
      <c r="J673" s="273"/>
      <c r="K673" s="273"/>
      <c r="L673" s="273">
        <v>150</v>
      </c>
      <c r="M673" s="273">
        <v>3548998.8</v>
      </c>
      <c r="N673" s="273"/>
      <c r="O673" s="273"/>
      <c r="P673" s="273"/>
      <c r="Q673" s="273"/>
      <c r="R673" s="273"/>
      <c r="S673" s="273"/>
      <c r="T673" s="273"/>
    </row>
    <row r="674" spans="1:33" x14ac:dyDescent="0.3">
      <c r="A674" s="250">
        <f t="shared" si="206"/>
        <v>472</v>
      </c>
      <c r="B674" s="20" t="s">
        <v>2546</v>
      </c>
      <c r="C674" s="273">
        <f t="shared" si="204"/>
        <v>6483238.7999999998</v>
      </c>
      <c r="D674" s="273">
        <f t="shared" si="205"/>
        <v>0</v>
      </c>
      <c r="E674" s="273"/>
      <c r="F674" s="273"/>
      <c r="G674" s="273"/>
      <c r="H674" s="273"/>
      <c r="I674" s="273"/>
      <c r="J674" s="273"/>
      <c r="K674" s="273"/>
      <c r="L674" s="273">
        <v>592.5</v>
      </c>
      <c r="M674" s="273">
        <v>6483238.7999999998</v>
      </c>
      <c r="N674" s="273"/>
      <c r="O674" s="273"/>
      <c r="P674" s="273"/>
      <c r="Q674" s="273"/>
      <c r="R674" s="273"/>
      <c r="S674" s="273"/>
      <c r="T674" s="273"/>
    </row>
    <row r="675" spans="1:33" x14ac:dyDescent="0.3">
      <c r="A675" s="250">
        <f t="shared" si="206"/>
        <v>473</v>
      </c>
      <c r="B675" s="20" t="s">
        <v>2549</v>
      </c>
      <c r="C675" s="273">
        <f t="shared" si="204"/>
        <v>7328940</v>
      </c>
      <c r="D675" s="273">
        <f t="shared" si="205"/>
        <v>0</v>
      </c>
      <c r="E675" s="273"/>
      <c r="F675" s="273"/>
      <c r="G675" s="273"/>
      <c r="H675" s="273"/>
      <c r="I675" s="273"/>
      <c r="J675" s="273"/>
      <c r="K675" s="273">
        <v>7328940</v>
      </c>
      <c r="L675" s="273"/>
      <c r="M675" s="273"/>
      <c r="N675" s="273"/>
      <c r="O675" s="273"/>
      <c r="P675" s="273"/>
      <c r="Q675" s="273"/>
      <c r="R675" s="273"/>
      <c r="S675" s="273"/>
      <c r="T675" s="273"/>
    </row>
    <row r="676" spans="1:33" x14ac:dyDescent="0.3">
      <c r="A676" s="250">
        <f t="shared" si="206"/>
        <v>474</v>
      </c>
      <c r="B676" s="20" t="s">
        <v>2551</v>
      </c>
      <c r="C676" s="273">
        <f t="shared" si="204"/>
        <v>2209564.7999999998</v>
      </c>
      <c r="D676" s="273">
        <f t="shared" si="205"/>
        <v>0</v>
      </c>
      <c r="E676" s="273"/>
      <c r="F676" s="273"/>
      <c r="G676" s="273"/>
      <c r="H676" s="273"/>
      <c r="I676" s="273"/>
      <c r="J676" s="273"/>
      <c r="K676" s="273"/>
      <c r="L676" s="273">
        <v>600</v>
      </c>
      <c r="M676" s="273">
        <v>2209564.7999999998</v>
      </c>
      <c r="N676" s="273"/>
      <c r="O676" s="273"/>
      <c r="P676" s="273"/>
      <c r="Q676" s="273"/>
      <c r="R676" s="273"/>
      <c r="S676" s="273"/>
      <c r="T676" s="273"/>
    </row>
    <row r="677" spans="1:33" x14ac:dyDescent="0.3">
      <c r="A677" s="250">
        <f t="shared" si="206"/>
        <v>475</v>
      </c>
      <c r="B677" s="20" t="s">
        <v>2554</v>
      </c>
      <c r="C677" s="273">
        <f t="shared" si="204"/>
        <v>606368.4</v>
      </c>
      <c r="D677" s="273">
        <f t="shared" si="205"/>
        <v>606368.4</v>
      </c>
      <c r="E677" s="273">
        <v>606368.4</v>
      </c>
      <c r="F677" s="273"/>
      <c r="G677" s="273"/>
      <c r="H677" s="273"/>
      <c r="I677" s="273"/>
      <c r="J677" s="273"/>
      <c r="K677" s="273"/>
      <c r="L677" s="273"/>
      <c r="M677" s="273"/>
      <c r="N677" s="22"/>
      <c r="O677" s="273"/>
      <c r="P677" s="273"/>
      <c r="Q677" s="273"/>
      <c r="R677" s="273"/>
      <c r="S677" s="273"/>
      <c r="T677" s="273"/>
    </row>
    <row r="678" spans="1:33" x14ac:dyDescent="0.3">
      <c r="A678" s="250">
        <f t="shared" si="206"/>
        <v>476</v>
      </c>
      <c r="B678" s="20" t="s">
        <v>2556</v>
      </c>
      <c r="C678" s="273">
        <f t="shared" si="204"/>
        <v>606368.4</v>
      </c>
      <c r="D678" s="273">
        <f t="shared" si="205"/>
        <v>606368.4</v>
      </c>
      <c r="E678" s="273">
        <v>606368.4</v>
      </c>
      <c r="F678" s="273"/>
      <c r="G678" s="273"/>
      <c r="H678" s="273"/>
      <c r="I678" s="273"/>
      <c r="J678" s="273"/>
      <c r="K678" s="273"/>
      <c r="L678" s="273"/>
      <c r="M678" s="273"/>
      <c r="N678" s="22"/>
      <c r="O678" s="273"/>
      <c r="P678" s="273"/>
      <c r="Q678" s="273"/>
      <c r="R678" s="273"/>
      <c r="S678" s="273"/>
      <c r="T678" s="273"/>
    </row>
    <row r="679" spans="1:33" x14ac:dyDescent="0.3">
      <c r="A679" s="250">
        <f t="shared" si="206"/>
        <v>477</v>
      </c>
      <c r="B679" s="20" t="s">
        <v>2557</v>
      </c>
      <c r="C679" s="273">
        <f t="shared" si="204"/>
        <v>606368.4</v>
      </c>
      <c r="D679" s="273">
        <f t="shared" si="205"/>
        <v>606368.4</v>
      </c>
      <c r="E679" s="273">
        <v>606368.4</v>
      </c>
      <c r="F679" s="273"/>
      <c r="G679" s="273"/>
      <c r="H679" s="273"/>
      <c r="I679" s="273"/>
      <c r="J679" s="273"/>
      <c r="K679" s="273"/>
      <c r="L679" s="273"/>
      <c r="M679" s="273"/>
      <c r="N679" s="22"/>
      <c r="O679" s="273"/>
      <c r="P679" s="273"/>
      <c r="Q679" s="273"/>
      <c r="R679" s="273"/>
      <c r="S679" s="273"/>
      <c r="T679" s="273"/>
    </row>
    <row r="680" spans="1:33" x14ac:dyDescent="0.3">
      <c r="A680" s="250">
        <f t="shared" si="206"/>
        <v>478</v>
      </c>
      <c r="B680" s="20" t="s">
        <v>2559</v>
      </c>
      <c r="C680" s="273">
        <f t="shared" si="204"/>
        <v>606368.4</v>
      </c>
      <c r="D680" s="273">
        <f t="shared" si="205"/>
        <v>606368.4</v>
      </c>
      <c r="E680" s="273">
        <v>606368.4</v>
      </c>
      <c r="F680" s="273"/>
      <c r="G680" s="273"/>
      <c r="H680" s="273"/>
      <c r="I680" s="273"/>
      <c r="J680" s="273"/>
      <c r="K680" s="273"/>
      <c r="L680" s="273"/>
      <c r="M680" s="273"/>
      <c r="N680" s="22"/>
      <c r="O680" s="273"/>
      <c r="P680" s="273"/>
      <c r="Q680" s="273"/>
      <c r="R680" s="273"/>
      <c r="S680" s="273"/>
      <c r="T680" s="273"/>
    </row>
    <row r="681" spans="1:33" x14ac:dyDescent="0.3">
      <c r="A681" s="250">
        <f t="shared" si="206"/>
        <v>479</v>
      </c>
      <c r="B681" s="20" t="s">
        <v>2599</v>
      </c>
      <c r="C681" s="273">
        <f t="shared" si="204"/>
        <v>2883274.38</v>
      </c>
      <c r="D681" s="273">
        <f t="shared" si="205"/>
        <v>2883274.38</v>
      </c>
      <c r="E681" s="273">
        <v>2883274.38</v>
      </c>
      <c r="F681" s="273"/>
      <c r="G681" s="273"/>
      <c r="H681" s="273"/>
      <c r="I681" s="273"/>
      <c r="J681" s="273"/>
      <c r="K681" s="273"/>
      <c r="L681" s="273"/>
      <c r="M681" s="273"/>
      <c r="N681" s="22"/>
      <c r="O681" s="273"/>
      <c r="P681" s="273"/>
      <c r="Q681" s="273"/>
      <c r="R681" s="273"/>
      <c r="S681" s="273"/>
      <c r="T681" s="273"/>
    </row>
    <row r="682" spans="1:33" x14ac:dyDescent="0.3">
      <c r="A682" s="252" t="s">
        <v>2615</v>
      </c>
      <c r="B682" s="252"/>
      <c r="C682" s="251">
        <f t="shared" ref="C682:T682" si="207">SUM(C654:C681)</f>
        <v>116626108.52</v>
      </c>
      <c r="D682" s="251">
        <f t="shared" si="207"/>
        <v>13549869.440000001</v>
      </c>
      <c r="E682" s="251">
        <f t="shared" si="207"/>
        <v>13549869.440000001</v>
      </c>
      <c r="F682" s="251">
        <f t="shared" si="207"/>
        <v>0</v>
      </c>
      <c r="G682" s="251">
        <f t="shared" si="207"/>
        <v>0</v>
      </c>
      <c r="H682" s="251">
        <f t="shared" si="207"/>
        <v>0</v>
      </c>
      <c r="I682" s="251">
        <f t="shared" si="207"/>
        <v>0</v>
      </c>
      <c r="J682" s="251">
        <f t="shared" si="207"/>
        <v>1248.8799999999999</v>
      </c>
      <c r="K682" s="251">
        <f t="shared" si="207"/>
        <v>12673203.48</v>
      </c>
      <c r="L682" s="251">
        <f t="shared" si="207"/>
        <v>10240.73</v>
      </c>
      <c r="M682" s="251">
        <f t="shared" si="207"/>
        <v>90403035.599999979</v>
      </c>
      <c r="N682" s="251">
        <f t="shared" si="207"/>
        <v>0</v>
      </c>
      <c r="O682" s="251">
        <f t="shared" si="207"/>
        <v>0</v>
      </c>
      <c r="P682" s="251">
        <f t="shared" si="207"/>
        <v>0</v>
      </c>
      <c r="Q682" s="251">
        <f t="shared" si="207"/>
        <v>0</v>
      </c>
      <c r="R682" s="251">
        <f t="shared" si="207"/>
        <v>0</v>
      </c>
      <c r="S682" s="251">
        <f t="shared" si="207"/>
        <v>0</v>
      </c>
      <c r="T682" s="251">
        <f t="shared" si="207"/>
        <v>0</v>
      </c>
    </row>
    <row r="683" spans="1:33" x14ac:dyDescent="0.3">
      <c r="A683" s="321" t="s">
        <v>2616</v>
      </c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3"/>
      <c r="U683" s="254"/>
      <c r="V683" s="269"/>
      <c r="W683" s="269"/>
      <c r="X683" s="269"/>
      <c r="Y683" s="269"/>
      <c r="Z683" s="269"/>
      <c r="AA683" s="269"/>
      <c r="AB683" s="269"/>
      <c r="AC683" s="269"/>
      <c r="AD683" s="7"/>
      <c r="AE683" s="13"/>
      <c r="AF683" s="13"/>
      <c r="AG683" s="13"/>
    </row>
    <row r="684" spans="1:33" x14ac:dyDescent="0.3">
      <c r="A684" s="249" t="s">
        <v>144</v>
      </c>
      <c r="B684" s="249"/>
      <c r="C684" s="251"/>
      <c r="D684" s="251"/>
      <c r="E684" s="251"/>
      <c r="F684" s="251"/>
      <c r="G684" s="251"/>
      <c r="H684" s="251"/>
      <c r="I684" s="251"/>
      <c r="J684" s="251"/>
      <c r="K684" s="251"/>
      <c r="L684" s="251"/>
      <c r="M684" s="251"/>
      <c r="N684" s="251"/>
      <c r="O684" s="251"/>
      <c r="P684" s="251"/>
      <c r="Q684" s="251"/>
      <c r="R684" s="251"/>
      <c r="S684" s="251"/>
      <c r="T684" s="251"/>
      <c r="U684" s="254"/>
      <c r="V684" s="269"/>
      <c r="W684" s="269"/>
      <c r="X684" s="269"/>
      <c r="Y684" s="269"/>
      <c r="Z684" s="269"/>
      <c r="AA684" s="269"/>
      <c r="AB684" s="269"/>
      <c r="AC684" s="269"/>
      <c r="AD684" s="7"/>
      <c r="AE684" s="13"/>
      <c r="AF684" s="13"/>
      <c r="AG684" s="13"/>
    </row>
    <row r="685" spans="1:33" x14ac:dyDescent="0.3">
      <c r="A685" s="250">
        <f>A681+1</f>
        <v>480</v>
      </c>
      <c r="B685" s="20" t="s">
        <v>2619</v>
      </c>
      <c r="C685" s="273">
        <f t="shared" ref="C685:C687" si="208">D685+K685+M685+O685+P685+R685+S685+T685</f>
        <v>1316618.3999999999</v>
      </c>
      <c r="D685" s="273">
        <f>E685+F685+G685+H685</f>
        <v>0</v>
      </c>
      <c r="E685" s="273"/>
      <c r="F685" s="273"/>
      <c r="G685" s="273"/>
      <c r="H685" s="273"/>
      <c r="I685" s="273"/>
      <c r="J685" s="273">
        <v>660</v>
      </c>
      <c r="K685" s="273">
        <v>1316618.3999999999</v>
      </c>
      <c r="L685" s="273"/>
      <c r="M685" s="273"/>
      <c r="N685" s="273"/>
      <c r="O685" s="273"/>
      <c r="P685" s="273"/>
      <c r="Q685" s="273"/>
      <c r="R685" s="273"/>
      <c r="S685" s="273"/>
      <c r="T685" s="273"/>
      <c r="U685" s="271"/>
      <c r="V685" s="269"/>
      <c r="W685" s="269"/>
      <c r="X685" s="269"/>
      <c r="Y685" s="269"/>
      <c r="Z685" s="269"/>
      <c r="AA685" s="269"/>
      <c r="AB685" s="269"/>
      <c r="AC685" s="269"/>
      <c r="AD685" s="7"/>
      <c r="AE685" s="13"/>
      <c r="AF685" s="13"/>
      <c r="AG685" s="13"/>
    </row>
    <row r="686" spans="1:33" x14ac:dyDescent="0.3">
      <c r="A686" s="250">
        <f>A685+1</f>
        <v>481</v>
      </c>
      <c r="B686" s="20" t="s">
        <v>2620</v>
      </c>
      <c r="C686" s="273">
        <f t="shared" si="208"/>
        <v>1206667.2</v>
      </c>
      <c r="D686" s="273">
        <f>E686+F686+G686+H686</f>
        <v>0</v>
      </c>
      <c r="E686" s="273"/>
      <c r="F686" s="273"/>
      <c r="G686" s="273"/>
      <c r="H686" s="273"/>
      <c r="I686" s="273"/>
      <c r="J686" s="273">
        <v>660</v>
      </c>
      <c r="K686" s="273">
        <v>1206667.2</v>
      </c>
      <c r="L686" s="273"/>
      <c r="M686" s="273"/>
      <c r="N686" s="273"/>
      <c r="O686" s="273"/>
      <c r="P686" s="273"/>
      <c r="Q686" s="273"/>
      <c r="R686" s="273"/>
      <c r="S686" s="273"/>
      <c r="T686" s="273"/>
      <c r="U686" s="271"/>
      <c r="V686" s="269"/>
      <c r="W686" s="269"/>
      <c r="X686" s="269"/>
      <c r="Y686" s="269"/>
      <c r="Z686" s="269"/>
      <c r="AA686" s="269"/>
      <c r="AB686" s="269"/>
      <c r="AC686" s="269"/>
      <c r="AD686" s="7"/>
      <c r="AE686" s="13"/>
      <c r="AF686" s="13"/>
      <c r="AG686" s="13"/>
    </row>
    <row r="687" spans="1:33" x14ac:dyDescent="0.3">
      <c r="A687" s="250">
        <f>A686+1</f>
        <v>482</v>
      </c>
      <c r="B687" s="20" t="s">
        <v>2621</v>
      </c>
      <c r="C687" s="273">
        <f t="shared" si="208"/>
        <v>1180126.8</v>
      </c>
      <c r="D687" s="273">
        <f>E687+F687+G687+H687</f>
        <v>0</v>
      </c>
      <c r="E687" s="273"/>
      <c r="F687" s="273"/>
      <c r="G687" s="273"/>
      <c r="H687" s="273"/>
      <c r="I687" s="273"/>
      <c r="J687" s="273">
        <v>660</v>
      </c>
      <c r="K687" s="273">
        <v>1180126.8</v>
      </c>
      <c r="L687" s="273"/>
      <c r="M687" s="273"/>
      <c r="N687" s="273"/>
      <c r="O687" s="273"/>
      <c r="P687" s="273"/>
      <c r="Q687" s="273"/>
      <c r="R687" s="273"/>
      <c r="S687" s="273"/>
      <c r="T687" s="273"/>
      <c r="U687" s="271"/>
      <c r="V687" s="269"/>
      <c r="W687" s="269"/>
      <c r="X687" s="269"/>
      <c r="Y687" s="269"/>
      <c r="Z687" s="269"/>
      <c r="AA687" s="269"/>
      <c r="AB687" s="269"/>
      <c r="AC687" s="269"/>
      <c r="AD687" s="7"/>
      <c r="AE687" s="13"/>
      <c r="AF687" s="13"/>
      <c r="AG687" s="13"/>
    </row>
    <row r="688" spans="1:33" x14ac:dyDescent="0.3">
      <c r="A688" s="250" t="s">
        <v>208</v>
      </c>
      <c r="B688" s="250"/>
      <c r="C688" s="273">
        <f t="shared" ref="C688:T688" si="209">SUBTOTAL(9,C685:C687)</f>
        <v>3703412.3999999994</v>
      </c>
      <c r="D688" s="273">
        <f t="shared" si="209"/>
        <v>0</v>
      </c>
      <c r="E688" s="273">
        <f t="shared" si="209"/>
        <v>0</v>
      </c>
      <c r="F688" s="273">
        <f t="shared" si="209"/>
        <v>0</v>
      </c>
      <c r="G688" s="273">
        <f t="shared" si="209"/>
        <v>0</v>
      </c>
      <c r="H688" s="273">
        <f t="shared" si="209"/>
        <v>0</v>
      </c>
      <c r="I688" s="273">
        <f t="shared" si="209"/>
        <v>0</v>
      </c>
      <c r="J688" s="273">
        <f t="shared" si="209"/>
        <v>1980</v>
      </c>
      <c r="K688" s="273">
        <f t="shared" si="209"/>
        <v>3703412.3999999994</v>
      </c>
      <c r="L688" s="273">
        <f t="shared" si="209"/>
        <v>0</v>
      </c>
      <c r="M688" s="273">
        <f t="shared" si="209"/>
        <v>0</v>
      </c>
      <c r="N688" s="273">
        <f t="shared" si="209"/>
        <v>0</v>
      </c>
      <c r="O688" s="273">
        <f t="shared" si="209"/>
        <v>0</v>
      </c>
      <c r="P688" s="273">
        <f t="shared" si="209"/>
        <v>0</v>
      </c>
      <c r="Q688" s="273">
        <f t="shared" si="209"/>
        <v>0</v>
      </c>
      <c r="R688" s="273">
        <f t="shared" si="209"/>
        <v>0</v>
      </c>
      <c r="S688" s="273">
        <f t="shared" si="209"/>
        <v>0</v>
      </c>
      <c r="T688" s="273">
        <f t="shared" si="209"/>
        <v>0</v>
      </c>
      <c r="U688" s="98"/>
      <c r="V688" s="269"/>
      <c r="W688" s="269"/>
      <c r="X688" s="269"/>
      <c r="Y688" s="269"/>
      <c r="Z688" s="269"/>
      <c r="AA688" s="269"/>
      <c r="AB688" s="269"/>
      <c r="AC688" s="269"/>
      <c r="AD688" s="7"/>
      <c r="AE688" s="13"/>
      <c r="AF688" s="13"/>
      <c r="AG688" s="13"/>
    </row>
    <row r="689" spans="1:49" x14ac:dyDescent="0.3">
      <c r="A689" s="249" t="s">
        <v>2622</v>
      </c>
      <c r="B689" s="249"/>
      <c r="C689" s="273"/>
      <c r="D689" s="273"/>
      <c r="E689" s="273"/>
      <c r="F689" s="273"/>
      <c r="G689" s="273"/>
      <c r="H689" s="273"/>
      <c r="I689" s="273"/>
      <c r="J689" s="273"/>
      <c r="K689" s="273"/>
      <c r="L689" s="273"/>
      <c r="M689" s="273"/>
      <c r="N689" s="273"/>
      <c r="O689" s="273"/>
      <c r="P689" s="273"/>
      <c r="Q689" s="273"/>
      <c r="R689" s="273"/>
      <c r="S689" s="273"/>
      <c r="T689" s="273"/>
      <c r="U689" s="271"/>
      <c r="V689" s="269"/>
      <c r="W689" s="269"/>
      <c r="X689" s="269"/>
      <c r="Y689" s="269"/>
      <c r="Z689" s="269"/>
      <c r="AA689" s="269"/>
      <c r="AB689" s="269"/>
      <c r="AC689" s="269"/>
      <c r="AD689" s="7"/>
      <c r="AE689" s="13"/>
      <c r="AF689" s="13"/>
      <c r="AG689" s="13"/>
    </row>
    <row r="690" spans="1:49" x14ac:dyDescent="0.3">
      <c r="A690" s="250">
        <f>A687+1</f>
        <v>483</v>
      </c>
      <c r="B690" s="20" t="s">
        <v>2625</v>
      </c>
      <c r="C690" s="273">
        <f t="shared" ref="C690" si="210">D690+K690+M690+O690+P690+R690+S690+T690</f>
        <v>1293511.2</v>
      </c>
      <c r="D690" s="273">
        <f>E690+F690+G690+H690</f>
        <v>0</v>
      </c>
      <c r="E690" s="273"/>
      <c r="F690" s="273"/>
      <c r="G690" s="273"/>
      <c r="H690" s="273"/>
      <c r="I690" s="273"/>
      <c r="J690" s="273">
        <v>464</v>
      </c>
      <c r="K690" s="273">
        <v>1293511.2</v>
      </c>
      <c r="L690" s="273"/>
      <c r="M690" s="273"/>
      <c r="N690" s="273"/>
      <c r="O690" s="273"/>
      <c r="P690" s="273"/>
      <c r="Q690" s="273"/>
      <c r="R690" s="273"/>
      <c r="S690" s="273"/>
      <c r="T690" s="273"/>
      <c r="U690" s="271"/>
      <c r="V690" s="269"/>
      <c r="W690" s="269"/>
      <c r="X690" s="269"/>
      <c r="Y690" s="269"/>
      <c r="Z690" s="269"/>
      <c r="AA690" s="269"/>
      <c r="AB690" s="269"/>
      <c r="AC690" s="269"/>
      <c r="AD690" s="7"/>
      <c r="AE690" s="13"/>
      <c r="AF690" s="13"/>
      <c r="AG690" s="13"/>
    </row>
    <row r="691" spans="1:49" x14ac:dyDescent="0.3">
      <c r="A691" s="250" t="s">
        <v>208</v>
      </c>
      <c r="B691" s="250"/>
      <c r="C691" s="273">
        <f t="shared" ref="C691:T691" si="211">SUBTOTAL(9,C690:C690)</f>
        <v>1293511.2</v>
      </c>
      <c r="D691" s="273">
        <f t="shared" si="211"/>
        <v>0</v>
      </c>
      <c r="E691" s="273">
        <f t="shared" si="211"/>
        <v>0</v>
      </c>
      <c r="F691" s="273">
        <f t="shared" si="211"/>
        <v>0</v>
      </c>
      <c r="G691" s="273">
        <f t="shared" si="211"/>
        <v>0</v>
      </c>
      <c r="H691" s="273">
        <f t="shared" si="211"/>
        <v>0</v>
      </c>
      <c r="I691" s="273">
        <f t="shared" si="211"/>
        <v>0</v>
      </c>
      <c r="J691" s="273">
        <f t="shared" si="211"/>
        <v>464</v>
      </c>
      <c r="K691" s="273">
        <f t="shared" si="211"/>
        <v>1293511.2</v>
      </c>
      <c r="L691" s="273">
        <f t="shared" si="211"/>
        <v>0</v>
      </c>
      <c r="M691" s="273">
        <f t="shared" si="211"/>
        <v>0</v>
      </c>
      <c r="N691" s="273">
        <f t="shared" si="211"/>
        <v>0</v>
      </c>
      <c r="O691" s="273">
        <f t="shared" si="211"/>
        <v>0</v>
      </c>
      <c r="P691" s="273">
        <f t="shared" si="211"/>
        <v>0</v>
      </c>
      <c r="Q691" s="273">
        <f t="shared" si="211"/>
        <v>0</v>
      </c>
      <c r="R691" s="273">
        <f t="shared" si="211"/>
        <v>0</v>
      </c>
      <c r="S691" s="273">
        <f t="shared" si="211"/>
        <v>0</v>
      </c>
      <c r="T691" s="273">
        <f t="shared" si="211"/>
        <v>0</v>
      </c>
      <c r="U691" s="98"/>
      <c r="V691" s="269"/>
      <c r="W691" s="269"/>
      <c r="X691" s="269"/>
      <c r="Y691" s="269"/>
      <c r="Z691" s="269"/>
      <c r="AA691" s="269"/>
      <c r="AB691" s="269"/>
      <c r="AC691" s="269"/>
      <c r="AD691" s="7"/>
      <c r="AE691" s="13"/>
      <c r="AF691" s="13"/>
      <c r="AG691" s="13"/>
    </row>
    <row r="692" spans="1:49" x14ac:dyDescent="0.3">
      <c r="A692" s="249" t="s">
        <v>2631</v>
      </c>
      <c r="B692" s="249"/>
      <c r="C692" s="273"/>
      <c r="D692" s="273"/>
      <c r="E692" s="273"/>
      <c r="F692" s="273"/>
      <c r="G692" s="273"/>
      <c r="H692" s="273"/>
      <c r="I692" s="273"/>
      <c r="J692" s="273"/>
      <c r="K692" s="273"/>
      <c r="L692" s="273"/>
      <c r="M692" s="273"/>
      <c r="N692" s="273"/>
      <c r="O692" s="273"/>
      <c r="P692" s="273"/>
      <c r="Q692" s="273"/>
      <c r="R692" s="273"/>
      <c r="S692" s="273"/>
      <c r="T692" s="273"/>
      <c r="U692" s="271"/>
      <c r="V692" s="269"/>
      <c r="W692" s="269"/>
      <c r="X692" s="269"/>
      <c r="Y692" s="269"/>
      <c r="Z692" s="269"/>
      <c r="AA692" s="269"/>
      <c r="AB692" s="269"/>
      <c r="AC692" s="269"/>
      <c r="AD692" s="7"/>
      <c r="AE692" s="13"/>
      <c r="AF692" s="13"/>
      <c r="AG692" s="13"/>
    </row>
    <row r="693" spans="1:49" x14ac:dyDescent="0.3">
      <c r="A693" s="250">
        <f>A690+1</f>
        <v>484</v>
      </c>
      <c r="B693" s="20" t="s">
        <v>2709</v>
      </c>
      <c r="C693" s="273">
        <f t="shared" ref="C693:C718" si="212">D693+K693+M693+O693+P693+R693+S693+T693</f>
        <v>1553003.9000000001</v>
      </c>
      <c r="D693" s="273">
        <f t="shared" ref="D693:D718" si="213">E693+F693+G693+H693+I693</f>
        <v>1553003.9000000001</v>
      </c>
      <c r="E693" s="273"/>
      <c r="F693" s="273"/>
      <c r="G693" s="273">
        <v>408690.64</v>
      </c>
      <c r="H693" s="273">
        <v>700077.48</v>
      </c>
      <c r="I693" s="273">
        <v>444235.78</v>
      </c>
      <c r="J693" s="273"/>
      <c r="K693" s="273"/>
      <c r="L693" s="273"/>
      <c r="M693" s="273"/>
      <c r="N693" s="273"/>
      <c r="O693" s="273"/>
      <c r="P693" s="273"/>
      <c r="Q693" s="273"/>
      <c r="R693" s="273"/>
      <c r="S693" s="273"/>
      <c r="T693" s="273"/>
      <c r="U693" s="271"/>
      <c r="V693" s="269"/>
      <c r="W693" s="269"/>
      <c r="X693" s="269"/>
      <c r="Y693" s="269"/>
      <c r="Z693" s="269"/>
      <c r="AA693" s="269"/>
      <c r="AB693" s="269"/>
      <c r="AC693" s="269"/>
      <c r="AD693" s="7"/>
      <c r="AE693" s="13"/>
      <c r="AF693" s="13"/>
      <c r="AG693" s="13"/>
    </row>
    <row r="694" spans="1:49" x14ac:dyDescent="0.3">
      <c r="A694" s="250">
        <f t="shared" ref="A694:A718" si="214">A693+1</f>
        <v>485</v>
      </c>
      <c r="B694" s="20" t="s">
        <v>2726</v>
      </c>
      <c r="C694" s="273">
        <f t="shared" si="212"/>
        <v>3811359.6</v>
      </c>
      <c r="D694" s="273">
        <f t="shared" si="213"/>
        <v>3811359.6</v>
      </c>
      <c r="E694" s="273">
        <v>3811359.6</v>
      </c>
      <c r="F694" s="273"/>
      <c r="G694" s="273"/>
      <c r="H694" s="273"/>
      <c r="I694" s="273"/>
      <c r="J694" s="273"/>
      <c r="K694" s="273"/>
      <c r="L694" s="273"/>
      <c r="M694" s="273"/>
      <c r="N694" s="273"/>
      <c r="O694" s="273"/>
      <c r="P694" s="273"/>
      <c r="Q694" s="273"/>
      <c r="R694" s="273"/>
      <c r="S694" s="273"/>
      <c r="T694" s="273"/>
      <c r="U694" s="271"/>
      <c r="V694" s="269"/>
      <c r="W694" s="269"/>
      <c r="X694" s="269"/>
      <c r="Y694" s="269"/>
      <c r="Z694" s="269"/>
      <c r="AA694" s="269"/>
      <c r="AB694" s="269"/>
      <c r="AC694" s="269"/>
      <c r="AD694" s="7"/>
      <c r="AE694" s="13"/>
      <c r="AF694" s="13"/>
      <c r="AG694" s="13"/>
    </row>
    <row r="695" spans="1:49" x14ac:dyDescent="0.3">
      <c r="A695" s="250">
        <f t="shared" si="214"/>
        <v>486</v>
      </c>
      <c r="B695" s="20" t="s">
        <v>2758</v>
      </c>
      <c r="C695" s="273">
        <f t="shared" si="212"/>
        <v>1799343.6</v>
      </c>
      <c r="D695" s="273">
        <f t="shared" si="213"/>
        <v>1799343.6</v>
      </c>
      <c r="E695" s="273">
        <v>1799343.6</v>
      </c>
      <c r="F695" s="273"/>
      <c r="G695" s="273"/>
      <c r="H695" s="273"/>
      <c r="I695" s="273"/>
      <c r="J695" s="273"/>
      <c r="K695" s="273"/>
      <c r="L695" s="273"/>
      <c r="M695" s="273"/>
      <c r="N695" s="273"/>
      <c r="O695" s="273"/>
      <c r="P695" s="273"/>
      <c r="Q695" s="273"/>
      <c r="R695" s="273"/>
      <c r="S695" s="273"/>
      <c r="T695" s="273"/>
      <c r="U695" s="271"/>
      <c r="V695" s="269"/>
      <c r="W695" s="269"/>
      <c r="X695" s="269"/>
      <c r="Y695" s="269"/>
      <c r="Z695" s="269"/>
      <c r="AA695" s="269"/>
      <c r="AB695" s="269"/>
      <c r="AC695" s="269"/>
      <c r="AD695" s="7"/>
      <c r="AE695" s="13"/>
      <c r="AF695" s="13"/>
      <c r="AG695" s="13"/>
    </row>
    <row r="696" spans="1:49" x14ac:dyDescent="0.3">
      <c r="A696" s="250">
        <f t="shared" si="214"/>
        <v>487</v>
      </c>
      <c r="B696" s="20" t="s">
        <v>3556</v>
      </c>
      <c r="C696" s="273">
        <f t="shared" si="212"/>
        <v>3243476.6</v>
      </c>
      <c r="D696" s="273">
        <f t="shared" si="213"/>
        <v>3243476.6</v>
      </c>
      <c r="E696" s="86">
        <v>3243476.6</v>
      </c>
      <c r="F696" s="273"/>
      <c r="G696" s="273"/>
      <c r="H696" s="273"/>
      <c r="I696" s="273"/>
      <c r="J696" s="273"/>
      <c r="K696" s="273"/>
      <c r="L696" s="273"/>
      <c r="M696" s="273"/>
      <c r="N696" s="273"/>
      <c r="O696" s="273"/>
      <c r="P696" s="273"/>
      <c r="Q696" s="273"/>
      <c r="R696" s="273"/>
      <c r="S696" s="273"/>
      <c r="T696" s="273"/>
      <c r="U696" s="271"/>
      <c r="V696" s="269"/>
      <c r="W696" s="269"/>
      <c r="X696" s="269"/>
      <c r="Y696" s="269"/>
      <c r="Z696" s="269"/>
      <c r="AA696" s="269"/>
      <c r="AB696" s="269"/>
      <c r="AC696" s="269"/>
      <c r="AD696" s="7"/>
      <c r="AE696" s="13"/>
      <c r="AF696" s="13"/>
      <c r="AG696" s="13"/>
    </row>
    <row r="697" spans="1:49" x14ac:dyDescent="0.3">
      <c r="A697" s="250">
        <f t="shared" si="214"/>
        <v>488</v>
      </c>
      <c r="B697" s="20" t="s">
        <v>3557</v>
      </c>
      <c r="C697" s="273">
        <f t="shared" si="212"/>
        <v>3243476.6</v>
      </c>
      <c r="D697" s="273">
        <f t="shared" si="213"/>
        <v>3243476.6</v>
      </c>
      <c r="E697" s="273">
        <v>3243476.6</v>
      </c>
      <c r="F697" s="273"/>
      <c r="G697" s="273"/>
      <c r="H697" s="273"/>
      <c r="I697" s="273"/>
      <c r="J697" s="273"/>
      <c r="K697" s="273"/>
      <c r="L697" s="273"/>
      <c r="M697" s="273"/>
      <c r="N697" s="273"/>
      <c r="O697" s="273"/>
      <c r="P697" s="273"/>
      <c r="Q697" s="273"/>
      <c r="R697" s="273"/>
      <c r="S697" s="273"/>
      <c r="T697" s="273"/>
      <c r="U697" s="271"/>
      <c r="V697" s="269"/>
      <c r="W697" s="269"/>
      <c r="X697" s="269"/>
      <c r="Y697" s="269"/>
      <c r="Z697" s="269"/>
      <c r="AA697" s="269"/>
      <c r="AB697" s="269"/>
      <c r="AC697" s="269"/>
      <c r="AD697" s="7"/>
      <c r="AE697" s="13"/>
      <c r="AF697" s="13"/>
      <c r="AG697" s="13"/>
    </row>
    <row r="698" spans="1:49" x14ac:dyDescent="0.3">
      <c r="A698" s="250">
        <f t="shared" si="214"/>
        <v>489</v>
      </c>
      <c r="B698" s="20" t="s">
        <v>2764</v>
      </c>
      <c r="C698" s="273">
        <f t="shared" si="212"/>
        <v>547578.15</v>
      </c>
      <c r="D698" s="273">
        <f t="shared" si="213"/>
        <v>547578.15</v>
      </c>
      <c r="E698" s="273">
        <v>547578.15</v>
      </c>
      <c r="F698" s="273"/>
      <c r="G698" s="273"/>
      <c r="H698" s="273"/>
      <c r="I698" s="273"/>
      <c r="J698" s="273"/>
      <c r="K698" s="273"/>
      <c r="L698" s="273"/>
      <c r="M698" s="273"/>
      <c r="N698" s="273"/>
      <c r="O698" s="273"/>
      <c r="P698" s="273"/>
      <c r="Q698" s="273"/>
      <c r="R698" s="273"/>
      <c r="S698" s="273"/>
      <c r="T698" s="273"/>
      <c r="U698" s="271"/>
      <c r="V698" s="269"/>
      <c r="W698" s="269"/>
      <c r="X698" s="269"/>
      <c r="Y698" s="269"/>
      <c r="Z698" s="269"/>
      <c r="AA698" s="269"/>
      <c r="AB698" s="269"/>
      <c r="AC698" s="269"/>
      <c r="AD698" s="7"/>
      <c r="AE698" s="13"/>
      <c r="AF698" s="13"/>
      <c r="AG698" s="13"/>
    </row>
    <row r="699" spans="1:49" s="161" customFormat="1" ht="19.5" customHeight="1" x14ac:dyDescent="0.3">
      <c r="A699" s="250">
        <f t="shared" si="214"/>
        <v>490</v>
      </c>
      <c r="B699" s="207" t="s">
        <v>2769</v>
      </c>
      <c r="C699" s="273">
        <f t="shared" si="212"/>
        <v>2383024.16</v>
      </c>
      <c r="D699" s="273">
        <f t="shared" si="213"/>
        <v>0</v>
      </c>
      <c r="E699" s="234"/>
      <c r="F699" s="139"/>
      <c r="G699" s="139"/>
      <c r="H699" s="139"/>
      <c r="I699" s="139"/>
      <c r="J699" s="139">
        <v>454</v>
      </c>
      <c r="K699" s="234">
        <v>2383024.16</v>
      </c>
      <c r="L699" s="13"/>
      <c r="M699" s="139"/>
      <c r="N699" s="139"/>
      <c r="O699" s="139"/>
      <c r="P699" s="139"/>
      <c r="Q699" s="234"/>
      <c r="R699" s="234"/>
      <c r="S699" s="234"/>
      <c r="T699" s="234"/>
      <c r="U699" s="156"/>
      <c r="V699" s="156"/>
      <c r="W699" s="151"/>
      <c r="X699" s="157"/>
      <c r="Y699" s="157"/>
      <c r="Z699" s="158"/>
      <c r="AA699" s="159"/>
      <c r="AB699" s="160"/>
    </row>
    <row r="700" spans="1:49" x14ac:dyDescent="0.3">
      <c r="A700" s="250">
        <f t="shared" si="214"/>
        <v>491</v>
      </c>
      <c r="B700" s="208" t="s">
        <v>2770</v>
      </c>
      <c r="C700" s="273">
        <f t="shared" si="212"/>
        <v>803088.3</v>
      </c>
      <c r="D700" s="273">
        <f t="shared" si="213"/>
        <v>803088.3</v>
      </c>
      <c r="E700" s="86">
        <v>803088.3</v>
      </c>
      <c r="F700" s="273"/>
      <c r="G700" s="273"/>
      <c r="H700" s="273"/>
      <c r="I700" s="273"/>
      <c r="J700" s="273"/>
      <c r="K700" s="273"/>
      <c r="L700" s="273"/>
      <c r="M700" s="273"/>
      <c r="N700" s="273"/>
      <c r="O700" s="273"/>
      <c r="P700" s="273"/>
      <c r="Q700" s="273"/>
      <c r="R700" s="273"/>
      <c r="S700" s="273"/>
      <c r="T700" s="273"/>
      <c r="U700" s="271"/>
      <c r="V700" s="269"/>
      <c r="W700" s="269"/>
      <c r="X700" s="269"/>
      <c r="Y700" s="269"/>
      <c r="Z700" s="269"/>
      <c r="AA700" s="269"/>
      <c r="AB700" s="269"/>
      <c r="AC700" s="269"/>
      <c r="AD700" s="7"/>
      <c r="AE700" s="13"/>
      <c r="AF700" s="13"/>
      <c r="AG700" s="13"/>
    </row>
    <row r="701" spans="1:49" x14ac:dyDescent="0.3">
      <c r="A701" s="250">
        <f t="shared" si="214"/>
        <v>492</v>
      </c>
      <c r="B701" s="20" t="s">
        <v>2771</v>
      </c>
      <c r="C701" s="273">
        <f t="shared" si="212"/>
        <v>836228.4</v>
      </c>
      <c r="D701" s="273">
        <f t="shared" si="213"/>
        <v>836228.4</v>
      </c>
      <c r="E701" s="273">
        <v>836228.4</v>
      </c>
      <c r="F701" s="273"/>
      <c r="G701" s="273"/>
      <c r="H701" s="273"/>
      <c r="I701" s="273"/>
      <c r="J701" s="273"/>
      <c r="K701" s="273"/>
      <c r="L701" s="273"/>
      <c r="M701" s="273"/>
      <c r="N701" s="273"/>
      <c r="O701" s="273"/>
      <c r="P701" s="273"/>
      <c r="Q701" s="273"/>
      <c r="R701" s="273"/>
      <c r="S701" s="273"/>
      <c r="T701" s="273"/>
      <c r="U701" s="271"/>
      <c r="V701" s="269"/>
      <c r="W701" s="269"/>
      <c r="X701" s="269"/>
      <c r="Y701" s="269"/>
      <c r="Z701" s="269"/>
      <c r="AA701" s="269"/>
      <c r="AB701" s="269"/>
      <c r="AC701" s="269"/>
      <c r="AD701" s="7"/>
      <c r="AE701" s="13"/>
      <c r="AF701" s="13"/>
      <c r="AG701" s="13"/>
    </row>
    <row r="702" spans="1:49" x14ac:dyDescent="0.3">
      <c r="A702" s="250">
        <f t="shared" si="214"/>
        <v>493</v>
      </c>
      <c r="B702" s="20" t="s">
        <v>2778</v>
      </c>
      <c r="C702" s="273">
        <f t="shared" si="212"/>
        <v>441508.8</v>
      </c>
      <c r="D702" s="273">
        <f t="shared" si="213"/>
        <v>441508.8</v>
      </c>
      <c r="E702" s="273">
        <v>441508.8</v>
      </c>
      <c r="F702" s="273"/>
      <c r="G702" s="273"/>
      <c r="H702" s="273"/>
      <c r="I702" s="273"/>
      <c r="J702" s="273"/>
      <c r="K702" s="273"/>
      <c r="L702" s="273"/>
      <c r="M702" s="273"/>
      <c r="N702" s="273"/>
      <c r="O702" s="273"/>
      <c r="P702" s="273"/>
      <c r="Q702" s="273"/>
      <c r="R702" s="273"/>
      <c r="S702" s="273"/>
      <c r="T702" s="273"/>
      <c r="U702" s="271"/>
      <c r="V702" s="269"/>
      <c r="W702" s="269"/>
      <c r="X702" s="269"/>
      <c r="Y702" s="269"/>
      <c r="Z702" s="269"/>
      <c r="AA702" s="269"/>
      <c r="AB702" s="269"/>
      <c r="AC702" s="269"/>
      <c r="AD702" s="7"/>
      <c r="AE702" s="13"/>
      <c r="AF702" s="13"/>
      <c r="AG702" s="13"/>
    </row>
    <row r="703" spans="1:49" x14ac:dyDescent="0.3">
      <c r="A703" s="250">
        <f t="shared" si="214"/>
        <v>494</v>
      </c>
      <c r="B703" s="208" t="s">
        <v>2782</v>
      </c>
      <c r="C703" s="273">
        <f t="shared" si="212"/>
        <v>1258434.45</v>
      </c>
      <c r="D703" s="273">
        <f t="shared" si="213"/>
        <v>1258434.45</v>
      </c>
      <c r="E703" s="86">
        <v>1258434.45</v>
      </c>
      <c r="F703" s="86"/>
      <c r="G703" s="86"/>
      <c r="H703" s="86"/>
      <c r="I703" s="86"/>
      <c r="J703" s="273"/>
      <c r="K703" s="273"/>
      <c r="L703" s="86"/>
      <c r="M703" s="182"/>
      <c r="N703" s="86"/>
      <c r="O703" s="86"/>
      <c r="P703" s="86"/>
      <c r="Q703" s="86"/>
      <c r="R703" s="86"/>
      <c r="S703" s="86"/>
      <c r="T703" s="182"/>
      <c r="U703" s="153"/>
      <c r="V703" s="152"/>
      <c r="W703" s="152"/>
      <c r="X703" s="154"/>
      <c r="Y703" s="154"/>
      <c r="Z703" s="155"/>
      <c r="AA703" s="155"/>
      <c r="AB703" s="155"/>
      <c r="AC703" s="155"/>
      <c r="AD703" s="155"/>
      <c r="AE703" s="155"/>
      <c r="AF703" s="155"/>
      <c r="AG703" s="155"/>
      <c r="AH703" s="155"/>
      <c r="AI703" s="155"/>
      <c r="AJ703" s="155"/>
      <c r="AK703" s="155"/>
      <c r="AL703" s="155"/>
      <c r="AM703" s="155"/>
      <c r="AN703" s="155"/>
      <c r="AO703" s="155"/>
      <c r="AP703" s="155"/>
      <c r="AQ703" s="155"/>
      <c r="AR703" s="155"/>
      <c r="AS703" s="155"/>
      <c r="AT703" s="155"/>
      <c r="AU703" s="155"/>
      <c r="AV703" s="155"/>
      <c r="AW703" s="155"/>
    </row>
    <row r="704" spans="1:49" x14ac:dyDescent="0.3">
      <c r="A704" s="250">
        <f t="shared" si="214"/>
        <v>495</v>
      </c>
      <c r="B704" s="20" t="s">
        <v>2783</v>
      </c>
      <c r="C704" s="273">
        <f t="shared" si="212"/>
        <v>340582.22</v>
      </c>
      <c r="D704" s="273">
        <f t="shared" si="213"/>
        <v>340582.22</v>
      </c>
      <c r="E704" s="273">
        <v>340582.22</v>
      </c>
      <c r="F704" s="273"/>
      <c r="G704" s="273"/>
      <c r="H704" s="273"/>
      <c r="I704" s="273"/>
      <c r="J704" s="273"/>
      <c r="K704" s="273"/>
      <c r="L704" s="273"/>
      <c r="M704" s="273"/>
      <c r="N704" s="273"/>
      <c r="O704" s="273"/>
      <c r="P704" s="273"/>
      <c r="Q704" s="273"/>
      <c r="R704" s="273"/>
      <c r="S704" s="273"/>
      <c r="T704" s="273"/>
      <c r="U704" s="271"/>
      <c r="V704" s="269"/>
      <c r="W704" s="269"/>
      <c r="X704" s="269"/>
      <c r="Y704" s="269"/>
      <c r="Z704" s="269"/>
      <c r="AA704" s="269"/>
      <c r="AB704" s="269"/>
      <c r="AC704" s="269"/>
      <c r="AD704" s="7"/>
      <c r="AE704" s="13"/>
      <c r="AF704" s="13"/>
      <c r="AG704" s="13"/>
    </row>
    <row r="705" spans="1:49" x14ac:dyDescent="0.3">
      <c r="A705" s="250">
        <f t="shared" si="214"/>
        <v>496</v>
      </c>
      <c r="B705" s="20" t="s">
        <v>2787</v>
      </c>
      <c r="C705" s="273">
        <f t="shared" si="212"/>
        <v>419314.18</v>
      </c>
      <c r="D705" s="273">
        <f t="shared" si="213"/>
        <v>419314.18</v>
      </c>
      <c r="E705" s="273">
        <v>419314.18</v>
      </c>
      <c r="F705" s="273"/>
      <c r="G705" s="273"/>
      <c r="H705" s="273"/>
      <c r="I705" s="273"/>
      <c r="J705" s="273"/>
      <c r="K705" s="273"/>
      <c r="L705" s="273"/>
      <c r="M705" s="273"/>
      <c r="N705" s="273"/>
      <c r="O705" s="273"/>
      <c r="P705" s="273"/>
      <c r="Q705" s="273"/>
      <c r="R705" s="273"/>
      <c r="S705" s="273"/>
      <c r="T705" s="273"/>
      <c r="U705" s="271"/>
      <c r="V705" s="269"/>
      <c r="W705" s="269"/>
      <c r="X705" s="269"/>
      <c r="Y705" s="269"/>
      <c r="Z705" s="269"/>
      <c r="AA705" s="269"/>
      <c r="AB705" s="269"/>
      <c r="AC705" s="269"/>
      <c r="AD705" s="7"/>
      <c r="AE705" s="13"/>
      <c r="AF705" s="13"/>
      <c r="AG705" s="13"/>
    </row>
    <row r="706" spans="1:49" x14ac:dyDescent="0.3">
      <c r="A706" s="250">
        <f t="shared" si="214"/>
        <v>497</v>
      </c>
      <c r="B706" s="20" t="s">
        <v>2792</v>
      </c>
      <c r="C706" s="273">
        <f t="shared" si="212"/>
        <v>361596</v>
      </c>
      <c r="D706" s="273">
        <f t="shared" si="213"/>
        <v>361596</v>
      </c>
      <c r="E706" s="273">
        <v>361596</v>
      </c>
      <c r="F706" s="273"/>
      <c r="G706" s="273"/>
      <c r="H706" s="273"/>
      <c r="I706" s="273"/>
      <c r="J706" s="273"/>
      <c r="K706" s="273"/>
      <c r="L706" s="273"/>
      <c r="M706" s="273"/>
      <c r="N706" s="273"/>
      <c r="O706" s="273"/>
      <c r="P706" s="273"/>
      <c r="Q706" s="273"/>
      <c r="R706" s="273"/>
      <c r="S706" s="273"/>
      <c r="T706" s="273"/>
      <c r="U706" s="271"/>
      <c r="V706" s="269"/>
      <c r="W706" s="269"/>
      <c r="X706" s="269"/>
      <c r="Y706" s="269"/>
      <c r="Z706" s="269"/>
      <c r="AA706" s="269"/>
      <c r="AB706" s="269"/>
      <c r="AC706" s="269"/>
      <c r="AD706" s="7"/>
      <c r="AE706" s="13"/>
      <c r="AF706" s="13"/>
      <c r="AG706" s="13"/>
    </row>
    <row r="707" spans="1:49" x14ac:dyDescent="0.3">
      <c r="A707" s="250">
        <f t="shared" si="214"/>
        <v>498</v>
      </c>
      <c r="B707" s="20" t="s">
        <v>2794</v>
      </c>
      <c r="C707" s="273">
        <f t="shared" si="212"/>
        <v>378188.82</v>
      </c>
      <c r="D707" s="273">
        <f t="shared" si="213"/>
        <v>378188.82</v>
      </c>
      <c r="E707" s="273">
        <v>378188.82</v>
      </c>
      <c r="F707" s="273"/>
      <c r="G707" s="273"/>
      <c r="H707" s="273"/>
      <c r="I707" s="273"/>
      <c r="J707" s="273"/>
      <c r="K707" s="273"/>
      <c r="L707" s="273"/>
      <c r="M707" s="273"/>
      <c r="N707" s="273"/>
      <c r="O707" s="273"/>
      <c r="P707" s="273"/>
      <c r="Q707" s="273"/>
      <c r="R707" s="273"/>
      <c r="S707" s="273"/>
      <c r="T707" s="273"/>
      <c r="U707" s="271"/>
      <c r="V707" s="269"/>
      <c r="W707" s="269"/>
      <c r="X707" s="269"/>
      <c r="Y707" s="269"/>
      <c r="Z707" s="269"/>
      <c r="AA707" s="269"/>
      <c r="AB707" s="269"/>
      <c r="AC707" s="269"/>
      <c r="AD707" s="7"/>
      <c r="AE707" s="13"/>
      <c r="AF707" s="13"/>
      <c r="AG707" s="13"/>
    </row>
    <row r="708" spans="1:49" x14ac:dyDescent="0.3">
      <c r="A708" s="250">
        <f t="shared" si="214"/>
        <v>499</v>
      </c>
      <c r="B708" s="20" t="s">
        <v>2795</v>
      </c>
      <c r="C708" s="273">
        <f t="shared" si="212"/>
        <v>412139.78</v>
      </c>
      <c r="D708" s="273">
        <f t="shared" si="213"/>
        <v>412139.78</v>
      </c>
      <c r="E708" s="273">
        <v>412139.78</v>
      </c>
      <c r="F708" s="273"/>
      <c r="G708" s="273"/>
      <c r="H708" s="273"/>
      <c r="I708" s="273"/>
      <c r="J708" s="273"/>
      <c r="K708" s="273"/>
      <c r="L708" s="273"/>
      <c r="M708" s="273"/>
      <c r="N708" s="273"/>
      <c r="O708" s="273"/>
      <c r="P708" s="273"/>
      <c r="Q708" s="273"/>
      <c r="R708" s="273"/>
      <c r="S708" s="273"/>
      <c r="T708" s="273"/>
      <c r="U708" s="271"/>
      <c r="V708" s="269"/>
      <c r="W708" s="269"/>
      <c r="X708" s="269"/>
      <c r="Y708" s="269"/>
      <c r="Z708" s="269"/>
      <c r="AA708" s="269"/>
      <c r="AB708" s="269"/>
      <c r="AC708" s="269"/>
      <c r="AD708" s="7"/>
      <c r="AE708" s="13"/>
      <c r="AF708" s="13"/>
      <c r="AG708" s="13"/>
    </row>
    <row r="709" spans="1:49" x14ac:dyDescent="0.3">
      <c r="A709" s="250">
        <f t="shared" si="214"/>
        <v>500</v>
      </c>
      <c r="B709" s="20" t="s">
        <v>2796</v>
      </c>
      <c r="C709" s="273">
        <f t="shared" si="212"/>
        <v>515047.58</v>
      </c>
      <c r="D709" s="273">
        <f t="shared" si="213"/>
        <v>515047.58</v>
      </c>
      <c r="E709" s="273">
        <v>515047.58</v>
      </c>
      <c r="F709" s="273"/>
      <c r="G709" s="273"/>
      <c r="H709" s="273"/>
      <c r="I709" s="273"/>
      <c r="J709" s="273"/>
      <c r="K709" s="273"/>
      <c r="L709" s="273"/>
      <c r="M709" s="273"/>
      <c r="N709" s="273"/>
      <c r="O709" s="273"/>
      <c r="P709" s="273"/>
      <c r="Q709" s="273"/>
      <c r="R709" s="273"/>
      <c r="S709" s="273"/>
      <c r="T709" s="273"/>
      <c r="U709" s="271"/>
      <c r="V709" s="269"/>
      <c r="W709" s="269"/>
      <c r="X709" s="269"/>
      <c r="Y709" s="269"/>
      <c r="Z709" s="269"/>
      <c r="AA709" s="269"/>
      <c r="AB709" s="269"/>
      <c r="AC709" s="269"/>
      <c r="AD709" s="7"/>
      <c r="AE709" s="13"/>
      <c r="AF709" s="13"/>
      <c r="AG709" s="13"/>
    </row>
    <row r="710" spans="1:49" x14ac:dyDescent="0.3">
      <c r="A710" s="250">
        <f t="shared" si="214"/>
        <v>501</v>
      </c>
      <c r="B710" s="20" t="s">
        <v>2798</v>
      </c>
      <c r="C710" s="273">
        <f t="shared" si="212"/>
        <v>602612.4</v>
      </c>
      <c r="D710" s="273">
        <f t="shared" si="213"/>
        <v>602612.4</v>
      </c>
      <c r="E710" s="273">
        <v>602612.4</v>
      </c>
      <c r="F710" s="273"/>
      <c r="G710" s="273"/>
      <c r="H710" s="273"/>
      <c r="I710" s="273"/>
      <c r="J710" s="273"/>
      <c r="K710" s="273"/>
      <c r="L710" s="273"/>
      <c r="M710" s="273"/>
      <c r="N710" s="273"/>
      <c r="O710" s="273"/>
      <c r="P710" s="273"/>
      <c r="Q710" s="273"/>
      <c r="R710" s="273"/>
      <c r="S710" s="273"/>
      <c r="T710" s="273"/>
      <c r="U710" s="271"/>
      <c r="V710" s="269"/>
      <c r="W710" s="269"/>
      <c r="X710" s="269"/>
      <c r="Y710" s="269"/>
      <c r="Z710" s="269"/>
      <c r="AA710" s="269"/>
      <c r="AB710" s="269"/>
      <c r="AC710" s="269"/>
      <c r="AD710" s="7"/>
      <c r="AE710" s="13"/>
      <c r="AF710" s="13"/>
      <c r="AG710" s="13"/>
    </row>
    <row r="711" spans="1:49" x14ac:dyDescent="0.3">
      <c r="A711" s="250">
        <f t="shared" si="214"/>
        <v>502</v>
      </c>
      <c r="B711" s="20" t="s">
        <v>2801</v>
      </c>
      <c r="C711" s="273">
        <f t="shared" si="212"/>
        <v>524106.44</v>
      </c>
      <c r="D711" s="273">
        <f t="shared" si="213"/>
        <v>524106.44</v>
      </c>
      <c r="E711" s="273">
        <v>524106.44</v>
      </c>
      <c r="F711" s="273"/>
      <c r="G711" s="273"/>
      <c r="H711" s="273"/>
      <c r="I711" s="273"/>
      <c r="J711" s="273"/>
      <c r="K711" s="273"/>
      <c r="L711" s="273"/>
      <c r="M711" s="273"/>
      <c r="N711" s="273"/>
      <c r="O711" s="273"/>
      <c r="P711" s="273"/>
      <c r="Q711" s="273"/>
      <c r="R711" s="273"/>
      <c r="S711" s="273"/>
      <c r="T711" s="273"/>
      <c r="U711" s="271"/>
      <c r="V711" s="269"/>
      <c r="W711" s="269"/>
      <c r="X711" s="269"/>
      <c r="Y711" s="269"/>
      <c r="Z711" s="269"/>
      <c r="AA711" s="269"/>
      <c r="AB711" s="269"/>
      <c r="AC711" s="269"/>
      <c r="AD711" s="7"/>
      <c r="AE711" s="13"/>
      <c r="AF711" s="13"/>
      <c r="AG711" s="13"/>
    </row>
    <row r="712" spans="1:49" x14ac:dyDescent="0.3">
      <c r="A712" s="250">
        <f t="shared" si="214"/>
        <v>503</v>
      </c>
      <c r="B712" s="20" t="s">
        <v>2802</v>
      </c>
      <c r="C712" s="273">
        <f t="shared" si="212"/>
        <v>366324</v>
      </c>
      <c r="D712" s="273">
        <f t="shared" si="213"/>
        <v>366324</v>
      </c>
      <c r="E712" s="273">
        <v>366324</v>
      </c>
      <c r="F712" s="273"/>
      <c r="G712" s="273"/>
      <c r="H712" s="273"/>
      <c r="I712" s="273"/>
      <c r="J712" s="273"/>
      <c r="K712" s="273"/>
      <c r="L712" s="273"/>
      <c r="M712" s="273"/>
      <c r="N712" s="273"/>
      <c r="O712" s="273"/>
      <c r="P712" s="273"/>
      <c r="Q712" s="273"/>
      <c r="R712" s="273"/>
      <c r="S712" s="273"/>
      <c r="T712" s="273"/>
      <c r="U712" s="271"/>
      <c r="V712" s="269"/>
      <c r="W712" s="269"/>
      <c r="X712" s="269"/>
      <c r="Y712" s="269"/>
      <c r="Z712" s="269"/>
      <c r="AA712" s="269"/>
      <c r="AB712" s="269"/>
      <c r="AC712" s="269"/>
      <c r="AD712" s="7"/>
      <c r="AE712" s="13"/>
      <c r="AF712" s="13"/>
      <c r="AG712" s="13"/>
    </row>
    <row r="713" spans="1:49" x14ac:dyDescent="0.3">
      <c r="A713" s="250">
        <f t="shared" si="214"/>
        <v>504</v>
      </c>
      <c r="B713" s="20" t="s">
        <v>2803</v>
      </c>
      <c r="C713" s="273">
        <f t="shared" si="212"/>
        <v>590447.22</v>
      </c>
      <c r="D713" s="273">
        <f t="shared" si="213"/>
        <v>590447.22</v>
      </c>
      <c r="E713" s="273">
        <v>590447.22</v>
      </c>
      <c r="F713" s="273"/>
      <c r="G713" s="273"/>
      <c r="H713" s="273"/>
      <c r="I713" s="273"/>
      <c r="J713" s="273"/>
      <c r="K713" s="273"/>
      <c r="L713" s="273"/>
      <c r="M713" s="273"/>
      <c r="N713" s="273"/>
      <c r="O713" s="273"/>
      <c r="P713" s="273"/>
      <c r="Q713" s="273"/>
      <c r="R713" s="273"/>
      <c r="S713" s="273"/>
      <c r="T713" s="273"/>
      <c r="U713" s="271"/>
      <c r="V713" s="269"/>
      <c r="W713" s="269"/>
      <c r="X713" s="269"/>
      <c r="Y713" s="269"/>
      <c r="Z713" s="269"/>
      <c r="AA713" s="269"/>
      <c r="AB713" s="269"/>
      <c r="AC713" s="269"/>
      <c r="AD713" s="7"/>
      <c r="AE713" s="13"/>
      <c r="AF713" s="13"/>
      <c r="AG713" s="13"/>
    </row>
    <row r="714" spans="1:49" x14ac:dyDescent="0.3">
      <c r="A714" s="250">
        <f t="shared" si="214"/>
        <v>505</v>
      </c>
      <c r="B714" s="20" t="s">
        <v>2804</v>
      </c>
      <c r="C714" s="273">
        <f t="shared" si="212"/>
        <v>374379.6</v>
      </c>
      <c r="D714" s="273">
        <f t="shared" si="213"/>
        <v>374379.6</v>
      </c>
      <c r="E714" s="273">
        <v>374379.6</v>
      </c>
      <c r="F714" s="273"/>
      <c r="G714" s="273"/>
      <c r="H714" s="273"/>
      <c r="I714" s="273"/>
      <c r="J714" s="273"/>
      <c r="K714" s="273"/>
      <c r="L714" s="273"/>
      <c r="M714" s="273"/>
      <c r="N714" s="273"/>
      <c r="O714" s="273"/>
      <c r="P714" s="273"/>
      <c r="Q714" s="273"/>
      <c r="R714" s="273"/>
      <c r="S714" s="273"/>
      <c r="T714" s="273"/>
      <c r="U714" s="271"/>
      <c r="V714" s="269"/>
      <c r="W714" s="269"/>
      <c r="X714" s="269"/>
      <c r="Y714" s="269"/>
      <c r="Z714" s="269"/>
      <c r="AA714" s="269"/>
      <c r="AB714" s="269"/>
      <c r="AC714" s="269"/>
      <c r="AD714" s="7"/>
      <c r="AE714" s="13"/>
      <c r="AF714" s="13"/>
      <c r="AG714" s="13"/>
    </row>
    <row r="715" spans="1:49" x14ac:dyDescent="0.3">
      <c r="A715" s="250">
        <f t="shared" si="214"/>
        <v>506</v>
      </c>
      <c r="B715" s="20" t="s">
        <v>2805</v>
      </c>
      <c r="C715" s="273">
        <f t="shared" si="212"/>
        <v>611636.47999999998</v>
      </c>
      <c r="D715" s="273">
        <f t="shared" si="213"/>
        <v>611636.47999999998</v>
      </c>
      <c r="E715" s="273">
        <v>611636.47999999998</v>
      </c>
      <c r="F715" s="273"/>
      <c r="G715" s="273"/>
      <c r="H715" s="273"/>
      <c r="I715" s="273"/>
      <c r="J715" s="273"/>
      <c r="K715" s="273"/>
      <c r="L715" s="273"/>
      <c r="M715" s="273"/>
      <c r="N715" s="273"/>
      <c r="O715" s="273"/>
      <c r="P715" s="273"/>
      <c r="Q715" s="273"/>
      <c r="R715" s="273"/>
      <c r="S715" s="273"/>
      <c r="T715" s="273"/>
      <c r="U715" s="271"/>
      <c r="V715" s="269"/>
      <c r="W715" s="269"/>
      <c r="X715" s="269"/>
      <c r="Y715" s="269"/>
      <c r="Z715" s="269"/>
      <c r="AA715" s="269"/>
      <c r="AB715" s="269"/>
      <c r="AC715" s="269"/>
      <c r="AD715" s="7"/>
      <c r="AE715" s="13"/>
      <c r="AF715" s="13"/>
      <c r="AG715" s="13"/>
    </row>
    <row r="716" spans="1:49" x14ac:dyDescent="0.3">
      <c r="A716" s="250">
        <f t="shared" si="214"/>
        <v>507</v>
      </c>
      <c r="B716" s="208" t="s">
        <v>2793</v>
      </c>
      <c r="C716" s="273">
        <f t="shared" si="212"/>
        <v>451503.15</v>
      </c>
      <c r="D716" s="261">
        <f t="shared" si="213"/>
        <v>451503.15</v>
      </c>
      <c r="E716" s="86">
        <v>451503.15</v>
      </c>
      <c r="F716" s="86"/>
      <c r="G716" s="86"/>
      <c r="H716" s="86"/>
      <c r="I716" s="86"/>
      <c r="J716" s="273"/>
      <c r="K716" s="273"/>
      <c r="L716" s="86"/>
      <c r="M716" s="182"/>
      <c r="N716" s="86"/>
      <c r="O716" s="86"/>
      <c r="P716" s="86"/>
      <c r="Q716" s="86"/>
      <c r="R716" s="86"/>
      <c r="S716" s="86"/>
      <c r="T716" s="182"/>
      <c r="U716" s="153"/>
      <c r="V716" s="152"/>
      <c r="W716" s="152"/>
      <c r="X716" s="154"/>
      <c r="Y716" s="154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</row>
    <row r="717" spans="1:49" x14ac:dyDescent="0.3">
      <c r="A717" s="250">
        <f t="shared" si="214"/>
        <v>508</v>
      </c>
      <c r="B717" s="209" t="s">
        <v>2808</v>
      </c>
      <c r="C717" s="273">
        <f t="shared" si="212"/>
        <v>428445.15</v>
      </c>
      <c r="D717" s="261">
        <f t="shared" si="213"/>
        <v>428445.15</v>
      </c>
      <c r="E717" s="86">
        <v>428445.15</v>
      </c>
      <c r="F717" s="86"/>
      <c r="G717" s="86"/>
      <c r="H717" s="86"/>
      <c r="I717" s="86"/>
      <c r="J717" s="86"/>
      <c r="K717" s="86"/>
      <c r="L717" s="86"/>
      <c r="M717" s="182"/>
      <c r="N717" s="86"/>
      <c r="O717" s="86"/>
      <c r="P717" s="86"/>
      <c r="Q717" s="86"/>
      <c r="R717" s="86"/>
      <c r="S717" s="86"/>
      <c r="T717" s="182"/>
      <c r="U717" s="153"/>
      <c r="V717" s="152"/>
      <c r="W717" s="152"/>
      <c r="X717" s="154"/>
      <c r="Y717" s="154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  <c r="AS717" s="155"/>
      <c r="AT717" s="155"/>
      <c r="AU717" s="155"/>
      <c r="AV717" s="155"/>
      <c r="AW717" s="155"/>
    </row>
    <row r="718" spans="1:49" x14ac:dyDescent="0.3">
      <c r="A718" s="250">
        <f t="shared" si="214"/>
        <v>509</v>
      </c>
      <c r="B718" s="209" t="s">
        <v>2813</v>
      </c>
      <c r="C718" s="273">
        <f t="shared" si="212"/>
        <v>422680.65</v>
      </c>
      <c r="D718" s="261">
        <f t="shared" si="213"/>
        <v>422680.65</v>
      </c>
      <c r="E718" s="86">
        <v>422680.65</v>
      </c>
      <c r="F718" s="86"/>
      <c r="G718" s="86"/>
      <c r="H718" s="86"/>
      <c r="I718" s="86"/>
      <c r="J718" s="86"/>
      <c r="K718" s="86"/>
      <c r="L718" s="86"/>
      <c r="M718" s="182"/>
      <c r="N718" s="86"/>
      <c r="O718" s="86"/>
      <c r="P718" s="86"/>
      <c r="Q718" s="86"/>
      <c r="R718" s="86"/>
      <c r="S718" s="86"/>
      <c r="T718" s="182"/>
      <c r="U718" s="153"/>
      <c r="V718" s="152"/>
      <c r="W718" s="152"/>
      <c r="X718" s="154"/>
      <c r="Y718" s="154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  <c r="AS718" s="155"/>
      <c r="AT718" s="155"/>
      <c r="AU718" s="155"/>
      <c r="AV718" s="155"/>
      <c r="AW718" s="155"/>
    </row>
    <row r="719" spans="1:49" x14ac:dyDescent="0.3">
      <c r="A719" s="250" t="s">
        <v>208</v>
      </c>
      <c r="B719" s="250"/>
      <c r="C719" s="273">
        <f t="shared" ref="C719:T719" si="215">SUM(C693:C718)</f>
        <v>26719526.229999993</v>
      </c>
      <c r="D719" s="273">
        <f t="shared" si="215"/>
        <v>24336502.069999997</v>
      </c>
      <c r="E719" s="273">
        <f t="shared" si="215"/>
        <v>22783498.169999998</v>
      </c>
      <c r="F719" s="273">
        <f t="shared" si="215"/>
        <v>0</v>
      </c>
      <c r="G719" s="273">
        <f t="shared" si="215"/>
        <v>408690.64</v>
      </c>
      <c r="H719" s="273">
        <f t="shared" si="215"/>
        <v>700077.48</v>
      </c>
      <c r="I719" s="273">
        <f t="shared" si="215"/>
        <v>444235.78</v>
      </c>
      <c r="J719" s="273">
        <f t="shared" si="215"/>
        <v>454</v>
      </c>
      <c r="K719" s="273">
        <f t="shared" si="215"/>
        <v>2383024.16</v>
      </c>
      <c r="L719" s="273">
        <f t="shared" si="215"/>
        <v>0</v>
      </c>
      <c r="M719" s="273">
        <f t="shared" si="215"/>
        <v>0</v>
      </c>
      <c r="N719" s="273">
        <f t="shared" si="215"/>
        <v>0</v>
      </c>
      <c r="O719" s="273">
        <f t="shared" si="215"/>
        <v>0</v>
      </c>
      <c r="P719" s="273">
        <f t="shared" si="215"/>
        <v>0</v>
      </c>
      <c r="Q719" s="273">
        <f t="shared" si="215"/>
        <v>0</v>
      </c>
      <c r="R719" s="273">
        <f t="shared" si="215"/>
        <v>0</v>
      </c>
      <c r="S719" s="273">
        <f t="shared" si="215"/>
        <v>0</v>
      </c>
      <c r="T719" s="273">
        <f t="shared" si="215"/>
        <v>0</v>
      </c>
      <c r="U719" s="98"/>
      <c r="V719" s="269"/>
      <c r="W719" s="269"/>
      <c r="X719" s="269"/>
      <c r="Y719" s="269"/>
      <c r="Z719" s="269"/>
      <c r="AA719" s="269"/>
      <c r="AB719" s="269"/>
      <c r="AC719" s="269"/>
      <c r="AD719" s="7"/>
      <c r="AE719" s="13"/>
      <c r="AF719" s="13"/>
      <c r="AG719" s="13"/>
    </row>
    <row r="720" spans="1:49" x14ac:dyDescent="0.3">
      <c r="A720" s="249" t="s">
        <v>2838</v>
      </c>
      <c r="B720" s="249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73"/>
      <c r="O720" s="273"/>
      <c r="P720" s="303"/>
      <c r="Q720" s="303"/>
      <c r="R720" s="273"/>
      <c r="S720" s="273"/>
      <c r="T720" s="273"/>
      <c r="U720" s="271"/>
      <c r="V720" s="269"/>
      <c r="W720" s="269"/>
      <c r="X720" s="269"/>
      <c r="Y720" s="269"/>
      <c r="Z720" s="269"/>
      <c r="AA720" s="269"/>
      <c r="AB720" s="269"/>
      <c r="AC720" s="269"/>
      <c r="AD720" s="7"/>
      <c r="AE720" s="13"/>
      <c r="AF720" s="13"/>
      <c r="AG720" s="13"/>
    </row>
    <row r="721" spans="1:33" x14ac:dyDescent="0.3">
      <c r="A721" s="250">
        <f>A718+1</f>
        <v>510</v>
      </c>
      <c r="B721" s="20" t="s">
        <v>2863</v>
      </c>
      <c r="C721" s="273">
        <f t="shared" ref="C721" si="216">D721+K721+M721+O721+P721+R721+S721+T721</f>
        <v>416342.4</v>
      </c>
      <c r="D721" s="273">
        <f>E721+F721+G721+H721+I721</f>
        <v>416342.4</v>
      </c>
      <c r="E721" s="273">
        <v>416342.4</v>
      </c>
      <c r="F721" s="273"/>
      <c r="G721" s="273"/>
      <c r="H721" s="273"/>
      <c r="I721" s="273"/>
      <c r="J721" s="273"/>
      <c r="K721" s="273"/>
      <c r="L721" s="273"/>
      <c r="M721" s="273"/>
      <c r="N721" s="273"/>
      <c r="O721" s="273"/>
      <c r="P721" s="273"/>
      <c r="Q721" s="273"/>
      <c r="R721" s="273"/>
      <c r="S721" s="273"/>
      <c r="T721" s="273">
        <f>SUM(V721:AH721)</f>
        <v>0</v>
      </c>
      <c r="U721" s="271"/>
      <c r="V721" s="269"/>
      <c r="W721" s="269"/>
      <c r="X721" s="269"/>
      <c r="Y721" s="269"/>
      <c r="Z721" s="269"/>
      <c r="AA721" s="269"/>
      <c r="AB721" s="269"/>
      <c r="AC721" s="269"/>
      <c r="AD721" s="7"/>
      <c r="AE721" s="13"/>
      <c r="AF721" s="13"/>
      <c r="AG721" s="13"/>
    </row>
    <row r="722" spans="1:33" x14ac:dyDescent="0.3">
      <c r="A722" s="250" t="s">
        <v>208</v>
      </c>
      <c r="B722" s="250"/>
      <c r="C722" s="273">
        <f t="shared" ref="C722:T722" si="217">SUBTOTAL(9,C721:C721)</f>
        <v>416342.4</v>
      </c>
      <c r="D722" s="273">
        <f t="shared" si="217"/>
        <v>416342.4</v>
      </c>
      <c r="E722" s="273">
        <f t="shared" si="217"/>
        <v>416342.4</v>
      </c>
      <c r="F722" s="273">
        <f t="shared" si="217"/>
        <v>0</v>
      </c>
      <c r="G722" s="273">
        <f t="shared" si="217"/>
        <v>0</v>
      </c>
      <c r="H722" s="273">
        <f t="shared" si="217"/>
        <v>0</v>
      </c>
      <c r="I722" s="273">
        <f t="shared" si="217"/>
        <v>0</v>
      </c>
      <c r="J722" s="273">
        <f t="shared" si="217"/>
        <v>0</v>
      </c>
      <c r="K722" s="273">
        <f t="shared" si="217"/>
        <v>0</v>
      </c>
      <c r="L722" s="273">
        <f t="shared" si="217"/>
        <v>0</v>
      </c>
      <c r="M722" s="273">
        <f t="shared" si="217"/>
        <v>0</v>
      </c>
      <c r="N722" s="273">
        <f t="shared" si="217"/>
        <v>0</v>
      </c>
      <c r="O722" s="273">
        <f t="shared" si="217"/>
        <v>0</v>
      </c>
      <c r="P722" s="273">
        <f t="shared" si="217"/>
        <v>0</v>
      </c>
      <c r="Q722" s="273">
        <f t="shared" si="217"/>
        <v>0</v>
      </c>
      <c r="R722" s="273">
        <f t="shared" si="217"/>
        <v>0</v>
      </c>
      <c r="S722" s="273">
        <f t="shared" si="217"/>
        <v>0</v>
      </c>
      <c r="T722" s="273">
        <f t="shared" si="217"/>
        <v>0</v>
      </c>
      <c r="U722" s="98"/>
      <c r="V722" s="269"/>
      <c r="W722" s="269"/>
      <c r="X722" s="269"/>
      <c r="Y722" s="269"/>
      <c r="Z722" s="269"/>
      <c r="AA722" s="269"/>
      <c r="AB722" s="269"/>
      <c r="AC722" s="269"/>
      <c r="AD722" s="7"/>
      <c r="AE722" s="13"/>
      <c r="AF722" s="13"/>
      <c r="AG722" s="13"/>
    </row>
    <row r="723" spans="1:33" ht="24" customHeight="1" x14ac:dyDescent="0.3">
      <c r="A723" s="341" t="s">
        <v>2864</v>
      </c>
      <c r="B723" s="342"/>
      <c r="C723" s="251">
        <f t="shared" ref="C723:T723" si="218">C688+C691+C719+C722</f>
        <v>32132792.229999989</v>
      </c>
      <c r="D723" s="251">
        <f t="shared" si="218"/>
        <v>24752844.469999995</v>
      </c>
      <c r="E723" s="251">
        <f t="shared" si="218"/>
        <v>23199840.569999997</v>
      </c>
      <c r="F723" s="251">
        <f t="shared" si="218"/>
        <v>0</v>
      </c>
      <c r="G723" s="251">
        <f t="shared" si="218"/>
        <v>408690.64</v>
      </c>
      <c r="H723" s="251">
        <f t="shared" si="218"/>
        <v>700077.48</v>
      </c>
      <c r="I723" s="251">
        <f t="shared" si="218"/>
        <v>444235.78</v>
      </c>
      <c r="J723" s="251">
        <f t="shared" si="218"/>
        <v>2898</v>
      </c>
      <c r="K723" s="251">
        <f t="shared" si="218"/>
        <v>7379947.7599999998</v>
      </c>
      <c r="L723" s="251">
        <f t="shared" si="218"/>
        <v>0</v>
      </c>
      <c r="M723" s="251">
        <f t="shared" si="218"/>
        <v>0</v>
      </c>
      <c r="N723" s="251">
        <f t="shared" si="218"/>
        <v>0</v>
      </c>
      <c r="O723" s="251">
        <f t="shared" si="218"/>
        <v>0</v>
      </c>
      <c r="P723" s="251">
        <f t="shared" si="218"/>
        <v>0</v>
      </c>
      <c r="Q723" s="251">
        <f t="shared" si="218"/>
        <v>0</v>
      </c>
      <c r="R723" s="251">
        <f t="shared" si="218"/>
        <v>0</v>
      </c>
      <c r="S723" s="251">
        <f t="shared" si="218"/>
        <v>0</v>
      </c>
      <c r="T723" s="251">
        <f t="shared" si="218"/>
        <v>0</v>
      </c>
      <c r="U723" s="98"/>
      <c r="V723" s="269"/>
      <c r="W723" s="269"/>
      <c r="X723" s="269"/>
      <c r="Y723" s="269"/>
      <c r="Z723" s="269"/>
      <c r="AA723" s="269"/>
      <c r="AB723" s="269"/>
      <c r="AC723" s="269"/>
      <c r="AD723" s="7"/>
      <c r="AE723" s="13"/>
      <c r="AF723" s="13"/>
      <c r="AG723" s="13"/>
    </row>
    <row r="724" spans="1:33" ht="15" customHeight="1" x14ac:dyDescent="0.3">
      <c r="A724" s="336" t="s">
        <v>2865</v>
      </c>
      <c r="B724" s="337"/>
      <c r="C724" s="337"/>
      <c r="D724" s="337"/>
      <c r="E724" s="337"/>
      <c r="F724" s="337"/>
      <c r="G724" s="337"/>
      <c r="H724" s="337"/>
      <c r="I724" s="337"/>
      <c r="J724" s="337"/>
      <c r="K724" s="337"/>
      <c r="L724" s="337"/>
      <c r="M724" s="337"/>
      <c r="N724" s="337"/>
      <c r="O724" s="337"/>
      <c r="P724" s="337"/>
      <c r="Q724" s="337"/>
      <c r="R724" s="337"/>
      <c r="S724" s="337"/>
      <c r="T724" s="338"/>
      <c r="U724" s="99"/>
      <c r="V724" s="277"/>
      <c r="W724" s="277"/>
      <c r="X724" s="277"/>
      <c r="Y724" s="277"/>
      <c r="Z724" s="277"/>
      <c r="AA724" s="277"/>
      <c r="AB724" s="277"/>
      <c r="AC724" s="277"/>
      <c r="AD724" s="16"/>
      <c r="AE724" s="17"/>
      <c r="AF724" s="17"/>
      <c r="AG724" s="13"/>
    </row>
    <row r="725" spans="1:33" ht="15" customHeight="1" x14ac:dyDescent="0.3">
      <c r="A725" s="255" t="s">
        <v>2866</v>
      </c>
      <c r="B725" s="20"/>
      <c r="C725" s="273"/>
      <c r="D725" s="273"/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100"/>
      <c r="V725" s="273"/>
      <c r="W725" s="273"/>
      <c r="X725" s="273"/>
      <c r="Y725" s="273"/>
      <c r="Z725" s="273"/>
      <c r="AA725" s="273"/>
      <c r="AB725" s="273"/>
      <c r="AC725" s="273"/>
      <c r="AD725" s="16"/>
      <c r="AE725" s="17"/>
      <c r="AF725" s="15"/>
      <c r="AG725" s="13"/>
    </row>
    <row r="726" spans="1:33" x14ac:dyDescent="0.3">
      <c r="A726" s="250">
        <f>A721+1</f>
        <v>511</v>
      </c>
      <c r="B726" s="20" t="s">
        <v>2872</v>
      </c>
      <c r="C726" s="273">
        <f t="shared" ref="C726:C728" si="219">D726+K726+M726+O726+P726+R726+S726+T726</f>
        <v>5529518.8600000003</v>
      </c>
      <c r="D726" s="273">
        <f>E726+F726+G726+H726+I726</f>
        <v>4995074.8600000003</v>
      </c>
      <c r="E726" s="273">
        <v>471396.46</v>
      </c>
      <c r="F726" s="273">
        <v>4523678.4000000004</v>
      </c>
      <c r="G726" s="273"/>
      <c r="H726" s="273"/>
      <c r="I726" s="273"/>
      <c r="J726" s="273"/>
      <c r="K726" s="273"/>
      <c r="L726" s="273"/>
      <c r="M726" s="273"/>
      <c r="N726" s="273"/>
      <c r="O726" s="273"/>
      <c r="P726" s="273"/>
      <c r="Q726" s="273"/>
      <c r="R726" s="273"/>
      <c r="S726" s="273">
        <v>534444</v>
      </c>
      <c r="T726" s="273"/>
      <c r="U726" s="100"/>
      <c r="V726" s="273"/>
      <c r="W726" s="273"/>
      <c r="X726" s="273"/>
      <c r="Y726" s="273"/>
      <c r="Z726" s="273"/>
      <c r="AA726" s="273"/>
      <c r="AB726" s="273"/>
      <c r="AC726" s="273"/>
      <c r="AD726" s="16"/>
      <c r="AE726" s="17"/>
      <c r="AF726" s="15"/>
      <c r="AG726" s="13"/>
    </row>
    <row r="727" spans="1:33" x14ac:dyDescent="0.3">
      <c r="A727" s="250">
        <f>A726+1</f>
        <v>512</v>
      </c>
      <c r="B727" s="20" t="s">
        <v>2875</v>
      </c>
      <c r="C727" s="273">
        <f t="shared" si="219"/>
        <v>5529519.6000000006</v>
      </c>
      <c r="D727" s="273">
        <f>E727+F727+G727+H727+I727</f>
        <v>4995075.6000000006</v>
      </c>
      <c r="E727" s="273">
        <v>471397.2</v>
      </c>
      <c r="F727" s="273">
        <v>4523678.4000000004</v>
      </c>
      <c r="G727" s="273"/>
      <c r="H727" s="273"/>
      <c r="I727" s="273"/>
      <c r="J727" s="273"/>
      <c r="K727" s="273"/>
      <c r="L727" s="273"/>
      <c r="M727" s="273"/>
      <c r="N727" s="273"/>
      <c r="O727" s="273"/>
      <c r="P727" s="273"/>
      <c r="Q727" s="273"/>
      <c r="R727" s="273"/>
      <c r="S727" s="273">
        <v>534444</v>
      </c>
      <c r="T727" s="273"/>
      <c r="U727" s="100"/>
      <c r="V727" s="273"/>
      <c r="W727" s="273"/>
      <c r="X727" s="273"/>
      <c r="Y727" s="273"/>
      <c r="Z727" s="273"/>
      <c r="AA727" s="273"/>
      <c r="AB727" s="273"/>
      <c r="AC727" s="273"/>
      <c r="AD727" s="16"/>
      <c r="AE727" s="17"/>
      <c r="AF727" s="15"/>
      <c r="AG727" s="13"/>
    </row>
    <row r="728" spans="1:33" x14ac:dyDescent="0.3">
      <c r="A728" s="250">
        <f>A727+1</f>
        <v>513</v>
      </c>
      <c r="B728" s="20" t="s">
        <v>2903</v>
      </c>
      <c r="C728" s="273">
        <f t="shared" si="219"/>
        <v>1094232.17</v>
      </c>
      <c r="D728" s="273">
        <f>E728+G728+H728+I728</f>
        <v>469596</v>
      </c>
      <c r="E728" s="273">
        <v>469596</v>
      </c>
      <c r="G728" s="273"/>
      <c r="H728" s="273"/>
      <c r="I728" s="40"/>
      <c r="J728" s="273"/>
      <c r="K728" s="273"/>
      <c r="L728" s="273"/>
      <c r="M728" s="273"/>
      <c r="N728" s="273"/>
      <c r="O728" s="273"/>
      <c r="P728" s="273"/>
      <c r="Q728" s="273"/>
      <c r="R728" s="273"/>
      <c r="S728" s="273">
        <v>534444</v>
      </c>
      <c r="T728" s="273">
        <v>90192.17</v>
      </c>
      <c r="U728" s="100">
        <v>90192.17</v>
      </c>
      <c r="V728" s="273"/>
      <c r="W728" s="273"/>
      <c r="X728" s="273"/>
      <c r="Y728" s="273"/>
      <c r="Z728" s="273"/>
      <c r="AA728" s="273"/>
      <c r="AB728" s="273"/>
      <c r="AC728" s="273"/>
      <c r="AD728" s="16"/>
      <c r="AE728" s="17"/>
      <c r="AF728" s="15"/>
      <c r="AG728" s="13"/>
    </row>
    <row r="729" spans="1:33" x14ac:dyDescent="0.3">
      <c r="A729" s="250"/>
      <c r="B729" s="20" t="s">
        <v>208</v>
      </c>
      <c r="C729" s="273">
        <f t="shared" ref="C729:T729" si="220">SUM(C726:C728)</f>
        <v>12153270.630000001</v>
      </c>
      <c r="D729" s="273">
        <f t="shared" si="220"/>
        <v>10459746.460000001</v>
      </c>
      <c r="E729" s="273">
        <f t="shared" si="220"/>
        <v>1412389.6600000001</v>
      </c>
      <c r="F729" s="273">
        <f t="shared" si="220"/>
        <v>9047356.8000000007</v>
      </c>
      <c r="G729" s="273">
        <f t="shared" si="220"/>
        <v>0</v>
      </c>
      <c r="H729" s="273">
        <f t="shared" si="220"/>
        <v>0</v>
      </c>
      <c r="I729" s="273">
        <f t="shared" si="220"/>
        <v>0</v>
      </c>
      <c r="J729" s="273">
        <f t="shared" si="220"/>
        <v>0</v>
      </c>
      <c r="K729" s="273">
        <f t="shared" si="220"/>
        <v>0</v>
      </c>
      <c r="L729" s="273">
        <f t="shared" si="220"/>
        <v>0</v>
      </c>
      <c r="M729" s="273">
        <f t="shared" si="220"/>
        <v>0</v>
      </c>
      <c r="N729" s="273">
        <f t="shared" si="220"/>
        <v>0</v>
      </c>
      <c r="O729" s="273">
        <f t="shared" si="220"/>
        <v>0</v>
      </c>
      <c r="P729" s="273">
        <f t="shared" si="220"/>
        <v>0</v>
      </c>
      <c r="Q729" s="273">
        <f t="shared" si="220"/>
        <v>0</v>
      </c>
      <c r="R729" s="273">
        <f t="shared" si="220"/>
        <v>0</v>
      </c>
      <c r="S729" s="273">
        <f t="shared" si="220"/>
        <v>1603332</v>
      </c>
      <c r="T729" s="273">
        <f t="shared" si="220"/>
        <v>90192.17</v>
      </c>
      <c r="U729" s="100"/>
      <c r="V729" s="273"/>
      <c r="W729" s="273"/>
      <c r="X729" s="273"/>
      <c r="Y729" s="273"/>
      <c r="Z729" s="273"/>
      <c r="AA729" s="273"/>
      <c r="AB729" s="273"/>
      <c r="AC729" s="273"/>
      <c r="AD729" s="16"/>
      <c r="AE729" s="17"/>
      <c r="AF729" s="15"/>
      <c r="AG729" s="13"/>
    </row>
    <row r="730" spans="1:33" ht="15" customHeight="1" x14ac:dyDescent="0.3">
      <c r="A730" s="255" t="s">
        <v>2915</v>
      </c>
      <c r="B730" s="20"/>
      <c r="C730" s="273"/>
      <c r="D730" s="273"/>
      <c r="E730" s="273"/>
      <c r="F730" s="273"/>
      <c r="G730" s="273"/>
      <c r="H730" s="273"/>
      <c r="I730" s="273"/>
      <c r="J730" s="273"/>
      <c r="K730" s="273"/>
      <c r="L730" s="273"/>
      <c r="M730" s="273"/>
      <c r="N730" s="273"/>
      <c r="O730" s="273"/>
      <c r="P730" s="273"/>
      <c r="Q730" s="273"/>
      <c r="R730" s="273"/>
      <c r="S730" s="273"/>
      <c r="T730" s="273"/>
      <c r="U730" s="100"/>
      <c r="V730" s="273"/>
      <c r="W730" s="273"/>
      <c r="X730" s="273"/>
      <c r="Y730" s="273"/>
      <c r="Z730" s="273"/>
      <c r="AA730" s="273"/>
      <c r="AB730" s="273"/>
      <c r="AC730" s="273"/>
      <c r="AD730" s="16"/>
      <c r="AE730" s="17"/>
      <c r="AF730" s="15"/>
      <c r="AG730" s="13"/>
    </row>
    <row r="731" spans="1:33" x14ac:dyDescent="0.3">
      <c r="A731" s="250">
        <f>A728+1</f>
        <v>514</v>
      </c>
      <c r="B731" s="20" t="s">
        <v>2916</v>
      </c>
      <c r="C731" s="273">
        <f t="shared" ref="C731" si="221">D731+K731+M731+O731+P731+R731+S731+T731</f>
        <v>2440803.6</v>
      </c>
      <c r="D731" s="273">
        <f>E731+F731+G731+H731+I731</f>
        <v>460942.8</v>
      </c>
      <c r="E731" s="273">
        <v>460942.8</v>
      </c>
      <c r="F731" s="273"/>
      <c r="G731" s="273"/>
      <c r="H731" s="273"/>
      <c r="I731" s="273"/>
      <c r="J731" s="273">
        <v>446.7</v>
      </c>
      <c r="K731" s="273">
        <v>1979860.8</v>
      </c>
      <c r="L731" s="273"/>
      <c r="M731" s="273"/>
      <c r="N731" s="273"/>
      <c r="O731" s="273"/>
      <c r="P731" s="273"/>
      <c r="Q731" s="273"/>
      <c r="R731" s="273"/>
      <c r="S731" s="273"/>
      <c r="T731" s="273"/>
      <c r="U731" s="100"/>
      <c r="V731" s="273"/>
      <c r="W731" s="273"/>
      <c r="X731" s="273"/>
      <c r="Y731" s="273"/>
      <c r="Z731" s="273"/>
      <c r="AA731" s="273"/>
      <c r="AB731" s="273"/>
      <c r="AC731" s="273"/>
      <c r="AD731" s="16"/>
      <c r="AE731" s="17"/>
      <c r="AF731" s="15"/>
      <c r="AG731" s="13"/>
    </row>
    <row r="732" spans="1:33" x14ac:dyDescent="0.3">
      <c r="A732" s="250"/>
      <c r="B732" s="20" t="s">
        <v>208</v>
      </c>
      <c r="C732" s="273">
        <f t="shared" ref="C732:T732" si="222">SUM(C731:C731)</f>
        <v>2440803.6</v>
      </c>
      <c r="D732" s="273">
        <f t="shared" si="222"/>
        <v>460942.8</v>
      </c>
      <c r="E732" s="273">
        <f t="shared" si="222"/>
        <v>460942.8</v>
      </c>
      <c r="F732" s="273">
        <f t="shared" si="222"/>
        <v>0</v>
      </c>
      <c r="G732" s="273">
        <f t="shared" si="222"/>
        <v>0</v>
      </c>
      <c r="H732" s="273">
        <f t="shared" si="222"/>
        <v>0</v>
      </c>
      <c r="I732" s="273">
        <f t="shared" si="222"/>
        <v>0</v>
      </c>
      <c r="J732" s="273">
        <f t="shared" si="222"/>
        <v>446.7</v>
      </c>
      <c r="K732" s="273">
        <f t="shared" si="222"/>
        <v>1979860.8</v>
      </c>
      <c r="L732" s="273">
        <f t="shared" si="222"/>
        <v>0</v>
      </c>
      <c r="M732" s="273">
        <f t="shared" si="222"/>
        <v>0</v>
      </c>
      <c r="N732" s="273">
        <f t="shared" si="222"/>
        <v>0</v>
      </c>
      <c r="O732" s="273">
        <f t="shared" si="222"/>
        <v>0</v>
      </c>
      <c r="P732" s="273">
        <f t="shared" si="222"/>
        <v>0</v>
      </c>
      <c r="Q732" s="273">
        <f t="shared" si="222"/>
        <v>0</v>
      </c>
      <c r="R732" s="273">
        <f t="shared" si="222"/>
        <v>0</v>
      </c>
      <c r="S732" s="273">
        <f t="shared" si="222"/>
        <v>0</v>
      </c>
      <c r="T732" s="273">
        <f t="shared" si="222"/>
        <v>0</v>
      </c>
      <c r="U732" s="100"/>
      <c r="V732" s="273"/>
      <c r="W732" s="273"/>
      <c r="X732" s="273"/>
      <c r="Y732" s="273"/>
      <c r="Z732" s="273"/>
      <c r="AA732" s="273"/>
      <c r="AB732" s="273"/>
      <c r="AC732" s="273"/>
      <c r="AD732" s="16"/>
      <c r="AE732" s="17"/>
      <c r="AF732" s="15"/>
      <c r="AG732" s="13"/>
    </row>
    <row r="733" spans="1:33" ht="15" customHeight="1" x14ac:dyDescent="0.3">
      <c r="A733" s="255" t="s">
        <v>2919</v>
      </c>
      <c r="B733" s="20"/>
      <c r="C733" s="273"/>
      <c r="D733" s="273"/>
      <c r="E733" s="273"/>
      <c r="F733" s="273"/>
      <c r="G733" s="273"/>
      <c r="H733" s="273"/>
      <c r="I733" s="273"/>
      <c r="J733" s="273"/>
      <c r="K733" s="273"/>
      <c r="L733" s="273"/>
      <c r="M733" s="273"/>
      <c r="N733" s="273"/>
      <c r="O733" s="273"/>
      <c r="P733" s="273"/>
      <c r="Q733" s="273"/>
      <c r="R733" s="273"/>
      <c r="S733" s="273"/>
      <c r="T733" s="273"/>
      <c r="U733" s="100"/>
      <c r="V733" s="273"/>
      <c r="W733" s="273"/>
      <c r="X733" s="273"/>
      <c r="Y733" s="273"/>
      <c r="Z733" s="273"/>
      <c r="AA733" s="273"/>
      <c r="AB733" s="273"/>
      <c r="AC733" s="273"/>
      <c r="AD733" s="16"/>
      <c r="AE733" s="17"/>
      <c r="AF733" s="15"/>
      <c r="AG733" s="13"/>
    </row>
    <row r="734" spans="1:33" x14ac:dyDescent="0.3">
      <c r="A734" s="250">
        <f>A731+1</f>
        <v>515</v>
      </c>
      <c r="B734" s="20" t="s">
        <v>3283</v>
      </c>
      <c r="C734" s="273">
        <f t="shared" ref="C734:C736" si="223">D734+K734+M734+O734+P734+R734+S734+T734</f>
        <v>832695.66</v>
      </c>
      <c r="D734" s="273">
        <f>E734+F734+G734+H734+I734</f>
        <v>0</v>
      </c>
      <c r="E734" s="273"/>
      <c r="F734" s="273"/>
      <c r="G734" s="273"/>
      <c r="H734" s="273"/>
      <c r="I734" s="273"/>
      <c r="J734" s="273"/>
      <c r="K734" s="273"/>
      <c r="L734" s="273"/>
      <c r="M734" s="273"/>
      <c r="N734" s="273"/>
      <c r="O734" s="273"/>
      <c r="P734" s="273"/>
      <c r="Q734" s="273"/>
      <c r="R734" s="273"/>
      <c r="S734" s="273"/>
      <c r="T734" s="273">
        <f>197337.16+635358.5</f>
        <v>832695.66</v>
      </c>
      <c r="U734" s="100"/>
      <c r="V734" s="273"/>
      <c r="W734" s="273"/>
      <c r="X734" s="273"/>
      <c r="Y734" s="273"/>
      <c r="Z734" s="273"/>
      <c r="AA734" s="273">
        <v>197337.16</v>
      </c>
      <c r="AB734" s="273"/>
      <c r="AC734" s="273">
        <v>635358.5</v>
      </c>
      <c r="AD734" s="16"/>
      <c r="AE734" s="17"/>
      <c r="AF734" s="15"/>
      <c r="AG734" s="13"/>
    </row>
    <row r="735" spans="1:33" x14ac:dyDescent="0.3">
      <c r="A735" s="250">
        <f>A734+1</f>
        <v>516</v>
      </c>
      <c r="B735" s="20" t="s">
        <v>3284</v>
      </c>
      <c r="C735" s="273">
        <f t="shared" si="223"/>
        <v>309637.59999999998</v>
      </c>
      <c r="D735" s="273">
        <f>E735+F735+G735+H735+I735</f>
        <v>0</v>
      </c>
      <c r="E735" s="273"/>
      <c r="F735" s="273"/>
      <c r="G735" s="273"/>
      <c r="H735" s="273"/>
      <c r="I735" s="273"/>
      <c r="J735" s="273"/>
      <c r="K735" s="273"/>
      <c r="L735" s="273"/>
      <c r="M735" s="273"/>
      <c r="N735" s="273"/>
      <c r="O735" s="273"/>
      <c r="P735" s="273"/>
      <c r="Q735" s="273"/>
      <c r="R735" s="273"/>
      <c r="S735" s="273"/>
      <c r="T735" s="273">
        <v>309637.59999999998</v>
      </c>
      <c r="U735" s="100"/>
      <c r="V735" s="273"/>
      <c r="W735" s="273"/>
      <c r="X735" s="273"/>
      <c r="Y735" s="273"/>
      <c r="Z735" s="273"/>
      <c r="AA735" s="273">
        <v>309637.59999999998</v>
      </c>
      <c r="AB735" s="273"/>
      <c r="AC735" s="273"/>
      <c r="AD735" s="16"/>
      <c r="AE735" s="17"/>
      <c r="AF735" s="15"/>
      <c r="AG735" s="13"/>
    </row>
    <row r="736" spans="1:33" x14ac:dyDescent="0.3">
      <c r="A736" s="250">
        <f>A735+1</f>
        <v>517</v>
      </c>
      <c r="B736" s="20" t="s">
        <v>258</v>
      </c>
      <c r="C736" s="273">
        <f t="shared" si="223"/>
        <v>524925.43999999994</v>
      </c>
      <c r="D736" s="273">
        <f>E736+F736+G736+H736+I736</f>
        <v>0</v>
      </c>
      <c r="E736" s="273"/>
      <c r="F736" s="273"/>
      <c r="G736" s="273"/>
      <c r="H736" s="273"/>
      <c r="I736" s="273"/>
      <c r="J736" s="273"/>
      <c r="K736" s="273"/>
      <c r="L736" s="273"/>
      <c r="M736" s="273"/>
      <c r="N736" s="273"/>
      <c r="O736" s="273"/>
      <c r="P736" s="273"/>
      <c r="Q736" s="273"/>
      <c r="R736" s="273"/>
      <c r="S736" s="273"/>
      <c r="T736" s="273">
        <v>524925.43999999994</v>
      </c>
      <c r="U736" s="100"/>
      <c r="V736" s="273"/>
      <c r="W736" s="273"/>
      <c r="X736" s="273"/>
      <c r="Y736" s="273"/>
      <c r="Z736" s="273"/>
      <c r="AA736" s="273">
        <v>524925.43999999994</v>
      </c>
      <c r="AB736" s="273"/>
      <c r="AC736" s="273"/>
      <c r="AD736" s="16"/>
      <c r="AE736" s="17"/>
      <c r="AF736" s="15"/>
      <c r="AG736" s="13"/>
    </row>
    <row r="737" spans="1:33" x14ac:dyDescent="0.3">
      <c r="A737" s="250"/>
      <c r="B737" s="20" t="s">
        <v>208</v>
      </c>
      <c r="C737" s="273">
        <f>SUM(C734:C736)</f>
        <v>1667258.7</v>
      </c>
      <c r="D737" s="273">
        <f t="shared" ref="D737:T737" si="224">SUM(D734:D736)</f>
        <v>0</v>
      </c>
      <c r="E737" s="273">
        <f t="shared" si="224"/>
        <v>0</v>
      </c>
      <c r="F737" s="273">
        <f t="shared" si="224"/>
        <v>0</v>
      </c>
      <c r="G737" s="273">
        <f t="shared" si="224"/>
        <v>0</v>
      </c>
      <c r="H737" s="273">
        <f t="shared" si="224"/>
        <v>0</v>
      </c>
      <c r="I737" s="273">
        <f t="shared" si="224"/>
        <v>0</v>
      </c>
      <c r="J737" s="273">
        <f t="shared" si="224"/>
        <v>0</v>
      </c>
      <c r="K737" s="273">
        <f t="shared" si="224"/>
        <v>0</v>
      </c>
      <c r="L737" s="273">
        <f t="shared" si="224"/>
        <v>0</v>
      </c>
      <c r="M737" s="273">
        <f t="shared" si="224"/>
        <v>0</v>
      </c>
      <c r="N737" s="273">
        <f t="shared" si="224"/>
        <v>0</v>
      </c>
      <c r="O737" s="273">
        <f t="shared" si="224"/>
        <v>0</v>
      </c>
      <c r="P737" s="273">
        <f t="shared" si="224"/>
        <v>0</v>
      </c>
      <c r="Q737" s="273">
        <f t="shared" si="224"/>
        <v>0</v>
      </c>
      <c r="R737" s="273">
        <f t="shared" si="224"/>
        <v>0</v>
      </c>
      <c r="S737" s="273">
        <f t="shared" si="224"/>
        <v>0</v>
      </c>
      <c r="T737" s="273">
        <f t="shared" si="224"/>
        <v>1667258.7</v>
      </c>
      <c r="U737" s="100"/>
      <c r="V737" s="273"/>
      <c r="W737" s="273"/>
      <c r="X737" s="273"/>
      <c r="Y737" s="273"/>
      <c r="Z737" s="273"/>
      <c r="AA737" s="273"/>
      <c r="AB737" s="273"/>
      <c r="AC737" s="273"/>
      <c r="AD737" s="16"/>
      <c r="AE737" s="17"/>
      <c r="AF737" s="15"/>
      <c r="AG737" s="13"/>
    </row>
    <row r="738" spans="1:33" ht="15" customHeight="1" x14ac:dyDescent="0.3">
      <c r="A738" s="255" t="s">
        <v>2204</v>
      </c>
      <c r="B738" s="20"/>
      <c r="C738" s="273"/>
      <c r="D738" s="273"/>
      <c r="E738" s="273"/>
      <c r="F738" s="273"/>
      <c r="G738" s="273"/>
      <c r="H738" s="273"/>
      <c r="I738" s="273"/>
      <c r="J738" s="273"/>
      <c r="K738" s="273"/>
      <c r="L738" s="273"/>
      <c r="M738" s="273"/>
      <c r="N738" s="273"/>
      <c r="O738" s="273"/>
      <c r="P738" s="273"/>
      <c r="Q738" s="273"/>
      <c r="R738" s="273"/>
      <c r="S738" s="273"/>
      <c r="T738" s="273"/>
      <c r="U738" s="100"/>
      <c r="V738" s="273"/>
      <c r="W738" s="273"/>
      <c r="X738" s="273"/>
      <c r="Y738" s="273"/>
      <c r="Z738" s="273"/>
      <c r="AA738" s="273"/>
      <c r="AB738" s="273"/>
      <c r="AC738" s="273"/>
      <c r="AD738" s="16"/>
      <c r="AE738" s="17"/>
      <c r="AF738" s="15"/>
      <c r="AG738" s="13"/>
    </row>
    <row r="739" spans="1:33" x14ac:dyDescent="0.3">
      <c r="A739" s="250">
        <f>A736+1</f>
        <v>518</v>
      </c>
      <c r="B739" s="20" t="s">
        <v>2927</v>
      </c>
      <c r="C739" s="273">
        <f t="shared" ref="C739:C742" si="225">D739+K739+M739+O739+P739+R739+S739+T739</f>
        <v>5030892.0000000009</v>
      </c>
      <c r="D739" s="273">
        <f>E739+F739+G739+H739+I739</f>
        <v>5030892.0000000009</v>
      </c>
      <c r="E739" s="273">
        <v>480501.6</v>
      </c>
      <c r="F739" s="273">
        <v>3298820.4</v>
      </c>
      <c r="G739" s="273">
        <v>400627.20000000001</v>
      </c>
      <c r="H739" s="40">
        <v>580760.4</v>
      </c>
      <c r="I739" s="273">
        <v>270182.40000000002</v>
      </c>
      <c r="J739" s="273"/>
      <c r="K739" s="273"/>
      <c r="L739" s="273"/>
      <c r="M739" s="273"/>
      <c r="N739" s="273"/>
      <c r="O739" s="273"/>
      <c r="P739" s="273"/>
      <c r="Q739" s="273"/>
      <c r="R739" s="273"/>
      <c r="S739" s="273"/>
      <c r="T739" s="273"/>
      <c r="U739" s="100"/>
      <c r="V739" s="273"/>
      <c r="W739" s="273"/>
      <c r="X739" s="273"/>
      <c r="Y739" s="273"/>
      <c r="Z739" s="273"/>
      <c r="AA739" s="273"/>
      <c r="AB739" s="273"/>
      <c r="AC739" s="273"/>
      <c r="AD739" s="16"/>
      <c r="AE739" s="17"/>
      <c r="AF739" s="15"/>
      <c r="AG739" s="13"/>
    </row>
    <row r="740" spans="1:33" x14ac:dyDescent="0.3">
      <c r="A740" s="250">
        <f>A739+1</f>
        <v>519</v>
      </c>
      <c r="B740" s="20" t="s">
        <v>2929</v>
      </c>
      <c r="C740" s="273">
        <f t="shared" si="225"/>
        <v>29154283.200000003</v>
      </c>
      <c r="D740" s="273">
        <f>E740+F740+G740+H740+I740</f>
        <v>1771389.6</v>
      </c>
      <c r="E740" s="273">
        <v>1771389.6</v>
      </c>
      <c r="F740" s="273"/>
      <c r="G740" s="273"/>
      <c r="H740" s="273"/>
      <c r="I740" s="273"/>
      <c r="J740" s="273"/>
      <c r="K740" s="273"/>
      <c r="L740" s="273"/>
      <c r="M740" s="273"/>
      <c r="N740" s="273"/>
      <c r="O740" s="273">
        <v>27382893.600000001</v>
      </c>
      <c r="P740" s="273"/>
      <c r="Q740" s="273"/>
      <c r="R740" s="273"/>
      <c r="S740" s="273"/>
      <c r="T740" s="273"/>
      <c r="U740" s="100"/>
      <c r="V740" s="273"/>
      <c r="W740" s="273"/>
      <c r="X740" s="273"/>
      <c r="Y740" s="273"/>
      <c r="Z740" s="273"/>
      <c r="AA740" s="273"/>
      <c r="AB740" s="273"/>
      <c r="AC740" s="273"/>
      <c r="AD740" s="16"/>
      <c r="AE740" s="17"/>
      <c r="AF740" s="15"/>
      <c r="AG740" s="13"/>
    </row>
    <row r="741" spans="1:33" x14ac:dyDescent="0.3">
      <c r="A741" s="250">
        <f>A740+1</f>
        <v>520</v>
      </c>
      <c r="B741" s="20" t="s">
        <v>2931</v>
      </c>
      <c r="C741" s="273">
        <f t="shared" si="225"/>
        <v>1112449.2</v>
      </c>
      <c r="D741" s="273">
        <f>E741+F741+G741+H741+I741</f>
        <v>1112449.2</v>
      </c>
      <c r="E741" s="273">
        <v>1112449.2</v>
      </c>
      <c r="F741" s="273"/>
      <c r="G741" s="273"/>
      <c r="H741" s="273"/>
      <c r="I741" s="273"/>
      <c r="J741" s="273"/>
      <c r="K741" s="273"/>
      <c r="L741" s="273"/>
      <c r="M741" s="273"/>
      <c r="N741" s="273"/>
      <c r="O741" s="273"/>
      <c r="P741" s="273"/>
      <c r="Q741" s="273"/>
      <c r="R741" s="273"/>
      <c r="S741" s="273"/>
      <c r="T741" s="273"/>
      <c r="U741" s="100"/>
      <c r="V741" s="273"/>
      <c r="W741" s="273"/>
      <c r="X741" s="273"/>
      <c r="Y741" s="273"/>
      <c r="Z741" s="273"/>
      <c r="AA741" s="273"/>
      <c r="AB741" s="273"/>
      <c r="AC741" s="273"/>
      <c r="AD741" s="16"/>
      <c r="AE741" s="17"/>
      <c r="AF741" s="15"/>
      <c r="AG741" s="13"/>
    </row>
    <row r="742" spans="1:33" s="36" customFormat="1" x14ac:dyDescent="0.3">
      <c r="A742" s="250">
        <f>A741+1</f>
        <v>521</v>
      </c>
      <c r="B742" s="124" t="s">
        <v>2934</v>
      </c>
      <c r="C742" s="273">
        <f t="shared" si="225"/>
        <v>538717.31999999995</v>
      </c>
      <c r="D742" s="273">
        <f>E742+F742+G742+H742+I742</f>
        <v>0</v>
      </c>
      <c r="E742" s="273"/>
      <c r="F742" s="273"/>
      <c r="G742" s="273"/>
      <c r="H742" s="273"/>
      <c r="I742" s="273"/>
      <c r="J742" s="273"/>
      <c r="K742" s="273"/>
      <c r="L742" s="273"/>
      <c r="M742" s="273"/>
      <c r="N742" s="273"/>
      <c r="O742" s="273"/>
      <c r="P742" s="273"/>
      <c r="Q742" s="273"/>
      <c r="R742" s="273"/>
      <c r="S742" s="273"/>
      <c r="T742" s="273">
        <f>SUM(W742:AF742)</f>
        <v>538717.31999999995</v>
      </c>
      <c r="U742" s="100"/>
      <c r="V742" s="273"/>
      <c r="W742" s="273"/>
      <c r="X742" s="273"/>
      <c r="Y742" s="273"/>
      <c r="Z742" s="273"/>
      <c r="AA742" s="273"/>
      <c r="AB742" s="273"/>
      <c r="AC742" s="273">
        <v>538717.31999999995</v>
      </c>
      <c r="AD742" s="16"/>
      <c r="AE742" s="17"/>
      <c r="AF742" s="15"/>
      <c r="AG742" s="13"/>
    </row>
    <row r="743" spans="1:33" x14ac:dyDescent="0.3">
      <c r="A743" s="250"/>
      <c r="B743" s="20" t="s">
        <v>208</v>
      </c>
      <c r="C743" s="273">
        <f>SUM(C739:C742)</f>
        <v>35836341.720000006</v>
      </c>
      <c r="D743" s="273">
        <f>SUM(D739:D742)</f>
        <v>7914730.8000000017</v>
      </c>
      <c r="E743" s="273">
        <f t="shared" ref="E743:T743" si="226">SUM(E739:E742)</f>
        <v>3364340.4000000004</v>
      </c>
      <c r="F743" s="273">
        <f t="shared" si="226"/>
        <v>3298820.4</v>
      </c>
      <c r="G743" s="273">
        <f t="shared" si="226"/>
        <v>400627.20000000001</v>
      </c>
      <c r="H743" s="273">
        <f t="shared" si="226"/>
        <v>580760.4</v>
      </c>
      <c r="I743" s="273">
        <f t="shared" si="226"/>
        <v>270182.40000000002</v>
      </c>
      <c r="J743" s="273">
        <f t="shared" si="226"/>
        <v>0</v>
      </c>
      <c r="K743" s="273">
        <f t="shared" si="226"/>
        <v>0</v>
      </c>
      <c r="L743" s="273">
        <f t="shared" si="226"/>
        <v>0</v>
      </c>
      <c r="M743" s="273">
        <f t="shared" si="226"/>
        <v>0</v>
      </c>
      <c r="N743" s="273">
        <f t="shared" si="226"/>
        <v>0</v>
      </c>
      <c r="O743" s="273">
        <f t="shared" si="226"/>
        <v>27382893.600000001</v>
      </c>
      <c r="P743" s="273">
        <f t="shared" si="226"/>
        <v>0</v>
      </c>
      <c r="Q743" s="273">
        <f t="shared" si="226"/>
        <v>0</v>
      </c>
      <c r="R743" s="273">
        <f t="shared" si="226"/>
        <v>0</v>
      </c>
      <c r="S743" s="273">
        <f t="shared" si="226"/>
        <v>0</v>
      </c>
      <c r="T743" s="273">
        <f t="shared" si="226"/>
        <v>538717.31999999995</v>
      </c>
      <c r="U743" s="100"/>
      <c r="V743" s="273"/>
      <c r="W743" s="273"/>
      <c r="X743" s="273"/>
      <c r="Y743" s="273"/>
      <c r="Z743" s="273"/>
      <c r="AA743" s="273"/>
      <c r="AB743" s="273"/>
      <c r="AC743" s="273"/>
      <c r="AD743" s="16"/>
      <c r="AE743" s="17"/>
      <c r="AF743" s="15"/>
      <c r="AG743" s="13"/>
    </row>
    <row r="744" spans="1:33" ht="15" customHeight="1" x14ac:dyDescent="0.3">
      <c r="A744" s="255" t="s">
        <v>2936</v>
      </c>
      <c r="B744" s="20"/>
      <c r="C744" s="273"/>
      <c r="D744" s="273"/>
      <c r="E744" s="273"/>
      <c r="F744" s="273"/>
      <c r="G744" s="273"/>
      <c r="H744" s="273"/>
      <c r="I744" s="273"/>
      <c r="J744" s="273"/>
      <c r="K744" s="273"/>
      <c r="L744" s="273"/>
      <c r="M744" s="273"/>
      <c r="N744" s="273"/>
      <c r="O744" s="273"/>
      <c r="P744" s="273"/>
      <c r="Q744" s="273"/>
      <c r="R744" s="273"/>
      <c r="S744" s="273"/>
      <c r="T744" s="273"/>
      <c r="U744" s="100"/>
      <c r="V744" s="273"/>
      <c r="W744" s="273"/>
      <c r="X744" s="273"/>
      <c r="Y744" s="273"/>
      <c r="Z744" s="273"/>
      <c r="AA744" s="273"/>
      <c r="AB744" s="273"/>
      <c r="AC744" s="273"/>
      <c r="AD744" s="16"/>
      <c r="AE744" s="17"/>
      <c r="AF744" s="15"/>
      <c r="AG744" s="13"/>
    </row>
    <row r="745" spans="1:33" ht="21.75" customHeight="1" x14ac:dyDescent="0.3">
      <c r="A745" s="250">
        <f>A742+1</f>
        <v>522</v>
      </c>
      <c r="B745" s="20" t="s">
        <v>2940</v>
      </c>
      <c r="C745" s="273">
        <f t="shared" ref="C745" si="227">D745+K745+M745+O745+P745+R745+S745+T745</f>
        <v>2112479.2000000002</v>
      </c>
      <c r="D745" s="273">
        <f>E745+F745+G745+H745+I745</f>
        <v>1982479.2</v>
      </c>
      <c r="E745" s="273"/>
      <c r="F745" s="273">
        <v>1982479.2</v>
      </c>
      <c r="G745" s="273"/>
      <c r="H745" s="273"/>
      <c r="I745" s="273"/>
      <c r="J745" s="273"/>
      <c r="K745" s="273"/>
      <c r="L745" s="273"/>
      <c r="M745" s="273"/>
      <c r="N745" s="273"/>
      <c r="O745" s="273"/>
      <c r="P745" s="273"/>
      <c r="Q745" s="273"/>
      <c r="R745" s="273"/>
      <c r="S745" s="273"/>
      <c r="T745" s="273">
        <v>130000</v>
      </c>
      <c r="U745" s="100"/>
      <c r="V745" s="273"/>
      <c r="W745" s="273"/>
      <c r="X745" s="273"/>
      <c r="Y745" s="273">
        <v>130000</v>
      </c>
      <c r="Z745" s="273"/>
      <c r="AA745" s="273"/>
      <c r="AB745" s="273"/>
      <c r="AC745" s="273"/>
      <c r="AD745" s="16"/>
      <c r="AE745" s="17"/>
      <c r="AF745" s="15"/>
      <c r="AG745" s="13"/>
    </row>
    <row r="746" spans="1:33" x14ac:dyDescent="0.3">
      <c r="A746" s="250"/>
      <c r="B746" s="20" t="s">
        <v>208</v>
      </c>
      <c r="C746" s="273">
        <f t="shared" ref="C746:T746" si="228">SUM(C745:C745)</f>
        <v>2112479.2000000002</v>
      </c>
      <c r="D746" s="273">
        <f t="shared" si="228"/>
        <v>1982479.2</v>
      </c>
      <c r="E746" s="273">
        <f t="shared" si="228"/>
        <v>0</v>
      </c>
      <c r="F746" s="273">
        <f t="shared" si="228"/>
        <v>1982479.2</v>
      </c>
      <c r="G746" s="273">
        <f t="shared" si="228"/>
        <v>0</v>
      </c>
      <c r="H746" s="273">
        <f t="shared" si="228"/>
        <v>0</v>
      </c>
      <c r="I746" s="273">
        <f t="shared" si="228"/>
        <v>0</v>
      </c>
      <c r="J746" s="273">
        <f t="shared" si="228"/>
        <v>0</v>
      </c>
      <c r="K746" s="273">
        <f t="shared" si="228"/>
        <v>0</v>
      </c>
      <c r="L746" s="273">
        <f t="shared" si="228"/>
        <v>0</v>
      </c>
      <c r="M746" s="273">
        <f t="shared" si="228"/>
        <v>0</v>
      </c>
      <c r="N746" s="273">
        <f t="shared" si="228"/>
        <v>0</v>
      </c>
      <c r="O746" s="273">
        <f t="shared" si="228"/>
        <v>0</v>
      </c>
      <c r="P746" s="273">
        <f t="shared" si="228"/>
        <v>0</v>
      </c>
      <c r="Q746" s="273">
        <f t="shared" si="228"/>
        <v>0</v>
      </c>
      <c r="R746" s="273">
        <f t="shared" si="228"/>
        <v>0</v>
      </c>
      <c r="S746" s="273">
        <f t="shared" si="228"/>
        <v>0</v>
      </c>
      <c r="T746" s="273">
        <f t="shared" si="228"/>
        <v>130000</v>
      </c>
      <c r="U746" s="100"/>
      <c r="V746" s="273"/>
      <c r="W746" s="273"/>
      <c r="X746" s="273"/>
      <c r="Y746" s="273"/>
      <c r="Z746" s="273"/>
      <c r="AA746" s="273"/>
      <c r="AB746" s="273"/>
      <c r="AC746" s="273"/>
      <c r="AD746" s="16"/>
      <c r="AE746" s="17"/>
      <c r="AF746" s="15"/>
      <c r="AG746" s="13"/>
    </row>
    <row r="747" spans="1:33" ht="15" customHeight="1" x14ac:dyDescent="0.3">
      <c r="A747" s="255" t="s">
        <v>2946</v>
      </c>
      <c r="B747" s="20"/>
      <c r="C747" s="273"/>
      <c r="D747" s="273"/>
      <c r="E747" s="273"/>
      <c r="F747" s="273"/>
      <c r="G747" s="273"/>
      <c r="H747" s="273"/>
      <c r="I747" s="273"/>
      <c r="J747" s="273"/>
      <c r="K747" s="273"/>
      <c r="L747" s="273"/>
      <c r="M747" s="273"/>
      <c r="N747" s="273"/>
      <c r="O747" s="273"/>
      <c r="P747" s="273"/>
      <c r="Q747" s="273"/>
      <c r="R747" s="273"/>
      <c r="S747" s="273"/>
      <c r="T747" s="273"/>
      <c r="U747" s="100"/>
      <c r="V747" s="273"/>
      <c r="W747" s="273"/>
      <c r="X747" s="273"/>
      <c r="Y747" s="273"/>
      <c r="Z747" s="273"/>
      <c r="AA747" s="273"/>
      <c r="AB747" s="273"/>
      <c r="AC747" s="273"/>
      <c r="AD747" s="16"/>
      <c r="AE747" s="17"/>
      <c r="AF747" s="15"/>
      <c r="AG747" s="13"/>
    </row>
    <row r="748" spans="1:33" x14ac:dyDescent="0.3">
      <c r="A748" s="250">
        <f>A745+1</f>
        <v>523</v>
      </c>
      <c r="B748" s="20" t="s">
        <v>2947</v>
      </c>
      <c r="C748" s="273">
        <f t="shared" ref="C748:C761" si="229">D748+K748+M748+O748+P748+R748+S748+T748</f>
        <v>233943.26</v>
      </c>
      <c r="D748" s="273">
        <f>E748+F748+G748+H748+I748</f>
        <v>233943.26</v>
      </c>
      <c r="E748" s="273"/>
      <c r="F748" s="273"/>
      <c r="G748" s="273">
        <v>233943.26</v>
      </c>
      <c r="H748" s="273"/>
      <c r="I748" s="273"/>
      <c r="J748" s="273"/>
      <c r="K748" s="273"/>
      <c r="L748" s="273"/>
      <c r="M748" s="273"/>
      <c r="N748" s="273"/>
      <c r="O748" s="273"/>
      <c r="P748" s="273"/>
      <c r="Q748" s="273"/>
      <c r="R748" s="273"/>
      <c r="S748" s="273"/>
      <c r="T748" s="273"/>
      <c r="U748" s="100"/>
      <c r="V748" s="273"/>
      <c r="W748" s="273"/>
      <c r="X748" s="273"/>
      <c r="Y748" s="273"/>
      <c r="Z748" s="273"/>
      <c r="AA748" s="273"/>
      <c r="AB748" s="273"/>
      <c r="AC748" s="273"/>
      <c r="AD748" s="16"/>
      <c r="AE748" s="17"/>
      <c r="AF748" s="15"/>
      <c r="AG748" s="13"/>
    </row>
    <row r="749" spans="1:33" ht="24" customHeight="1" x14ac:dyDescent="0.3">
      <c r="A749" s="250">
        <f t="shared" ref="A749:A754" si="230">A748+1</f>
        <v>524</v>
      </c>
      <c r="B749" s="20" t="s">
        <v>3561</v>
      </c>
      <c r="C749" s="273">
        <f t="shared" si="229"/>
        <v>307572.43</v>
      </c>
      <c r="D749" s="273"/>
      <c r="E749" s="273"/>
      <c r="F749" s="273"/>
      <c r="G749" s="273"/>
      <c r="H749" s="273"/>
      <c r="I749" s="273"/>
      <c r="J749" s="273"/>
      <c r="K749" s="273"/>
      <c r="L749" s="273"/>
      <c r="M749" s="273"/>
      <c r="N749" s="273"/>
      <c r="O749" s="271"/>
      <c r="P749" s="273"/>
      <c r="Q749" s="273"/>
      <c r="R749" s="273"/>
      <c r="S749" s="273"/>
      <c r="T749" s="273">
        <v>307572.43</v>
      </c>
      <c r="U749" s="100"/>
      <c r="V749" s="273"/>
      <c r="W749" s="273"/>
      <c r="X749" s="273"/>
      <c r="Y749" s="273"/>
      <c r="Z749" s="273"/>
      <c r="AA749" s="273"/>
      <c r="AB749" s="273"/>
      <c r="AC749" s="273">
        <v>307572.43</v>
      </c>
      <c r="AD749" s="16"/>
      <c r="AE749" s="17"/>
      <c r="AF749" s="15"/>
      <c r="AG749" s="13"/>
    </row>
    <row r="750" spans="1:33" x14ac:dyDescent="0.3">
      <c r="A750" s="250">
        <f t="shared" si="230"/>
        <v>525</v>
      </c>
      <c r="B750" s="20" t="s">
        <v>2949</v>
      </c>
      <c r="C750" s="273">
        <f t="shared" si="229"/>
        <v>378792.64</v>
      </c>
      <c r="D750" s="273">
        <f>E750+F750+G750+H750+I750</f>
        <v>0</v>
      </c>
      <c r="E750" s="273"/>
      <c r="F750" s="273"/>
      <c r="G750" s="273"/>
      <c r="H750" s="273"/>
      <c r="I750" s="273"/>
      <c r="J750" s="273"/>
      <c r="K750" s="273"/>
      <c r="L750" s="273"/>
      <c r="M750" s="273"/>
      <c r="N750" s="273"/>
      <c r="P750" s="273"/>
      <c r="Q750" s="273"/>
      <c r="R750" s="273"/>
      <c r="S750" s="273"/>
      <c r="T750" s="273">
        <v>378792.64</v>
      </c>
      <c r="U750" s="100"/>
      <c r="V750" s="273"/>
      <c r="W750" s="273"/>
      <c r="X750" s="273"/>
      <c r="Y750" s="273"/>
      <c r="Z750" s="273"/>
      <c r="AA750" s="273"/>
      <c r="AB750" s="273"/>
      <c r="AC750" s="17">
        <v>378792.64</v>
      </c>
      <c r="AD750" s="16"/>
      <c r="AF750" s="15"/>
      <c r="AG750" s="13"/>
    </row>
    <row r="751" spans="1:33" x14ac:dyDescent="0.3">
      <c r="A751" s="250">
        <f t="shared" si="230"/>
        <v>526</v>
      </c>
      <c r="B751" s="20" t="s">
        <v>3560</v>
      </c>
      <c r="C751" s="273">
        <f t="shared" si="229"/>
        <v>225459.25</v>
      </c>
      <c r="D751" s="273"/>
      <c r="E751" s="273"/>
      <c r="F751" s="273"/>
      <c r="G751" s="273"/>
      <c r="H751" s="273"/>
      <c r="I751" s="273"/>
      <c r="J751" s="273"/>
      <c r="K751" s="273"/>
      <c r="L751" s="273"/>
      <c r="M751" s="273"/>
      <c r="N751" s="273"/>
      <c r="O751" s="273"/>
      <c r="P751" s="273"/>
      <c r="Q751" s="273"/>
      <c r="R751" s="273"/>
      <c r="S751" s="273"/>
      <c r="T751" s="273">
        <v>225459.25</v>
      </c>
      <c r="U751" s="183"/>
      <c r="V751" s="273"/>
      <c r="W751" s="273"/>
      <c r="X751" s="273"/>
      <c r="Y751" s="273"/>
      <c r="Z751" s="273"/>
      <c r="AA751" s="273"/>
      <c r="AB751" s="273"/>
      <c r="AC751" s="273">
        <v>225459.25</v>
      </c>
      <c r="AD751" s="16"/>
      <c r="AE751" s="17"/>
      <c r="AF751" s="15"/>
      <c r="AG751" s="13"/>
    </row>
    <row r="752" spans="1:33" x14ac:dyDescent="0.3">
      <c r="A752" s="250">
        <f t="shared" si="230"/>
        <v>527</v>
      </c>
      <c r="B752" s="20" t="s">
        <v>2950</v>
      </c>
      <c r="C752" s="273">
        <f t="shared" si="229"/>
        <v>198811.07</v>
      </c>
      <c r="D752" s="273">
        <f t="shared" ref="D752:D761" si="231">E752+F752+G752+H752+I752</f>
        <v>0</v>
      </c>
      <c r="E752" s="273"/>
      <c r="F752" s="273"/>
      <c r="G752" s="273"/>
      <c r="H752" s="273"/>
      <c r="I752" s="273"/>
      <c r="J752" s="273"/>
      <c r="K752" s="273"/>
      <c r="L752" s="273"/>
      <c r="M752" s="273"/>
      <c r="N752" s="273"/>
      <c r="O752" s="273"/>
      <c r="P752" s="273"/>
      <c r="Q752" s="273"/>
      <c r="R752" s="273"/>
      <c r="S752" s="273"/>
      <c r="T752" s="273">
        <v>198811.07</v>
      </c>
      <c r="U752" s="100"/>
      <c r="V752" s="273"/>
      <c r="W752" s="273"/>
      <c r="X752" s="273"/>
      <c r="Y752" s="273"/>
      <c r="Z752" s="273"/>
      <c r="AA752" s="273">
        <v>198811.07</v>
      </c>
      <c r="AB752" s="273"/>
      <c r="AD752" s="16"/>
      <c r="AE752" s="17"/>
      <c r="AF752" s="15"/>
      <c r="AG752" s="13"/>
    </row>
    <row r="753" spans="1:34" x14ac:dyDescent="0.3">
      <c r="A753" s="250">
        <f t="shared" si="230"/>
        <v>528</v>
      </c>
      <c r="B753" s="20" t="s">
        <v>2951</v>
      </c>
      <c r="C753" s="273">
        <f t="shared" si="229"/>
        <v>447727.2</v>
      </c>
      <c r="D753" s="273">
        <f t="shared" si="231"/>
        <v>447727.2</v>
      </c>
      <c r="E753" s="273">
        <v>447727.2</v>
      </c>
      <c r="F753" s="273"/>
      <c r="G753" s="273"/>
      <c r="H753" s="273"/>
      <c r="I753" s="273"/>
      <c r="J753" s="273"/>
      <c r="K753" s="273"/>
      <c r="L753" s="273"/>
      <c r="M753" s="273"/>
      <c r="N753" s="273"/>
      <c r="O753" s="273"/>
      <c r="P753" s="273"/>
      <c r="Q753" s="273"/>
      <c r="R753" s="273"/>
      <c r="S753" s="273"/>
      <c r="T753" s="273"/>
      <c r="U753" s="100"/>
      <c r="V753" s="273"/>
      <c r="W753" s="273"/>
      <c r="X753" s="273"/>
      <c r="Y753" s="273"/>
      <c r="Z753" s="273"/>
      <c r="AA753" s="273"/>
      <c r="AB753" s="273"/>
      <c r="AC753" s="273"/>
      <c r="AD753" s="16"/>
      <c r="AE753" s="17"/>
      <c r="AF753" s="15"/>
      <c r="AG753" s="13"/>
    </row>
    <row r="754" spans="1:34" x14ac:dyDescent="0.3">
      <c r="A754" s="250">
        <f t="shared" si="230"/>
        <v>529</v>
      </c>
      <c r="B754" s="20" t="s">
        <v>2952</v>
      </c>
      <c r="C754" s="273">
        <f t="shared" si="229"/>
        <v>2775223.7800000003</v>
      </c>
      <c r="D754" s="273">
        <f t="shared" si="231"/>
        <v>2507983.2000000002</v>
      </c>
      <c r="E754" s="273">
        <v>466230</v>
      </c>
      <c r="F754" s="273">
        <v>2041753.2</v>
      </c>
      <c r="G754" s="273"/>
      <c r="H754" s="273"/>
      <c r="I754" s="273"/>
      <c r="J754" s="273"/>
      <c r="K754" s="273"/>
      <c r="L754" s="273"/>
      <c r="M754" s="273"/>
      <c r="N754" s="273"/>
      <c r="O754" s="273"/>
      <c r="P754" s="273"/>
      <c r="Q754" s="273"/>
      <c r="R754" s="273"/>
      <c r="S754" s="273"/>
      <c r="T754" s="273">
        <v>267240.58</v>
      </c>
      <c r="U754" s="100"/>
      <c r="V754" s="273"/>
      <c r="W754" s="273"/>
      <c r="X754" s="273"/>
      <c r="Y754" s="273"/>
      <c r="Z754" s="273"/>
      <c r="AA754" s="273"/>
      <c r="AB754" s="273"/>
      <c r="AC754" s="273">
        <v>267240.58</v>
      </c>
      <c r="AD754" s="16"/>
      <c r="AE754" s="17"/>
      <c r="AF754" s="15"/>
      <c r="AG754" s="13"/>
    </row>
    <row r="755" spans="1:34" x14ac:dyDescent="0.3">
      <c r="A755" s="250">
        <f t="shared" ref="A755:A758" si="232">A754+1</f>
        <v>530</v>
      </c>
      <c r="B755" s="20" t="s">
        <v>2959</v>
      </c>
      <c r="C755" s="273">
        <f t="shared" si="229"/>
        <v>1965907.2</v>
      </c>
      <c r="D755" s="273">
        <f t="shared" si="231"/>
        <v>1965907.2</v>
      </c>
      <c r="E755" s="273"/>
      <c r="F755" s="273">
        <v>1965907.2</v>
      </c>
      <c r="G755" s="273"/>
      <c r="H755" s="273"/>
      <c r="I755" s="273"/>
      <c r="J755" s="273"/>
      <c r="K755" s="273"/>
      <c r="L755" s="273"/>
      <c r="M755" s="273"/>
      <c r="N755" s="273"/>
      <c r="O755" s="273"/>
      <c r="P755" s="273"/>
      <c r="Q755" s="273"/>
      <c r="R755" s="273"/>
      <c r="S755" s="273"/>
      <c r="T755" s="273"/>
      <c r="U755" s="100"/>
      <c r="V755" s="273"/>
      <c r="W755" s="273"/>
      <c r="X755" s="273"/>
      <c r="Y755" s="273"/>
      <c r="Z755" s="273"/>
      <c r="AA755" s="273"/>
      <c r="AB755" s="273"/>
      <c r="AC755" s="273"/>
      <c r="AD755" s="16"/>
      <c r="AE755" s="17"/>
      <c r="AF755" s="15"/>
      <c r="AG755" s="13"/>
    </row>
    <row r="756" spans="1:34" x14ac:dyDescent="0.3">
      <c r="A756" s="250">
        <f t="shared" si="232"/>
        <v>531</v>
      </c>
      <c r="B756" s="20" t="s">
        <v>2960</v>
      </c>
      <c r="C756" s="273">
        <f t="shared" si="229"/>
        <v>2208085.2000000002</v>
      </c>
      <c r="D756" s="273">
        <f t="shared" si="231"/>
        <v>2208085.2000000002</v>
      </c>
      <c r="E756" s="273"/>
      <c r="F756" s="273">
        <v>2208085.2000000002</v>
      </c>
      <c r="G756" s="273"/>
      <c r="H756" s="273"/>
      <c r="I756" s="273"/>
      <c r="J756" s="273"/>
      <c r="K756" s="273"/>
      <c r="L756" s="273"/>
      <c r="M756" s="273"/>
      <c r="N756" s="273"/>
      <c r="O756" s="273"/>
      <c r="P756" s="273"/>
      <c r="Q756" s="273"/>
      <c r="R756" s="273"/>
      <c r="S756" s="273"/>
      <c r="T756" s="273"/>
      <c r="U756" s="100"/>
      <c r="V756" s="273"/>
      <c r="W756" s="273"/>
      <c r="X756" s="273"/>
      <c r="Y756" s="273"/>
      <c r="Z756" s="273"/>
      <c r="AA756" s="273"/>
      <c r="AB756" s="273"/>
      <c r="AC756" s="273"/>
      <c r="AD756" s="16"/>
      <c r="AE756" s="17"/>
      <c r="AF756" s="15"/>
      <c r="AG756" s="13"/>
    </row>
    <row r="757" spans="1:34" x14ac:dyDescent="0.3">
      <c r="A757" s="250">
        <f t="shared" si="232"/>
        <v>532</v>
      </c>
      <c r="B757" s="20" t="s">
        <v>2953</v>
      </c>
      <c r="C757" s="273">
        <f t="shared" si="229"/>
        <v>1713225.6</v>
      </c>
      <c r="D757" s="273">
        <f t="shared" si="231"/>
        <v>1713225.6</v>
      </c>
      <c r="E757" s="273">
        <v>399938.4</v>
      </c>
      <c r="F757" s="273">
        <v>1313287.2</v>
      </c>
      <c r="G757" s="273"/>
      <c r="H757" s="273"/>
      <c r="I757" s="273"/>
      <c r="J757" s="273"/>
      <c r="K757" s="273"/>
      <c r="L757" s="273"/>
      <c r="M757" s="273"/>
      <c r="N757" s="273"/>
      <c r="O757" s="273"/>
      <c r="P757" s="273"/>
      <c r="Q757" s="273"/>
      <c r="R757" s="273"/>
      <c r="S757" s="273"/>
      <c r="T757" s="273"/>
      <c r="U757" s="181"/>
      <c r="V757" s="100"/>
      <c r="W757" s="273"/>
      <c r="X757" s="273"/>
      <c r="Y757" s="273"/>
      <c r="Z757" s="273"/>
      <c r="AA757" s="273"/>
      <c r="AB757" s="273"/>
      <c r="AC757" s="273"/>
      <c r="AD757" s="273"/>
      <c r="AE757" s="16"/>
      <c r="AF757" s="17"/>
      <c r="AG757" s="15"/>
      <c r="AH757" s="13"/>
    </row>
    <row r="758" spans="1:34" x14ac:dyDescent="0.3">
      <c r="A758" s="250">
        <f t="shared" si="232"/>
        <v>533</v>
      </c>
      <c r="B758" s="20" t="s">
        <v>2961</v>
      </c>
      <c r="C758" s="273">
        <f t="shared" si="229"/>
        <v>1498064.4</v>
      </c>
      <c r="D758" s="273">
        <f t="shared" si="231"/>
        <v>1498064.4</v>
      </c>
      <c r="E758" s="273"/>
      <c r="F758" s="273">
        <v>1498064.4</v>
      </c>
      <c r="G758" s="273"/>
      <c r="H758" s="273"/>
      <c r="I758" s="273"/>
      <c r="J758" s="273"/>
      <c r="K758" s="273"/>
      <c r="L758" s="273"/>
      <c r="M758" s="273"/>
      <c r="N758" s="273"/>
      <c r="O758" s="273"/>
      <c r="P758" s="273"/>
      <c r="Q758" s="273"/>
      <c r="R758" s="273"/>
      <c r="S758" s="273"/>
      <c r="T758" s="273"/>
      <c r="U758" s="100"/>
      <c r="V758" s="273"/>
      <c r="W758" s="273"/>
      <c r="X758" s="273"/>
      <c r="Y758" s="273"/>
      <c r="Z758" s="273"/>
      <c r="AA758" s="273"/>
      <c r="AB758" s="273"/>
      <c r="AC758" s="273"/>
      <c r="AD758" s="16"/>
      <c r="AE758" s="17"/>
      <c r="AF758" s="15"/>
      <c r="AG758" s="13"/>
    </row>
    <row r="759" spans="1:34" x14ac:dyDescent="0.3">
      <c r="A759" s="250">
        <f>A758+1</f>
        <v>534</v>
      </c>
      <c r="B759" s="20" t="s">
        <v>2962</v>
      </c>
      <c r="C759" s="273">
        <f t="shared" si="229"/>
        <v>1743656.4</v>
      </c>
      <c r="D759" s="273">
        <f t="shared" si="231"/>
        <v>1743656.4</v>
      </c>
      <c r="E759" s="273"/>
      <c r="F759" s="273">
        <v>1743656.4</v>
      </c>
      <c r="G759" s="273"/>
      <c r="H759" s="273"/>
      <c r="I759" s="273"/>
      <c r="J759" s="273"/>
      <c r="K759" s="273"/>
      <c r="L759" s="273"/>
      <c r="M759" s="273"/>
      <c r="N759" s="273"/>
      <c r="O759" s="273"/>
      <c r="P759" s="273"/>
      <c r="Q759" s="273"/>
      <c r="R759" s="273"/>
      <c r="S759" s="273"/>
      <c r="T759" s="273"/>
      <c r="U759" s="100"/>
      <c r="V759" s="273"/>
      <c r="W759" s="273"/>
      <c r="X759" s="273"/>
      <c r="Y759" s="273"/>
      <c r="Z759" s="273"/>
      <c r="AA759" s="273"/>
      <c r="AB759" s="273"/>
      <c r="AC759" s="273"/>
      <c r="AD759" s="16"/>
      <c r="AE759" s="17"/>
      <c r="AF759" s="15"/>
      <c r="AG759" s="13"/>
    </row>
    <row r="760" spans="1:34" x14ac:dyDescent="0.3">
      <c r="A760" s="250">
        <f>A759+1</f>
        <v>535</v>
      </c>
      <c r="B760" s="20" t="s">
        <v>2963</v>
      </c>
      <c r="C760" s="273">
        <f t="shared" si="229"/>
        <v>1750953.6</v>
      </c>
      <c r="D760" s="273">
        <f t="shared" si="231"/>
        <v>1750953.6</v>
      </c>
      <c r="E760" s="273"/>
      <c r="F760" s="273">
        <v>1750953.6</v>
      </c>
      <c r="G760" s="273"/>
      <c r="H760" s="273"/>
      <c r="I760" s="273"/>
      <c r="J760" s="273"/>
      <c r="K760" s="273"/>
      <c r="L760" s="273"/>
      <c r="M760" s="273"/>
      <c r="N760" s="273"/>
      <c r="O760" s="273"/>
      <c r="P760" s="273"/>
      <c r="Q760" s="273"/>
      <c r="R760" s="273"/>
      <c r="S760" s="273"/>
      <c r="T760" s="273"/>
      <c r="U760" s="100"/>
      <c r="V760" s="273"/>
      <c r="W760" s="273"/>
      <c r="X760" s="273"/>
      <c r="Y760" s="273"/>
      <c r="Z760" s="273"/>
      <c r="AA760" s="273"/>
      <c r="AB760" s="273"/>
      <c r="AC760" s="273"/>
      <c r="AD760" s="16"/>
      <c r="AE760" s="17"/>
      <c r="AF760" s="15"/>
      <c r="AG760" s="13"/>
    </row>
    <row r="761" spans="1:34" x14ac:dyDescent="0.3">
      <c r="A761" s="250">
        <f>A760+1</f>
        <v>536</v>
      </c>
      <c r="B761" s="20" t="s">
        <v>2964</v>
      </c>
      <c r="C761" s="273">
        <f t="shared" si="229"/>
        <v>10525678.800000001</v>
      </c>
      <c r="D761" s="273">
        <f t="shared" si="231"/>
        <v>10525678.800000001</v>
      </c>
      <c r="E761" s="273"/>
      <c r="F761" s="273">
        <v>10525678.800000001</v>
      </c>
      <c r="G761" s="273"/>
      <c r="H761" s="273"/>
      <c r="I761" s="273"/>
      <c r="J761" s="273"/>
      <c r="K761" s="273"/>
      <c r="L761" s="273"/>
      <c r="M761" s="273"/>
      <c r="N761" s="273"/>
      <c r="O761" s="273"/>
      <c r="P761" s="273"/>
      <c r="Q761" s="273"/>
      <c r="R761" s="273"/>
      <c r="S761" s="273"/>
      <c r="T761" s="273"/>
      <c r="U761" s="100"/>
      <c r="V761" s="273"/>
      <c r="W761" s="273"/>
      <c r="X761" s="273"/>
      <c r="Y761" s="273"/>
      <c r="Z761" s="273"/>
      <c r="AA761" s="273"/>
      <c r="AB761" s="273"/>
      <c r="AC761" s="273"/>
      <c r="AD761" s="16"/>
      <c r="AE761" s="17"/>
      <c r="AF761" s="15"/>
      <c r="AG761" s="13"/>
    </row>
    <row r="762" spans="1:34" x14ac:dyDescent="0.3">
      <c r="A762" s="250"/>
      <c r="B762" s="20" t="s">
        <v>208</v>
      </c>
      <c r="C762" s="273">
        <f>SUM(C748:C761)</f>
        <v>25973100.830000002</v>
      </c>
      <c r="D762" s="273">
        <f t="shared" ref="D762:T762" si="233">SUM(D748:D761)</f>
        <v>24595224.859999999</v>
      </c>
      <c r="E762" s="273">
        <f t="shared" si="233"/>
        <v>1313895.6000000001</v>
      </c>
      <c r="F762" s="273">
        <f t="shared" si="233"/>
        <v>23047386</v>
      </c>
      <c r="G762" s="273">
        <f t="shared" si="233"/>
        <v>233943.26</v>
      </c>
      <c r="H762" s="273">
        <f t="shared" si="233"/>
        <v>0</v>
      </c>
      <c r="I762" s="273">
        <f t="shared" si="233"/>
        <v>0</v>
      </c>
      <c r="J762" s="273">
        <f t="shared" si="233"/>
        <v>0</v>
      </c>
      <c r="K762" s="273">
        <f t="shared" si="233"/>
        <v>0</v>
      </c>
      <c r="L762" s="273">
        <f t="shared" si="233"/>
        <v>0</v>
      </c>
      <c r="M762" s="273">
        <f t="shared" si="233"/>
        <v>0</v>
      </c>
      <c r="N762" s="273">
        <f t="shared" si="233"/>
        <v>0</v>
      </c>
      <c r="O762" s="273">
        <f t="shared" si="233"/>
        <v>0</v>
      </c>
      <c r="P762" s="273">
        <f t="shared" si="233"/>
        <v>0</v>
      </c>
      <c r="Q762" s="273">
        <f t="shared" si="233"/>
        <v>0</v>
      </c>
      <c r="R762" s="273">
        <f t="shared" si="233"/>
        <v>0</v>
      </c>
      <c r="S762" s="273">
        <f t="shared" si="233"/>
        <v>0</v>
      </c>
      <c r="T762" s="273">
        <f t="shared" si="233"/>
        <v>1377875.9700000002</v>
      </c>
      <c r="U762" s="273"/>
      <c r="V762" s="273"/>
      <c r="W762" s="273"/>
      <c r="X762" s="273"/>
      <c r="Y762" s="273"/>
      <c r="Z762" s="273"/>
      <c r="AA762" s="273"/>
      <c r="AB762" s="273"/>
      <c r="AC762" s="273"/>
      <c r="AD762" s="16"/>
      <c r="AE762" s="17"/>
      <c r="AF762" s="15"/>
      <c r="AG762" s="13"/>
    </row>
    <row r="763" spans="1:34" ht="15" customHeight="1" x14ac:dyDescent="0.3">
      <c r="A763" s="255" t="s">
        <v>2986</v>
      </c>
      <c r="B763" s="20"/>
      <c r="C763" s="273"/>
      <c r="D763" s="273"/>
      <c r="E763" s="273"/>
      <c r="F763" s="273"/>
      <c r="G763" s="273"/>
      <c r="H763" s="273"/>
      <c r="I763" s="273"/>
      <c r="J763" s="273"/>
      <c r="K763" s="273"/>
      <c r="L763" s="273"/>
      <c r="M763" s="273"/>
      <c r="N763" s="273"/>
      <c r="O763" s="273"/>
      <c r="P763" s="273"/>
      <c r="Q763" s="273"/>
      <c r="R763" s="273"/>
      <c r="S763" s="273"/>
      <c r="T763" s="273"/>
      <c r="U763" s="100"/>
      <c r="V763" s="273"/>
      <c r="W763" s="273"/>
      <c r="X763" s="273"/>
      <c r="Y763" s="273"/>
      <c r="Z763" s="273"/>
      <c r="AA763" s="273"/>
      <c r="AB763" s="273"/>
      <c r="AC763" s="273"/>
      <c r="AD763" s="16"/>
      <c r="AE763" s="17"/>
      <c r="AF763" s="15"/>
      <c r="AG763" s="13"/>
    </row>
    <row r="764" spans="1:34" x14ac:dyDescent="0.3">
      <c r="A764" s="250">
        <f>A761+1</f>
        <v>537</v>
      </c>
      <c r="B764" s="20" t="s">
        <v>2998</v>
      </c>
      <c r="C764" s="273">
        <f t="shared" ref="C764:C765" si="234">D764+K764+M764+O764+P764+R764+S764+T764</f>
        <v>394765.46</v>
      </c>
      <c r="D764" s="273">
        <f>E764+F764+G764+H764+I764</f>
        <v>394765.46</v>
      </c>
      <c r="E764" s="273">
        <v>394765.46</v>
      </c>
      <c r="F764" s="273"/>
      <c r="G764" s="273"/>
      <c r="H764" s="273"/>
      <c r="I764" s="273"/>
      <c r="J764" s="273"/>
      <c r="K764" s="273"/>
      <c r="L764" s="273"/>
      <c r="M764" s="273"/>
      <c r="N764" s="273"/>
      <c r="O764" s="273"/>
      <c r="P764" s="273"/>
      <c r="Q764" s="273"/>
      <c r="R764" s="273"/>
      <c r="S764" s="273"/>
      <c r="T764" s="273"/>
      <c r="U764" s="100"/>
      <c r="V764" s="273"/>
      <c r="W764" s="273"/>
      <c r="X764" s="273"/>
      <c r="Y764" s="273"/>
      <c r="Z764" s="273"/>
      <c r="AA764" s="273"/>
      <c r="AB764" s="273"/>
      <c r="AC764" s="273"/>
      <c r="AD764" s="16"/>
      <c r="AE764" s="17"/>
      <c r="AF764" s="15"/>
      <c r="AG764" s="13"/>
    </row>
    <row r="765" spans="1:34" x14ac:dyDescent="0.3">
      <c r="A765" s="250">
        <f>A764+1</f>
        <v>538</v>
      </c>
      <c r="B765" s="20" t="s">
        <v>3003</v>
      </c>
      <c r="C765" s="273">
        <f t="shared" si="234"/>
        <v>609809.84</v>
      </c>
      <c r="D765" s="273">
        <f>E765+F765+G765+H765+I765</f>
        <v>609809.84</v>
      </c>
      <c r="E765" s="273">
        <v>609809.84</v>
      </c>
      <c r="F765" s="273"/>
      <c r="G765" s="273"/>
      <c r="H765" s="273"/>
      <c r="I765" s="273"/>
      <c r="J765" s="273"/>
      <c r="K765" s="273"/>
      <c r="L765" s="273"/>
      <c r="M765" s="273"/>
      <c r="N765" s="273"/>
      <c r="O765" s="273"/>
      <c r="P765" s="273"/>
      <c r="Q765" s="273"/>
      <c r="R765" s="273"/>
      <c r="S765" s="273"/>
      <c r="T765" s="273"/>
      <c r="U765" s="100"/>
      <c r="V765" s="273"/>
      <c r="W765" s="273"/>
      <c r="X765" s="273"/>
      <c r="Y765" s="273"/>
      <c r="Z765" s="273"/>
      <c r="AA765" s="273"/>
      <c r="AB765" s="273"/>
      <c r="AC765" s="273"/>
      <c r="AD765" s="16"/>
      <c r="AE765" s="17"/>
      <c r="AF765" s="15"/>
      <c r="AG765" s="13"/>
    </row>
    <row r="766" spans="1:34" x14ac:dyDescent="0.3">
      <c r="A766" s="250"/>
      <c r="B766" s="20" t="s">
        <v>208</v>
      </c>
      <c r="C766" s="273">
        <f>SUM(C764:C765)</f>
        <v>1004575.3</v>
      </c>
      <c r="D766" s="273">
        <f t="shared" ref="D766:T766" si="235">SUM(D764:D765)</f>
        <v>1004575.3</v>
      </c>
      <c r="E766" s="273">
        <f t="shared" si="235"/>
        <v>1004575.3</v>
      </c>
      <c r="F766" s="273">
        <f t="shared" si="235"/>
        <v>0</v>
      </c>
      <c r="G766" s="273">
        <f t="shared" si="235"/>
        <v>0</v>
      </c>
      <c r="H766" s="273">
        <f t="shared" si="235"/>
        <v>0</v>
      </c>
      <c r="I766" s="273">
        <f t="shared" si="235"/>
        <v>0</v>
      </c>
      <c r="J766" s="273">
        <f t="shared" si="235"/>
        <v>0</v>
      </c>
      <c r="K766" s="273">
        <f t="shared" si="235"/>
        <v>0</v>
      </c>
      <c r="L766" s="273">
        <f t="shared" si="235"/>
        <v>0</v>
      </c>
      <c r="M766" s="273">
        <f t="shared" si="235"/>
        <v>0</v>
      </c>
      <c r="N766" s="273">
        <f t="shared" si="235"/>
        <v>0</v>
      </c>
      <c r="O766" s="273">
        <f t="shared" si="235"/>
        <v>0</v>
      </c>
      <c r="P766" s="273">
        <f t="shared" si="235"/>
        <v>0</v>
      </c>
      <c r="Q766" s="273">
        <f t="shared" si="235"/>
        <v>0</v>
      </c>
      <c r="R766" s="273">
        <f t="shared" si="235"/>
        <v>0</v>
      </c>
      <c r="S766" s="273">
        <f t="shared" si="235"/>
        <v>0</v>
      </c>
      <c r="T766" s="273">
        <f t="shared" si="235"/>
        <v>0</v>
      </c>
      <c r="U766" s="74"/>
      <c r="V766" s="273"/>
      <c r="W766" s="273"/>
      <c r="X766" s="273"/>
      <c r="Y766" s="273"/>
      <c r="Z766" s="273"/>
      <c r="AA766" s="273"/>
      <c r="AB766" s="273"/>
      <c r="AC766" s="273"/>
      <c r="AD766" s="16"/>
      <c r="AE766" s="17"/>
      <c r="AF766" s="15"/>
      <c r="AG766" s="13"/>
    </row>
    <row r="767" spans="1:34" x14ac:dyDescent="0.3">
      <c r="A767" s="291" t="s">
        <v>3285</v>
      </c>
      <c r="B767" s="291"/>
      <c r="C767" s="251">
        <f t="shared" ref="C767:T767" si="236">C729+C732+C737+C743+C746+C762+C766</f>
        <v>81187829.980000004</v>
      </c>
      <c r="D767" s="251">
        <f t="shared" si="236"/>
        <v>46417699.420000002</v>
      </c>
      <c r="E767" s="251">
        <f t="shared" si="236"/>
        <v>7556143.7600000007</v>
      </c>
      <c r="F767" s="251">
        <f t="shared" si="236"/>
        <v>37376042.399999999</v>
      </c>
      <c r="G767" s="251">
        <f t="shared" si="236"/>
        <v>634570.46</v>
      </c>
      <c r="H767" s="251">
        <f t="shared" si="236"/>
        <v>580760.4</v>
      </c>
      <c r="I767" s="251">
        <f t="shared" si="236"/>
        <v>270182.40000000002</v>
      </c>
      <c r="J767" s="251">
        <f t="shared" si="236"/>
        <v>446.7</v>
      </c>
      <c r="K767" s="251">
        <f t="shared" si="236"/>
        <v>1979860.8</v>
      </c>
      <c r="L767" s="251">
        <f t="shared" si="236"/>
        <v>0</v>
      </c>
      <c r="M767" s="251">
        <f t="shared" si="236"/>
        <v>0</v>
      </c>
      <c r="N767" s="251">
        <f t="shared" si="236"/>
        <v>0</v>
      </c>
      <c r="O767" s="251">
        <f t="shared" si="236"/>
        <v>27382893.600000001</v>
      </c>
      <c r="P767" s="251">
        <f t="shared" si="236"/>
        <v>0</v>
      </c>
      <c r="Q767" s="251">
        <f t="shared" si="236"/>
        <v>0</v>
      </c>
      <c r="R767" s="251">
        <f t="shared" si="236"/>
        <v>0</v>
      </c>
      <c r="S767" s="251">
        <f t="shared" si="236"/>
        <v>1603332</v>
      </c>
      <c r="T767" s="251">
        <f t="shared" si="236"/>
        <v>3804044.16</v>
      </c>
      <c r="U767" s="251"/>
      <c r="V767" s="251"/>
      <c r="W767" s="251"/>
      <c r="X767" s="251"/>
      <c r="Y767" s="251"/>
      <c r="Z767" s="251"/>
      <c r="AA767" s="251"/>
      <c r="AB767" s="251"/>
      <c r="AC767" s="251"/>
      <c r="AD767" s="16"/>
      <c r="AE767" s="17"/>
      <c r="AF767" s="15"/>
      <c r="AG767" s="13"/>
    </row>
    <row r="768" spans="1:34" ht="21.75" customHeight="1" x14ac:dyDescent="0.3">
      <c r="A768" s="291" t="s">
        <v>3023</v>
      </c>
      <c r="B768" s="291"/>
      <c r="C768" s="251">
        <f t="shared" ref="C768:T768" si="237">C767+C723+C682+C652+C645+C621+C607+C534+C494+C470+C379+C355+C342+C257+C192+C156+C90+C66</f>
        <v>1634152470.4300001</v>
      </c>
      <c r="D768" s="251">
        <f t="shared" si="237"/>
        <v>897764963.96000004</v>
      </c>
      <c r="E768" s="251">
        <f t="shared" si="237"/>
        <v>312111519.03000003</v>
      </c>
      <c r="F768" s="251">
        <f t="shared" si="237"/>
        <v>410526990.86000001</v>
      </c>
      <c r="G768" s="251">
        <f t="shared" si="237"/>
        <v>54518609.540000014</v>
      </c>
      <c r="H768" s="251">
        <f t="shared" si="237"/>
        <v>66956708.36999999</v>
      </c>
      <c r="I768" s="251">
        <f t="shared" si="237"/>
        <v>53651136.160000004</v>
      </c>
      <c r="J768" s="251">
        <f t="shared" si="237"/>
        <v>60444.97</v>
      </c>
      <c r="K768" s="251">
        <f t="shared" si="237"/>
        <v>328779497.94999999</v>
      </c>
      <c r="L768" s="251">
        <f t="shared" si="237"/>
        <v>14157.009999999998</v>
      </c>
      <c r="M768" s="251">
        <f t="shared" si="237"/>
        <v>144199270.93999997</v>
      </c>
      <c r="N768" s="251">
        <f t="shared" si="237"/>
        <v>11597.099999999999</v>
      </c>
      <c r="O768" s="251">
        <f t="shared" si="237"/>
        <v>114225858.39</v>
      </c>
      <c r="P768" s="251">
        <f t="shared" si="237"/>
        <v>680707.2</v>
      </c>
      <c r="Q768" s="251">
        <f t="shared" si="237"/>
        <v>474.59000000000003</v>
      </c>
      <c r="R768" s="251">
        <f t="shared" si="237"/>
        <v>19785123.109999999</v>
      </c>
      <c r="S768" s="251">
        <f t="shared" si="237"/>
        <v>16335963.75</v>
      </c>
      <c r="T768" s="251">
        <f t="shared" si="237"/>
        <v>28430589.229999997</v>
      </c>
      <c r="U768" s="251">
        <f t="shared" ref="U768:Z768" si="238">SUBTOTAL(9,U51:U767)</f>
        <v>778386.82000000007</v>
      </c>
      <c r="V768" s="251">
        <f t="shared" si="238"/>
        <v>483980.52</v>
      </c>
      <c r="W768" s="251">
        <f t="shared" si="238"/>
        <v>721299.16</v>
      </c>
      <c r="X768" s="251">
        <f t="shared" si="238"/>
        <v>513709.31999999995</v>
      </c>
      <c r="Y768" s="251">
        <f t="shared" si="238"/>
        <v>1756827.03</v>
      </c>
      <c r="Z768" s="251">
        <f t="shared" si="238"/>
        <v>0</v>
      </c>
      <c r="AA768" s="251">
        <f>SUBTOTAL(9,AA51:AA767)</f>
        <v>10996685.039999997</v>
      </c>
      <c r="AB768" s="251">
        <f>SUBTOTAL(9,AB51:AB767)</f>
        <v>2224645.79</v>
      </c>
      <c r="AC768" s="251">
        <f>SUBTOTAL(9,AC51:AC767)</f>
        <v>10955055.550000001</v>
      </c>
      <c r="AD768" s="16"/>
      <c r="AE768" s="17"/>
      <c r="AF768" s="15"/>
      <c r="AG768" s="13"/>
    </row>
    <row r="769" spans="1:27" x14ac:dyDescent="0.3">
      <c r="A769" s="315" t="s">
        <v>3520</v>
      </c>
      <c r="B769" s="315"/>
      <c r="C769" s="251">
        <f>(C768-T768)*0.0214</f>
        <v>34362448.257679999</v>
      </c>
      <c r="D769" s="251"/>
      <c r="E769" s="251"/>
      <c r="F769" s="251"/>
      <c r="G769" s="251"/>
      <c r="H769" s="251"/>
      <c r="I769" s="251"/>
      <c r="J769" s="251"/>
      <c r="K769" s="251"/>
      <c r="L769" s="251"/>
      <c r="M769" s="251"/>
      <c r="N769" s="251"/>
      <c r="O769" s="251"/>
      <c r="P769" s="251"/>
      <c r="Q769" s="251"/>
      <c r="R769" s="251"/>
      <c r="S769" s="251"/>
      <c r="T769" s="251"/>
    </row>
    <row r="770" spans="1:27" x14ac:dyDescent="0.3">
      <c r="A770" s="316" t="s">
        <v>3521</v>
      </c>
      <c r="B770" s="316"/>
      <c r="C770" s="251">
        <f>C768+C769</f>
        <v>1668514918.68768</v>
      </c>
      <c r="D770" s="251"/>
      <c r="E770" s="251"/>
      <c r="F770" s="251"/>
      <c r="G770" s="251"/>
      <c r="H770" s="251"/>
      <c r="I770" s="251"/>
      <c r="J770" s="251"/>
      <c r="K770" s="251"/>
      <c r="L770" s="251"/>
      <c r="M770" s="251"/>
      <c r="N770" s="251"/>
      <c r="O770" s="251"/>
      <c r="P770" s="251"/>
      <c r="Q770" s="251"/>
      <c r="R770" s="251"/>
      <c r="S770" s="251"/>
      <c r="T770" s="251"/>
    </row>
    <row r="771" spans="1:27" ht="15.75" x14ac:dyDescent="0.25">
      <c r="C771" s="269"/>
      <c r="D771" s="269"/>
      <c r="E771" s="269"/>
      <c r="F771" s="269"/>
      <c r="G771" s="269"/>
      <c r="H771" s="269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</row>
    <row r="772" spans="1:27" ht="15.75" hidden="1" x14ac:dyDescent="0.25">
      <c r="C772" s="269">
        <f>C768-T768</f>
        <v>1605721881.2</v>
      </c>
      <c r="D772" s="269"/>
      <c r="E772" s="269"/>
      <c r="F772" s="269"/>
      <c r="G772" s="269"/>
      <c r="H772" s="269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</row>
    <row r="773" spans="1:27" ht="15.75" hidden="1" x14ac:dyDescent="0.25">
      <c r="H773" s="269"/>
      <c r="J773" s="269">
        <f>D768+K768+M768+O768+P768+R768+S768+T768</f>
        <v>1550201974.5300002</v>
      </c>
    </row>
    <row r="774" spans="1:27" ht="15.75" hidden="1" x14ac:dyDescent="0.25">
      <c r="AA774" s="41">
        <f>AA768-'[1]2020'!$J$55</f>
        <v>0</v>
      </c>
    </row>
    <row r="776" spans="1:27" ht="15.75" x14ac:dyDescent="0.25">
      <c r="F776" s="269"/>
    </row>
  </sheetData>
  <autoFilter ref="A9:AC9"/>
  <mergeCells count="107">
    <mergeCell ref="A615:B615"/>
    <mergeCell ref="A617:B617"/>
    <mergeCell ref="A1:T1"/>
    <mergeCell ref="F5:F7"/>
    <mergeCell ref="G5:G7"/>
    <mergeCell ref="I5:I7"/>
    <mergeCell ref="A102:B102"/>
    <mergeCell ref="A92:B92"/>
    <mergeCell ref="A99:B99"/>
    <mergeCell ref="H5:H7"/>
    <mergeCell ref="D3:T3"/>
    <mergeCell ref="B3:B7"/>
    <mergeCell ref="A3:A7"/>
    <mergeCell ref="A48:B48"/>
    <mergeCell ref="A62:B62"/>
    <mergeCell ref="E5:E7"/>
    <mergeCell ref="A10:T10"/>
    <mergeCell ref="A67:T67"/>
    <mergeCell ref="A210:B210"/>
    <mergeCell ref="A228:B228"/>
    <mergeCell ref="A232:B232"/>
    <mergeCell ref="A535:T535"/>
    <mergeCell ref="A360:B360"/>
    <mergeCell ref="A273:B273"/>
    <mergeCell ref="A259:B259"/>
    <mergeCell ref="A270:B270"/>
    <mergeCell ref="A266:B266"/>
    <mergeCell ref="A505:B505"/>
    <mergeCell ref="A258:T258"/>
    <mergeCell ref="A343:T343"/>
    <mergeCell ref="A356:T356"/>
    <mergeCell ref="W206:X206"/>
    <mergeCell ref="W201:X201"/>
    <mergeCell ref="A450:B450"/>
    <mergeCell ref="A471:T471"/>
    <mergeCell ref="A442:B442"/>
    <mergeCell ref="A445:B445"/>
    <mergeCell ref="A495:T495"/>
    <mergeCell ref="A379:B379"/>
    <mergeCell ref="A470:B470"/>
    <mergeCell ref="A420:B420"/>
    <mergeCell ref="A431:B431"/>
    <mergeCell ref="A435:B435"/>
    <mergeCell ref="U10:U11"/>
    <mergeCell ref="W181:X181"/>
    <mergeCell ref="W182:X182"/>
    <mergeCell ref="AA2:AC2"/>
    <mergeCell ref="C3:C6"/>
    <mergeCell ref="D4:I4"/>
    <mergeCell ref="J4:K7"/>
    <mergeCell ref="L4:M7"/>
    <mergeCell ref="N4:O7"/>
    <mergeCell ref="Q4:R7"/>
    <mergeCell ref="S4:S7"/>
    <mergeCell ref="AA4:AA8"/>
    <mergeCell ref="AB4:AB8"/>
    <mergeCell ref="AC4:AC8"/>
    <mergeCell ref="D5:D7"/>
    <mergeCell ref="T4:T7"/>
    <mergeCell ref="W649:X649"/>
    <mergeCell ref="W253:X253"/>
    <mergeCell ref="W255:X255"/>
    <mergeCell ref="W249:X249"/>
    <mergeCell ref="W250:X250"/>
    <mergeCell ref="W251:X251"/>
    <mergeCell ref="W252:X252"/>
    <mergeCell ref="W248:X248"/>
    <mergeCell ref="A767:B767"/>
    <mergeCell ref="A357:B357"/>
    <mergeCell ref="A373:B373"/>
    <mergeCell ref="A380:T380"/>
    <mergeCell ref="A381:B381"/>
    <mergeCell ref="A342:B342"/>
    <mergeCell ref="A355:B355"/>
    <mergeCell ref="A683:T683"/>
    <mergeCell ref="A724:T724"/>
    <mergeCell ref="A608:T608"/>
    <mergeCell ref="A622:T622"/>
    <mergeCell ref="A623:B623"/>
    <mergeCell ref="A646:T646"/>
    <mergeCell ref="A653:T653"/>
    <mergeCell ref="A723:B723"/>
    <mergeCell ref="A652:B652"/>
    <mergeCell ref="A768:B768"/>
    <mergeCell ref="A769:B769"/>
    <mergeCell ref="A770:B770"/>
    <mergeCell ref="A66:B66"/>
    <mergeCell ref="A90:B90"/>
    <mergeCell ref="A156:B156"/>
    <mergeCell ref="A192:B192"/>
    <mergeCell ref="A257:B257"/>
    <mergeCell ref="A91:T91"/>
    <mergeCell ref="A157:T157"/>
    <mergeCell ref="A193:T193"/>
    <mergeCell ref="A184:B184"/>
    <mergeCell ref="A188:B188"/>
    <mergeCell ref="A142:B142"/>
    <mergeCell ref="A145:B145"/>
    <mergeCell ref="A158:B158"/>
    <mergeCell ref="A163:B163"/>
    <mergeCell ref="A166:B166"/>
    <mergeCell ref="A139:B139"/>
    <mergeCell ref="A246:B246"/>
    <mergeCell ref="P720:Q720"/>
    <mergeCell ref="A239:B239"/>
    <mergeCell ref="A198:B198"/>
    <mergeCell ref="A194:B194"/>
  </mergeCells>
  <conditionalFormatting sqref="B757">
    <cfRule type="duplicateValues" dxfId="58" priority="1"/>
  </conditionalFormatting>
  <pageMargins left="0.23622047244094491" right="0.23622047244094491" top="0.55118110236220474" bottom="0.39370078740157483" header="0.31496062992125984" footer="0.27559055118110237"/>
  <pageSetup paperSize="9" scale="40" orientation="landscape" r:id="rId1"/>
  <headerFooter>
    <oddFooter>&amp;CСтраница &amp;P&amp;RРаздел II</oddFooter>
  </headerFooter>
  <rowBreaks count="1" manualBreakCount="1">
    <brk id="1276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2366"/>
  <sheetViews>
    <sheetView view="pageBreakPreview" zoomScale="60" zoomScaleNormal="70" workbookViewId="0">
      <pane xSplit="3" ySplit="8" topLeftCell="D2328" activePane="bottomRight" state="frozen"/>
      <selection pane="topRight" activeCell="D1" sqref="D1"/>
      <selection pane="bottomLeft" activeCell="A9" sqref="A9"/>
      <selection pane="bottomRight" activeCell="F2364" sqref="F2364"/>
    </sheetView>
  </sheetViews>
  <sheetFormatPr defaultColWidth="9.109375" defaultRowHeight="15.6" x14ac:dyDescent="0.3"/>
  <cols>
    <col min="1" max="1" width="6.33203125" style="134" customWidth="1"/>
    <col min="2" max="2" width="64.33203125" style="120" customWidth="1"/>
    <col min="3" max="3" width="20.44140625" style="269" customWidth="1"/>
    <col min="4" max="4" width="19.109375" style="269" customWidth="1"/>
    <col min="5" max="5" width="17.88671875" style="269" customWidth="1"/>
    <col min="6" max="6" width="18" style="269" customWidth="1"/>
    <col min="7" max="7" width="19" style="269" customWidth="1"/>
    <col min="8" max="8" width="16.5546875" style="269" customWidth="1"/>
    <col min="9" max="9" width="19.6640625" style="269" customWidth="1"/>
    <col min="10" max="10" width="8.44140625" style="269" hidden="1" customWidth="1"/>
    <col min="11" max="11" width="19.88671875" style="269" hidden="1" customWidth="1"/>
    <col min="12" max="12" width="22.44140625" style="269" hidden="1" customWidth="1"/>
    <col min="13" max="13" width="12.5546875" style="269" customWidth="1"/>
    <col min="14" max="14" width="19.109375" style="269" customWidth="1"/>
    <col min="15" max="15" width="11.88671875" style="269" customWidth="1"/>
    <col min="16" max="16" width="18.6640625" style="269" customWidth="1"/>
    <col min="17" max="17" width="13" style="269" customWidth="1"/>
    <col min="18" max="18" width="19.5546875" style="269" customWidth="1"/>
    <col min="19" max="19" width="16.109375" style="269" customWidth="1"/>
    <col min="20" max="20" width="11.6640625" style="269" customWidth="1"/>
    <col min="21" max="21" width="17.5546875" style="269" customWidth="1"/>
    <col min="22" max="22" width="16.33203125" style="269" customWidth="1"/>
    <col min="23" max="23" width="19.6640625" style="269" customWidth="1"/>
    <col min="24" max="25" width="14.44140625" style="36" hidden="1" customWidth="1"/>
    <col min="26" max="26" width="16.88671875" style="36" hidden="1" customWidth="1"/>
    <col min="27" max="30" width="14.44140625" style="36" hidden="1" customWidth="1"/>
    <col min="31" max="31" width="16.88671875" style="36" hidden="1" customWidth="1"/>
    <col min="32" max="34" width="14.44140625" style="36" hidden="1" customWidth="1"/>
    <col min="35" max="35" width="12.5546875" style="36" hidden="1" customWidth="1"/>
    <col min="36" max="36" width="9.109375" style="36" hidden="1" customWidth="1"/>
    <col min="37" max="38" width="9.109375" style="36" customWidth="1"/>
    <col min="39" max="39" width="9.33203125" style="36" customWidth="1"/>
    <col min="40" max="46" width="9.109375" style="36" customWidth="1"/>
    <col min="47" max="16384" width="9.109375" style="36"/>
  </cols>
  <sheetData>
    <row r="1" spans="1:34" x14ac:dyDescent="0.3">
      <c r="A1" s="361" t="s">
        <v>3574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266"/>
      <c r="Y1" s="266"/>
      <c r="Z1" s="266"/>
      <c r="AA1" s="266"/>
      <c r="AB1" s="13"/>
      <c r="AC1" s="13"/>
      <c r="AD1" s="13"/>
      <c r="AE1" s="13"/>
      <c r="AF1" s="13"/>
    </row>
    <row r="2" spans="1:34" x14ac:dyDescent="0.3">
      <c r="A2" s="126"/>
      <c r="B2" s="7"/>
      <c r="X2" s="269"/>
      <c r="Y2" s="269"/>
      <c r="Z2" s="7"/>
      <c r="AA2" s="13"/>
      <c r="AB2" s="13"/>
      <c r="AC2" s="13"/>
      <c r="AD2" s="344" t="s">
        <v>0</v>
      </c>
      <c r="AE2" s="344"/>
      <c r="AF2" s="344"/>
    </row>
    <row r="3" spans="1:34" ht="46.8" x14ac:dyDescent="0.3">
      <c r="A3" s="127" t="s">
        <v>1</v>
      </c>
      <c r="B3" s="70" t="s">
        <v>2</v>
      </c>
      <c r="C3" s="101" t="s">
        <v>3</v>
      </c>
      <c r="D3" s="119" t="s">
        <v>4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271"/>
      <c r="Y3" s="72"/>
      <c r="Z3" s="7"/>
      <c r="AA3" s="13"/>
      <c r="AB3" s="13"/>
      <c r="AC3" s="13"/>
      <c r="AD3" s="13"/>
      <c r="AE3" s="13"/>
      <c r="AF3" s="13"/>
    </row>
    <row r="4" spans="1:34" ht="15" customHeight="1" x14ac:dyDescent="0.3">
      <c r="A4" s="128"/>
      <c r="B4" s="102"/>
      <c r="C4" s="267"/>
      <c r="D4" s="394" t="s">
        <v>5</v>
      </c>
      <c r="E4" s="395"/>
      <c r="F4" s="395"/>
      <c r="G4" s="395"/>
      <c r="H4" s="395"/>
      <c r="I4" s="396"/>
      <c r="J4" s="394" t="s">
        <v>6</v>
      </c>
      <c r="K4" s="395"/>
      <c r="L4" s="396"/>
      <c r="M4" s="402" t="s">
        <v>7</v>
      </c>
      <c r="N4" s="403"/>
      <c r="O4" s="402" t="s">
        <v>8</v>
      </c>
      <c r="P4" s="403"/>
      <c r="Q4" s="402" t="s">
        <v>9</v>
      </c>
      <c r="R4" s="403"/>
      <c r="S4" s="73"/>
      <c r="T4" s="402" t="s">
        <v>10</v>
      </c>
      <c r="U4" s="403"/>
      <c r="V4" s="345" t="s">
        <v>11</v>
      </c>
      <c r="W4" s="345" t="s">
        <v>12</v>
      </c>
      <c r="X4" s="261"/>
      <c r="Y4" s="261"/>
      <c r="Z4" s="261"/>
      <c r="AA4" s="261"/>
      <c r="AB4" s="261"/>
      <c r="AC4" s="261"/>
      <c r="AD4" s="261"/>
      <c r="AE4" s="359" t="s">
        <v>13</v>
      </c>
      <c r="AF4" s="359" t="s">
        <v>14</v>
      </c>
      <c r="AG4" s="401" t="s">
        <v>15</v>
      </c>
      <c r="AH4" s="397" t="s">
        <v>3538</v>
      </c>
    </row>
    <row r="5" spans="1:34" ht="15" customHeight="1" x14ac:dyDescent="0.3">
      <c r="A5" s="128"/>
      <c r="B5" s="102"/>
      <c r="C5" s="267"/>
      <c r="D5" s="345" t="s">
        <v>16</v>
      </c>
      <c r="E5" s="345" t="s">
        <v>17</v>
      </c>
      <c r="F5" s="345" t="s">
        <v>18</v>
      </c>
      <c r="G5" s="345" t="s">
        <v>19</v>
      </c>
      <c r="H5" s="345" t="s">
        <v>20</v>
      </c>
      <c r="I5" s="345" t="s">
        <v>21</v>
      </c>
      <c r="J5" s="345"/>
      <c r="K5" s="345" t="s">
        <v>22</v>
      </c>
      <c r="L5" s="345" t="s">
        <v>23</v>
      </c>
      <c r="M5" s="404"/>
      <c r="N5" s="405"/>
      <c r="O5" s="404"/>
      <c r="P5" s="405"/>
      <c r="Q5" s="404"/>
      <c r="R5" s="405"/>
      <c r="S5" s="74"/>
      <c r="T5" s="404"/>
      <c r="U5" s="405"/>
      <c r="V5" s="346"/>
      <c r="W5" s="346"/>
      <c r="X5" s="261"/>
      <c r="Y5" s="261"/>
      <c r="Z5" s="261"/>
      <c r="AA5" s="261"/>
      <c r="AB5" s="261"/>
      <c r="AC5" s="261"/>
      <c r="AD5" s="261"/>
      <c r="AE5" s="359"/>
      <c r="AF5" s="359"/>
      <c r="AG5" s="401"/>
      <c r="AH5" s="398"/>
    </row>
    <row r="6" spans="1:34" x14ac:dyDescent="0.3">
      <c r="A6" s="128"/>
      <c r="B6" s="102"/>
      <c r="C6" s="267"/>
      <c r="D6" s="346"/>
      <c r="E6" s="346"/>
      <c r="F6" s="346"/>
      <c r="G6" s="346"/>
      <c r="H6" s="346"/>
      <c r="I6" s="346"/>
      <c r="J6" s="346"/>
      <c r="K6" s="346"/>
      <c r="L6" s="346"/>
      <c r="M6" s="404"/>
      <c r="N6" s="405"/>
      <c r="O6" s="404"/>
      <c r="P6" s="405"/>
      <c r="Q6" s="404"/>
      <c r="R6" s="405"/>
      <c r="S6" s="74" t="s">
        <v>24</v>
      </c>
      <c r="T6" s="404"/>
      <c r="U6" s="405"/>
      <c r="V6" s="346"/>
      <c r="W6" s="346"/>
      <c r="X6" s="261" t="s">
        <v>25</v>
      </c>
      <c r="Y6" s="261" t="s">
        <v>26</v>
      </c>
      <c r="Z6" s="261" t="s">
        <v>2340</v>
      </c>
      <c r="AA6" s="261" t="s">
        <v>27</v>
      </c>
      <c r="AB6" s="261" t="s">
        <v>1404</v>
      </c>
      <c r="AC6" s="261" t="s">
        <v>28</v>
      </c>
      <c r="AD6" s="261" t="s">
        <v>3539</v>
      </c>
      <c r="AE6" s="359"/>
      <c r="AF6" s="359"/>
      <c r="AG6" s="401"/>
      <c r="AH6" s="398"/>
    </row>
    <row r="7" spans="1:34" ht="45.75" customHeight="1" x14ac:dyDescent="0.3">
      <c r="A7" s="129"/>
      <c r="B7" s="103"/>
      <c r="C7" s="268"/>
      <c r="D7" s="360"/>
      <c r="E7" s="360"/>
      <c r="F7" s="360"/>
      <c r="G7" s="360"/>
      <c r="H7" s="360"/>
      <c r="I7" s="360"/>
      <c r="J7" s="360"/>
      <c r="K7" s="360"/>
      <c r="L7" s="360"/>
      <c r="M7" s="406"/>
      <c r="N7" s="407"/>
      <c r="O7" s="406"/>
      <c r="P7" s="407"/>
      <c r="Q7" s="406"/>
      <c r="R7" s="407"/>
      <c r="S7" s="75"/>
      <c r="T7" s="406"/>
      <c r="U7" s="407"/>
      <c r="V7" s="360"/>
      <c r="W7" s="360"/>
      <c r="X7" s="261"/>
      <c r="Y7" s="261"/>
      <c r="Z7" s="261"/>
      <c r="AA7" s="261"/>
      <c r="AB7" s="261"/>
      <c r="AC7" s="261"/>
      <c r="AD7" s="261"/>
      <c r="AE7" s="359"/>
      <c r="AF7" s="359"/>
      <c r="AG7" s="401"/>
      <c r="AH7" s="398"/>
    </row>
    <row r="8" spans="1:34" x14ac:dyDescent="0.3">
      <c r="A8" s="8"/>
      <c r="B8" s="257"/>
      <c r="C8" s="261" t="s">
        <v>29</v>
      </c>
      <c r="D8" s="261" t="s">
        <v>29</v>
      </c>
      <c r="E8" s="261" t="s">
        <v>29</v>
      </c>
      <c r="F8" s="261" t="s">
        <v>29</v>
      </c>
      <c r="G8" s="261" t="s">
        <v>29</v>
      </c>
      <c r="H8" s="261" t="s">
        <v>29</v>
      </c>
      <c r="I8" s="261" t="s">
        <v>29</v>
      </c>
      <c r="J8" s="261" t="s">
        <v>30</v>
      </c>
      <c r="K8" s="261" t="s">
        <v>29</v>
      </c>
      <c r="L8" s="261" t="s">
        <v>29</v>
      </c>
      <c r="M8" s="261" t="s">
        <v>31</v>
      </c>
      <c r="N8" s="261" t="s">
        <v>29</v>
      </c>
      <c r="O8" s="261" t="s">
        <v>31</v>
      </c>
      <c r="P8" s="261" t="s">
        <v>29</v>
      </c>
      <c r="Q8" s="261" t="s">
        <v>31</v>
      </c>
      <c r="R8" s="261" t="s">
        <v>29</v>
      </c>
      <c r="S8" s="261" t="s">
        <v>29</v>
      </c>
      <c r="T8" s="261" t="s">
        <v>32</v>
      </c>
      <c r="U8" s="261" t="s">
        <v>29</v>
      </c>
      <c r="V8" s="261" t="s">
        <v>29</v>
      </c>
      <c r="W8" s="261" t="s">
        <v>29</v>
      </c>
      <c r="X8" s="261"/>
      <c r="Y8" s="261"/>
      <c r="Z8" s="261"/>
      <c r="AA8" s="261"/>
      <c r="AB8" s="261"/>
      <c r="AC8" s="261"/>
      <c r="AD8" s="261"/>
      <c r="AE8" s="359"/>
      <c r="AF8" s="359"/>
      <c r="AG8" s="401"/>
      <c r="AH8" s="398"/>
    </row>
    <row r="9" spans="1:34" x14ac:dyDescent="0.3">
      <c r="A9" s="10">
        <v>1</v>
      </c>
      <c r="B9" s="9">
        <v>2</v>
      </c>
      <c r="C9" s="10">
        <v>3</v>
      </c>
      <c r="D9" s="9">
        <v>4</v>
      </c>
      <c r="E9" s="10">
        <v>5</v>
      </c>
      <c r="F9" s="9">
        <v>6</v>
      </c>
      <c r="G9" s="10">
        <v>7</v>
      </c>
      <c r="H9" s="9">
        <v>8</v>
      </c>
      <c r="I9" s="10">
        <v>9</v>
      </c>
      <c r="J9" s="9">
        <v>10</v>
      </c>
      <c r="K9" s="10">
        <v>11</v>
      </c>
      <c r="L9" s="9">
        <v>12</v>
      </c>
      <c r="M9" s="10">
        <v>13</v>
      </c>
      <c r="N9" s="9">
        <v>14</v>
      </c>
      <c r="O9" s="10">
        <v>15</v>
      </c>
      <c r="P9" s="9">
        <v>16</v>
      </c>
      <c r="Q9" s="10">
        <v>17</v>
      </c>
      <c r="R9" s="9">
        <v>18</v>
      </c>
      <c r="S9" s="10">
        <v>19</v>
      </c>
      <c r="T9" s="9">
        <v>20</v>
      </c>
      <c r="U9" s="10">
        <v>21</v>
      </c>
      <c r="V9" s="9">
        <v>22</v>
      </c>
      <c r="W9" s="10">
        <v>23</v>
      </c>
      <c r="X9" s="77"/>
      <c r="Y9" s="78"/>
      <c r="Z9" s="78"/>
      <c r="AA9" s="79"/>
      <c r="AB9" s="79"/>
      <c r="AC9" s="2"/>
      <c r="AD9" s="2"/>
      <c r="AE9" s="2"/>
      <c r="AF9" s="2"/>
      <c r="AG9" s="2"/>
      <c r="AH9" s="398"/>
    </row>
    <row r="10" spans="1:34" x14ac:dyDescent="0.3">
      <c r="A10" s="376" t="s">
        <v>33</v>
      </c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8"/>
      <c r="X10" s="400"/>
      <c r="Y10" s="254"/>
      <c r="Z10" s="254"/>
      <c r="AA10" s="254"/>
      <c r="AB10" s="13"/>
      <c r="AC10" s="13"/>
      <c r="AD10" s="13"/>
      <c r="AE10" s="13"/>
      <c r="AF10" s="13"/>
    </row>
    <row r="11" spans="1:34" x14ac:dyDescent="0.3">
      <c r="A11" s="130" t="s">
        <v>34</v>
      </c>
      <c r="B11" s="123"/>
      <c r="C11" s="251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400"/>
      <c r="Y11" s="272"/>
      <c r="Z11" s="80"/>
      <c r="AA11" s="81"/>
      <c r="AC11" s="82"/>
      <c r="AD11" s="13"/>
      <c r="AE11" s="13"/>
      <c r="AF11" s="13"/>
      <c r="AG11" s="13"/>
    </row>
    <row r="12" spans="1:34" ht="20.25" customHeight="1" x14ac:dyDescent="0.3">
      <c r="A12" s="8">
        <v>1</v>
      </c>
      <c r="B12" s="124" t="s">
        <v>35</v>
      </c>
      <c r="C12" s="273">
        <f t="shared" ref="C12:C43" si="0">D12+K12+L12+N12+P12+R12+S12+U12+V12+W12</f>
        <v>1410533.58</v>
      </c>
      <c r="D12" s="273">
        <f t="shared" ref="D12:D43" si="1">E12+F12+G12+H12+I12</f>
        <v>0</v>
      </c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3">
        <f>SUM(X12:AJ12)</f>
        <v>1410533.58</v>
      </c>
      <c r="X12" s="271"/>
      <c r="Y12" s="271"/>
      <c r="Z12" s="271"/>
      <c r="AA12" s="271"/>
      <c r="AC12" s="271"/>
      <c r="AD12" s="271"/>
      <c r="AE12" s="269"/>
      <c r="AF12" s="7"/>
      <c r="AG12" s="13">
        <v>1410533.58</v>
      </c>
    </row>
    <row r="13" spans="1:34" ht="20.25" customHeight="1" x14ac:dyDescent="0.3">
      <c r="A13" s="8">
        <f t="shared" ref="A13:A44" si="2">A12+1</f>
        <v>2</v>
      </c>
      <c r="B13" s="124" t="s">
        <v>36</v>
      </c>
      <c r="C13" s="273">
        <f t="shared" si="0"/>
        <v>1191050.6599999999</v>
      </c>
      <c r="D13" s="273">
        <f t="shared" si="1"/>
        <v>0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>
        <f>SUM(X13:AJ13)</f>
        <v>1191050.6599999999</v>
      </c>
      <c r="X13" s="271"/>
      <c r="Y13" s="271"/>
      <c r="Z13" s="271"/>
      <c r="AA13" s="271"/>
      <c r="AC13" s="271"/>
      <c r="AD13" s="271"/>
      <c r="AE13" s="269"/>
      <c r="AF13" s="7"/>
      <c r="AG13" s="13">
        <v>1191050.6599999999</v>
      </c>
    </row>
    <row r="14" spans="1:34" ht="20.25" customHeight="1" x14ac:dyDescent="0.3">
      <c r="A14" s="8">
        <f t="shared" si="2"/>
        <v>3</v>
      </c>
      <c r="B14" s="124" t="s">
        <v>38</v>
      </c>
      <c r="C14" s="273">
        <f t="shared" si="0"/>
        <v>381945.12</v>
      </c>
      <c r="D14" s="273">
        <f t="shared" si="1"/>
        <v>0</v>
      </c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>
        <v>381945.12</v>
      </c>
      <c r="X14" s="271"/>
      <c r="Y14" s="271"/>
      <c r="Z14" s="271"/>
      <c r="AA14" s="271"/>
      <c r="AC14" s="271"/>
      <c r="AD14" s="271"/>
      <c r="AE14" s="269">
        <v>381945.12</v>
      </c>
      <c r="AF14" s="7"/>
      <c r="AG14" s="13"/>
    </row>
    <row r="15" spans="1:34" ht="20.25" customHeight="1" x14ac:dyDescent="0.3">
      <c r="A15" s="8">
        <f t="shared" si="2"/>
        <v>4</v>
      </c>
      <c r="B15" s="124" t="s">
        <v>40</v>
      </c>
      <c r="C15" s="273">
        <f t="shared" si="0"/>
        <v>1410011.58</v>
      </c>
      <c r="D15" s="273">
        <f t="shared" si="1"/>
        <v>0</v>
      </c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>
        <f>SUM(X15:AJ15)</f>
        <v>1410011.58</v>
      </c>
      <c r="X15" s="271"/>
      <c r="Y15" s="271"/>
      <c r="Z15" s="271"/>
      <c r="AA15" s="271"/>
      <c r="AC15" s="271"/>
      <c r="AD15" s="271"/>
      <c r="AE15" s="269"/>
      <c r="AF15" s="7"/>
      <c r="AG15" s="13">
        <v>1410011.58</v>
      </c>
    </row>
    <row r="16" spans="1:34" ht="20.25" customHeight="1" x14ac:dyDescent="0.3">
      <c r="A16" s="8">
        <f t="shared" si="2"/>
        <v>5</v>
      </c>
      <c r="B16" s="124" t="s">
        <v>41</v>
      </c>
      <c r="C16" s="273">
        <f t="shared" si="0"/>
        <v>845175.97</v>
      </c>
      <c r="D16" s="273">
        <f t="shared" si="1"/>
        <v>0</v>
      </c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>
        <f>SUM(X16:AJ16)</f>
        <v>845175.97</v>
      </c>
      <c r="X16" s="271"/>
      <c r="Y16" s="271"/>
      <c r="Z16" s="271"/>
      <c r="AA16" s="271"/>
      <c r="AC16" s="271"/>
      <c r="AD16" s="271"/>
      <c r="AE16" s="269"/>
      <c r="AF16" s="7"/>
      <c r="AG16" s="13">
        <v>845175.97</v>
      </c>
    </row>
    <row r="17" spans="1:33" ht="20.25" customHeight="1" x14ac:dyDescent="0.3">
      <c r="A17" s="8">
        <f t="shared" si="2"/>
        <v>6</v>
      </c>
      <c r="B17" s="124" t="s">
        <v>42</v>
      </c>
      <c r="C17" s="273">
        <f t="shared" si="0"/>
        <v>24857593.199999999</v>
      </c>
      <c r="D17" s="273">
        <f t="shared" si="1"/>
        <v>0</v>
      </c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>
        <v>940.4</v>
      </c>
      <c r="P17" s="273">
        <f>940.4*26433</f>
        <v>24857593.199999999</v>
      </c>
      <c r="Q17" s="273"/>
      <c r="R17" s="273"/>
      <c r="S17" s="273"/>
      <c r="T17" s="273"/>
      <c r="U17" s="273"/>
      <c r="V17" s="273"/>
      <c r="W17" s="273"/>
      <c r="X17" s="271"/>
      <c r="Z17" s="271"/>
      <c r="AA17" s="271"/>
      <c r="AC17" s="271"/>
      <c r="AD17" s="271"/>
      <c r="AE17" s="269"/>
      <c r="AF17" s="7"/>
      <c r="AG17" s="13"/>
    </row>
    <row r="18" spans="1:33" ht="20.25" customHeight="1" x14ac:dyDescent="0.3">
      <c r="A18" s="8">
        <f t="shared" si="2"/>
        <v>7</v>
      </c>
      <c r="B18" s="124" t="s">
        <v>45</v>
      </c>
      <c r="C18" s="273">
        <f t="shared" si="0"/>
        <v>164288.45000000001</v>
      </c>
      <c r="D18" s="273">
        <f t="shared" si="1"/>
        <v>0</v>
      </c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>
        <v>164288.45000000001</v>
      </c>
      <c r="X18" s="271"/>
      <c r="Y18" s="271">
        <v>164288.45000000001</v>
      </c>
      <c r="Z18" s="271"/>
      <c r="AA18" s="271"/>
      <c r="AC18" s="271"/>
      <c r="AD18" s="271"/>
      <c r="AE18" s="13"/>
    </row>
    <row r="19" spans="1:33" ht="20.25" customHeight="1" x14ac:dyDescent="0.3">
      <c r="A19" s="8">
        <f t="shared" si="2"/>
        <v>8</v>
      </c>
      <c r="B19" s="124" t="s">
        <v>46</v>
      </c>
      <c r="C19" s="273">
        <f t="shared" si="0"/>
        <v>130000</v>
      </c>
      <c r="D19" s="273">
        <f t="shared" si="1"/>
        <v>0</v>
      </c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>
        <v>130000</v>
      </c>
      <c r="X19" s="271"/>
      <c r="Y19" s="271"/>
      <c r="Z19" s="271"/>
      <c r="AA19" s="271"/>
      <c r="AC19" s="271"/>
      <c r="AD19" s="271"/>
      <c r="AE19" s="269"/>
      <c r="AF19" s="7">
        <v>130000</v>
      </c>
      <c r="AG19" s="13"/>
    </row>
    <row r="20" spans="1:33" ht="20.25" customHeight="1" x14ac:dyDescent="0.3">
      <c r="A20" s="8">
        <f t="shared" si="2"/>
        <v>9</v>
      </c>
      <c r="B20" s="124" t="s">
        <v>48</v>
      </c>
      <c r="C20" s="273">
        <f t="shared" si="0"/>
        <v>130000</v>
      </c>
      <c r="D20" s="273">
        <f t="shared" si="1"/>
        <v>0</v>
      </c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>
        <v>130000</v>
      </c>
      <c r="X20" s="271"/>
      <c r="Y20" s="271"/>
      <c r="Z20" s="271"/>
      <c r="AA20" s="271"/>
      <c r="AC20" s="271">
        <v>130000</v>
      </c>
      <c r="AE20" s="269"/>
      <c r="AF20" s="7"/>
      <c r="AG20" s="13"/>
    </row>
    <row r="21" spans="1:33" ht="20.25" customHeight="1" x14ac:dyDescent="0.3">
      <c r="A21" s="8">
        <f t="shared" si="2"/>
        <v>10</v>
      </c>
      <c r="B21" s="124" t="s">
        <v>49</v>
      </c>
      <c r="C21" s="273">
        <f t="shared" si="0"/>
        <v>546894.39</v>
      </c>
      <c r="D21" s="273">
        <f t="shared" si="1"/>
        <v>0</v>
      </c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>
        <f>SUM(X21:AJ21)</f>
        <v>546894.39</v>
      </c>
      <c r="X21" s="271"/>
      <c r="Y21" s="271">
        <v>124127.1</v>
      </c>
      <c r="Z21" s="271">
        <v>113034.64</v>
      </c>
      <c r="AA21" s="271">
        <v>112006.91</v>
      </c>
      <c r="AC21" s="36">
        <v>197725.74</v>
      </c>
      <c r="AE21" s="269"/>
      <c r="AF21" s="7"/>
      <c r="AG21" s="13"/>
    </row>
    <row r="22" spans="1:33" ht="20.25" customHeight="1" x14ac:dyDescent="0.3">
      <c r="A22" s="8">
        <f t="shared" si="2"/>
        <v>11</v>
      </c>
      <c r="B22" s="124" t="s">
        <v>52</v>
      </c>
      <c r="C22" s="273">
        <f t="shared" si="0"/>
        <v>5295959.0199999996</v>
      </c>
      <c r="D22" s="273">
        <f t="shared" si="1"/>
        <v>0</v>
      </c>
      <c r="E22" s="273"/>
      <c r="F22" s="273"/>
      <c r="G22" s="273"/>
      <c r="H22" s="273"/>
      <c r="I22" s="273"/>
      <c r="J22" s="273"/>
      <c r="K22" s="273"/>
      <c r="L22" s="273"/>
      <c r="M22" s="273">
        <v>690</v>
      </c>
      <c r="N22" s="273">
        <v>5295959.0199999996</v>
      </c>
      <c r="O22" s="273"/>
      <c r="P22" s="273"/>
      <c r="Q22" s="273"/>
      <c r="R22" s="273"/>
      <c r="S22" s="273"/>
      <c r="T22" s="273"/>
      <c r="U22" s="273"/>
      <c r="V22" s="273"/>
      <c r="W22" s="273"/>
      <c r="X22" s="271"/>
      <c r="Y22" s="271"/>
      <c r="Z22" s="271"/>
      <c r="AA22" s="271"/>
      <c r="AC22" s="271"/>
      <c r="AD22" s="271"/>
      <c r="AE22" s="269"/>
      <c r="AF22" s="7"/>
      <c r="AG22" s="13"/>
    </row>
    <row r="23" spans="1:33" ht="20.25" customHeight="1" x14ac:dyDescent="0.3">
      <c r="A23" s="8">
        <f t="shared" si="2"/>
        <v>12</v>
      </c>
      <c r="B23" s="124" t="s">
        <v>53</v>
      </c>
      <c r="C23" s="273">
        <f t="shared" si="0"/>
        <v>170914.72999999998</v>
      </c>
      <c r="D23" s="273">
        <f t="shared" si="1"/>
        <v>0</v>
      </c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>
        <f>SUM(X23:AE23)</f>
        <v>170914.72999999998</v>
      </c>
      <c r="X23" s="271"/>
      <c r="Y23" s="271">
        <v>73709.81</v>
      </c>
      <c r="Z23" s="271">
        <f>97204.92/2</f>
        <v>48602.46</v>
      </c>
      <c r="AA23" s="271">
        <f>97204.92/2</f>
        <v>48602.46</v>
      </c>
      <c r="AC23" s="271"/>
      <c r="AD23" s="271"/>
      <c r="AE23" s="269"/>
      <c r="AF23" s="7"/>
      <c r="AG23" s="13"/>
    </row>
    <row r="24" spans="1:33" ht="20.25" customHeight="1" x14ac:dyDescent="0.3">
      <c r="A24" s="8">
        <f t="shared" si="2"/>
        <v>13</v>
      </c>
      <c r="B24" s="124" t="s">
        <v>54</v>
      </c>
      <c r="C24" s="273">
        <f t="shared" si="0"/>
        <v>4934746.58</v>
      </c>
      <c r="D24" s="273">
        <f t="shared" si="1"/>
        <v>0</v>
      </c>
      <c r="E24" s="273"/>
      <c r="F24" s="273"/>
      <c r="G24" s="273"/>
      <c r="H24" s="273"/>
      <c r="I24" s="273"/>
      <c r="J24" s="273"/>
      <c r="K24" s="273"/>
      <c r="L24" s="273"/>
      <c r="M24" s="273">
        <v>707</v>
      </c>
      <c r="N24" s="273">
        <v>4934746.58</v>
      </c>
      <c r="O24" s="273"/>
      <c r="P24" s="273"/>
      <c r="Q24" s="273"/>
      <c r="R24" s="273"/>
      <c r="S24" s="273"/>
      <c r="T24" s="273"/>
      <c r="U24" s="273"/>
      <c r="V24" s="273"/>
      <c r="W24" s="273"/>
      <c r="X24" s="271"/>
      <c r="Y24" s="271"/>
      <c r="Z24" s="271"/>
      <c r="AA24" s="271"/>
      <c r="AC24" s="271"/>
      <c r="AD24" s="271"/>
      <c r="AE24" s="269"/>
      <c r="AF24" s="7"/>
      <c r="AG24" s="13"/>
    </row>
    <row r="25" spans="1:33" ht="20.25" customHeight="1" x14ac:dyDescent="0.3">
      <c r="A25" s="8">
        <f t="shared" si="2"/>
        <v>14</v>
      </c>
      <c r="B25" s="124" t="s">
        <v>57</v>
      </c>
      <c r="C25" s="273">
        <f t="shared" si="0"/>
        <v>216696.98</v>
      </c>
      <c r="D25" s="273">
        <f t="shared" si="1"/>
        <v>0</v>
      </c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>
        <f t="shared" ref="W25:W31" si="3">SUM(X25:AE25)</f>
        <v>216696.98</v>
      </c>
      <c r="X25" s="271"/>
      <c r="Y25" s="271"/>
      <c r="Z25" s="271">
        <v>57337.01</v>
      </c>
      <c r="AA25" s="271">
        <v>57337.01</v>
      </c>
      <c r="AC25" s="271">
        <v>102022.96</v>
      </c>
      <c r="AD25" s="271"/>
      <c r="AE25" s="269"/>
      <c r="AF25" s="7"/>
      <c r="AG25" s="13"/>
    </row>
    <row r="26" spans="1:33" ht="20.25" customHeight="1" x14ac:dyDescent="0.3">
      <c r="A26" s="8">
        <f t="shared" si="2"/>
        <v>15</v>
      </c>
      <c r="B26" s="124" t="s">
        <v>59</v>
      </c>
      <c r="C26" s="273">
        <f t="shared" si="0"/>
        <v>140466.26</v>
      </c>
      <c r="D26" s="273">
        <f t="shared" si="1"/>
        <v>0</v>
      </c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>
        <f t="shared" si="3"/>
        <v>140466.26</v>
      </c>
      <c r="X26" s="271"/>
      <c r="Y26" s="271">
        <v>140466.26</v>
      </c>
      <c r="Z26" s="271"/>
      <c r="AA26" s="271"/>
      <c r="AC26" s="271"/>
      <c r="AD26" s="271"/>
      <c r="AE26" s="269"/>
      <c r="AF26" s="7"/>
      <c r="AG26" s="13"/>
    </row>
    <row r="27" spans="1:33" ht="20.25" customHeight="1" x14ac:dyDescent="0.3">
      <c r="A27" s="8">
        <f t="shared" si="2"/>
        <v>16</v>
      </c>
      <c r="B27" s="124" t="s">
        <v>60</v>
      </c>
      <c r="C27" s="273">
        <f t="shared" si="0"/>
        <v>119086.91</v>
      </c>
      <c r="D27" s="273">
        <f t="shared" si="1"/>
        <v>0</v>
      </c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>
        <f t="shared" si="3"/>
        <v>119086.91</v>
      </c>
      <c r="X27" s="271"/>
      <c r="Y27" s="271"/>
      <c r="Z27" s="271"/>
      <c r="AA27" s="271"/>
      <c r="AC27" s="271">
        <v>119086.91</v>
      </c>
      <c r="AD27" s="271"/>
      <c r="AE27" s="269"/>
      <c r="AF27" s="7"/>
      <c r="AG27" s="13"/>
    </row>
    <row r="28" spans="1:33" ht="20.25" customHeight="1" x14ac:dyDescent="0.3">
      <c r="A28" s="8">
        <f t="shared" si="2"/>
        <v>17</v>
      </c>
      <c r="B28" s="124" t="s">
        <v>61</v>
      </c>
      <c r="C28" s="273">
        <f t="shared" si="0"/>
        <v>499768.42</v>
      </c>
      <c r="D28" s="273">
        <f t="shared" si="1"/>
        <v>0</v>
      </c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>
        <f t="shared" si="3"/>
        <v>499768.42</v>
      </c>
      <c r="X28" s="271"/>
      <c r="Y28" s="271"/>
      <c r="Z28" s="271"/>
      <c r="AA28" s="271">
        <v>499768.42</v>
      </c>
      <c r="AC28" s="271"/>
      <c r="AD28" s="271"/>
      <c r="AE28" s="269"/>
      <c r="AF28" s="7"/>
      <c r="AG28" s="13"/>
    </row>
    <row r="29" spans="1:33" ht="20.25" customHeight="1" x14ac:dyDescent="0.3">
      <c r="A29" s="8">
        <f t="shared" si="2"/>
        <v>18</v>
      </c>
      <c r="B29" s="124" t="s">
        <v>62</v>
      </c>
      <c r="C29" s="273">
        <f t="shared" si="0"/>
        <v>109846.5</v>
      </c>
      <c r="D29" s="273">
        <f t="shared" si="1"/>
        <v>0</v>
      </c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>
        <f t="shared" si="3"/>
        <v>109846.5</v>
      </c>
      <c r="X29" s="271"/>
      <c r="Y29" s="271"/>
      <c r="Z29" s="271"/>
      <c r="AA29" s="271"/>
      <c r="AC29" s="271">
        <v>109846.5</v>
      </c>
      <c r="AD29" s="271"/>
      <c r="AE29" s="269"/>
      <c r="AF29" s="7"/>
      <c r="AG29" s="13"/>
    </row>
    <row r="30" spans="1:33" ht="20.25" customHeight="1" x14ac:dyDescent="0.3">
      <c r="A30" s="8">
        <f t="shared" si="2"/>
        <v>19</v>
      </c>
      <c r="B30" s="124" t="s">
        <v>63</v>
      </c>
      <c r="C30" s="273">
        <f t="shared" si="0"/>
        <v>258196.85</v>
      </c>
      <c r="D30" s="273">
        <f t="shared" si="1"/>
        <v>0</v>
      </c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>
        <f t="shared" si="3"/>
        <v>258196.85</v>
      </c>
      <c r="X30" s="271"/>
      <c r="Y30" s="271"/>
      <c r="Z30" s="271"/>
      <c r="AA30" s="271"/>
      <c r="AC30" s="271">
        <v>258196.85</v>
      </c>
      <c r="AD30" s="271"/>
      <c r="AE30" s="269"/>
      <c r="AF30" s="7"/>
      <c r="AG30" s="13"/>
    </row>
    <row r="31" spans="1:33" ht="20.25" customHeight="1" x14ac:dyDescent="0.3">
      <c r="A31" s="8">
        <f t="shared" si="2"/>
        <v>20</v>
      </c>
      <c r="B31" s="124" t="s">
        <v>64</v>
      </c>
      <c r="C31" s="273">
        <f t="shared" si="0"/>
        <v>114554.52</v>
      </c>
      <c r="D31" s="273">
        <f t="shared" si="1"/>
        <v>0</v>
      </c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>
        <f t="shared" si="3"/>
        <v>114554.52</v>
      </c>
      <c r="X31" s="271"/>
      <c r="Y31" s="271"/>
      <c r="Z31" s="271"/>
      <c r="AA31" s="271"/>
      <c r="AC31" s="271">
        <v>114554.52</v>
      </c>
      <c r="AD31" s="271"/>
      <c r="AE31" s="269"/>
      <c r="AF31" s="7"/>
      <c r="AG31" s="13"/>
    </row>
    <row r="32" spans="1:33" ht="20.25" customHeight="1" x14ac:dyDescent="0.3">
      <c r="A32" s="8">
        <f t="shared" si="2"/>
        <v>21</v>
      </c>
      <c r="B32" s="124" t="s">
        <v>65</v>
      </c>
      <c r="C32" s="273">
        <f t="shared" si="0"/>
        <v>130000</v>
      </c>
      <c r="D32" s="273">
        <f t="shared" si="1"/>
        <v>0</v>
      </c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>
        <v>130000</v>
      </c>
      <c r="X32" s="271"/>
      <c r="Y32" s="271"/>
      <c r="Z32" s="271"/>
      <c r="AA32" s="271"/>
      <c r="AC32" s="271"/>
      <c r="AD32" s="271"/>
      <c r="AE32" s="269"/>
      <c r="AF32" s="7"/>
      <c r="AG32" s="13"/>
    </row>
    <row r="33" spans="1:33" ht="20.25" customHeight="1" x14ac:dyDescent="0.3">
      <c r="A33" s="8">
        <f t="shared" si="2"/>
        <v>22</v>
      </c>
      <c r="B33" s="124" t="s">
        <v>66</v>
      </c>
      <c r="C33" s="273">
        <f t="shared" si="0"/>
        <v>562550.81000000006</v>
      </c>
      <c r="D33" s="273">
        <f t="shared" si="1"/>
        <v>0</v>
      </c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>
        <f>SUM(X33:AE33)</f>
        <v>562550.81000000006</v>
      </c>
      <c r="X33" s="271"/>
      <c r="Y33" s="271"/>
      <c r="Z33" s="271"/>
      <c r="AA33" s="271"/>
      <c r="AC33" s="271"/>
      <c r="AD33" s="271"/>
      <c r="AE33" s="269">
        <v>562550.81000000006</v>
      </c>
      <c r="AF33" s="7"/>
      <c r="AG33" s="13"/>
    </row>
    <row r="34" spans="1:33" ht="20.25" customHeight="1" x14ac:dyDescent="0.3">
      <c r="A34" s="8">
        <f t="shared" si="2"/>
        <v>23</v>
      </c>
      <c r="B34" s="124" t="s">
        <v>67</v>
      </c>
      <c r="C34" s="273">
        <f t="shared" si="0"/>
        <v>449891.2</v>
      </c>
      <c r="D34" s="273">
        <f t="shared" si="1"/>
        <v>0</v>
      </c>
      <c r="E34" s="273"/>
      <c r="F34" s="273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>
        <f>SUM(X34:AE34)</f>
        <v>449891.2</v>
      </c>
      <c r="X34" s="271"/>
      <c r="Y34" s="271"/>
      <c r="Z34" s="271"/>
      <c r="AA34" s="271"/>
      <c r="AC34" s="271"/>
      <c r="AD34" s="271"/>
      <c r="AE34" s="269">
        <v>449891.2</v>
      </c>
      <c r="AF34" s="7"/>
      <c r="AG34" s="13"/>
    </row>
    <row r="35" spans="1:33" ht="20.25" customHeight="1" x14ac:dyDescent="0.3">
      <c r="A35" s="8">
        <f t="shared" si="2"/>
        <v>24</v>
      </c>
      <c r="B35" s="124" t="s">
        <v>68</v>
      </c>
      <c r="C35" s="273">
        <f t="shared" si="0"/>
        <v>130000</v>
      </c>
      <c r="D35" s="273">
        <f t="shared" si="1"/>
        <v>0</v>
      </c>
      <c r="E35" s="273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>
        <v>130000</v>
      </c>
      <c r="X35" s="271"/>
      <c r="Y35" s="271"/>
      <c r="Z35" s="271"/>
      <c r="AA35" s="271"/>
      <c r="AC35" s="271"/>
      <c r="AD35" s="271"/>
      <c r="AE35" s="269"/>
      <c r="AF35" s="7"/>
      <c r="AG35" s="13"/>
    </row>
    <row r="36" spans="1:33" ht="20.25" customHeight="1" x14ac:dyDescent="0.3">
      <c r="A36" s="8">
        <f t="shared" si="2"/>
        <v>25</v>
      </c>
      <c r="B36" s="124" t="s">
        <v>69</v>
      </c>
      <c r="C36" s="273">
        <f t="shared" si="0"/>
        <v>233078.25</v>
      </c>
      <c r="D36" s="273">
        <f t="shared" si="1"/>
        <v>0</v>
      </c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>
        <f>SUM(X36:AE36)</f>
        <v>233078.25</v>
      </c>
      <c r="X36" s="271"/>
      <c r="Y36" s="271">
        <v>106845.59</v>
      </c>
      <c r="Z36" s="271">
        <f>126232.66/2</f>
        <v>63116.33</v>
      </c>
      <c r="AA36" s="271">
        <f>126232.66/2</f>
        <v>63116.33</v>
      </c>
      <c r="AC36" s="271"/>
      <c r="AD36" s="271"/>
      <c r="AE36" s="269"/>
      <c r="AF36" s="7"/>
      <c r="AG36" s="13"/>
    </row>
    <row r="37" spans="1:33" ht="20.25" customHeight="1" x14ac:dyDescent="0.3">
      <c r="A37" s="8">
        <f t="shared" si="2"/>
        <v>26</v>
      </c>
      <c r="B37" s="124" t="s">
        <v>70</v>
      </c>
      <c r="C37" s="273">
        <f t="shared" si="0"/>
        <v>115039.02</v>
      </c>
      <c r="D37" s="273">
        <f t="shared" si="1"/>
        <v>0</v>
      </c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>
        <f>SUM(X37:AE37)</f>
        <v>115039.02</v>
      </c>
      <c r="X37" s="271"/>
      <c r="Y37" s="271"/>
      <c r="Z37" s="271">
        <f>115039.02/2</f>
        <v>57519.51</v>
      </c>
      <c r="AA37" s="271">
        <f>115039.02/2</f>
        <v>57519.51</v>
      </c>
      <c r="AC37" s="271"/>
      <c r="AD37" s="271"/>
      <c r="AE37" s="269"/>
      <c r="AF37" s="7"/>
      <c r="AG37" s="13"/>
    </row>
    <row r="38" spans="1:33" ht="20.25" customHeight="1" x14ac:dyDescent="0.3">
      <c r="A38" s="8">
        <f t="shared" si="2"/>
        <v>27</v>
      </c>
      <c r="B38" s="124" t="s">
        <v>71</v>
      </c>
      <c r="C38" s="273">
        <f t="shared" si="0"/>
        <v>250963.03</v>
      </c>
      <c r="D38" s="273">
        <f t="shared" si="1"/>
        <v>0</v>
      </c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>
        <f>SUM(X38:AE38)</f>
        <v>250963.03</v>
      </c>
      <c r="X38" s="271"/>
      <c r="Y38" s="271">
        <v>137758.1</v>
      </c>
      <c r="Z38" s="271">
        <f>113204.93/2</f>
        <v>56602.464999999997</v>
      </c>
      <c r="AA38" s="271">
        <f>113204.93/2</f>
        <v>56602.464999999997</v>
      </c>
      <c r="AC38" s="271"/>
      <c r="AD38" s="271"/>
      <c r="AE38" s="269"/>
      <c r="AF38" s="7"/>
      <c r="AG38" s="13"/>
    </row>
    <row r="39" spans="1:33" ht="20.25" customHeight="1" x14ac:dyDescent="0.3">
      <c r="A39" s="8">
        <f t="shared" si="2"/>
        <v>28</v>
      </c>
      <c r="B39" s="124" t="s">
        <v>74</v>
      </c>
      <c r="C39" s="273">
        <f t="shared" si="0"/>
        <v>130000</v>
      </c>
      <c r="D39" s="273">
        <f t="shared" si="1"/>
        <v>0</v>
      </c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>
        <v>130000</v>
      </c>
      <c r="X39" s="271"/>
      <c r="Y39" s="271"/>
      <c r="Z39" s="271"/>
      <c r="AA39" s="271"/>
      <c r="AC39" s="271"/>
      <c r="AD39" s="271"/>
      <c r="AE39" s="269"/>
      <c r="AF39" s="7"/>
      <c r="AG39" s="13"/>
    </row>
    <row r="40" spans="1:33" ht="20.25" customHeight="1" x14ac:dyDescent="0.3">
      <c r="A40" s="8">
        <f t="shared" si="2"/>
        <v>29</v>
      </c>
      <c r="B40" s="124" t="s">
        <v>76</v>
      </c>
      <c r="C40" s="273">
        <f t="shared" si="0"/>
        <v>482361.74</v>
      </c>
      <c r="D40" s="273">
        <f t="shared" si="1"/>
        <v>0</v>
      </c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>
        <f>SUM(X40:AE40)</f>
        <v>482361.74</v>
      </c>
      <c r="X40" s="271"/>
      <c r="Y40" s="271"/>
      <c r="Z40" s="271"/>
      <c r="AA40" s="271"/>
      <c r="AC40" s="271"/>
      <c r="AD40" s="271"/>
      <c r="AE40" s="269">
        <v>482361.74</v>
      </c>
      <c r="AF40" s="7"/>
      <c r="AG40" s="13"/>
    </row>
    <row r="41" spans="1:33" ht="20.25" customHeight="1" x14ac:dyDescent="0.3">
      <c r="A41" s="8">
        <f t="shared" si="2"/>
        <v>30</v>
      </c>
      <c r="B41" s="124" t="s">
        <v>77</v>
      </c>
      <c r="C41" s="273">
        <f t="shared" si="0"/>
        <v>405555.41</v>
      </c>
      <c r="D41" s="273">
        <f t="shared" si="1"/>
        <v>0</v>
      </c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>
        <f>SUM(X41:AE41)</f>
        <v>405555.41</v>
      </c>
      <c r="X41" s="271"/>
      <c r="Y41" s="271"/>
      <c r="Z41" s="271"/>
      <c r="AA41" s="271"/>
      <c r="AC41" s="271"/>
      <c r="AD41" s="271"/>
      <c r="AE41" s="269">
        <v>405555.41</v>
      </c>
      <c r="AF41" s="7"/>
      <c r="AG41" s="13"/>
    </row>
    <row r="42" spans="1:33" ht="20.25" customHeight="1" x14ac:dyDescent="0.3">
      <c r="A42" s="8">
        <f t="shared" si="2"/>
        <v>31</v>
      </c>
      <c r="B42" s="124" t="s">
        <v>78</v>
      </c>
      <c r="C42" s="273">
        <f t="shared" si="0"/>
        <v>450372</v>
      </c>
      <c r="D42" s="273">
        <f t="shared" si="1"/>
        <v>0</v>
      </c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>
        <f>SUM(X42:AE42)</f>
        <v>450372</v>
      </c>
      <c r="X42" s="271"/>
      <c r="Y42" s="271"/>
      <c r="Z42" s="271"/>
      <c r="AA42" s="271"/>
      <c r="AC42" s="271"/>
      <c r="AD42" s="271"/>
      <c r="AE42" s="269">
        <v>450372</v>
      </c>
      <c r="AF42" s="7"/>
      <c r="AG42" s="13"/>
    </row>
    <row r="43" spans="1:33" ht="20.25" customHeight="1" x14ac:dyDescent="0.3">
      <c r="A43" s="8">
        <f t="shared" si="2"/>
        <v>32</v>
      </c>
      <c r="B43" s="124" t="s">
        <v>79</v>
      </c>
      <c r="C43" s="273">
        <f t="shared" si="0"/>
        <v>5090387.57</v>
      </c>
      <c r="D43" s="273">
        <f t="shared" si="1"/>
        <v>0</v>
      </c>
      <c r="E43" s="273"/>
      <c r="F43" s="273"/>
      <c r="G43" s="273"/>
      <c r="H43" s="273"/>
      <c r="I43" s="273"/>
      <c r="J43" s="273"/>
      <c r="K43" s="273"/>
      <c r="L43" s="273"/>
      <c r="M43" s="273">
        <v>734.5</v>
      </c>
      <c r="N43" s="273">
        <v>4960387.57</v>
      </c>
      <c r="O43" s="273"/>
      <c r="P43" s="273"/>
      <c r="Q43" s="273"/>
      <c r="R43" s="273"/>
      <c r="S43" s="273"/>
      <c r="T43" s="273"/>
      <c r="U43" s="273"/>
      <c r="V43" s="273"/>
      <c r="W43" s="273">
        <v>130000</v>
      </c>
      <c r="X43" s="271"/>
      <c r="Y43" s="271"/>
      <c r="Z43" s="271"/>
      <c r="AA43" s="271"/>
      <c r="AC43" s="271"/>
      <c r="AD43" s="271"/>
      <c r="AE43" s="269"/>
      <c r="AF43" s="7"/>
      <c r="AG43" s="13"/>
    </row>
    <row r="44" spans="1:33" ht="20.25" customHeight="1" x14ac:dyDescent="0.3">
      <c r="A44" s="8">
        <f t="shared" si="2"/>
        <v>33</v>
      </c>
      <c r="B44" s="124" t="s">
        <v>80</v>
      </c>
      <c r="C44" s="273">
        <f t="shared" ref="C44:C75" si="4">D44+K44+L44+N44+P44+R44+S44+U44+V44+W44</f>
        <v>228108.68</v>
      </c>
      <c r="D44" s="273">
        <f t="shared" ref="D44:D75" si="5">E44+F44+G44+H44+I44</f>
        <v>0</v>
      </c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>
        <f>SUM(X44:AE44)</f>
        <v>228108.68</v>
      </c>
      <c r="X44" s="271"/>
      <c r="Y44" s="271"/>
      <c r="Z44" s="271"/>
      <c r="AA44" s="271"/>
      <c r="AC44" s="271">
        <v>228108.68</v>
      </c>
      <c r="AD44" s="271"/>
      <c r="AE44" s="269"/>
      <c r="AF44" s="7"/>
      <c r="AG44" s="13"/>
    </row>
    <row r="45" spans="1:33" ht="20.25" customHeight="1" x14ac:dyDescent="0.3">
      <c r="A45" s="8">
        <f t="shared" ref="A45:A76" si="6">A44+1</f>
        <v>34</v>
      </c>
      <c r="B45" s="124" t="s">
        <v>81</v>
      </c>
      <c r="C45" s="273">
        <f t="shared" si="4"/>
        <v>130000</v>
      </c>
      <c r="D45" s="273">
        <f t="shared" si="5"/>
        <v>0</v>
      </c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>
        <v>130000</v>
      </c>
      <c r="X45" s="271"/>
      <c r="Y45" s="271"/>
      <c r="Z45" s="271"/>
      <c r="AA45" s="271"/>
      <c r="AC45" s="271"/>
      <c r="AD45" s="271"/>
      <c r="AE45" s="269"/>
      <c r="AF45" s="7"/>
      <c r="AG45" s="13"/>
    </row>
    <row r="46" spans="1:33" ht="20.25" customHeight="1" x14ac:dyDescent="0.3">
      <c r="A46" s="8">
        <f t="shared" si="6"/>
        <v>35</v>
      </c>
      <c r="B46" s="124" t="s">
        <v>82</v>
      </c>
      <c r="C46" s="273">
        <f t="shared" si="4"/>
        <v>249456.32</v>
      </c>
      <c r="D46" s="273">
        <f t="shared" si="5"/>
        <v>0</v>
      </c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3"/>
      <c r="V46" s="273"/>
      <c r="W46" s="273">
        <f>SUM(X46:AE46)</f>
        <v>249456.32</v>
      </c>
      <c r="X46" s="271"/>
      <c r="Y46" s="271"/>
      <c r="Z46" s="271">
        <v>130653.32</v>
      </c>
      <c r="AA46" s="271"/>
      <c r="AC46" s="271">
        <v>118803</v>
      </c>
      <c r="AD46" s="271"/>
      <c r="AE46" s="269"/>
      <c r="AF46" s="7"/>
      <c r="AG46" s="13"/>
    </row>
    <row r="47" spans="1:33" ht="20.25" customHeight="1" x14ac:dyDescent="0.3">
      <c r="A47" s="8">
        <f t="shared" si="6"/>
        <v>36</v>
      </c>
      <c r="B47" s="124" t="s">
        <v>83</v>
      </c>
      <c r="C47" s="273">
        <f t="shared" si="4"/>
        <v>130000</v>
      </c>
      <c r="D47" s="273">
        <f t="shared" si="5"/>
        <v>0</v>
      </c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>
        <v>130000</v>
      </c>
      <c r="X47" s="271"/>
      <c r="Y47" s="271"/>
      <c r="Z47" s="271"/>
      <c r="AA47" s="271"/>
      <c r="AC47" s="271">
        <v>130000</v>
      </c>
      <c r="AD47" s="271"/>
      <c r="AE47" s="269"/>
      <c r="AF47" s="7"/>
      <c r="AG47" s="13"/>
    </row>
    <row r="48" spans="1:33" ht="20.25" customHeight="1" x14ac:dyDescent="0.3">
      <c r="A48" s="8">
        <f t="shared" si="6"/>
        <v>37</v>
      </c>
      <c r="B48" s="124" t="s">
        <v>84</v>
      </c>
      <c r="C48" s="273">
        <f t="shared" si="4"/>
        <v>130000</v>
      </c>
      <c r="D48" s="273">
        <f t="shared" si="5"/>
        <v>0</v>
      </c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73">
        <v>130000</v>
      </c>
      <c r="X48" s="271"/>
      <c r="Y48" s="271"/>
      <c r="Z48" s="271"/>
      <c r="AA48" s="271"/>
      <c r="AC48" s="271"/>
      <c r="AD48" s="271"/>
      <c r="AE48" s="269">
        <v>130000</v>
      </c>
      <c r="AF48" s="7"/>
      <c r="AG48" s="13"/>
    </row>
    <row r="49" spans="1:33" ht="20.25" customHeight="1" x14ac:dyDescent="0.3">
      <c r="A49" s="8">
        <f t="shared" si="6"/>
        <v>38</v>
      </c>
      <c r="B49" s="124" t="s">
        <v>85</v>
      </c>
      <c r="C49" s="273">
        <f t="shared" si="4"/>
        <v>113548.45</v>
      </c>
      <c r="D49" s="273">
        <f t="shared" si="5"/>
        <v>0</v>
      </c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>
        <f t="shared" ref="W49:W55" si="7">SUM(X49:AE49)</f>
        <v>113548.45</v>
      </c>
      <c r="X49" s="271"/>
      <c r="Y49" s="271">
        <v>113548.45</v>
      </c>
      <c r="Z49" s="271"/>
      <c r="AA49" s="271"/>
      <c r="AC49" s="271"/>
      <c r="AD49" s="271"/>
      <c r="AE49" s="269"/>
      <c r="AF49" s="7"/>
      <c r="AG49" s="13"/>
    </row>
    <row r="50" spans="1:33" ht="20.25" customHeight="1" x14ac:dyDescent="0.3">
      <c r="A50" s="8">
        <f t="shared" si="6"/>
        <v>39</v>
      </c>
      <c r="B50" s="124" t="s">
        <v>86</v>
      </c>
      <c r="C50" s="273">
        <f t="shared" si="4"/>
        <v>115069.38</v>
      </c>
      <c r="D50" s="273">
        <f t="shared" si="5"/>
        <v>0</v>
      </c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>
        <f t="shared" si="7"/>
        <v>115069.38</v>
      </c>
      <c r="X50" s="271"/>
      <c r="Y50" s="271"/>
      <c r="Z50" s="271"/>
      <c r="AA50" s="271"/>
      <c r="AC50" s="271">
        <v>115069.38</v>
      </c>
      <c r="AD50" s="271"/>
      <c r="AE50" s="269"/>
      <c r="AF50" s="7"/>
      <c r="AG50" s="13"/>
    </row>
    <row r="51" spans="1:33" ht="20.25" customHeight="1" x14ac:dyDescent="0.3">
      <c r="A51" s="8">
        <f t="shared" si="6"/>
        <v>40</v>
      </c>
      <c r="B51" s="124" t="s">
        <v>87</v>
      </c>
      <c r="C51" s="273">
        <f t="shared" si="4"/>
        <v>109946.22</v>
      </c>
      <c r="D51" s="273">
        <f t="shared" si="5"/>
        <v>0</v>
      </c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>
        <f t="shared" si="7"/>
        <v>109946.22</v>
      </c>
      <c r="X51" s="271"/>
      <c r="Y51" s="271">
        <v>109946.22</v>
      </c>
      <c r="Z51" s="271"/>
      <c r="AA51" s="271"/>
      <c r="AC51" s="271"/>
      <c r="AD51" s="271"/>
      <c r="AE51" s="269"/>
      <c r="AF51" s="7"/>
      <c r="AG51" s="13"/>
    </row>
    <row r="52" spans="1:33" ht="20.25" customHeight="1" x14ac:dyDescent="0.3">
      <c r="A52" s="8">
        <f t="shared" si="6"/>
        <v>41</v>
      </c>
      <c r="B52" s="124" t="s">
        <v>88</v>
      </c>
      <c r="C52" s="273">
        <f t="shared" si="4"/>
        <v>105599.27</v>
      </c>
      <c r="D52" s="273">
        <f t="shared" si="5"/>
        <v>0</v>
      </c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>
        <f t="shared" si="7"/>
        <v>105599.27</v>
      </c>
      <c r="X52" s="271"/>
      <c r="Y52" s="271">
        <v>105599.27</v>
      </c>
      <c r="Z52" s="271"/>
      <c r="AA52" s="271"/>
      <c r="AC52" s="271"/>
      <c r="AD52" s="271"/>
      <c r="AE52" s="269"/>
      <c r="AF52" s="7"/>
      <c r="AG52" s="13"/>
    </row>
    <row r="53" spans="1:33" ht="20.25" customHeight="1" x14ac:dyDescent="0.3">
      <c r="A53" s="8">
        <f t="shared" si="6"/>
        <v>42</v>
      </c>
      <c r="B53" s="124" t="s">
        <v>89</v>
      </c>
      <c r="C53" s="273">
        <f t="shared" si="4"/>
        <v>149171.45000000001</v>
      </c>
      <c r="D53" s="273">
        <f t="shared" si="5"/>
        <v>0</v>
      </c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>
        <f t="shared" si="7"/>
        <v>149171.45000000001</v>
      </c>
      <c r="X53" s="271"/>
      <c r="Y53" s="271"/>
      <c r="Z53" s="271"/>
      <c r="AA53" s="271"/>
      <c r="AC53" s="271">
        <v>149171.45000000001</v>
      </c>
      <c r="AD53" s="271"/>
      <c r="AE53" s="269"/>
      <c r="AF53" s="7"/>
      <c r="AG53" s="13"/>
    </row>
    <row r="54" spans="1:33" ht="20.25" customHeight="1" x14ac:dyDescent="0.3">
      <c r="A54" s="8">
        <f t="shared" si="6"/>
        <v>43</v>
      </c>
      <c r="B54" s="124" t="s">
        <v>90</v>
      </c>
      <c r="C54" s="273">
        <f t="shared" si="4"/>
        <v>144708.68</v>
      </c>
      <c r="D54" s="273">
        <f t="shared" si="5"/>
        <v>0</v>
      </c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>
        <f t="shared" si="7"/>
        <v>144708.68</v>
      </c>
      <c r="X54" s="271"/>
      <c r="Y54" s="271"/>
      <c r="Z54" s="271"/>
      <c r="AA54" s="271">
        <v>144708.68</v>
      </c>
      <c r="AC54" s="271"/>
      <c r="AD54" s="271"/>
      <c r="AE54" s="269"/>
      <c r="AF54" s="7"/>
      <c r="AG54" s="13"/>
    </row>
    <row r="55" spans="1:33" ht="20.25" customHeight="1" x14ac:dyDescent="0.3">
      <c r="A55" s="8">
        <f t="shared" si="6"/>
        <v>44</v>
      </c>
      <c r="B55" s="124" t="s">
        <v>91</v>
      </c>
      <c r="C55" s="273">
        <f t="shared" si="4"/>
        <v>318502.09999999998</v>
      </c>
      <c r="D55" s="273">
        <f t="shared" si="5"/>
        <v>0</v>
      </c>
      <c r="E55" s="273"/>
      <c r="F55" s="273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73"/>
      <c r="W55" s="273">
        <f t="shared" si="7"/>
        <v>318502.09999999998</v>
      </c>
      <c r="X55" s="271"/>
      <c r="Y55" s="271"/>
      <c r="Z55" s="271"/>
      <c r="AA55" s="271"/>
      <c r="AC55" s="271">
        <v>318502.09999999998</v>
      </c>
      <c r="AD55" s="271"/>
      <c r="AE55" s="269"/>
      <c r="AF55" s="7"/>
      <c r="AG55" s="13"/>
    </row>
    <row r="56" spans="1:33" ht="20.25" customHeight="1" x14ac:dyDescent="0.3">
      <c r="A56" s="8">
        <f t="shared" si="6"/>
        <v>45</v>
      </c>
      <c r="B56" s="124" t="s">
        <v>92</v>
      </c>
      <c r="C56" s="273">
        <f t="shared" si="4"/>
        <v>4708671.8</v>
      </c>
      <c r="D56" s="273">
        <f t="shared" si="5"/>
        <v>0</v>
      </c>
      <c r="E56" s="273"/>
      <c r="F56" s="273"/>
      <c r="G56" s="273"/>
      <c r="H56" s="273"/>
      <c r="I56" s="273"/>
      <c r="J56" s="273"/>
      <c r="K56" s="273"/>
      <c r="L56" s="273"/>
      <c r="M56" s="273">
        <v>813.2</v>
      </c>
      <c r="N56" s="273">
        <v>4578671.8</v>
      </c>
      <c r="O56" s="273"/>
      <c r="P56" s="273"/>
      <c r="Q56" s="273"/>
      <c r="R56" s="273"/>
      <c r="S56" s="273"/>
      <c r="T56" s="273"/>
      <c r="U56" s="273"/>
      <c r="V56" s="273"/>
      <c r="W56" s="273">
        <v>130000</v>
      </c>
      <c r="X56" s="271"/>
      <c r="Y56" s="271"/>
      <c r="Z56" s="271"/>
      <c r="AA56" s="271"/>
      <c r="AC56" s="271"/>
      <c r="AD56" s="271"/>
      <c r="AE56" s="269"/>
      <c r="AF56" s="7"/>
      <c r="AG56" s="13"/>
    </row>
    <row r="57" spans="1:33" ht="20.25" customHeight="1" x14ac:dyDescent="0.3">
      <c r="A57" s="8">
        <f t="shared" si="6"/>
        <v>46</v>
      </c>
      <c r="B57" s="124" t="s">
        <v>95</v>
      </c>
      <c r="C57" s="273">
        <f t="shared" si="4"/>
        <v>131945.98000000001</v>
      </c>
      <c r="D57" s="273">
        <f t="shared" si="5"/>
        <v>0</v>
      </c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>
        <f>SUM(X57:AE57)</f>
        <v>131945.98000000001</v>
      </c>
      <c r="X57" s="271"/>
      <c r="Y57" s="271">
        <v>131945.98000000001</v>
      </c>
      <c r="Z57" s="271"/>
      <c r="AA57" s="271"/>
      <c r="AC57" s="271"/>
      <c r="AD57" s="271"/>
      <c r="AE57" s="269"/>
      <c r="AF57" s="7"/>
      <c r="AG57" s="13"/>
    </row>
    <row r="58" spans="1:33" ht="20.25" customHeight="1" x14ac:dyDescent="0.3">
      <c r="A58" s="8">
        <f t="shared" si="6"/>
        <v>47</v>
      </c>
      <c r="B58" s="124" t="s">
        <v>96</v>
      </c>
      <c r="C58" s="273">
        <f t="shared" si="4"/>
        <v>130938.74</v>
      </c>
      <c r="D58" s="273">
        <f t="shared" si="5"/>
        <v>0</v>
      </c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73"/>
      <c r="W58" s="273">
        <f>SUM(X58:AE58)</f>
        <v>130938.74</v>
      </c>
      <c r="X58" s="271"/>
      <c r="Y58" s="271">
        <v>130938.74</v>
      </c>
      <c r="Z58" s="271"/>
      <c r="AA58" s="271"/>
      <c r="AC58" s="271"/>
      <c r="AD58" s="271"/>
      <c r="AE58" s="269"/>
      <c r="AF58" s="7"/>
      <c r="AG58" s="13"/>
    </row>
    <row r="59" spans="1:33" ht="20.25" customHeight="1" x14ac:dyDescent="0.3">
      <c r="A59" s="8">
        <f t="shared" si="6"/>
        <v>48</v>
      </c>
      <c r="B59" s="124" t="s">
        <v>98</v>
      </c>
      <c r="C59" s="273">
        <f t="shared" si="4"/>
        <v>208314.16</v>
      </c>
      <c r="D59" s="273">
        <f t="shared" si="5"/>
        <v>0</v>
      </c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73"/>
      <c r="W59" s="273">
        <f>SUM(X59:AE59)</f>
        <v>208314.16</v>
      </c>
      <c r="X59" s="271"/>
      <c r="Y59" s="271"/>
      <c r="Z59" s="271"/>
      <c r="AA59" s="271"/>
      <c r="AC59" s="271"/>
      <c r="AD59" s="271"/>
      <c r="AE59" s="269">
        <v>208314.16</v>
      </c>
      <c r="AF59" s="7"/>
      <c r="AG59" s="13"/>
    </row>
    <row r="60" spans="1:33" ht="20.25" customHeight="1" x14ac:dyDescent="0.3">
      <c r="A60" s="8">
        <f t="shared" si="6"/>
        <v>49</v>
      </c>
      <c r="B60" s="124" t="s">
        <v>99</v>
      </c>
      <c r="C60" s="273">
        <f t="shared" si="4"/>
        <v>130000</v>
      </c>
      <c r="D60" s="273">
        <f t="shared" si="5"/>
        <v>0</v>
      </c>
      <c r="E60" s="273"/>
      <c r="F60" s="273"/>
      <c r="G60" s="273"/>
      <c r="H60" s="273"/>
      <c r="I60" s="273"/>
      <c r="J60" s="273"/>
      <c r="K60" s="273"/>
      <c r="L60" s="273"/>
      <c r="M60" s="273"/>
      <c r="N60" s="273"/>
      <c r="O60" s="273"/>
      <c r="P60" s="273"/>
      <c r="Q60" s="273"/>
      <c r="R60" s="273"/>
      <c r="S60" s="273"/>
      <c r="T60" s="273"/>
      <c r="U60" s="273"/>
      <c r="V60" s="273"/>
      <c r="W60" s="273">
        <v>130000</v>
      </c>
      <c r="X60" s="271"/>
      <c r="Y60" s="271"/>
      <c r="Z60" s="271"/>
      <c r="AA60" s="271"/>
      <c r="AC60" s="271"/>
      <c r="AD60" s="271"/>
      <c r="AE60" s="269"/>
      <c r="AF60" s="7"/>
      <c r="AG60" s="13"/>
    </row>
    <row r="61" spans="1:33" ht="20.25" customHeight="1" x14ac:dyDescent="0.3">
      <c r="A61" s="8">
        <f t="shared" si="6"/>
        <v>50</v>
      </c>
      <c r="B61" s="124" t="s">
        <v>102</v>
      </c>
      <c r="C61" s="273">
        <f t="shared" si="4"/>
        <v>101912.05</v>
      </c>
      <c r="D61" s="273">
        <f t="shared" si="5"/>
        <v>0</v>
      </c>
      <c r="E61" s="273"/>
      <c r="F61" s="273"/>
      <c r="G61" s="273"/>
      <c r="H61" s="273"/>
      <c r="I61" s="273"/>
      <c r="J61" s="273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73"/>
      <c r="W61" s="273">
        <f>SUM(X61:AE61)</f>
        <v>101912.05</v>
      </c>
      <c r="X61" s="271"/>
      <c r="Y61" s="271"/>
      <c r="Z61" s="271"/>
      <c r="AA61" s="271"/>
      <c r="AC61" s="271">
        <v>101912.05</v>
      </c>
      <c r="AD61" s="271"/>
      <c r="AE61" s="269"/>
      <c r="AF61" s="7"/>
      <c r="AG61" s="13"/>
    </row>
    <row r="62" spans="1:33" ht="20.25" customHeight="1" x14ac:dyDescent="0.3">
      <c r="A62" s="8">
        <f t="shared" si="6"/>
        <v>51</v>
      </c>
      <c r="B62" s="124" t="s">
        <v>103</v>
      </c>
      <c r="C62" s="273">
        <f t="shared" si="4"/>
        <v>439023.55000000005</v>
      </c>
      <c r="D62" s="273">
        <f t="shared" si="5"/>
        <v>0</v>
      </c>
      <c r="E62" s="273"/>
      <c r="F62" s="273"/>
      <c r="G62" s="273"/>
      <c r="H62" s="273"/>
      <c r="I62" s="273"/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73"/>
      <c r="W62" s="273">
        <f>SUM(X62:AE62)</f>
        <v>439023.55000000005</v>
      </c>
      <c r="X62" s="271">
        <v>130889.94</v>
      </c>
      <c r="Y62" s="271">
        <v>165938.57999999999</v>
      </c>
      <c r="Z62" s="271">
        <f>142195.03/2</f>
        <v>71097.514999999999</v>
      </c>
      <c r="AA62" s="271">
        <v>71097.514999999999</v>
      </c>
      <c r="AC62" s="271"/>
      <c r="AD62" s="271"/>
      <c r="AE62" s="269"/>
      <c r="AF62" s="7"/>
      <c r="AG62" s="13"/>
    </row>
    <row r="63" spans="1:33" ht="20.25" customHeight="1" x14ac:dyDescent="0.3">
      <c r="A63" s="8">
        <f t="shared" si="6"/>
        <v>52</v>
      </c>
      <c r="B63" s="124" t="s">
        <v>104</v>
      </c>
      <c r="C63" s="273">
        <f t="shared" si="4"/>
        <v>130000</v>
      </c>
      <c r="D63" s="273">
        <f t="shared" si="5"/>
        <v>0</v>
      </c>
      <c r="E63" s="273"/>
      <c r="F63" s="273"/>
      <c r="G63" s="273"/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>
        <v>130000</v>
      </c>
      <c r="X63" s="271"/>
      <c r="Y63" s="271"/>
      <c r="Z63" s="271"/>
      <c r="AA63" s="271"/>
      <c r="AC63" s="271"/>
      <c r="AD63" s="271"/>
      <c r="AE63" s="269"/>
      <c r="AF63" s="7"/>
      <c r="AG63" s="13"/>
    </row>
    <row r="64" spans="1:33" ht="20.25" customHeight="1" x14ac:dyDescent="0.3">
      <c r="A64" s="8">
        <f t="shared" si="6"/>
        <v>53</v>
      </c>
      <c r="B64" s="124" t="s">
        <v>105</v>
      </c>
      <c r="C64" s="273">
        <f t="shared" si="4"/>
        <v>7005931.0700000003</v>
      </c>
      <c r="D64" s="273">
        <f t="shared" si="5"/>
        <v>0</v>
      </c>
      <c r="E64" s="273"/>
      <c r="F64" s="273"/>
      <c r="G64" s="273"/>
      <c r="H64" s="273"/>
      <c r="I64" s="273"/>
      <c r="J64" s="273"/>
      <c r="K64" s="273"/>
      <c r="L64" s="273"/>
      <c r="M64" s="273">
        <v>1276</v>
      </c>
      <c r="N64" s="273">
        <v>7005931.0700000003</v>
      </c>
      <c r="O64" s="273"/>
      <c r="P64" s="273"/>
      <c r="Q64" s="273"/>
      <c r="R64" s="273"/>
      <c r="S64" s="273"/>
      <c r="T64" s="273"/>
      <c r="U64" s="273"/>
      <c r="V64" s="273"/>
      <c r="W64" s="273"/>
      <c r="X64" s="271"/>
      <c r="Y64" s="271"/>
      <c r="Z64" s="271"/>
      <c r="AA64" s="271"/>
      <c r="AC64" s="271"/>
      <c r="AD64" s="271"/>
      <c r="AE64" s="269"/>
      <c r="AF64" s="7"/>
      <c r="AG64" s="13"/>
    </row>
    <row r="65" spans="1:33" ht="20.25" customHeight="1" x14ac:dyDescent="0.3">
      <c r="A65" s="8">
        <f t="shared" si="6"/>
        <v>54</v>
      </c>
      <c r="B65" s="124" t="s">
        <v>107</v>
      </c>
      <c r="C65" s="273">
        <f t="shared" si="4"/>
        <v>320369.7</v>
      </c>
      <c r="D65" s="273">
        <f t="shared" si="5"/>
        <v>0</v>
      </c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73"/>
      <c r="W65" s="273">
        <f>SUM(X65:AE65)</f>
        <v>320369.7</v>
      </c>
      <c r="X65" s="271">
        <v>98188.91</v>
      </c>
      <c r="Y65" s="271">
        <v>126047.36</v>
      </c>
      <c r="Z65" s="271"/>
      <c r="AA65" s="271">
        <v>96133.43</v>
      </c>
      <c r="AC65" s="271"/>
      <c r="AD65" s="271"/>
      <c r="AE65" s="269"/>
      <c r="AF65" s="7"/>
      <c r="AG65" s="13"/>
    </row>
    <row r="66" spans="1:33" ht="20.25" customHeight="1" x14ac:dyDescent="0.3">
      <c r="A66" s="8">
        <f t="shared" si="6"/>
        <v>55</v>
      </c>
      <c r="B66" s="124" t="s">
        <v>109</v>
      </c>
      <c r="C66" s="273">
        <f t="shared" si="4"/>
        <v>130000</v>
      </c>
      <c r="D66" s="273">
        <f t="shared" si="5"/>
        <v>0</v>
      </c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>
        <v>130000</v>
      </c>
      <c r="X66" s="271"/>
      <c r="Y66" s="271"/>
      <c r="Z66" s="271"/>
      <c r="AA66" s="271"/>
      <c r="AC66" s="271"/>
      <c r="AD66" s="271"/>
      <c r="AE66" s="269"/>
      <c r="AF66" s="7"/>
      <c r="AG66" s="13"/>
    </row>
    <row r="67" spans="1:33" ht="20.25" customHeight="1" x14ac:dyDescent="0.3">
      <c r="A67" s="8">
        <f t="shared" si="6"/>
        <v>56</v>
      </c>
      <c r="B67" s="124" t="s">
        <v>111</v>
      </c>
      <c r="C67" s="273">
        <f t="shared" si="4"/>
        <v>100487.1</v>
      </c>
      <c r="D67" s="273">
        <f t="shared" si="5"/>
        <v>0</v>
      </c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>
        <f>SUM(X67:AE67)</f>
        <v>100487.1</v>
      </c>
      <c r="X67" s="271">
        <v>100487.1</v>
      </c>
      <c r="Y67" s="271"/>
      <c r="Z67" s="271"/>
      <c r="AA67" s="271"/>
      <c r="AC67" s="271"/>
      <c r="AD67" s="271"/>
      <c r="AE67" s="269"/>
      <c r="AF67" s="7"/>
      <c r="AG67" s="13"/>
    </row>
    <row r="68" spans="1:33" ht="20.25" customHeight="1" x14ac:dyDescent="0.3">
      <c r="A68" s="8">
        <f t="shared" si="6"/>
        <v>57</v>
      </c>
      <c r="B68" s="124" t="s">
        <v>112</v>
      </c>
      <c r="C68" s="273">
        <f t="shared" si="4"/>
        <v>5083574.54</v>
      </c>
      <c r="D68" s="273">
        <f t="shared" si="5"/>
        <v>0</v>
      </c>
      <c r="E68" s="273"/>
      <c r="F68" s="273"/>
      <c r="G68" s="273"/>
      <c r="H68" s="273"/>
      <c r="I68" s="273"/>
      <c r="J68" s="273"/>
      <c r="K68" s="273"/>
      <c r="L68" s="273"/>
      <c r="M68" s="273">
        <v>794.6</v>
      </c>
      <c r="N68" s="273">
        <v>5083574.54</v>
      </c>
      <c r="O68" s="273"/>
      <c r="P68" s="273"/>
      <c r="Q68" s="273"/>
      <c r="R68" s="273"/>
      <c r="S68" s="273"/>
      <c r="T68" s="273"/>
      <c r="U68" s="273"/>
      <c r="V68" s="273"/>
      <c r="W68" s="273"/>
      <c r="X68" s="271"/>
      <c r="Y68" s="271"/>
      <c r="Z68" s="271">
        <v>172312.62</v>
      </c>
      <c r="AA68" s="271"/>
      <c r="AC68" s="271"/>
      <c r="AD68" s="271"/>
      <c r="AE68" s="269"/>
      <c r="AF68" s="7"/>
      <c r="AG68" s="13"/>
    </row>
    <row r="69" spans="1:33" ht="20.25" customHeight="1" x14ac:dyDescent="0.3">
      <c r="A69" s="8">
        <f t="shared" si="6"/>
        <v>58</v>
      </c>
      <c r="B69" s="124" t="s">
        <v>113</v>
      </c>
      <c r="C69" s="273">
        <f t="shared" si="4"/>
        <v>328803.66000000003</v>
      </c>
      <c r="D69" s="273">
        <f t="shared" si="5"/>
        <v>0</v>
      </c>
      <c r="E69" s="273"/>
      <c r="F69" s="273"/>
      <c r="G69" s="273"/>
      <c r="H69" s="273"/>
      <c r="I69" s="273"/>
      <c r="J69" s="273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73"/>
      <c r="W69" s="273">
        <f t="shared" ref="W69:W75" si="8">SUM(X69:AE69)</f>
        <v>328803.66000000003</v>
      </c>
      <c r="X69" s="271"/>
      <c r="Y69" s="271">
        <v>179563.25</v>
      </c>
      <c r="Z69" s="271">
        <v>149240.41</v>
      </c>
      <c r="AA69" s="271"/>
      <c r="AC69" s="271"/>
      <c r="AD69" s="271"/>
      <c r="AE69" s="269"/>
      <c r="AF69" s="7"/>
      <c r="AG69" s="13"/>
    </row>
    <row r="70" spans="1:33" ht="20.25" customHeight="1" x14ac:dyDescent="0.3">
      <c r="A70" s="8">
        <f t="shared" si="6"/>
        <v>59</v>
      </c>
      <c r="B70" s="124" t="s">
        <v>115</v>
      </c>
      <c r="C70" s="273">
        <f t="shared" si="4"/>
        <v>477055.88</v>
      </c>
      <c r="D70" s="273">
        <f t="shared" si="5"/>
        <v>0</v>
      </c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73"/>
      <c r="V70" s="273"/>
      <c r="W70" s="273">
        <f t="shared" si="8"/>
        <v>477055.88</v>
      </c>
      <c r="X70" s="271"/>
      <c r="Y70" s="271"/>
      <c r="Z70" s="271"/>
      <c r="AA70" s="271"/>
      <c r="AC70" s="271"/>
      <c r="AD70" s="271"/>
      <c r="AE70" s="269">
        <v>477055.88</v>
      </c>
      <c r="AF70" s="7"/>
      <c r="AG70" s="13"/>
    </row>
    <row r="71" spans="1:33" ht="20.25" customHeight="1" x14ac:dyDescent="0.3">
      <c r="A71" s="8">
        <f t="shared" si="6"/>
        <v>60</v>
      </c>
      <c r="B71" s="124" t="s">
        <v>116</v>
      </c>
      <c r="C71" s="273">
        <f t="shared" si="4"/>
        <v>132751.97</v>
      </c>
      <c r="D71" s="273">
        <f t="shared" si="5"/>
        <v>0</v>
      </c>
      <c r="E71" s="273"/>
      <c r="F71" s="273"/>
      <c r="G71" s="273"/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>
        <f t="shared" si="8"/>
        <v>132751.97</v>
      </c>
      <c r="X71" s="271"/>
      <c r="Y71" s="271">
        <v>132751.97</v>
      </c>
      <c r="Z71" s="271"/>
      <c r="AA71" s="271"/>
      <c r="AC71" s="271"/>
      <c r="AD71" s="271"/>
      <c r="AE71" s="269"/>
      <c r="AF71" s="7"/>
      <c r="AG71" s="13"/>
    </row>
    <row r="72" spans="1:33" ht="20.25" customHeight="1" x14ac:dyDescent="0.3">
      <c r="A72" s="8">
        <f t="shared" si="6"/>
        <v>61</v>
      </c>
      <c r="B72" s="124" t="s">
        <v>117</v>
      </c>
      <c r="C72" s="273">
        <f t="shared" si="4"/>
        <v>129661.55</v>
      </c>
      <c r="D72" s="273">
        <f t="shared" si="5"/>
        <v>0</v>
      </c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273"/>
      <c r="P72" s="273"/>
      <c r="Q72" s="273"/>
      <c r="R72" s="273"/>
      <c r="S72" s="273"/>
      <c r="T72" s="273"/>
      <c r="U72" s="273"/>
      <c r="V72" s="273"/>
      <c r="W72" s="273">
        <f t="shared" si="8"/>
        <v>129661.55</v>
      </c>
      <c r="X72" s="271"/>
      <c r="Y72" s="271">
        <v>129661.55</v>
      </c>
      <c r="Z72" s="271"/>
      <c r="AA72" s="271"/>
      <c r="AC72" s="271"/>
      <c r="AD72" s="271"/>
      <c r="AE72" s="269"/>
      <c r="AF72" s="7"/>
      <c r="AG72" s="13"/>
    </row>
    <row r="73" spans="1:33" ht="20.25" customHeight="1" x14ac:dyDescent="0.3">
      <c r="A73" s="8">
        <f t="shared" si="6"/>
        <v>62</v>
      </c>
      <c r="B73" s="124" t="s">
        <v>118</v>
      </c>
      <c r="C73" s="273">
        <f t="shared" si="4"/>
        <v>201101.02</v>
      </c>
      <c r="D73" s="273">
        <f t="shared" si="5"/>
        <v>0</v>
      </c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>
        <f t="shared" si="8"/>
        <v>201101.02</v>
      </c>
      <c r="X73" s="271"/>
      <c r="Y73" s="271"/>
      <c r="Z73" s="271"/>
      <c r="AA73" s="271"/>
      <c r="AC73" s="271"/>
      <c r="AD73" s="271"/>
      <c r="AE73" s="269">
        <v>201101.02</v>
      </c>
      <c r="AF73" s="7"/>
      <c r="AG73" s="13"/>
    </row>
    <row r="74" spans="1:33" ht="20.25" customHeight="1" x14ac:dyDescent="0.3">
      <c r="A74" s="8">
        <f t="shared" si="6"/>
        <v>63</v>
      </c>
      <c r="B74" s="124" t="s">
        <v>119</v>
      </c>
      <c r="C74" s="273">
        <f t="shared" si="4"/>
        <v>107775.26</v>
      </c>
      <c r="D74" s="273">
        <f t="shared" si="5"/>
        <v>0</v>
      </c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>
        <f t="shared" si="8"/>
        <v>107775.26</v>
      </c>
      <c r="X74" s="271"/>
      <c r="Y74" s="271"/>
      <c r="Z74" s="271"/>
      <c r="AA74" s="271"/>
      <c r="AC74" s="271">
        <v>107775.26</v>
      </c>
      <c r="AD74" s="271"/>
      <c r="AE74" s="269"/>
      <c r="AF74" s="7"/>
      <c r="AG74" s="13"/>
    </row>
    <row r="75" spans="1:33" ht="20.25" customHeight="1" x14ac:dyDescent="0.3">
      <c r="A75" s="8">
        <f t="shared" si="6"/>
        <v>64</v>
      </c>
      <c r="B75" s="124" t="s">
        <v>120</v>
      </c>
      <c r="C75" s="273">
        <f t="shared" si="4"/>
        <v>188370.3</v>
      </c>
      <c r="D75" s="273">
        <f t="shared" si="5"/>
        <v>0</v>
      </c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>
        <f t="shared" si="8"/>
        <v>188370.3</v>
      </c>
      <c r="X75" s="271"/>
      <c r="Y75" s="271"/>
      <c r="Z75" s="271"/>
      <c r="AA75" s="271"/>
      <c r="AC75" s="271">
        <v>188370.3</v>
      </c>
      <c r="AD75" s="271"/>
      <c r="AE75" s="269"/>
      <c r="AF75" s="7"/>
      <c r="AG75" s="13"/>
    </row>
    <row r="76" spans="1:33" ht="20.25" customHeight="1" x14ac:dyDescent="0.3">
      <c r="A76" s="8">
        <f t="shared" si="6"/>
        <v>65</v>
      </c>
      <c r="B76" s="124" t="s">
        <v>121</v>
      </c>
      <c r="C76" s="273">
        <f t="shared" ref="C76:C91" si="9">D76+K76+L76+N76+P76+R76+S76+U76+V76+W76</f>
        <v>130000</v>
      </c>
      <c r="D76" s="273">
        <f t="shared" ref="D76:D91" si="10">E76+F76+G76+H76+I76</f>
        <v>0</v>
      </c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>
        <v>130000</v>
      </c>
      <c r="X76" s="271"/>
      <c r="Y76" s="271"/>
      <c r="Z76" s="271"/>
      <c r="AA76" s="271"/>
      <c r="AC76" s="271">
        <v>130000</v>
      </c>
      <c r="AD76" s="271"/>
      <c r="AE76" s="269"/>
      <c r="AF76" s="7"/>
      <c r="AG76" s="13"/>
    </row>
    <row r="77" spans="1:33" ht="20.25" customHeight="1" x14ac:dyDescent="0.3">
      <c r="A77" s="8">
        <f t="shared" ref="A77:A91" si="11">A76+1</f>
        <v>66</v>
      </c>
      <c r="B77" s="124" t="s">
        <v>122</v>
      </c>
      <c r="C77" s="273">
        <f t="shared" si="9"/>
        <v>130000</v>
      </c>
      <c r="D77" s="273">
        <f t="shared" si="10"/>
        <v>0</v>
      </c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>
        <v>130000</v>
      </c>
      <c r="X77" s="271"/>
      <c r="Y77" s="271"/>
      <c r="Z77" s="271"/>
      <c r="AA77" s="271"/>
      <c r="AC77" s="271">
        <v>130000</v>
      </c>
      <c r="AD77" s="271"/>
      <c r="AE77" s="269"/>
      <c r="AF77" s="7"/>
      <c r="AG77" s="13"/>
    </row>
    <row r="78" spans="1:33" ht="20.25" customHeight="1" x14ac:dyDescent="0.3">
      <c r="A78" s="8">
        <f t="shared" si="11"/>
        <v>67</v>
      </c>
      <c r="B78" s="124" t="s">
        <v>123</v>
      </c>
      <c r="C78" s="273">
        <f t="shared" si="9"/>
        <v>130000</v>
      </c>
      <c r="D78" s="273">
        <f t="shared" si="10"/>
        <v>0</v>
      </c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>
        <v>130000</v>
      </c>
      <c r="X78" s="271"/>
      <c r="Y78" s="271"/>
      <c r="Z78" s="271"/>
      <c r="AA78" s="271"/>
      <c r="AC78" s="271">
        <v>130000</v>
      </c>
      <c r="AD78" s="271"/>
      <c r="AE78" s="269"/>
      <c r="AF78" s="7"/>
      <c r="AG78" s="13"/>
    </row>
    <row r="79" spans="1:33" ht="20.25" customHeight="1" x14ac:dyDescent="0.3">
      <c r="A79" s="8">
        <f t="shared" si="11"/>
        <v>68</v>
      </c>
      <c r="B79" s="124" t="s">
        <v>124</v>
      </c>
      <c r="C79" s="273">
        <f t="shared" si="9"/>
        <v>130001.84</v>
      </c>
      <c r="D79" s="273">
        <f t="shared" si="10"/>
        <v>0</v>
      </c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>
        <v>130001.84</v>
      </c>
      <c r="X79" s="271"/>
      <c r="Y79" s="271"/>
      <c r="Z79" s="271">
        <f>130001.83/2</f>
        <v>65000.915000000001</v>
      </c>
      <c r="AA79" s="271">
        <f>130001.83/2</f>
        <v>65000.915000000001</v>
      </c>
      <c r="AC79" s="271"/>
      <c r="AD79" s="271"/>
      <c r="AE79" s="269"/>
      <c r="AF79" s="7"/>
      <c r="AG79" s="13"/>
    </row>
    <row r="80" spans="1:33" ht="20.25" customHeight="1" x14ac:dyDescent="0.3">
      <c r="A80" s="8">
        <f t="shared" si="11"/>
        <v>69</v>
      </c>
      <c r="B80" s="124" t="s">
        <v>125</v>
      </c>
      <c r="C80" s="273">
        <f t="shared" si="9"/>
        <v>139311.88</v>
      </c>
      <c r="D80" s="273">
        <f t="shared" si="10"/>
        <v>0</v>
      </c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>
        <f>SUM(X80:AE80)</f>
        <v>139311.88</v>
      </c>
      <c r="X80" s="271"/>
      <c r="Y80" s="271">
        <v>139311.88</v>
      </c>
      <c r="Z80" s="271"/>
      <c r="AA80" s="271"/>
      <c r="AC80" s="271"/>
      <c r="AD80" s="271"/>
      <c r="AE80" s="269"/>
      <c r="AF80" s="7"/>
      <c r="AG80" s="13"/>
    </row>
    <row r="81" spans="1:33" ht="20.25" customHeight="1" x14ac:dyDescent="0.3">
      <c r="A81" s="8">
        <f t="shared" si="11"/>
        <v>70</v>
      </c>
      <c r="B81" s="124" t="s">
        <v>128</v>
      </c>
      <c r="C81" s="273">
        <f t="shared" si="9"/>
        <v>526839.39</v>
      </c>
      <c r="D81" s="273">
        <f t="shared" si="10"/>
        <v>0</v>
      </c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>
        <f>SUM(X81:AE81)</f>
        <v>526839.39</v>
      </c>
      <c r="X81" s="271"/>
      <c r="Y81" s="271"/>
      <c r="Z81" s="271"/>
      <c r="AA81" s="271"/>
      <c r="AC81" s="271">
        <v>191041.84</v>
      </c>
      <c r="AD81" s="271"/>
      <c r="AE81" s="269">
        <v>335797.55</v>
      </c>
      <c r="AF81" s="7"/>
      <c r="AG81" s="13">
        <v>975830.3</v>
      </c>
    </row>
    <row r="82" spans="1:33" ht="20.25" customHeight="1" x14ac:dyDescent="0.3">
      <c r="A82" s="8">
        <f t="shared" si="11"/>
        <v>71</v>
      </c>
      <c r="B82" s="124" t="s">
        <v>130</v>
      </c>
      <c r="C82" s="273">
        <f t="shared" si="9"/>
        <v>132122.23999999999</v>
      </c>
      <c r="D82" s="273">
        <f t="shared" si="10"/>
        <v>0</v>
      </c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>
        <f>SUM(X82:AE82)</f>
        <v>132122.23999999999</v>
      </c>
      <c r="X82" s="271"/>
      <c r="Y82" s="271">
        <v>132122.23999999999</v>
      </c>
      <c r="Z82" s="271"/>
      <c r="AA82" s="271"/>
      <c r="AC82" s="271"/>
      <c r="AD82" s="271"/>
      <c r="AE82" s="269"/>
      <c r="AF82" s="7"/>
      <c r="AG82" s="13"/>
    </row>
    <row r="83" spans="1:33" ht="20.25" customHeight="1" x14ac:dyDescent="0.3">
      <c r="A83" s="8">
        <f t="shared" si="11"/>
        <v>72</v>
      </c>
      <c r="B83" s="124" t="s">
        <v>132</v>
      </c>
      <c r="C83" s="273">
        <f t="shared" si="9"/>
        <v>253321.02999999997</v>
      </c>
      <c r="D83" s="273">
        <f t="shared" si="10"/>
        <v>0</v>
      </c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>
        <f>SUM(X83:AE83)</f>
        <v>253321.02999999997</v>
      </c>
      <c r="X83" s="271"/>
      <c r="Y83" s="271">
        <v>138995.35999999999</v>
      </c>
      <c r="Z83" s="271">
        <f>114325.67/2</f>
        <v>57162.834999999999</v>
      </c>
      <c r="AA83" s="271">
        <f>114325.67/2</f>
        <v>57162.834999999999</v>
      </c>
      <c r="AC83" s="271"/>
      <c r="AD83" s="271"/>
      <c r="AE83" s="269"/>
      <c r="AF83" s="7"/>
      <c r="AG83" s="13"/>
    </row>
    <row r="84" spans="1:33" ht="20.25" customHeight="1" x14ac:dyDescent="0.3">
      <c r="A84" s="8">
        <f t="shared" si="11"/>
        <v>73</v>
      </c>
      <c r="B84" s="124" t="s">
        <v>134</v>
      </c>
      <c r="C84" s="273">
        <f t="shared" si="9"/>
        <v>130000</v>
      </c>
      <c r="D84" s="273">
        <f t="shared" si="10"/>
        <v>0</v>
      </c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>
        <v>130000</v>
      </c>
      <c r="X84" s="271"/>
      <c r="Y84" s="271"/>
      <c r="Z84" s="271"/>
      <c r="AA84" s="271"/>
      <c r="AC84" s="271">
        <v>130000</v>
      </c>
      <c r="AD84" s="271"/>
      <c r="AE84" s="269"/>
      <c r="AF84" s="7"/>
      <c r="AG84" s="13"/>
    </row>
    <row r="85" spans="1:33" ht="20.25" customHeight="1" x14ac:dyDescent="0.3">
      <c r="A85" s="8">
        <f t="shared" si="11"/>
        <v>74</v>
      </c>
      <c r="B85" s="124" t="s">
        <v>135</v>
      </c>
      <c r="C85" s="273">
        <f t="shared" si="9"/>
        <v>182039</v>
      </c>
      <c r="D85" s="273">
        <f t="shared" si="10"/>
        <v>0</v>
      </c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>
        <v>13</v>
      </c>
      <c r="P85" s="273">
        <f>(10362+3641)*13</f>
        <v>182039</v>
      </c>
      <c r="Q85" s="273"/>
      <c r="R85" s="273"/>
      <c r="S85" s="273"/>
      <c r="T85" s="273"/>
      <c r="U85" s="273"/>
      <c r="V85" s="273"/>
      <c r="W85" s="273"/>
      <c r="X85" s="271"/>
      <c r="Y85" s="271"/>
      <c r="Z85" s="271"/>
      <c r="AA85" s="271"/>
      <c r="AC85" s="271"/>
      <c r="AD85" s="271"/>
      <c r="AE85" s="269"/>
      <c r="AF85" s="7"/>
      <c r="AG85" s="13"/>
    </row>
    <row r="86" spans="1:33" ht="20.25" customHeight="1" x14ac:dyDescent="0.3">
      <c r="A86" s="8">
        <f t="shared" si="11"/>
        <v>75</v>
      </c>
      <c r="B86" s="124" t="s">
        <v>136</v>
      </c>
      <c r="C86" s="273">
        <f t="shared" si="9"/>
        <v>130000</v>
      </c>
      <c r="D86" s="273">
        <f t="shared" si="10"/>
        <v>0</v>
      </c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>
        <v>130000</v>
      </c>
      <c r="X86" s="271"/>
      <c r="Y86" s="271"/>
      <c r="Z86" s="271"/>
      <c r="AA86" s="271"/>
      <c r="AC86" s="271">
        <v>130000</v>
      </c>
      <c r="AD86" s="271"/>
      <c r="AE86" s="269"/>
      <c r="AF86" s="7"/>
      <c r="AG86" s="13"/>
    </row>
    <row r="87" spans="1:33" ht="20.25" customHeight="1" x14ac:dyDescent="0.3">
      <c r="A87" s="8">
        <f t="shared" si="11"/>
        <v>76</v>
      </c>
      <c r="B87" s="124" t="s">
        <v>137</v>
      </c>
      <c r="C87" s="273">
        <f t="shared" si="9"/>
        <v>130000</v>
      </c>
      <c r="D87" s="273">
        <f t="shared" si="10"/>
        <v>0</v>
      </c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>
        <v>130000</v>
      </c>
      <c r="X87" s="271"/>
      <c r="Y87" s="271"/>
      <c r="Z87" s="271"/>
      <c r="AA87" s="271"/>
      <c r="AC87" s="271">
        <v>130000</v>
      </c>
      <c r="AD87" s="271"/>
      <c r="AE87" s="269"/>
      <c r="AF87" s="7"/>
      <c r="AG87" s="13"/>
    </row>
    <row r="88" spans="1:33" ht="20.25" customHeight="1" x14ac:dyDescent="0.3">
      <c r="A88" s="8">
        <f t="shared" si="11"/>
        <v>77</v>
      </c>
      <c r="B88" s="124" t="s">
        <v>138</v>
      </c>
      <c r="C88" s="273">
        <f t="shared" si="9"/>
        <v>130000</v>
      </c>
      <c r="D88" s="273">
        <f t="shared" si="10"/>
        <v>0</v>
      </c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>
        <v>130000</v>
      </c>
      <c r="X88" s="271"/>
      <c r="Y88" s="271"/>
      <c r="Z88" s="271"/>
      <c r="AA88" s="271"/>
      <c r="AC88" s="271">
        <v>130000</v>
      </c>
      <c r="AD88" s="271"/>
      <c r="AE88" s="269"/>
      <c r="AF88" s="7"/>
      <c r="AG88" s="13"/>
    </row>
    <row r="89" spans="1:33" ht="20.25" customHeight="1" x14ac:dyDescent="0.3">
      <c r="A89" s="8">
        <f t="shared" si="11"/>
        <v>78</v>
      </c>
      <c r="B89" s="124" t="s">
        <v>139</v>
      </c>
      <c r="C89" s="273">
        <f t="shared" si="9"/>
        <v>400264.63</v>
      </c>
      <c r="D89" s="273">
        <f t="shared" si="10"/>
        <v>0</v>
      </c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>
        <f>SUM(X89:AE89)</f>
        <v>400264.63</v>
      </c>
      <c r="X89" s="271"/>
      <c r="Y89" s="271"/>
      <c r="Z89" s="271"/>
      <c r="AA89" s="271"/>
      <c r="AC89" s="271">
        <v>207224.24</v>
      </c>
      <c r="AD89" s="271"/>
      <c r="AE89" s="269">
        <v>193040.39</v>
      </c>
      <c r="AF89" s="7"/>
      <c r="AG89" s="13">
        <v>592205.81999999995</v>
      </c>
    </row>
    <row r="90" spans="1:33" ht="20.25" customHeight="1" x14ac:dyDescent="0.3">
      <c r="A90" s="8">
        <f t="shared" si="11"/>
        <v>79</v>
      </c>
      <c r="B90" s="124" t="s">
        <v>140</v>
      </c>
      <c r="C90" s="273">
        <f t="shared" si="9"/>
        <v>5028625.58</v>
      </c>
      <c r="D90" s="273">
        <f t="shared" si="10"/>
        <v>0</v>
      </c>
      <c r="E90" s="273"/>
      <c r="F90" s="273"/>
      <c r="G90" s="273"/>
      <c r="H90" s="273"/>
      <c r="I90" s="273"/>
      <c r="J90" s="273"/>
      <c r="K90" s="273"/>
      <c r="L90" s="273"/>
      <c r="M90" s="273">
        <v>336.1</v>
      </c>
      <c r="N90" s="273">
        <v>5028625.58</v>
      </c>
      <c r="O90" s="273"/>
      <c r="P90" s="273"/>
      <c r="Q90" s="273"/>
      <c r="R90" s="273"/>
      <c r="S90" s="273"/>
      <c r="T90" s="273"/>
      <c r="U90" s="273"/>
      <c r="V90" s="273"/>
      <c r="W90" s="273">
        <f>SUM(X90:AE90)</f>
        <v>0</v>
      </c>
      <c r="X90" s="271"/>
      <c r="Y90" s="271"/>
      <c r="Z90" s="271"/>
      <c r="AA90" s="271"/>
      <c r="AC90" s="271"/>
      <c r="AD90" s="271"/>
      <c r="AE90" s="269"/>
      <c r="AF90" s="7"/>
      <c r="AG90" s="13"/>
    </row>
    <row r="91" spans="1:33" ht="20.25" customHeight="1" x14ac:dyDescent="0.3">
      <c r="A91" s="8">
        <f t="shared" si="11"/>
        <v>80</v>
      </c>
      <c r="B91" s="124" t="s">
        <v>142</v>
      </c>
      <c r="C91" s="273">
        <f t="shared" si="9"/>
        <v>130000</v>
      </c>
      <c r="D91" s="273">
        <f t="shared" si="10"/>
        <v>0</v>
      </c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>
        <v>130000</v>
      </c>
      <c r="X91" s="271"/>
      <c r="Y91" s="271"/>
      <c r="Z91" s="271"/>
      <c r="AA91" s="271"/>
      <c r="AC91" s="271"/>
      <c r="AD91" s="271"/>
      <c r="AE91" s="269"/>
      <c r="AF91" s="7"/>
      <c r="AG91" s="13"/>
    </row>
    <row r="92" spans="1:33" ht="20.25" customHeight="1" x14ac:dyDescent="0.3">
      <c r="A92" s="8"/>
      <c r="B92" s="124" t="s">
        <v>143</v>
      </c>
      <c r="C92" s="273">
        <f t="shared" ref="C92:W92" si="12">SUM(C12:C91)</f>
        <v>81301253.219999984</v>
      </c>
      <c r="D92" s="273">
        <f t="shared" si="12"/>
        <v>0</v>
      </c>
      <c r="E92" s="273">
        <f t="shared" si="12"/>
        <v>0</v>
      </c>
      <c r="F92" s="273">
        <f t="shared" si="12"/>
        <v>0</v>
      </c>
      <c r="G92" s="273">
        <f t="shared" si="12"/>
        <v>0</v>
      </c>
      <c r="H92" s="273">
        <f t="shared" si="12"/>
        <v>0</v>
      </c>
      <c r="I92" s="273">
        <f t="shared" si="12"/>
        <v>0</v>
      </c>
      <c r="J92" s="273">
        <f t="shared" si="12"/>
        <v>0</v>
      </c>
      <c r="K92" s="273">
        <f t="shared" si="12"/>
        <v>0</v>
      </c>
      <c r="L92" s="273">
        <f t="shared" si="12"/>
        <v>0</v>
      </c>
      <c r="M92" s="273">
        <f t="shared" si="12"/>
        <v>5351.4000000000005</v>
      </c>
      <c r="N92" s="273">
        <f t="shared" si="12"/>
        <v>36887896.159999996</v>
      </c>
      <c r="O92" s="273">
        <f t="shared" si="12"/>
        <v>953.4</v>
      </c>
      <c r="P92" s="273">
        <f t="shared" si="12"/>
        <v>25039632.199999999</v>
      </c>
      <c r="Q92" s="273">
        <f t="shared" si="12"/>
        <v>0</v>
      </c>
      <c r="R92" s="273">
        <f t="shared" si="12"/>
        <v>0</v>
      </c>
      <c r="S92" s="273">
        <f t="shared" si="12"/>
        <v>0</v>
      </c>
      <c r="T92" s="273">
        <f t="shared" si="12"/>
        <v>0</v>
      </c>
      <c r="U92" s="273">
        <f t="shared" si="12"/>
        <v>0</v>
      </c>
      <c r="V92" s="273">
        <f t="shared" si="12"/>
        <v>0</v>
      </c>
      <c r="W92" s="273">
        <f t="shared" si="12"/>
        <v>19373724.859999999</v>
      </c>
      <c r="X92" s="271"/>
      <c r="Y92" s="271"/>
      <c r="Z92" s="271"/>
      <c r="AA92" s="271"/>
      <c r="AB92" s="271"/>
      <c r="AC92" s="271"/>
      <c r="AD92" s="269"/>
      <c r="AE92" s="7"/>
      <c r="AF92" s="13"/>
    </row>
    <row r="93" spans="1:33" ht="20.25" customHeight="1" x14ac:dyDescent="0.3">
      <c r="A93" s="130" t="s">
        <v>144</v>
      </c>
      <c r="B93" s="124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1"/>
      <c r="Y93" s="271"/>
      <c r="Z93" s="271"/>
      <c r="AA93" s="271"/>
      <c r="AB93" s="271"/>
      <c r="AC93" s="271"/>
      <c r="AD93" s="269"/>
      <c r="AE93" s="7"/>
      <c r="AF93" s="13"/>
    </row>
    <row r="94" spans="1:33" ht="20.25" customHeight="1" x14ac:dyDescent="0.3">
      <c r="A94" s="8">
        <f>A91+1</f>
        <v>81</v>
      </c>
      <c r="B94" s="124" t="s">
        <v>145</v>
      </c>
      <c r="C94" s="273">
        <f>D94+K94+L94+N94+P94+R94+S94+U94+V94+W94</f>
        <v>130000</v>
      </c>
      <c r="D94" s="273">
        <f>E94+F94+G94+H94+I94</f>
        <v>0</v>
      </c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>
        <v>130000</v>
      </c>
      <c r="X94" s="271"/>
      <c r="Y94" s="269"/>
      <c r="Z94" s="7"/>
      <c r="AA94" s="13"/>
      <c r="AB94" s="13"/>
      <c r="AC94" s="13"/>
      <c r="AD94" s="13"/>
      <c r="AE94" s="269">
        <v>130000</v>
      </c>
      <c r="AF94" s="269"/>
    </row>
    <row r="95" spans="1:33" ht="20.25" customHeight="1" x14ac:dyDescent="0.3">
      <c r="A95" s="8">
        <f>A94+1</f>
        <v>82</v>
      </c>
      <c r="B95" s="124" t="s">
        <v>3594</v>
      </c>
      <c r="C95" s="273">
        <f>D95+K95+L95+N95+P95+R95+S95+U95+V95+W95</f>
        <v>130000</v>
      </c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>
        <v>130000</v>
      </c>
      <c r="X95" s="271"/>
      <c r="Y95" s="269"/>
      <c r="Z95" s="7"/>
      <c r="AA95" s="13"/>
      <c r="AB95" s="13"/>
      <c r="AC95" s="13"/>
      <c r="AD95" s="13"/>
      <c r="AE95" s="269">
        <v>130000</v>
      </c>
      <c r="AF95" s="269"/>
    </row>
    <row r="96" spans="1:33" ht="20.25" customHeight="1" x14ac:dyDescent="0.3">
      <c r="A96" s="8"/>
      <c r="B96" s="124" t="s">
        <v>143</v>
      </c>
      <c r="C96" s="273">
        <f t="shared" ref="C96:W96" si="13">C94</f>
        <v>130000</v>
      </c>
      <c r="D96" s="273">
        <f t="shared" si="13"/>
        <v>0</v>
      </c>
      <c r="E96" s="273">
        <f t="shared" si="13"/>
        <v>0</v>
      </c>
      <c r="F96" s="273">
        <f t="shared" si="13"/>
        <v>0</v>
      </c>
      <c r="G96" s="273">
        <f t="shared" si="13"/>
        <v>0</v>
      </c>
      <c r="H96" s="273">
        <f t="shared" si="13"/>
        <v>0</v>
      </c>
      <c r="I96" s="273">
        <f t="shared" si="13"/>
        <v>0</v>
      </c>
      <c r="J96" s="273">
        <f t="shared" si="13"/>
        <v>0</v>
      </c>
      <c r="K96" s="273">
        <f t="shared" si="13"/>
        <v>0</v>
      </c>
      <c r="L96" s="273">
        <f t="shared" si="13"/>
        <v>0</v>
      </c>
      <c r="M96" s="273">
        <f t="shared" si="13"/>
        <v>0</v>
      </c>
      <c r="N96" s="273">
        <f t="shared" si="13"/>
        <v>0</v>
      </c>
      <c r="O96" s="273">
        <f t="shared" si="13"/>
        <v>0</v>
      </c>
      <c r="P96" s="273">
        <f t="shared" si="13"/>
        <v>0</v>
      </c>
      <c r="Q96" s="273">
        <f t="shared" si="13"/>
        <v>0</v>
      </c>
      <c r="R96" s="273">
        <f t="shared" si="13"/>
        <v>0</v>
      </c>
      <c r="S96" s="273">
        <f t="shared" si="13"/>
        <v>0</v>
      </c>
      <c r="T96" s="273">
        <f t="shared" si="13"/>
        <v>0</v>
      </c>
      <c r="U96" s="273">
        <f t="shared" si="13"/>
        <v>0</v>
      </c>
      <c r="V96" s="273">
        <f t="shared" si="13"/>
        <v>0</v>
      </c>
      <c r="W96" s="273">
        <f t="shared" si="13"/>
        <v>130000</v>
      </c>
      <c r="X96" s="271"/>
      <c r="Y96" s="269"/>
      <c r="Z96" s="7"/>
      <c r="AA96" s="13"/>
      <c r="AB96" s="13"/>
      <c r="AC96" s="13"/>
      <c r="AD96" s="13"/>
      <c r="AE96" s="269"/>
      <c r="AF96" s="269"/>
    </row>
    <row r="97" spans="1:32" ht="20.25" customHeight="1" x14ac:dyDescent="0.3">
      <c r="A97" s="264" t="s">
        <v>146</v>
      </c>
      <c r="B97" s="124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1"/>
      <c r="Y97" s="269"/>
      <c r="Z97" s="7"/>
      <c r="AA97" s="13"/>
      <c r="AB97" s="13"/>
      <c r="AC97" s="13"/>
      <c r="AD97" s="13"/>
      <c r="AE97" s="269"/>
      <c r="AF97" s="269"/>
    </row>
    <row r="98" spans="1:32" ht="20.25" customHeight="1" x14ac:dyDescent="0.3">
      <c r="A98" s="8">
        <f>A95+1</f>
        <v>83</v>
      </c>
      <c r="B98" s="124" t="s">
        <v>147</v>
      </c>
      <c r="C98" s="273">
        <f t="shared" ref="C98:C112" si="14">D98+K98+L98+N98+P98+R98+S98+U98+V98+W98</f>
        <v>130000</v>
      </c>
      <c r="D98" s="273">
        <f t="shared" ref="D98:D112" si="15">E98+F98+G98+H98+I98</f>
        <v>0</v>
      </c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>
        <v>130000</v>
      </c>
      <c r="X98" s="271"/>
      <c r="Y98" s="271"/>
      <c r="Z98" s="271"/>
      <c r="AA98" s="271"/>
      <c r="AB98" s="271"/>
      <c r="AC98" s="273">
        <v>130000</v>
      </c>
      <c r="AE98" s="7"/>
      <c r="AF98" s="13"/>
    </row>
    <row r="99" spans="1:32" ht="20.25" customHeight="1" x14ac:dyDescent="0.3">
      <c r="A99" s="8">
        <f t="shared" ref="A99:A112" si="16">A98+1</f>
        <v>84</v>
      </c>
      <c r="B99" s="124" t="s">
        <v>148</v>
      </c>
      <c r="C99" s="273">
        <f t="shared" si="14"/>
        <v>130000</v>
      </c>
      <c r="D99" s="273">
        <f t="shared" si="15"/>
        <v>0</v>
      </c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>
        <v>130000</v>
      </c>
      <c r="X99" s="271"/>
      <c r="Y99" s="271"/>
      <c r="Z99" s="271"/>
      <c r="AA99" s="271"/>
      <c r="AB99" s="271"/>
      <c r="AC99" s="273">
        <v>130000</v>
      </c>
      <c r="AE99" s="7"/>
      <c r="AF99" s="13"/>
    </row>
    <row r="100" spans="1:32" ht="20.25" customHeight="1" x14ac:dyDescent="0.3">
      <c r="A100" s="8">
        <f t="shared" si="16"/>
        <v>85</v>
      </c>
      <c r="B100" s="124" t="s">
        <v>149</v>
      </c>
      <c r="C100" s="273">
        <f t="shared" si="14"/>
        <v>86668.69</v>
      </c>
      <c r="D100" s="273">
        <f t="shared" si="15"/>
        <v>0</v>
      </c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>
        <f>SUM(X100:AD100)</f>
        <v>86668.69</v>
      </c>
      <c r="X100" s="271"/>
      <c r="Y100" s="271"/>
      <c r="Z100" s="271"/>
      <c r="AA100" s="271"/>
      <c r="AC100" s="271">
        <v>86668.69</v>
      </c>
      <c r="AD100" s="269"/>
      <c r="AE100" s="7"/>
      <c r="AF100" s="13"/>
    </row>
    <row r="101" spans="1:32" ht="20.25" customHeight="1" x14ac:dyDescent="0.3">
      <c r="A101" s="8">
        <f t="shared" si="16"/>
        <v>86</v>
      </c>
      <c r="B101" s="124" t="s">
        <v>150</v>
      </c>
      <c r="C101" s="273">
        <f t="shared" si="14"/>
        <v>214580.6</v>
      </c>
      <c r="D101" s="273">
        <f t="shared" si="15"/>
        <v>0</v>
      </c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>
        <f>SUM(X101:AE101)</f>
        <v>214580.6</v>
      </c>
      <c r="X101" s="271"/>
      <c r="Y101" s="271"/>
      <c r="Z101" s="271"/>
      <c r="AA101" s="271"/>
      <c r="AB101" s="271"/>
      <c r="AC101" s="271"/>
      <c r="AE101" s="269">
        <v>214580.6</v>
      </c>
      <c r="AF101" s="13"/>
    </row>
    <row r="102" spans="1:32" ht="20.25" customHeight="1" x14ac:dyDescent="0.3">
      <c r="A102" s="8">
        <f t="shared" si="16"/>
        <v>87</v>
      </c>
      <c r="B102" s="124" t="s">
        <v>151</v>
      </c>
      <c r="C102" s="273">
        <f t="shared" si="14"/>
        <v>213887.41</v>
      </c>
      <c r="D102" s="273">
        <f t="shared" si="15"/>
        <v>0</v>
      </c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>
        <f>SUM(X102:AE102)</f>
        <v>213887.41</v>
      </c>
      <c r="X102" s="271"/>
      <c r="Y102" s="271"/>
      <c r="Z102" s="271"/>
      <c r="AA102" s="271"/>
      <c r="AB102" s="271"/>
      <c r="AC102" s="271"/>
      <c r="AE102" s="269">
        <v>213887.41</v>
      </c>
      <c r="AF102" s="13"/>
    </row>
    <row r="103" spans="1:32" ht="20.25" customHeight="1" x14ac:dyDescent="0.3">
      <c r="A103" s="8">
        <f t="shared" si="16"/>
        <v>88</v>
      </c>
      <c r="B103" s="124" t="s">
        <v>152</v>
      </c>
      <c r="C103" s="273">
        <f t="shared" si="14"/>
        <v>130000</v>
      </c>
      <c r="D103" s="273">
        <f t="shared" si="15"/>
        <v>0</v>
      </c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>
        <v>130000</v>
      </c>
      <c r="X103" s="271"/>
      <c r="Y103" s="271"/>
      <c r="Z103" s="271"/>
      <c r="AA103" s="271"/>
      <c r="AB103" s="271"/>
      <c r="AC103" s="271"/>
      <c r="AD103" s="269"/>
      <c r="AE103" s="7"/>
      <c r="AF103" s="13"/>
    </row>
    <row r="104" spans="1:32" ht="20.25" customHeight="1" x14ac:dyDescent="0.3">
      <c r="A104" s="8">
        <f t="shared" si="16"/>
        <v>89</v>
      </c>
      <c r="B104" s="124" t="s">
        <v>153</v>
      </c>
      <c r="C104" s="273">
        <f t="shared" si="14"/>
        <v>206467.06</v>
      </c>
      <c r="D104" s="273">
        <f t="shared" si="15"/>
        <v>0</v>
      </c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>
        <f>SUM(X104:AE104)</f>
        <v>206467.06</v>
      </c>
      <c r="X104" s="271"/>
      <c r="Y104" s="271"/>
      <c r="Z104" s="271"/>
      <c r="AA104" s="271"/>
      <c r="AB104" s="271"/>
      <c r="AC104" s="271"/>
      <c r="AE104" s="269">
        <v>206467.06</v>
      </c>
      <c r="AF104" s="13"/>
    </row>
    <row r="105" spans="1:32" ht="20.25" customHeight="1" x14ac:dyDescent="0.3">
      <c r="A105" s="8">
        <f t="shared" si="16"/>
        <v>90</v>
      </c>
      <c r="B105" s="124" t="s">
        <v>154</v>
      </c>
      <c r="C105" s="273">
        <f t="shared" si="14"/>
        <v>206853.66</v>
      </c>
      <c r="D105" s="273">
        <f t="shared" si="15"/>
        <v>0</v>
      </c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>
        <f>SUM(X105:AE105)</f>
        <v>206853.66</v>
      </c>
      <c r="X105" s="271"/>
      <c r="Y105" s="271"/>
      <c r="Z105" s="271"/>
      <c r="AA105" s="271"/>
      <c r="AB105" s="271"/>
      <c r="AC105" s="271"/>
      <c r="AE105" s="269">
        <v>206853.66</v>
      </c>
      <c r="AF105" s="13"/>
    </row>
    <row r="106" spans="1:32" ht="20.25" customHeight="1" x14ac:dyDescent="0.3">
      <c r="A106" s="8">
        <f t="shared" si="16"/>
        <v>91</v>
      </c>
      <c r="B106" s="124" t="s">
        <v>155</v>
      </c>
      <c r="C106" s="273">
        <f t="shared" si="14"/>
        <v>191165.9</v>
      </c>
      <c r="D106" s="273">
        <f t="shared" si="15"/>
        <v>0</v>
      </c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>
        <f>SUM(X106:AE106)</f>
        <v>191165.9</v>
      </c>
      <c r="X106" s="271"/>
      <c r="Y106" s="271"/>
      <c r="Z106" s="271"/>
      <c r="AA106" s="271"/>
      <c r="AB106" s="271"/>
      <c r="AC106" s="271"/>
      <c r="AE106" s="269">
        <v>191165.9</v>
      </c>
      <c r="AF106" s="13"/>
    </row>
    <row r="107" spans="1:32" ht="20.25" customHeight="1" x14ac:dyDescent="0.3">
      <c r="A107" s="8">
        <f t="shared" si="16"/>
        <v>92</v>
      </c>
      <c r="B107" s="124" t="s">
        <v>156</v>
      </c>
      <c r="C107" s="273">
        <f t="shared" si="14"/>
        <v>192695.06</v>
      </c>
      <c r="D107" s="273">
        <f t="shared" si="15"/>
        <v>0</v>
      </c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>
        <f>SUM(X107:AE107)</f>
        <v>192695.06</v>
      </c>
      <c r="X107" s="271"/>
      <c r="Y107" s="271"/>
      <c r="Z107" s="271"/>
      <c r="AA107" s="271"/>
      <c r="AB107" s="271"/>
      <c r="AC107" s="271"/>
      <c r="AE107" s="269">
        <v>192695.06</v>
      </c>
      <c r="AF107" s="13"/>
    </row>
    <row r="108" spans="1:32" ht="20.25" customHeight="1" x14ac:dyDescent="0.3">
      <c r="A108" s="8">
        <f t="shared" si="16"/>
        <v>93</v>
      </c>
      <c r="B108" s="124" t="s">
        <v>157</v>
      </c>
      <c r="C108" s="273">
        <f t="shared" si="14"/>
        <v>217866.32</v>
      </c>
      <c r="D108" s="273">
        <f t="shared" si="15"/>
        <v>0</v>
      </c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>
        <f>SUM(X108:AE108)</f>
        <v>217866.32</v>
      </c>
      <c r="X108" s="271"/>
      <c r="Y108" s="271"/>
      <c r="Z108" s="271"/>
      <c r="AA108" s="271"/>
      <c r="AB108" s="271"/>
      <c r="AC108" s="271"/>
      <c r="AE108" s="269">
        <v>217866.32</v>
      </c>
      <c r="AF108" s="13"/>
    </row>
    <row r="109" spans="1:32" ht="20.25" customHeight="1" x14ac:dyDescent="0.3">
      <c r="A109" s="8">
        <f t="shared" si="16"/>
        <v>94</v>
      </c>
      <c r="B109" s="124" t="s">
        <v>160</v>
      </c>
      <c r="C109" s="273">
        <f t="shared" si="14"/>
        <v>130000</v>
      </c>
      <c r="D109" s="273">
        <f t="shared" si="15"/>
        <v>0</v>
      </c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>
        <v>130000</v>
      </c>
      <c r="X109" s="271"/>
      <c r="Y109" s="271"/>
      <c r="Z109" s="271"/>
      <c r="AA109" s="271"/>
      <c r="AB109" s="271"/>
      <c r="AC109" s="271"/>
      <c r="AD109" s="269"/>
      <c r="AE109" s="7"/>
      <c r="AF109" s="13"/>
    </row>
    <row r="110" spans="1:32" ht="20.25" customHeight="1" x14ac:dyDescent="0.3">
      <c r="A110" s="8">
        <f t="shared" si="16"/>
        <v>95</v>
      </c>
      <c r="B110" s="124" t="s">
        <v>161</v>
      </c>
      <c r="C110" s="273">
        <f t="shared" si="14"/>
        <v>187546.98</v>
      </c>
      <c r="D110" s="273">
        <f t="shared" si="15"/>
        <v>0</v>
      </c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>
        <f>SUM(X110:AE110)</f>
        <v>187546.98</v>
      </c>
      <c r="X110" s="271"/>
      <c r="Y110" s="271"/>
      <c r="Z110" s="271"/>
      <c r="AA110" s="271"/>
      <c r="AB110" s="271"/>
      <c r="AC110" s="271"/>
      <c r="AE110" s="269">
        <v>187546.98</v>
      </c>
      <c r="AF110" s="13"/>
    </row>
    <row r="111" spans="1:32" ht="20.25" customHeight="1" x14ac:dyDescent="0.3">
      <c r="A111" s="8">
        <f t="shared" si="16"/>
        <v>96</v>
      </c>
      <c r="B111" s="124" t="s">
        <v>162</v>
      </c>
      <c r="C111" s="273">
        <f t="shared" si="14"/>
        <v>130507.14</v>
      </c>
      <c r="D111" s="273">
        <f t="shared" si="15"/>
        <v>0</v>
      </c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>
        <f>SUM(X111:AD111)</f>
        <v>130507.14</v>
      </c>
      <c r="X111" s="271"/>
      <c r="Y111" s="271">
        <v>130507.14</v>
      </c>
      <c r="Z111" s="271"/>
      <c r="AA111" s="271"/>
      <c r="AB111" s="271"/>
      <c r="AC111" s="271"/>
      <c r="AD111" s="269"/>
      <c r="AE111" s="7"/>
      <c r="AF111" s="13"/>
    </row>
    <row r="112" spans="1:32" s="40" customFormat="1" ht="19.5" customHeight="1" x14ac:dyDescent="0.3">
      <c r="A112" s="250">
        <f t="shared" si="16"/>
        <v>97</v>
      </c>
      <c r="B112" s="20" t="s">
        <v>164</v>
      </c>
      <c r="C112" s="273">
        <f t="shared" si="14"/>
        <v>6246923.9900000002</v>
      </c>
      <c r="D112" s="273">
        <f t="shared" si="15"/>
        <v>0</v>
      </c>
      <c r="E112" s="273"/>
      <c r="F112" s="273"/>
      <c r="G112" s="273"/>
      <c r="H112" s="273"/>
      <c r="I112" s="273"/>
      <c r="J112" s="273"/>
      <c r="K112" s="273"/>
      <c r="L112" s="273"/>
      <c r="M112" s="273">
        <v>684</v>
      </c>
      <c r="N112" s="273">
        <v>6246923.9900000002</v>
      </c>
      <c r="O112" s="273"/>
      <c r="P112" s="273"/>
      <c r="Q112" s="273"/>
      <c r="R112" s="273"/>
      <c r="S112" s="273"/>
      <c r="T112" s="273"/>
      <c r="U112" s="273"/>
      <c r="V112" s="273"/>
      <c r="W112" s="273">
        <v>0</v>
      </c>
      <c r="X112" s="271"/>
      <c r="Y112" s="271"/>
      <c r="Z112" s="269"/>
      <c r="AA112" s="7"/>
      <c r="AB112" s="13"/>
      <c r="AC112" s="13"/>
    </row>
    <row r="113" spans="1:32" ht="20.25" customHeight="1" x14ac:dyDescent="0.3">
      <c r="A113" s="8"/>
      <c r="B113" s="124" t="s">
        <v>143</v>
      </c>
      <c r="C113" s="273">
        <f t="shared" ref="C113:W113" si="17">SUM(C98:C112)</f>
        <v>8615162.8100000005</v>
      </c>
      <c r="D113" s="273">
        <f t="shared" si="17"/>
        <v>0</v>
      </c>
      <c r="E113" s="273">
        <f t="shared" si="17"/>
        <v>0</v>
      </c>
      <c r="F113" s="273">
        <f t="shared" si="17"/>
        <v>0</v>
      </c>
      <c r="G113" s="273">
        <f t="shared" si="17"/>
        <v>0</v>
      </c>
      <c r="H113" s="273">
        <f t="shared" si="17"/>
        <v>0</v>
      </c>
      <c r="I113" s="273">
        <f t="shared" si="17"/>
        <v>0</v>
      </c>
      <c r="J113" s="273">
        <f t="shared" si="17"/>
        <v>0</v>
      </c>
      <c r="K113" s="273">
        <f t="shared" si="17"/>
        <v>0</v>
      </c>
      <c r="L113" s="273">
        <f t="shared" si="17"/>
        <v>0</v>
      </c>
      <c r="M113" s="273">
        <f t="shared" si="17"/>
        <v>684</v>
      </c>
      <c r="N113" s="273">
        <f t="shared" si="17"/>
        <v>6246923.9900000002</v>
      </c>
      <c r="O113" s="273">
        <f t="shared" si="17"/>
        <v>0</v>
      </c>
      <c r="P113" s="273">
        <f t="shared" si="17"/>
        <v>0</v>
      </c>
      <c r="Q113" s="273">
        <f t="shared" si="17"/>
        <v>0</v>
      </c>
      <c r="R113" s="273">
        <f t="shared" si="17"/>
        <v>0</v>
      </c>
      <c r="S113" s="273">
        <f t="shared" si="17"/>
        <v>0</v>
      </c>
      <c r="T113" s="273">
        <f t="shared" si="17"/>
        <v>0</v>
      </c>
      <c r="U113" s="273">
        <f t="shared" si="17"/>
        <v>0</v>
      </c>
      <c r="V113" s="273">
        <f t="shared" si="17"/>
        <v>0</v>
      </c>
      <c r="W113" s="273">
        <f t="shared" si="17"/>
        <v>2368238.8200000003</v>
      </c>
      <c r="X113" s="271"/>
      <c r="Y113" s="271"/>
      <c r="Z113" s="271"/>
      <c r="AA113" s="271"/>
      <c r="AB113" s="271"/>
      <c r="AC113" s="271"/>
      <c r="AD113" s="269"/>
      <c r="AE113" s="7"/>
      <c r="AF113" s="13"/>
    </row>
    <row r="114" spans="1:32" ht="20.25" customHeight="1" x14ac:dyDescent="0.3">
      <c r="A114" s="130" t="s">
        <v>165</v>
      </c>
      <c r="B114" s="124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1"/>
      <c r="Y114" s="271"/>
      <c r="Z114" s="271"/>
      <c r="AA114" s="271"/>
      <c r="AB114" s="271"/>
      <c r="AC114" s="271"/>
      <c r="AD114" s="269"/>
      <c r="AE114" s="7"/>
      <c r="AF114" s="13"/>
    </row>
    <row r="115" spans="1:32" ht="20.25" customHeight="1" x14ac:dyDescent="0.3">
      <c r="A115" s="8">
        <f>A112+1</f>
        <v>98</v>
      </c>
      <c r="B115" s="124" t="s">
        <v>168</v>
      </c>
      <c r="C115" s="273">
        <f>D115+K115+L115+N115+P115+R115+S115+U115+V115+W115</f>
        <v>130000</v>
      </c>
      <c r="D115" s="273">
        <f>E115+F115+G115+H115+I115</f>
        <v>0</v>
      </c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>
        <v>130000</v>
      </c>
      <c r="X115" s="271"/>
      <c r="Y115" s="271"/>
      <c r="Z115" s="271"/>
      <c r="AA115" s="271"/>
      <c r="AB115" s="271"/>
      <c r="AC115" s="271"/>
      <c r="AD115" s="269"/>
      <c r="AE115" s="7"/>
      <c r="AF115" s="13"/>
    </row>
    <row r="116" spans="1:32" ht="20.25" customHeight="1" x14ac:dyDescent="0.3">
      <c r="A116" s="8"/>
      <c r="B116" s="124" t="s">
        <v>143</v>
      </c>
      <c r="C116" s="273">
        <f t="shared" ref="C116:W116" si="18">SUM(C115:C115)</f>
        <v>130000</v>
      </c>
      <c r="D116" s="273">
        <f t="shared" si="18"/>
        <v>0</v>
      </c>
      <c r="E116" s="273">
        <f t="shared" si="18"/>
        <v>0</v>
      </c>
      <c r="F116" s="273">
        <f t="shared" si="18"/>
        <v>0</v>
      </c>
      <c r="G116" s="273">
        <f t="shared" si="18"/>
        <v>0</v>
      </c>
      <c r="H116" s="273">
        <f t="shared" si="18"/>
        <v>0</v>
      </c>
      <c r="I116" s="273">
        <f t="shared" si="18"/>
        <v>0</v>
      </c>
      <c r="J116" s="273">
        <f t="shared" si="18"/>
        <v>0</v>
      </c>
      <c r="K116" s="273">
        <f t="shared" si="18"/>
        <v>0</v>
      </c>
      <c r="L116" s="273">
        <f t="shared" si="18"/>
        <v>0</v>
      </c>
      <c r="M116" s="273">
        <f t="shared" si="18"/>
        <v>0</v>
      </c>
      <c r="N116" s="273">
        <f t="shared" si="18"/>
        <v>0</v>
      </c>
      <c r="O116" s="273">
        <f t="shared" si="18"/>
        <v>0</v>
      </c>
      <c r="P116" s="273">
        <f t="shared" si="18"/>
        <v>0</v>
      </c>
      <c r="Q116" s="273">
        <f t="shared" si="18"/>
        <v>0</v>
      </c>
      <c r="R116" s="273">
        <f t="shared" si="18"/>
        <v>0</v>
      </c>
      <c r="S116" s="273">
        <f t="shared" si="18"/>
        <v>0</v>
      </c>
      <c r="T116" s="273">
        <f t="shared" si="18"/>
        <v>0</v>
      </c>
      <c r="U116" s="273">
        <f t="shared" si="18"/>
        <v>0</v>
      </c>
      <c r="V116" s="273">
        <f t="shared" si="18"/>
        <v>0</v>
      </c>
      <c r="W116" s="273">
        <f t="shared" si="18"/>
        <v>130000</v>
      </c>
      <c r="X116" s="271"/>
      <c r="Y116" s="271"/>
      <c r="Z116" s="271"/>
      <c r="AA116" s="271"/>
      <c r="AB116" s="271"/>
      <c r="AC116" s="271"/>
      <c r="AD116" s="269"/>
      <c r="AE116" s="7"/>
      <c r="AF116" s="13"/>
    </row>
    <row r="117" spans="1:32" ht="20.25" customHeight="1" x14ac:dyDescent="0.3">
      <c r="A117" s="130" t="s">
        <v>169</v>
      </c>
      <c r="B117" s="124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1"/>
      <c r="Y117" s="271"/>
      <c r="Z117" s="271"/>
      <c r="AA117" s="271"/>
      <c r="AB117" s="271"/>
      <c r="AC117" s="271"/>
      <c r="AD117" s="269"/>
      <c r="AE117" s="7"/>
      <c r="AF117" s="13"/>
    </row>
    <row r="118" spans="1:32" ht="20.25" customHeight="1" x14ac:dyDescent="0.3">
      <c r="A118" s="8">
        <f>A115+1</f>
        <v>99</v>
      </c>
      <c r="B118" s="124" t="s">
        <v>170</v>
      </c>
      <c r="C118" s="273">
        <f>D118+K118+L118+N118+P118+R118+S118+U118+V118+W118</f>
        <v>258253.21</v>
      </c>
      <c r="D118" s="273">
        <f>E118+F118+G118+H118+I118</f>
        <v>101660</v>
      </c>
      <c r="E118" s="273"/>
      <c r="F118" s="273"/>
      <c r="G118" s="273">
        <f>13*3910</f>
        <v>50830</v>
      </c>
      <c r="H118" s="273">
        <f>13*3910</f>
        <v>50830</v>
      </c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>
        <f>SUM(X118:AD118)</f>
        <v>156593.21</v>
      </c>
      <c r="X118" s="271">
        <v>156593.21</v>
      </c>
      <c r="Y118" s="271"/>
      <c r="Z118" s="271"/>
      <c r="AA118" s="271"/>
      <c r="AB118" s="271"/>
      <c r="AC118" s="271"/>
      <c r="AD118" s="269"/>
      <c r="AE118" s="7"/>
      <c r="AF118" s="13"/>
    </row>
    <row r="119" spans="1:32" ht="20.25" customHeight="1" x14ac:dyDescent="0.3">
      <c r="A119" s="8">
        <f>A118+1</f>
        <v>100</v>
      </c>
      <c r="B119" s="124" t="s">
        <v>171</v>
      </c>
      <c r="C119" s="273">
        <f>D119+K119+L119+N119+P119+R119+S119+U119+V119+W119</f>
        <v>146783.99</v>
      </c>
      <c r="D119" s="273">
        <f>E119+F119+G119+H119+I119</f>
        <v>0</v>
      </c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>
        <f>SUM(X119:AD119)</f>
        <v>146783.99</v>
      </c>
      <c r="X119" s="271"/>
      <c r="Y119" s="271"/>
      <c r="Z119" s="271"/>
      <c r="AA119" s="271"/>
      <c r="AC119" s="271">
        <v>146783.99</v>
      </c>
      <c r="AD119" s="269"/>
      <c r="AE119" s="7"/>
      <c r="AF119" s="13"/>
    </row>
    <row r="120" spans="1:32" ht="20.25" customHeight="1" x14ac:dyDescent="0.3">
      <c r="A120" s="8">
        <f>A119+1</f>
        <v>101</v>
      </c>
      <c r="B120" s="124" t="s">
        <v>172</v>
      </c>
      <c r="C120" s="273">
        <f>D120+K120+L120+N120+P120+R120+S120+U120+V120+W120</f>
        <v>146783.99</v>
      </c>
      <c r="D120" s="273">
        <f>E120+F120+G120+H120+I120</f>
        <v>0</v>
      </c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>
        <f>SUM(X120:AD120)</f>
        <v>146783.99</v>
      </c>
      <c r="X120" s="271"/>
      <c r="Y120" s="271"/>
      <c r="Z120" s="271"/>
      <c r="AA120" s="271"/>
      <c r="AC120" s="271">
        <v>146783.99</v>
      </c>
      <c r="AD120" s="269"/>
      <c r="AE120" s="7"/>
      <c r="AF120" s="13"/>
    </row>
    <row r="121" spans="1:32" ht="20.25" customHeight="1" x14ac:dyDescent="0.3">
      <c r="A121" s="8">
        <f>A120+1</f>
        <v>102</v>
      </c>
      <c r="B121" s="124" t="s">
        <v>173</v>
      </c>
      <c r="C121" s="273">
        <f>D121+K121+L121+N121+P121+R121+S121+U121+V121+W121</f>
        <v>215227.39</v>
      </c>
      <c r="D121" s="273">
        <f>E121+F121+G121+H121+I121</f>
        <v>0</v>
      </c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>
        <f>SUM(X121:AD121)</f>
        <v>215227.39</v>
      </c>
      <c r="X121" s="271"/>
      <c r="Y121" s="271"/>
      <c r="Z121" s="271"/>
      <c r="AA121" s="271"/>
      <c r="AC121" s="271">
        <v>215227.39</v>
      </c>
      <c r="AD121" s="269"/>
      <c r="AE121" s="7"/>
      <c r="AF121" s="13"/>
    </row>
    <row r="122" spans="1:32" ht="20.25" customHeight="1" x14ac:dyDescent="0.3">
      <c r="A122" s="8">
        <f>A121+1</f>
        <v>103</v>
      </c>
      <c r="B122" s="124" t="s">
        <v>176</v>
      </c>
      <c r="C122" s="273">
        <f>D122+K122+L122+N122+P122+R122+S122+U122+V122+W122</f>
        <v>148049.4</v>
      </c>
      <c r="D122" s="273">
        <f>E122+F122+G122+H122+I122</f>
        <v>0</v>
      </c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>
        <f>SUM(X122:AD122)</f>
        <v>148049.4</v>
      </c>
      <c r="X122" s="271"/>
      <c r="Y122" s="271"/>
      <c r="Z122" s="271"/>
      <c r="AA122" s="271">
        <v>148049.4</v>
      </c>
      <c r="AB122" s="271"/>
      <c r="AC122" s="271"/>
      <c r="AD122" s="269"/>
      <c r="AE122" s="7"/>
      <c r="AF122" s="13"/>
    </row>
    <row r="123" spans="1:32" ht="20.25" customHeight="1" x14ac:dyDescent="0.3">
      <c r="A123" s="8"/>
      <c r="B123" s="124" t="s">
        <v>143</v>
      </c>
      <c r="C123" s="273">
        <f t="shared" ref="C123:W123" si="19">SUM(C118:C122)</f>
        <v>915097.98</v>
      </c>
      <c r="D123" s="273">
        <f t="shared" si="19"/>
        <v>101660</v>
      </c>
      <c r="E123" s="273">
        <f t="shared" si="19"/>
        <v>0</v>
      </c>
      <c r="F123" s="273">
        <f t="shared" si="19"/>
        <v>0</v>
      </c>
      <c r="G123" s="273">
        <f t="shared" si="19"/>
        <v>50830</v>
      </c>
      <c r="H123" s="273">
        <f t="shared" si="19"/>
        <v>50830</v>
      </c>
      <c r="I123" s="273">
        <f t="shared" si="19"/>
        <v>0</v>
      </c>
      <c r="J123" s="273">
        <f t="shared" si="19"/>
        <v>0</v>
      </c>
      <c r="K123" s="273">
        <f t="shared" si="19"/>
        <v>0</v>
      </c>
      <c r="L123" s="273">
        <f t="shared" si="19"/>
        <v>0</v>
      </c>
      <c r="M123" s="273">
        <f t="shared" si="19"/>
        <v>0</v>
      </c>
      <c r="N123" s="273">
        <f t="shared" si="19"/>
        <v>0</v>
      </c>
      <c r="O123" s="273">
        <f t="shared" si="19"/>
        <v>0</v>
      </c>
      <c r="P123" s="273">
        <f t="shared" si="19"/>
        <v>0</v>
      </c>
      <c r="Q123" s="273">
        <f t="shared" si="19"/>
        <v>0</v>
      </c>
      <c r="R123" s="273">
        <f t="shared" si="19"/>
        <v>0</v>
      </c>
      <c r="S123" s="273">
        <f t="shared" si="19"/>
        <v>0</v>
      </c>
      <c r="T123" s="273">
        <f t="shared" si="19"/>
        <v>0</v>
      </c>
      <c r="U123" s="273">
        <f t="shared" si="19"/>
        <v>0</v>
      </c>
      <c r="V123" s="273">
        <f t="shared" si="19"/>
        <v>0</v>
      </c>
      <c r="W123" s="273">
        <f t="shared" si="19"/>
        <v>813437.98</v>
      </c>
      <c r="X123" s="271"/>
      <c r="Y123" s="271"/>
      <c r="Z123" s="271"/>
      <c r="AA123" s="271"/>
      <c r="AB123" s="271"/>
      <c r="AC123" s="271"/>
      <c r="AD123" s="269"/>
      <c r="AE123" s="7"/>
      <c r="AF123" s="13"/>
    </row>
    <row r="124" spans="1:32" ht="33" customHeight="1" x14ac:dyDescent="0.3">
      <c r="A124" s="392" t="s">
        <v>181</v>
      </c>
      <c r="B124" s="39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1"/>
      <c r="Y124" s="271"/>
      <c r="Z124" s="271"/>
      <c r="AA124" s="271"/>
      <c r="AB124" s="271"/>
      <c r="AC124" s="271"/>
      <c r="AD124" s="269"/>
      <c r="AE124" s="7"/>
      <c r="AF124" s="13"/>
    </row>
    <row r="125" spans="1:32" ht="20.25" customHeight="1" x14ac:dyDescent="0.3">
      <c r="A125" s="8">
        <f>A122+1</f>
        <v>104</v>
      </c>
      <c r="B125" s="124" t="s">
        <v>182</v>
      </c>
      <c r="C125" s="273">
        <f t="shared" ref="C125:C133" si="20">D125+K125+L125+N125+P125+R125+S125+U125+V125+W125</f>
        <v>104325.36</v>
      </c>
      <c r="D125" s="273">
        <f t="shared" ref="D125:D133" si="21">E125+F125+G125+H125+I125</f>
        <v>0</v>
      </c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>
        <f>SUM(X125:AH125)</f>
        <v>104325.36</v>
      </c>
      <c r="X125" s="271"/>
      <c r="Y125" s="271"/>
      <c r="Z125" s="271"/>
      <c r="AA125" s="271"/>
      <c r="AC125" s="271">
        <v>104325.36</v>
      </c>
      <c r="AD125" s="269"/>
      <c r="AE125" s="7"/>
      <c r="AF125" s="13"/>
    </row>
    <row r="126" spans="1:32" ht="20.25" customHeight="1" x14ac:dyDescent="0.3">
      <c r="A126" s="8">
        <f t="shared" ref="A126:A133" si="22">A125+1</f>
        <v>105</v>
      </c>
      <c r="B126" s="124" t="s">
        <v>183</v>
      </c>
      <c r="C126" s="273">
        <f t="shared" si="20"/>
        <v>104325.36</v>
      </c>
      <c r="D126" s="273">
        <f t="shared" si="21"/>
        <v>0</v>
      </c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>
        <f>SUM(X126:AH126)</f>
        <v>104325.36</v>
      </c>
      <c r="X126" s="271"/>
      <c r="Y126" s="271"/>
      <c r="Z126" s="271"/>
      <c r="AA126" s="271"/>
      <c r="AC126" s="271">
        <v>104325.36</v>
      </c>
      <c r="AD126" s="269"/>
      <c r="AE126" s="7"/>
      <c r="AF126" s="13"/>
    </row>
    <row r="127" spans="1:32" ht="20.25" customHeight="1" x14ac:dyDescent="0.3">
      <c r="A127" s="8">
        <f t="shared" si="22"/>
        <v>106</v>
      </c>
      <c r="B127" s="124" t="s">
        <v>184</v>
      </c>
      <c r="C127" s="273">
        <f t="shared" si="20"/>
        <v>199820.6</v>
      </c>
      <c r="D127" s="273">
        <f t="shared" si="21"/>
        <v>0</v>
      </c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>
        <f t="shared" ref="W127:W132" si="23">SUM(X127:AH127)</f>
        <v>199820.6</v>
      </c>
      <c r="X127" s="271"/>
      <c r="Y127" s="271"/>
      <c r="Z127" s="271"/>
      <c r="AA127" s="271"/>
      <c r="AB127" s="271"/>
      <c r="AC127" s="271"/>
      <c r="AD127" s="269"/>
      <c r="AF127" s="7">
        <v>199820.6</v>
      </c>
    </row>
    <row r="128" spans="1:32" ht="20.25" customHeight="1" x14ac:dyDescent="0.3">
      <c r="A128" s="8">
        <f t="shared" si="22"/>
        <v>107</v>
      </c>
      <c r="B128" s="124" t="s">
        <v>185</v>
      </c>
      <c r="C128" s="273">
        <f t="shared" si="20"/>
        <v>123074.36</v>
      </c>
      <c r="D128" s="273">
        <f t="shared" si="21"/>
        <v>0</v>
      </c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>
        <f t="shared" si="23"/>
        <v>123074.36</v>
      </c>
      <c r="X128" s="271"/>
      <c r="Y128" s="271"/>
      <c r="Z128" s="271"/>
      <c r="AA128" s="271"/>
      <c r="AB128" s="271"/>
      <c r="AC128" s="271"/>
      <c r="AD128" s="269"/>
      <c r="AF128" s="7">
        <v>123074.36</v>
      </c>
    </row>
    <row r="129" spans="1:33" ht="20.25" customHeight="1" x14ac:dyDescent="0.3">
      <c r="A129" s="8">
        <f t="shared" si="22"/>
        <v>108</v>
      </c>
      <c r="B129" s="124" t="s">
        <v>186</v>
      </c>
      <c r="C129" s="273">
        <f t="shared" si="20"/>
        <v>130000</v>
      </c>
      <c r="D129" s="273">
        <f t="shared" si="21"/>
        <v>0</v>
      </c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>
        <f t="shared" si="23"/>
        <v>130000</v>
      </c>
      <c r="X129" s="271"/>
      <c r="Y129" s="271"/>
      <c r="Z129" s="271"/>
      <c r="AA129" s="271"/>
      <c r="AB129" s="271"/>
      <c r="AC129" s="271">
        <v>130000</v>
      </c>
      <c r="AD129" s="269"/>
      <c r="AE129" s="7"/>
      <c r="AF129" s="13"/>
    </row>
    <row r="130" spans="1:33" ht="20.25" customHeight="1" x14ac:dyDescent="0.3">
      <c r="A130" s="8">
        <f t="shared" si="22"/>
        <v>109</v>
      </c>
      <c r="B130" s="124" t="s">
        <v>187</v>
      </c>
      <c r="C130" s="273">
        <f t="shared" si="20"/>
        <v>199858.07</v>
      </c>
      <c r="D130" s="273">
        <f t="shared" si="21"/>
        <v>0</v>
      </c>
      <c r="E130" s="273"/>
      <c r="F130" s="273"/>
      <c r="G130" s="273"/>
      <c r="H130" s="273"/>
      <c r="I130" s="273"/>
      <c r="J130" s="273"/>
      <c r="K130" s="273"/>
      <c r="L130" s="273"/>
      <c r="M130" s="273">
        <v>376.8</v>
      </c>
      <c r="N130" s="273">
        <f>13*8094</f>
        <v>105222</v>
      </c>
      <c r="O130" s="273"/>
      <c r="P130" s="273"/>
      <c r="Q130" s="273"/>
      <c r="R130" s="273"/>
      <c r="S130" s="273"/>
      <c r="T130" s="273"/>
      <c r="U130" s="273"/>
      <c r="V130" s="273"/>
      <c r="W130" s="273">
        <f t="shared" si="23"/>
        <v>94636.07</v>
      </c>
      <c r="X130" s="271"/>
      <c r="Y130" s="271"/>
      <c r="Z130" s="271"/>
      <c r="AA130" s="271"/>
      <c r="AC130" s="271">
        <v>94636.07</v>
      </c>
      <c r="AD130" s="269"/>
      <c r="AE130" s="7"/>
      <c r="AF130" s="13"/>
    </row>
    <row r="131" spans="1:33" ht="20.25" customHeight="1" x14ac:dyDescent="0.3">
      <c r="A131" s="8">
        <f t="shared" si="22"/>
        <v>110</v>
      </c>
      <c r="B131" s="124" t="s">
        <v>189</v>
      </c>
      <c r="C131" s="273">
        <f t="shared" si="20"/>
        <v>102667.42</v>
      </c>
      <c r="D131" s="273">
        <f t="shared" si="21"/>
        <v>0</v>
      </c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>
        <f t="shared" si="23"/>
        <v>102667.42</v>
      </c>
      <c r="X131" s="271"/>
      <c r="Y131" s="271"/>
      <c r="Z131" s="271"/>
      <c r="AA131" s="271"/>
      <c r="AB131" s="271"/>
      <c r="AC131" s="271"/>
      <c r="AD131" s="269"/>
      <c r="AF131" s="7">
        <v>102667.42</v>
      </c>
    </row>
    <row r="132" spans="1:33" ht="20.25" customHeight="1" x14ac:dyDescent="0.3">
      <c r="A132" s="8">
        <f t="shared" si="22"/>
        <v>111</v>
      </c>
      <c r="B132" s="124" t="s">
        <v>190</v>
      </c>
      <c r="C132" s="273">
        <f t="shared" si="20"/>
        <v>207272</v>
      </c>
      <c r="D132" s="273">
        <f t="shared" si="21"/>
        <v>0</v>
      </c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>
        <f t="shared" si="23"/>
        <v>207272</v>
      </c>
      <c r="X132" s="271"/>
      <c r="Y132" s="271"/>
      <c r="Z132" s="271"/>
      <c r="AA132" s="271"/>
      <c r="AB132" s="271"/>
      <c r="AC132" s="271"/>
      <c r="AE132" s="269">
        <v>207272</v>
      </c>
      <c r="AF132" s="13"/>
    </row>
    <row r="133" spans="1:33" ht="20.25" customHeight="1" x14ac:dyDescent="0.3">
      <c r="A133" s="8">
        <f t="shared" si="22"/>
        <v>112</v>
      </c>
      <c r="B133" s="124" t="s">
        <v>191</v>
      </c>
      <c r="C133" s="273">
        <f t="shared" si="20"/>
        <v>207272</v>
      </c>
      <c r="D133" s="273">
        <f t="shared" si="21"/>
        <v>0</v>
      </c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>
        <f>SUM(X133:AE133)</f>
        <v>207272</v>
      </c>
      <c r="X133" s="271"/>
      <c r="Y133" s="271"/>
      <c r="Z133" s="271"/>
      <c r="AA133" s="271"/>
      <c r="AB133" s="271"/>
      <c r="AC133" s="271"/>
      <c r="AE133" s="269">
        <v>207272</v>
      </c>
      <c r="AF133" s="13"/>
    </row>
    <row r="134" spans="1:33" ht="20.25" customHeight="1" x14ac:dyDescent="0.3">
      <c r="A134" s="8"/>
      <c r="B134" s="124" t="s">
        <v>143</v>
      </c>
      <c r="C134" s="273">
        <f t="shared" ref="C134:W134" si="24">SUM(C125:C133)</f>
        <v>1378615.17</v>
      </c>
      <c r="D134" s="273">
        <f t="shared" si="24"/>
        <v>0</v>
      </c>
      <c r="E134" s="273">
        <f t="shared" si="24"/>
        <v>0</v>
      </c>
      <c r="F134" s="273">
        <f t="shared" si="24"/>
        <v>0</v>
      </c>
      <c r="G134" s="273">
        <f t="shared" si="24"/>
        <v>0</v>
      </c>
      <c r="H134" s="273">
        <f t="shared" si="24"/>
        <v>0</v>
      </c>
      <c r="I134" s="273">
        <f t="shared" si="24"/>
        <v>0</v>
      </c>
      <c r="J134" s="273">
        <f t="shared" si="24"/>
        <v>0</v>
      </c>
      <c r="K134" s="273">
        <f t="shared" si="24"/>
        <v>0</v>
      </c>
      <c r="L134" s="273">
        <f t="shared" si="24"/>
        <v>0</v>
      </c>
      <c r="M134" s="273">
        <f t="shared" si="24"/>
        <v>376.8</v>
      </c>
      <c r="N134" s="273">
        <f t="shared" si="24"/>
        <v>105222</v>
      </c>
      <c r="O134" s="273">
        <f t="shared" si="24"/>
        <v>0</v>
      </c>
      <c r="P134" s="273">
        <f t="shared" si="24"/>
        <v>0</v>
      </c>
      <c r="Q134" s="273">
        <f t="shared" si="24"/>
        <v>0</v>
      </c>
      <c r="R134" s="273">
        <f t="shared" si="24"/>
        <v>0</v>
      </c>
      <c r="S134" s="273">
        <f t="shared" si="24"/>
        <v>0</v>
      </c>
      <c r="T134" s="273">
        <f t="shared" si="24"/>
        <v>0</v>
      </c>
      <c r="U134" s="273">
        <f t="shared" si="24"/>
        <v>0</v>
      </c>
      <c r="V134" s="273">
        <f t="shared" si="24"/>
        <v>0</v>
      </c>
      <c r="W134" s="273">
        <f t="shared" si="24"/>
        <v>1273393.17</v>
      </c>
      <c r="X134" s="271"/>
      <c r="Y134" s="269"/>
      <c r="Z134" s="7"/>
      <c r="AA134" s="13"/>
      <c r="AB134" s="13"/>
      <c r="AC134" s="13"/>
      <c r="AD134" s="13"/>
      <c r="AE134" s="269"/>
      <c r="AF134" s="269"/>
    </row>
    <row r="135" spans="1:33" ht="20.25" customHeight="1" x14ac:dyDescent="0.3">
      <c r="A135" s="264" t="s">
        <v>192</v>
      </c>
      <c r="B135" s="169"/>
      <c r="C135" s="251">
        <f t="shared" ref="C135:W135" si="25">C92+C96+C113+C116+C123+C134</f>
        <v>92470129.179999992</v>
      </c>
      <c r="D135" s="251">
        <f t="shared" si="25"/>
        <v>101660</v>
      </c>
      <c r="E135" s="251">
        <f t="shared" si="25"/>
        <v>0</v>
      </c>
      <c r="F135" s="251">
        <f t="shared" si="25"/>
        <v>0</v>
      </c>
      <c r="G135" s="251">
        <f t="shared" si="25"/>
        <v>50830</v>
      </c>
      <c r="H135" s="251">
        <f t="shared" si="25"/>
        <v>50830</v>
      </c>
      <c r="I135" s="251">
        <f t="shared" si="25"/>
        <v>0</v>
      </c>
      <c r="J135" s="251">
        <f t="shared" si="25"/>
        <v>0</v>
      </c>
      <c r="K135" s="251">
        <f t="shared" si="25"/>
        <v>0</v>
      </c>
      <c r="L135" s="251">
        <f t="shared" si="25"/>
        <v>0</v>
      </c>
      <c r="M135" s="251">
        <f t="shared" si="25"/>
        <v>6412.2000000000007</v>
      </c>
      <c r="N135" s="251">
        <f t="shared" si="25"/>
        <v>43240042.149999999</v>
      </c>
      <c r="O135" s="251">
        <f t="shared" si="25"/>
        <v>953.4</v>
      </c>
      <c r="P135" s="251">
        <f t="shared" si="25"/>
        <v>25039632.199999999</v>
      </c>
      <c r="Q135" s="251">
        <f t="shared" si="25"/>
        <v>0</v>
      </c>
      <c r="R135" s="251">
        <f t="shared" si="25"/>
        <v>0</v>
      </c>
      <c r="S135" s="251">
        <f t="shared" si="25"/>
        <v>0</v>
      </c>
      <c r="T135" s="251">
        <f t="shared" si="25"/>
        <v>0</v>
      </c>
      <c r="U135" s="251">
        <f t="shared" si="25"/>
        <v>0</v>
      </c>
      <c r="V135" s="251">
        <f t="shared" si="25"/>
        <v>0</v>
      </c>
      <c r="W135" s="251">
        <f t="shared" si="25"/>
        <v>24088794.829999998</v>
      </c>
      <c r="X135" s="271"/>
      <c r="Y135" s="269"/>
      <c r="Z135" s="7"/>
      <c r="AA135" s="13"/>
      <c r="AB135" s="13"/>
      <c r="AC135" s="13"/>
      <c r="AD135" s="13"/>
      <c r="AE135" s="269"/>
      <c r="AF135" s="269"/>
    </row>
    <row r="136" spans="1:33" x14ac:dyDescent="0.3">
      <c r="A136" s="376" t="s">
        <v>193</v>
      </c>
      <c r="B136" s="377"/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377"/>
      <c r="T136" s="377"/>
      <c r="U136" s="377"/>
      <c r="V136" s="377"/>
      <c r="W136" s="378"/>
      <c r="X136" s="277"/>
      <c r="Y136" s="277"/>
      <c r="Z136" s="277"/>
      <c r="AA136" s="277"/>
      <c r="AB136" s="251"/>
      <c r="AC136" s="251"/>
      <c r="AD136" s="251"/>
      <c r="AE136" s="17"/>
      <c r="AF136" s="17"/>
      <c r="AG136" s="13"/>
    </row>
    <row r="137" spans="1:33" x14ac:dyDescent="0.3">
      <c r="A137" s="130" t="s">
        <v>195</v>
      </c>
      <c r="B137" s="123"/>
      <c r="C137" s="251"/>
      <c r="D137" s="277"/>
      <c r="E137" s="277"/>
      <c r="F137" s="277"/>
      <c r="G137" s="277"/>
      <c r="H137" s="277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90"/>
      <c r="AC137" s="104"/>
      <c r="AD137" s="105"/>
      <c r="AE137" s="17"/>
      <c r="AF137" s="17"/>
      <c r="AG137" s="13"/>
    </row>
    <row r="138" spans="1:33" x14ac:dyDescent="0.3">
      <c r="A138" s="8">
        <f>A133+1</f>
        <v>113</v>
      </c>
      <c r="B138" s="124" t="s">
        <v>196</v>
      </c>
      <c r="C138" s="273">
        <f t="shared" ref="C138:C148" si="26">D138+N138+P138+R138+S138+U138+V138+W138</f>
        <v>323449.03000000003</v>
      </c>
      <c r="D138" s="273">
        <f t="shared" ref="D138:D148" si="27">E138+F138+G138+H138+I138</f>
        <v>0</v>
      </c>
      <c r="E138" s="273"/>
      <c r="F138" s="273"/>
      <c r="G138" s="273"/>
      <c r="H138" s="273"/>
      <c r="I138" s="273"/>
      <c r="J138" s="273"/>
      <c r="K138" s="273"/>
      <c r="L138" s="273"/>
      <c r="M138" s="273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>
        <f>SUM(AA138:AF138)</f>
        <v>323449.03000000003</v>
      </c>
      <c r="X138" s="273"/>
      <c r="Y138" s="273"/>
      <c r="Z138" s="273"/>
      <c r="AA138" s="273"/>
      <c r="AB138" s="273"/>
      <c r="AD138" s="17"/>
      <c r="AE138" s="17"/>
      <c r="AF138" s="16">
        <v>323449.03000000003</v>
      </c>
      <c r="AG138" s="13"/>
    </row>
    <row r="139" spans="1:33" x14ac:dyDescent="0.3">
      <c r="A139" s="8">
        <f t="shared" ref="A139:A148" si="28">A138+1</f>
        <v>114</v>
      </c>
      <c r="B139" s="124" t="s">
        <v>197</v>
      </c>
      <c r="C139" s="273">
        <f t="shared" si="26"/>
        <v>544270.62</v>
      </c>
      <c r="D139" s="273">
        <f t="shared" si="27"/>
        <v>0</v>
      </c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>
        <f>SUM(AC139:AF139)</f>
        <v>544270.62</v>
      </c>
      <c r="X139" s="273"/>
      <c r="Y139" s="273"/>
      <c r="Z139" s="273"/>
      <c r="AC139" s="273">
        <v>166893.01</v>
      </c>
      <c r="AE139" s="273">
        <v>377377.61</v>
      </c>
      <c r="AF139" s="16"/>
      <c r="AG139" s="13"/>
    </row>
    <row r="140" spans="1:33" x14ac:dyDescent="0.3">
      <c r="A140" s="8">
        <f t="shared" si="28"/>
        <v>115</v>
      </c>
      <c r="B140" s="124" t="s">
        <v>199</v>
      </c>
      <c r="C140" s="273">
        <f t="shared" si="26"/>
        <v>388830.73</v>
      </c>
      <c r="D140" s="273">
        <f t="shared" si="27"/>
        <v>0</v>
      </c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>
        <f>SUM(AC140:AF140)</f>
        <v>388830.73</v>
      </c>
      <c r="X140" s="273"/>
      <c r="Y140" s="273"/>
      <c r="Z140" s="273"/>
      <c r="AC140" s="273"/>
      <c r="AE140" s="273">
        <v>388830.73</v>
      </c>
      <c r="AF140" s="16"/>
      <c r="AG140" s="13"/>
    </row>
    <row r="141" spans="1:33" x14ac:dyDescent="0.3">
      <c r="A141" s="8">
        <f t="shared" si="28"/>
        <v>116</v>
      </c>
      <c r="B141" s="124" t="s">
        <v>200</v>
      </c>
      <c r="C141" s="273">
        <f t="shared" si="26"/>
        <v>379877.89</v>
      </c>
      <c r="D141" s="273">
        <f t="shared" si="27"/>
        <v>0</v>
      </c>
      <c r="E141" s="273"/>
      <c r="F141" s="273"/>
      <c r="G141" s="273"/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>
        <f>SUM(X141:AF141)</f>
        <v>379877.89</v>
      </c>
      <c r="Y141" s="273"/>
      <c r="Z141" s="273"/>
      <c r="AC141" s="273">
        <v>133153.22</v>
      </c>
      <c r="AE141" s="273">
        <v>246724.67</v>
      </c>
      <c r="AF141" s="16"/>
      <c r="AG141" s="13"/>
    </row>
    <row r="142" spans="1:33" x14ac:dyDescent="0.3">
      <c r="A142" s="8">
        <f t="shared" si="28"/>
        <v>117</v>
      </c>
      <c r="B142" s="124" t="s">
        <v>201</v>
      </c>
      <c r="C142" s="273">
        <f t="shared" si="26"/>
        <v>167523.44</v>
      </c>
      <c r="D142" s="273">
        <f t="shared" si="27"/>
        <v>0</v>
      </c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>
        <f t="shared" ref="W142:W147" si="29">SUM(AC142:AF142)</f>
        <v>167523.44</v>
      </c>
      <c r="X142" s="273"/>
      <c r="Y142" s="273"/>
      <c r="Z142" s="273"/>
      <c r="AC142" s="273">
        <v>167523.44</v>
      </c>
      <c r="AE142" s="273"/>
      <c r="AF142" s="16"/>
      <c r="AG142" s="13"/>
    </row>
    <row r="143" spans="1:33" x14ac:dyDescent="0.3">
      <c r="A143" s="8">
        <f t="shared" si="28"/>
        <v>118</v>
      </c>
      <c r="B143" s="124" t="s">
        <v>202</v>
      </c>
      <c r="C143" s="273">
        <f t="shared" si="26"/>
        <v>190315.28</v>
      </c>
      <c r="D143" s="273">
        <f t="shared" si="27"/>
        <v>0</v>
      </c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>
        <f t="shared" si="29"/>
        <v>190315.28</v>
      </c>
      <c r="X143" s="273"/>
      <c r="Y143" s="273"/>
      <c r="Z143" s="273"/>
      <c r="AC143" s="273">
        <v>190315.28</v>
      </c>
      <c r="AE143" s="273"/>
      <c r="AF143" s="16"/>
      <c r="AG143" s="13"/>
    </row>
    <row r="144" spans="1:33" x14ac:dyDescent="0.3">
      <c r="A144" s="8">
        <f t="shared" si="28"/>
        <v>119</v>
      </c>
      <c r="B144" s="124" t="s">
        <v>203</v>
      </c>
      <c r="C144" s="273">
        <f t="shared" si="26"/>
        <v>158679.60999999999</v>
      </c>
      <c r="D144" s="273">
        <f t="shared" si="27"/>
        <v>0</v>
      </c>
      <c r="E144" s="273"/>
      <c r="F144" s="273"/>
      <c r="G144" s="273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>
        <f t="shared" si="29"/>
        <v>158679.60999999999</v>
      </c>
      <c r="X144" s="273"/>
      <c r="Y144" s="273"/>
      <c r="Z144" s="273"/>
      <c r="AC144" s="273">
        <v>158679.60999999999</v>
      </c>
      <c r="AE144" s="273"/>
      <c r="AF144" s="16"/>
      <c r="AG144" s="13"/>
    </row>
    <row r="145" spans="1:33" x14ac:dyDescent="0.3">
      <c r="A145" s="8">
        <f t="shared" si="28"/>
        <v>120</v>
      </c>
      <c r="B145" s="124" t="s">
        <v>204</v>
      </c>
      <c r="C145" s="273">
        <f t="shared" si="26"/>
        <v>184802.71</v>
      </c>
      <c r="D145" s="273">
        <f t="shared" si="27"/>
        <v>0</v>
      </c>
      <c r="E145" s="273"/>
      <c r="F145" s="273"/>
      <c r="G145" s="273"/>
      <c r="H145" s="273"/>
      <c r="I145" s="273"/>
      <c r="J145" s="273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>
        <f t="shared" si="29"/>
        <v>184802.71</v>
      </c>
      <c r="X145" s="273"/>
      <c r="Y145" s="273"/>
      <c r="Z145" s="273"/>
      <c r="AC145" s="273">
        <v>184802.71</v>
      </c>
      <c r="AE145" s="273"/>
      <c r="AF145" s="16"/>
      <c r="AG145" s="13"/>
    </row>
    <row r="146" spans="1:33" x14ac:dyDescent="0.3">
      <c r="A146" s="8">
        <f t="shared" si="28"/>
        <v>121</v>
      </c>
      <c r="B146" s="124" t="s">
        <v>205</v>
      </c>
      <c r="C146" s="273">
        <f t="shared" si="26"/>
        <v>203543.23</v>
      </c>
      <c r="D146" s="273">
        <f t="shared" si="27"/>
        <v>0</v>
      </c>
      <c r="E146" s="273"/>
      <c r="F146" s="273"/>
      <c r="G146" s="273"/>
      <c r="H146" s="273"/>
      <c r="I146" s="273"/>
      <c r="J146" s="273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>
        <f t="shared" si="29"/>
        <v>203543.23</v>
      </c>
      <c r="X146" s="273"/>
      <c r="Y146" s="273"/>
      <c r="Z146" s="273"/>
      <c r="AC146" s="273">
        <v>203543.23</v>
      </c>
      <c r="AE146" s="273"/>
      <c r="AF146" s="16"/>
      <c r="AG146" s="13"/>
    </row>
    <row r="147" spans="1:33" x14ac:dyDescent="0.3">
      <c r="A147" s="8">
        <f t="shared" si="28"/>
        <v>122</v>
      </c>
      <c r="B147" s="124" t="s">
        <v>206</v>
      </c>
      <c r="C147" s="273">
        <f t="shared" si="26"/>
        <v>205950.28</v>
      </c>
      <c r="D147" s="273">
        <f t="shared" si="27"/>
        <v>0</v>
      </c>
      <c r="E147" s="273"/>
      <c r="F147" s="273"/>
      <c r="G147" s="273"/>
      <c r="H147" s="273"/>
      <c r="I147" s="273"/>
      <c r="J147" s="273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>
        <f t="shared" si="29"/>
        <v>205950.28</v>
      </c>
      <c r="X147" s="273"/>
      <c r="Y147" s="273"/>
      <c r="Z147" s="273"/>
      <c r="AC147" s="273">
        <v>205950.28</v>
      </c>
      <c r="AE147" s="273"/>
      <c r="AF147" s="16"/>
      <c r="AG147" s="13"/>
    </row>
    <row r="148" spans="1:33" x14ac:dyDescent="0.3">
      <c r="A148" s="8">
        <f t="shared" si="28"/>
        <v>123</v>
      </c>
      <c r="B148" s="124" t="s">
        <v>207</v>
      </c>
      <c r="C148" s="273">
        <f t="shared" si="26"/>
        <v>241443.9</v>
      </c>
      <c r="D148" s="273">
        <f t="shared" si="27"/>
        <v>0</v>
      </c>
      <c r="E148" s="273"/>
      <c r="F148" s="273"/>
      <c r="G148" s="273"/>
      <c r="H148" s="273"/>
      <c r="I148" s="273"/>
      <c r="J148" s="273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>
        <f>SUM(AA148:AF148)</f>
        <v>241443.9</v>
      </c>
      <c r="X148" s="273"/>
      <c r="Y148" s="273"/>
      <c r="AB148" s="273"/>
      <c r="AC148" s="17">
        <v>241443.9</v>
      </c>
      <c r="AE148" s="17"/>
      <c r="AF148" s="16"/>
      <c r="AG148" s="13"/>
    </row>
    <row r="149" spans="1:33" x14ac:dyDescent="0.3">
      <c r="A149" s="8" t="s">
        <v>208</v>
      </c>
      <c r="B149" s="124"/>
      <c r="C149" s="273">
        <f>SUM(C138:C148)</f>
        <v>2988686.7199999997</v>
      </c>
      <c r="D149" s="273">
        <f t="shared" ref="D149:W149" si="30">SUM(D138:D148)</f>
        <v>0</v>
      </c>
      <c r="E149" s="273">
        <f t="shared" si="30"/>
        <v>0</v>
      </c>
      <c r="F149" s="273">
        <f t="shared" si="30"/>
        <v>0</v>
      </c>
      <c r="G149" s="273">
        <f t="shared" si="30"/>
        <v>0</v>
      </c>
      <c r="H149" s="273">
        <f t="shared" si="30"/>
        <v>0</v>
      </c>
      <c r="I149" s="273">
        <f t="shared" si="30"/>
        <v>0</v>
      </c>
      <c r="J149" s="273">
        <f t="shared" si="30"/>
        <v>0</v>
      </c>
      <c r="K149" s="273">
        <f t="shared" si="30"/>
        <v>0</v>
      </c>
      <c r="L149" s="273">
        <f t="shared" si="30"/>
        <v>0</v>
      </c>
      <c r="M149" s="273">
        <f t="shared" si="30"/>
        <v>0</v>
      </c>
      <c r="N149" s="273">
        <f t="shared" si="30"/>
        <v>0</v>
      </c>
      <c r="O149" s="273">
        <f t="shared" si="30"/>
        <v>0</v>
      </c>
      <c r="P149" s="273">
        <f t="shared" si="30"/>
        <v>0</v>
      </c>
      <c r="Q149" s="273">
        <f t="shared" si="30"/>
        <v>0</v>
      </c>
      <c r="R149" s="273">
        <f t="shared" si="30"/>
        <v>0</v>
      </c>
      <c r="S149" s="273">
        <f t="shared" si="30"/>
        <v>0</v>
      </c>
      <c r="T149" s="273">
        <f t="shared" si="30"/>
        <v>0</v>
      </c>
      <c r="U149" s="273">
        <f t="shared" si="30"/>
        <v>0</v>
      </c>
      <c r="V149" s="273">
        <f t="shared" si="30"/>
        <v>0</v>
      </c>
      <c r="W149" s="273">
        <f t="shared" si="30"/>
        <v>2988686.7199999997</v>
      </c>
      <c r="X149" s="273"/>
      <c r="Y149" s="273"/>
      <c r="Z149" s="273"/>
      <c r="AA149" s="273"/>
      <c r="AB149" s="273"/>
      <c r="AC149" s="16"/>
      <c r="AD149" s="17"/>
      <c r="AE149" s="17"/>
      <c r="AF149" s="17"/>
      <c r="AG149" s="13"/>
    </row>
    <row r="150" spans="1:33" x14ac:dyDescent="0.3">
      <c r="A150" s="130" t="s">
        <v>3598</v>
      </c>
      <c r="B150" s="124"/>
      <c r="C150" s="273"/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3"/>
      <c r="AB150" s="273"/>
      <c r="AC150" s="16"/>
      <c r="AD150" s="17"/>
      <c r="AE150" s="17"/>
      <c r="AF150" s="17"/>
      <c r="AG150" s="13"/>
    </row>
    <row r="151" spans="1:33" x14ac:dyDescent="0.3">
      <c r="A151" s="8">
        <f>A148+1</f>
        <v>124</v>
      </c>
      <c r="B151" s="124" t="s">
        <v>232</v>
      </c>
      <c r="C151" s="273">
        <f t="shared" ref="C151:C156" si="31">D151+N151+P151+R151+S151+U151+V151+W151</f>
        <v>112444.81</v>
      </c>
      <c r="D151" s="273">
        <f t="shared" ref="D151:D156" si="32">E151+F151+G151+H151+I151</f>
        <v>0</v>
      </c>
      <c r="E151" s="273"/>
      <c r="F151" s="273"/>
      <c r="G151" s="273"/>
      <c r="H151" s="273"/>
      <c r="I151" s="273"/>
      <c r="J151" s="273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>
        <f t="shared" ref="W151:W156" si="33">SUM(AA151:AF151)</f>
        <v>112444.81</v>
      </c>
      <c r="X151" s="273"/>
      <c r="Y151" s="273"/>
      <c r="Z151" s="273"/>
      <c r="AA151" s="273"/>
      <c r="AB151" s="273"/>
      <c r="AC151" s="16">
        <v>112444.81</v>
      </c>
      <c r="AD151" s="17"/>
      <c r="AE151" s="17"/>
      <c r="AF151" s="17"/>
      <c r="AG151" s="13"/>
    </row>
    <row r="152" spans="1:33" x14ac:dyDescent="0.3">
      <c r="A152" s="8">
        <f t="shared" ref="A152" si="34">A151+1</f>
        <v>125</v>
      </c>
      <c r="B152" s="124" t="s">
        <v>233</v>
      </c>
      <c r="C152" s="273">
        <f t="shared" si="31"/>
        <v>114551</v>
      </c>
      <c r="D152" s="273">
        <f t="shared" si="32"/>
        <v>0</v>
      </c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>
        <f t="shared" si="33"/>
        <v>114551</v>
      </c>
      <c r="X152" s="273"/>
      <c r="Y152" s="273"/>
      <c r="Z152" s="273"/>
      <c r="AA152" s="273"/>
      <c r="AB152" s="273"/>
      <c r="AC152" s="16">
        <v>114551</v>
      </c>
      <c r="AD152" s="17"/>
      <c r="AE152" s="17"/>
      <c r="AF152" s="17"/>
      <c r="AG152" s="13"/>
    </row>
    <row r="153" spans="1:33" x14ac:dyDescent="0.3">
      <c r="A153" s="8">
        <f t="shared" ref="A153:A156" si="35">A152+1</f>
        <v>126</v>
      </c>
      <c r="B153" s="124" t="s">
        <v>234</v>
      </c>
      <c r="C153" s="273">
        <f t="shared" si="31"/>
        <v>117073.88</v>
      </c>
      <c r="D153" s="273">
        <f t="shared" si="32"/>
        <v>0</v>
      </c>
      <c r="E153" s="273"/>
      <c r="F153" s="273"/>
      <c r="G153" s="273"/>
      <c r="H153" s="273"/>
      <c r="I153" s="273"/>
      <c r="J153" s="273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>
        <f t="shared" si="33"/>
        <v>117073.88</v>
      </c>
      <c r="X153" s="273"/>
      <c r="Y153" s="273"/>
      <c r="Z153" s="273"/>
      <c r="AA153" s="273"/>
      <c r="AB153" s="273"/>
      <c r="AC153" s="16">
        <v>117073.88</v>
      </c>
      <c r="AD153" s="17"/>
      <c r="AE153" s="17"/>
      <c r="AF153" s="17"/>
      <c r="AG153" s="13"/>
    </row>
    <row r="154" spans="1:33" x14ac:dyDescent="0.3">
      <c r="A154" s="8">
        <f t="shared" si="35"/>
        <v>127</v>
      </c>
      <c r="B154" s="124" t="s">
        <v>235</v>
      </c>
      <c r="C154" s="273">
        <f t="shared" si="31"/>
        <v>90461.77</v>
      </c>
      <c r="D154" s="273">
        <f t="shared" si="32"/>
        <v>0</v>
      </c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>
        <f t="shared" si="33"/>
        <v>90461.77</v>
      </c>
      <c r="X154" s="273"/>
      <c r="Y154" s="273"/>
      <c r="Z154" s="273"/>
      <c r="AA154" s="273"/>
      <c r="AB154" s="273"/>
      <c r="AC154" s="16">
        <v>90461.77</v>
      </c>
      <c r="AD154" s="17"/>
      <c r="AE154" s="17"/>
      <c r="AF154" s="17"/>
      <c r="AG154" s="13"/>
    </row>
    <row r="155" spans="1:33" x14ac:dyDescent="0.3">
      <c r="A155" s="8">
        <f t="shared" si="35"/>
        <v>128</v>
      </c>
      <c r="B155" s="124" t="s">
        <v>236</v>
      </c>
      <c r="C155" s="273">
        <f t="shared" si="31"/>
        <v>222299.51</v>
      </c>
      <c r="D155" s="273">
        <f t="shared" si="32"/>
        <v>0</v>
      </c>
      <c r="E155" s="273"/>
      <c r="F155" s="273"/>
      <c r="G155" s="273"/>
      <c r="H155" s="273"/>
      <c r="I155" s="273"/>
      <c r="J155" s="273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>
        <f t="shared" si="33"/>
        <v>222299.51</v>
      </c>
      <c r="X155" s="273"/>
      <c r="Y155" s="273"/>
      <c r="Z155" s="273"/>
      <c r="AA155" s="273"/>
      <c r="AB155" s="273"/>
      <c r="AC155" s="16"/>
      <c r="AD155" s="17"/>
      <c r="AE155" s="17">
        <v>222299.51</v>
      </c>
      <c r="AF155" s="17"/>
      <c r="AG155" s="13"/>
    </row>
    <row r="156" spans="1:33" x14ac:dyDescent="0.3">
      <c r="A156" s="8">
        <f t="shared" si="35"/>
        <v>129</v>
      </c>
      <c r="B156" s="124" t="s">
        <v>237</v>
      </c>
      <c r="C156" s="273">
        <f t="shared" si="31"/>
        <v>364501.45</v>
      </c>
      <c r="D156" s="273">
        <f t="shared" si="32"/>
        <v>0</v>
      </c>
      <c r="E156" s="273"/>
      <c r="F156" s="273"/>
      <c r="G156" s="273"/>
      <c r="H156" s="273"/>
      <c r="I156" s="273"/>
      <c r="J156" s="273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>
        <f t="shared" si="33"/>
        <v>364501.45</v>
      </c>
      <c r="X156" s="273"/>
      <c r="Y156" s="273"/>
      <c r="Z156" s="273"/>
      <c r="AA156" s="273"/>
      <c r="AB156" s="273"/>
      <c r="AC156" s="16"/>
      <c r="AD156" s="17"/>
      <c r="AE156" s="17"/>
      <c r="AF156" s="17">
        <v>364501.45</v>
      </c>
      <c r="AG156" s="13"/>
    </row>
    <row r="157" spans="1:33" x14ac:dyDescent="0.3">
      <c r="A157" s="8" t="s">
        <v>208</v>
      </c>
      <c r="B157" s="124"/>
      <c r="C157" s="273">
        <f t="shared" ref="C157:W157" si="36">SUM(C151:C156)</f>
        <v>1021332.4199999999</v>
      </c>
      <c r="D157" s="273">
        <f t="shared" si="36"/>
        <v>0</v>
      </c>
      <c r="E157" s="273">
        <f t="shared" si="36"/>
        <v>0</v>
      </c>
      <c r="F157" s="273">
        <f t="shared" si="36"/>
        <v>0</v>
      </c>
      <c r="G157" s="273">
        <f t="shared" si="36"/>
        <v>0</v>
      </c>
      <c r="H157" s="273">
        <f t="shared" si="36"/>
        <v>0</v>
      </c>
      <c r="I157" s="273">
        <f t="shared" si="36"/>
        <v>0</v>
      </c>
      <c r="J157" s="273">
        <f t="shared" si="36"/>
        <v>0</v>
      </c>
      <c r="K157" s="273">
        <f t="shared" si="36"/>
        <v>0</v>
      </c>
      <c r="L157" s="273">
        <f t="shared" si="36"/>
        <v>0</v>
      </c>
      <c r="M157" s="273">
        <f t="shared" si="36"/>
        <v>0</v>
      </c>
      <c r="N157" s="273">
        <f t="shared" si="36"/>
        <v>0</v>
      </c>
      <c r="O157" s="273">
        <f t="shared" si="36"/>
        <v>0</v>
      </c>
      <c r="P157" s="273">
        <f t="shared" si="36"/>
        <v>0</v>
      </c>
      <c r="Q157" s="273">
        <f t="shared" si="36"/>
        <v>0</v>
      </c>
      <c r="R157" s="273">
        <f t="shared" si="36"/>
        <v>0</v>
      </c>
      <c r="S157" s="273">
        <f t="shared" si="36"/>
        <v>0</v>
      </c>
      <c r="T157" s="273">
        <f t="shared" si="36"/>
        <v>0</v>
      </c>
      <c r="U157" s="273">
        <f t="shared" si="36"/>
        <v>0</v>
      </c>
      <c r="V157" s="273">
        <f t="shared" si="36"/>
        <v>0</v>
      </c>
      <c r="W157" s="273">
        <f t="shared" si="36"/>
        <v>1021332.4199999999</v>
      </c>
      <c r="X157" s="273"/>
      <c r="Y157" s="273"/>
      <c r="Z157" s="273"/>
      <c r="AA157" s="273"/>
      <c r="AB157" s="273"/>
      <c r="AC157" s="16"/>
      <c r="AD157" s="17"/>
      <c r="AE157" s="17"/>
      <c r="AF157" s="17"/>
      <c r="AG157" s="13"/>
    </row>
    <row r="158" spans="1:33" x14ac:dyDescent="0.3">
      <c r="A158" s="130" t="s">
        <v>3596</v>
      </c>
      <c r="B158" s="124"/>
      <c r="C158" s="273"/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273"/>
      <c r="Y158" s="273"/>
      <c r="Z158" s="273"/>
      <c r="AA158" s="273"/>
      <c r="AB158" s="273"/>
      <c r="AC158" s="16"/>
      <c r="AD158" s="17"/>
      <c r="AE158" s="17"/>
      <c r="AF158" s="17"/>
      <c r="AG158" s="13"/>
    </row>
    <row r="159" spans="1:33" x14ac:dyDescent="0.3">
      <c r="A159" s="8">
        <f>A156+1</f>
        <v>130</v>
      </c>
      <c r="B159" s="124" t="s">
        <v>239</v>
      </c>
      <c r="C159" s="273">
        <f t="shared" ref="C159:C164" si="37">D159+N159+P159+R159+S159+U159+V159+W159</f>
        <v>165341.65</v>
      </c>
      <c r="D159" s="273">
        <f t="shared" ref="D159:D164" si="38">E159+F159+G159+H159+I159</f>
        <v>0</v>
      </c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>
        <f>SUM(AA159:AF159)</f>
        <v>165341.65</v>
      </c>
      <c r="X159" s="273"/>
      <c r="Y159" s="273"/>
      <c r="Z159" s="273"/>
      <c r="AA159" s="273"/>
      <c r="AC159" s="16"/>
      <c r="AD159" s="17"/>
      <c r="AE159" s="273">
        <v>165341.65</v>
      </c>
      <c r="AF159" s="17"/>
      <c r="AG159" s="13"/>
    </row>
    <row r="160" spans="1:33" x14ac:dyDescent="0.3">
      <c r="A160" s="8">
        <f t="shared" ref="A160" si="39">A159+1</f>
        <v>131</v>
      </c>
      <c r="B160" s="124" t="s">
        <v>242</v>
      </c>
      <c r="C160" s="273">
        <f t="shared" si="37"/>
        <v>154455.76999999999</v>
      </c>
      <c r="D160" s="273">
        <f t="shared" si="38"/>
        <v>0</v>
      </c>
      <c r="E160" s="273"/>
      <c r="F160" s="273"/>
      <c r="G160" s="273"/>
      <c r="H160" s="273"/>
      <c r="I160" s="273"/>
      <c r="J160" s="273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>
        <f>SUM(AA160:AF160)</f>
        <v>154455.76999999999</v>
      </c>
      <c r="X160" s="273"/>
      <c r="Y160" s="273"/>
      <c r="Z160" s="273"/>
      <c r="AA160" s="273"/>
      <c r="AC160" s="16"/>
      <c r="AD160" s="17"/>
      <c r="AE160" s="273">
        <v>154455.76999999999</v>
      </c>
      <c r="AF160" s="17"/>
      <c r="AG160" s="13"/>
    </row>
    <row r="161" spans="1:33" x14ac:dyDescent="0.3">
      <c r="A161" s="8">
        <f>A160+1</f>
        <v>132</v>
      </c>
      <c r="B161" s="124" t="s">
        <v>243</v>
      </c>
      <c r="C161" s="273">
        <f t="shared" si="37"/>
        <v>161975.95000000001</v>
      </c>
      <c r="D161" s="273">
        <f t="shared" si="38"/>
        <v>0</v>
      </c>
      <c r="E161" s="273"/>
      <c r="F161" s="273"/>
      <c r="G161" s="273"/>
      <c r="H161" s="273"/>
      <c r="I161" s="273"/>
      <c r="J161" s="273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>
        <f>SUM(AA161:AF161)</f>
        <v>161975.95000000001</v>
      </c>
      <c r="X161" s="273"/>
      <c r="Y161" s="273"/>
      <c r="Z161" s="273"/>
      <c r="AA161" s="273"/>
      <c r="AC161" s="16"/>
      <c r="AD161" s="17"/>
      <c r="AE161" s="273">
        <v>161975.95000000001</v>
      </c>
      <c r="AF161" s="17"/>
      <c r="AG161" s="13"/>
    </row>
    <row r="162" spans="1:33" x14ac:dyDescent="0.3">
      <c r="A162" s="8">
        <f>A161+1</f>
        <v>133</v>
      </c>
      <c r="B162" s="124" t="s">
        <v>244</v>
      </c>
      <c r="C162" s="273">
        <f t="shared" si="37"/>
        <v>130000</v>
      </c>
      <c r="D162" s="273">
        <f t="shared" si="38"/>
        <v>0</v>
      </c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>
        <v>130000</v>
      </c>
      <c r="X162" s="273"/>
      <c r="Y162" s="273"/>
      <c r="Z162" s="273"/>
      <c r="AA162" s="273"/>
      <c r="AB162" s="273"/>
      <c r="AC162" s="16"/>
      <c r="AD162" s="17"/>
      <c r="AE162" s="17"/>
      <c r="AF162" s="17"/>
      <c r="AG162" s="13"/>
    </row>
    <row r="163" spans="1:33" x14ac:dyDescent="0.3">
      <c r="A163" s="8">
        <f t="shared" ref="A163:A164" si="40">A162+1</f>
        <v>134</v>
      </c>
      <c r="B163" s="124" t="s">
        <v>231</v>
      </c>
      <c r="C163" s="273">
        <f t="shared" si="37"/>
        <v>320444.21999999997</v>
      </c>
      <c r="D163" s="273">
        <f t="shared" si="38"/>
        <v>0</v>
      </c>
      <c r="E163" s="273"/>
      <c r="F163" s="273"/>
      <c r="G163" s="273"/>
      <c r="H163" s="273"/>
      <c r="I163" s="273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>
        <f>SUM(AA163:AF163)</f>
        <v>320444.21999999997</v>
      </c>
      <c r="X163" s="273"/>
      <c r="Y163" s="273"/>
      <c r="Z163" s="273"/>
      <c r="AA163" s="273"/>
      <c r="AB163" s="273"/>
      <c r="AC163" s="16"/>
      <c r="AD163" s="17"/>
      <c r="AE163" s="17">
        <v>320444.21999999997</v>
      </c>
      <c r="AF163" s="17"/>
      <c r="AG163" s="13"/>
    </row>
    <row r="164" spans="1:33" x14ac:dyDescent="0.3">
      <c r="A164" s="8">
        <f t="shared" si="40"/>
        <v>135</v>
      </c>
      <c r="B164" s="124" t="s">
        <v>230</v>
      </c>
      <c r="C164" s="273">
        <f t="shared" si="37"/>
        <v>236799.47999999998</v>
      </c>
      <c r="D164" s="273">
        <f t="shared" si="38"/>
        <v>0</v>
      </c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>
        <f>SUM(AA164:AF164)</f>
        <v>236799.47999999998</v>
      </c>
      <c r="X164" s="273"/>
      <c r="Y164" s="273"/>
      <c r="Z164" s="273"/>
      <c r="AA164" s="273" t="s">
        <v>352</v>
      </c>
      <c r="AB164" s="273"/>
      <c r="AC164" s="16">
        <v>83010.23</v>
      </c>
      <c r="AD164" s="17"/>
      <c r="AE164" s="17">
        <v>153789.25</v>
      </c>
      <c r="AF164" s="17"/>
      <c r="AG164" s="13"/>
    </row>
    <row r="165" spans="1:33" x14ac:dyDescent="0.3">
      <c r="A165" s="8" t="s">
        <v>208</v>
      </c>
      <c r="B165" s="124"/>
      <c r="C165" s="273">
        <f>SUM(C159:C164)</f>
        <v>1169017.0699999998</v>
      </c>
      <c r="D165" s="273">
        <f t="shared" ref="D165:W165" si="41">SUM(D159:D164)</f>
        <v>0</v>
      </c>
      <c r="E165" s="273">
        <f t="shared" si="41"/>
        <v>0</v>
      </c>
      <c r="F165" s="273">
        <f t="shared" si="41"/>
        <v>0</v>
      </c>
      <c r="G165" s="273">
        <f t="shared" si="41"/>
        <v>0</v>
      </c>
      <c r="H165" s="273">
        <f t="shared" si="41"/>
        <v>0</v>
      </c>
      <c r="I165" s="273">
        <f t="shared" si="41"/>
        <v>0</v>
      </c>
      <c r="J165" s="273">
        <f t="shared" si="41"/>
        <v>0</v>
      </c>
      <c r="K165" s="273">
        <f t="shared" si="41"/>
        <v>0</v>
      </c>
      <c r="L165" s="273">
        <f t="shared" si="41"/>
        <v>0</v>
      </c>
      <c r="M165" s="273">
        <f t="shared" si="41"/>
        <v>0</v>
      </c>
      <c r="N165" s="273">
        <f t="shared" si="41"/>
        <v>0</v>
      </c>
      <c r="O165" s="273">
        <f t="shared" si="41"/>
        <v>0</v>
      </c>
      <c r="P165" s="273">
        <f t="shared" si="41"/>
        <v>0</v>
      </c>
      <c r="Q165" s="273">
        <f t="shared" si="41"/>
        <v>0</v>
      </c>
      <c r="R165" s="273">
        <f t="shared" si="41"/>
        <v>0</v>
      </c>
      <c r="S165" s="273">
        <f t="shared" si="41"/>
        <v>0</v>
      </c>
      <c r="T165" s="273">
        <f t="shared" si="41"/>
        <v>0</v>
      </c>
      <c r="U165" s="273">
        <f t="shared" si="41"/>
        <v>0</v>
      </c>
      <c r="V165" s="273">
        <f t="shared" si="41"/>
        <v>0</v>
      </c>
      <c r="W165" s="273">
        <f t="shared" si="41"/>
        <v>1169017.0699999998</v>
      </c>
      <c r="X165" s="273"/>
      <c r="Y165" s="273"/>
      <c r="Z165" s="273"/>
      <c r="AA165" s="273"/>
      <c r="AB165" s="273"/>
      <c r="AC165" s="16"/>
      <c r="AD165" s="17"/>
      <c r="AE165" s="17"/>
      <c r="AF165" s="17"/>
      <c r="AG165" s="13"/>
    </row>
    <row r="166" spans="1:33" x14ac:dyDescent="0.3">
      <c r="A166" s="130" t="s">
        <v>245</v>
      </c>
      <c r="B166" s="124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  <c r="AA166" s="273"/>
      <c r="AB166" s="273"/>
      <c r="AC166" s="16"/>
      <c r="AD166" s="17"/>
      <c r="AE166" s="17"/>
      <c r="AF166" s="17"/>
      <c r="AG166" s="13"/>
    </row>
    <row r="167" spans="1:33" x14ac:dyDescent="0.3">
      <c r="A167" s="8">
        <f>A164+1</f>
        <v>136</v>
      </c>
      <c r="B167" s="124" t="s">
        <v>246</v>
      </c>
      <c r="C167" s="273">
        <f>D167+N167+P167+R167+S167+U167+V167+W167</f>
        <v>15436560</v>
      </c>
      <c r="D167" s="273">
        <f>E167+F167+G167+H167+I167</f>
        <v>0</v>
      </c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>
        <v>3148.08</v>
      </c>
      <c r="R167" s="273">
        <v>15436560</v>
      </c>
      <c r="S167" s="273"/>
      <c r="T167" s="273"/>
      <c r="U167" s="273"/>
      <c r="V167" s="273"/>
      <c r="W167" s="273">
        <f>SUM(AA167:AF167)</f>
        <v>0</v>
      </c>
      <c r="X167" s="273"/>
      <c r="Y167" s="273"/>
      <c r="Z167" s="273"/>
      <c r="AA167" s="273"/>
      <c r="AB167" s="273"/>
      <c r="AC167" s="16"/>
      <c r="AD167" s="17"/>
      <c r="AE167" s="17"/>
      <c r="AF167" s="17"/>
      <c r="AG167" s="13"/>
    </row>
    <row r="168" spans="1:33" x14ac:dyDescent="0.3">
      <c r="A168" s="8">
        <f t="shared" ref="A168" si="42">A167+1</f>
        <v>137</v>
      </c>
      <c r="B168" s="124" t="s">
        <v>219</v>
      </c>
      <c r="C168" s="273">
        <f>D168+N168+P168+R168+S168+U168+V168+W168</f>
        <v>130000</v>
      </c>
      <c r="D168" s="273">
        <f>E168+F168+G168+H168+I168</f>
        <v>0</v>
      </c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>
        <v>130000</v>
      </c>
      <c r="X168" s="273"/>
      <c r="Y168" s="273"/>
      <c r="Z168" s="273"/>
      <c r="AA168" s="273"/>
      <c r="AB168" s="273"/>
      <c r="AC168" s="16"/>
      <c r="AD168" s="17"/>
      <c r="AE168" s="17"/>
      <c r="AF168" s="17"/>
      <c r="AG168" s="13"/>
    </row>
    <row r="169" spans="1:33" x14ac:dyDescent="0.3">
      <c r="A169" s="8" t="s">
        <v>208</v>
      </c>
      <c r="B169" s="124"/>
      <c r="C169" s="273">
        <f>SUM(C167:C168)</f>
        <v>15566560</v>
      </c>
      <c r="D169" s="273">
        <f t="shared" ref="D169:W169" si="43">SUM(D167:D168)</f>
        <v>0</v>
      </c>
      <c r="E169" s="273">
        <f t="shared" si="43"/>
        <v>0</v>
      </c>
      <c r="F169" s="273">
        <f t="shared" si="43"/>
        <v>0</v>
      </c>
      <c r="G169" s="273">
        <f t="shared" si="43"/>
        <v>0</v>
      </c>
      <c r="H169" s="273">
        <f t="shared" si="43"/>
        <v>0</v>
      </c>
      <c r="I169" s="273">
        <f t="shared" si="43"/>
        <v>0</v>
      </c>
      <c r="J169" s="273">
        <f t="shared" si="43"/>
        <v>0</v>
      </c>
      <c r="K169" s="273">
        <f t="shared" si="43"/>
        <v>0</v>
      </c>
      <c r="L169" s="273">
        <f t="shared" si="43"/>
        <v>0</v>
      </c>
      <c r="M169" s="273">
        <f t="shared" si="43"/>
        <v>0</v>
      </c>
      <c r="N169" s="273">
        <f t="shared" si="43"/>
        <v>0</v>
      </c>
      <c r="O169" s="273">
        <f t="shared" si="43"/>
        <v>0</v>
      </c>
      <c r="P169" s="273">
        <f t="shared" si="43"/>
        <v>0</v>
      </c>
      <c r="Q169" s="273">
        <f t="shared" si="43"/>
        <v>3148.08</v>
      </c>
      <c r="R169" s="273">
        <f t="shared" si="43"/>
        <v>15436560</v>
      </c>
      <c r="S169" s="273">
        <f t="shared" si="43"/>
        <v>0</v>
      </c>
      <c r="T169" s="273">
        <f t="shared" si="43"/>
        <v>0</v>
      </c>
      <c r="U169" s="273">
        <f t="shared" si="43"/>
        <v>0</v>
      </c>
      <c r="V169" s="273">
        <f t="shared" si="43"/>
        <v>0</v>
      </c>
      <c r="W169" s="273">
        <f t="shared" si="43"/>
        <v>130000</v>
      </c>
      <c r="X169" s="273"/>
      <c r="Y169" s="273"/>
      <c r="Z169" s="273"/>
      <c r="AA169" s="273"/>
      <c r="AB169" s="273"/>
      <c r="AC169" s="16"/>
      <c r="AD169" s="17"/>
      <c r="AE169" s="17"/>
      <c r="AF169" s="17"/>
      <c r="AG169" s="13"/>
    </row>
    <row r="170" spans="1:33" x14ac:dyDescent="0.3">
      <c r="A170" s="130" t="s">
        <v>3595</v>
      </c>
      <c r="B170" s="124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16"/>
      <c r="AD170" s="17"/>
      <c r="AE170" s="17"/>
      <c r="AF170" s="17"/>
      <c r="AG170" s="13"/>
    </row>
    <row r="171" spans="1:33" x14ac:dyDescent="0.3">
      <c r="A171" s="8">
        <f>A168+1</f>
        <v>138</v>
      </c>
      <c r="B171" s="124" t="s">
        <v>220</v>
      </c>
      <c r="C171" s="273">
        <f t="shared" ref="C171:C180" si="44">D171+N171+P171+R171+S171+U171+V171+W171</f>
        <v>224691.16</v>
      </c>
      <c r="D171" s="273">
        <f t="shared" ref="D171:D180" si="45">E171+F171+G171+H171+I171</f>
        <v>0</v>
      </c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>
        <f t="shared" ref="W171:W180" si="46">SUM(AC171:AF171)</f>
        <v>224691.16</v>
      </c>
      <c r="X171" s="273"/>
      <c r="Y171" s="273"/>
      <c r="Z171" s="273"/>
      <c r="AC171" s="273">
        <v>224691.16</v>
      </c>
      <c r="AE171" s="273"/>
      <c r="AF171" s="16"/>
      <c r="AG171" s="13"/>
    </row>
    <row r="172" spans="1:33" x14ac:dyDescent="0.3">
      <c r="A172" s="8">
        <f t="shared" ref="A172:A180" si="47">A171+1</f>
        <v>139</v>
      </c>
      <c r="B172" s="124" t="s">
        <v>221</v>
      </c>
      <c r="C172" s="273">
        <f t="shared" si="44"/>
        <v>228866.42</v>
      </c>
      <c r="D172" s="273">
        <f t="shared" si="45"/>
        <v>0</v>
      </c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>
        <f t="shared" si="46"/>
        <v>228866.42</v>
      </c>
      <c r="X172" s="273"/>
      <c r="Y172" s="273"/>
      <c r="Z172" s="273"/>
      <c r="AC172" s="273">
        <v>228866.42</v>
      </c>
      <c r="AE172" s="273"/>
      <c r="AF172" s="16"/>
      <c r="AG172" s="13"/>
    </row>
    <row r="173" spans="1:33" x14ac:dyDescent="0.3">
      <c r="A173" s="8">
        <f t="shared" si="47"/>
        <v>140</v>
      </c>
      <c r="B173" s="124" t="s">
        <v>222</v>
      </c>
      <c r="C173" s="273">
        <f t="shared" si="44"/>
        <v>163740.57999999999</v>
      </c>
      <c r="D173" s="273">
        <f t="shared" si="45"/>
        <v>0</v>
      </c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>
        <f t="shared" si="46"/>
        <v>163740.57999999999</v>
      </c>
      <c r="X173" s="273"/>
      <c r="Y173" s="273"/>
      <c r="Z173" s="273"/>
      <c r="AC173" s="273">
        <v>163740.57999999999</v>
      </c>
      <c r="AE173" s="273"/>
      <c r="AF173" s="16"/>
      <c r="AG173" s="13"/>
    </row>
    <row r="174" spans="1:33" x14ac:dyDescent="0.3">
      <c r="A174" s="8">
        <f t="shared" si="47"/>
        <v>141</v>
      </c>
      <c r="B174" s="124" t="s">
        <v>223</v>
      </c>
      <c r="C174" s="273">
        <f t="shared" si="44"/>
        <v>459953.46</v>
      </c>
      <c r="D174" s="273">
        <f t="shared" si="45"/>
        <v>0</v>
      </c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>
        <f t="shared" si="46"/>
        <v>459953.46</v>
      </c>
      <c r="X174" s="273"/>
      <c r="Y174" s="273"/>
      <c r="Z174" s="273"/>
      <c r="AC174" s="273"/>
      <c r="AE174" s="273">
        <v>459953.46</v>
      </c>
      <c r="AF174" s="16"/>
      <c r="AG174" s="13"/>
    </row>
    <row r="175" spans="1:33" x14ac:dyDescent="0.3">
      <c r="A175" s="8">
        <f t="shared" si="47"/>
        <v>142</v>
      </c>
      <c r="B175" s="124" t="s">
        <v>224</v>
      </c>
      <c r="C175" s="273">
        <f t="shared" si="44"/>
        <v>168125.21</v>
      </c>
      <c r="D175" s="273">
        <f t="shared" si="45"/>
        <v>0</v>
      </c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>
        <f t="shared" si="46"/>
        <v>168125.21</v>
      </c>
      <c r="X175" s="273"/>
      <c r="Y175" s="273"/>
      <c r="Z175" s="273"/>
      <c r="AC175" s="273">
        <v>168125.21</v>
      </c>
      <c r="AE175" s="273"/>
      <c r="AF175" s="16"/>
      <c r="AG175" s="13"/>
    </row>
    <row r="176" spans="1:33" x14ac:dyDescent="0.3">
      <c r="A176" s="8">
        <f t="shared" si="47"/>
        <v>143</v>
      </c>
      <c r="B176" s="124" t="s">
        <v>225</v>
      </c>
      <c r="C176" s="273">
        <f t="shared" si="44"/>
        <v>489000.70999999996</v>
      </c>
      <c r="D176" s="273">
        <f t="shared" si="45"/>
        <v>0</v>
      </c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>
        <f t="shared" si="46"/>
        <v>489000.70999999996</v>
      </c>
      <c r="X176" s="273"/>
      <c r="Y176" s="273"/>
      <c r="Z176" s="273"/>
      <c r="AC176" s="273">
        <v>170983.6</v>
      </c>
      <c r="AE176" s="273">
        <v>318017.11</v>
      </c>
      <c r="AF176" s="16"/>
      <c r="AG176" s="13"/>
    </row>
    <row r="177" spans="1:34" x14ac:dyDescent="0.3">
      <c r="A177" s="8">
        <f t="shared" si="47"/>
        <v>144</v>
      </c>
      <c r="B177" s="124" t="s">
        <v>226</v>
      </c>
      <c r="C177" s="273">
        <f t="shared" si="44"/>
        <v>155036.81</v>
      </c>
      <c r="D177" s="273">
        <f t="shared" si="45"/>
        <v>0</v>
      </c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>
        <f t="shared" si="46"/>
        <v>155036.81</v>
      </c>
      <c r="X177" s="273"/>
      <c r="Y177" s="273"/>
      <c r="Z177" s="273"/>
      <c r="AC177" s="273">
        <v>155036.81</v>
      </c>
      <c r="AE177" s="273"/>
      <c r="AF177" s="16"/>
      <c r="AG177" s="13"/>
    </row>
    <row r="178" spans="1:34" x14ac:dyDescent="0.3">
      <c r="A178" s="8">
        <f t="shared" si="47"/>
        <v>145</v>
      </c>
      <c r="B178" s="124" t="s">
        <v>227</v>
      </c>
      <c r="C178" s="273">
        <f t="shared" si="44"/>
        <v>223399.03</v>
      </c>
      <c r="D178" s="273">
        <f t="shared" si="45"/>
        <v>0</v>
      </c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>
        <f t="shared" si="46"/>
        <v>223399.03</v>
      </c>
      <c r="X178" s="273"/>
      <c r="Y178" s="273"/>
      <c r="Z178" s="273"/>
      <c r="AC178" s="273">
        <v>223399.03</v>
      </c>
      <c r="AE178" s="273"/>
      <c r="AF178" s="16"/>
      <c r="AG178" s="13"/>
    </row>
    <row r="179" spans="1:34" x14ac:dyDescent="0.3">
      <c r="A179" s="8">
        <f t="shared" si="47"/>
        <v>146</v>
      </c>
      <c r="B179" s="124" t="s">
        <v>228</v>
      </c>
      <c r="C179" s="273">
        <f t="shared" si="44"/>
        <v>306659.08</v>
      </c>
      <c r="D179" s="273">
        <f t="shared" si="45"/>
        <v>0</v>
      </c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>
        <f t="shared" si="46"/>
        <v>306659.08</v>
      </c>
      <c r="X179" s="273"/>
      <c r="Y179" s="273"/>
      <c r="Z179" s="273"/>
      <c r="AC179" s="273">
        <v>109099.8</v>
      </c>
      <c r="AE179" s="273">
        <v>197559.28</v>
      </c>
      <c r="AF179" s="16"/>
      <c r="AG179" s="13"/>
    </row>
    <row r="180" spans="1:34" x14ac:dyDescent="0.3">
      <c r="A180" s="8">
        <f t="shared" si="47"/>
        <v>147</v>
      </c>
      <c r="B180" s="124" t="s">
        <v>229</v>
      </c>
      <c r="C180" s="273">
        <f t="shared" si="44"/>
        <v>318652.55</v>
      </c>
      <c r="D180" s="273">
        <f t="shared" si="45"/>
        <v>0</v>
      </c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>
        <f t="shared" si="46"/>
        <v>318652.55</v>
      </c>
      <c r="X180" s="273"/>
      <c r="Y180" s="273"/>
      <c r="Z180" s="273"/>
      <c r="AC180" s="273">
        <v>113853.43</v>
      </c>
      <c r="AE180" s="273">
        <v>204799.12</v>
      </c>
      <c r="AF180" s="16"/>
      <c r="AG180" s="13"/>
    </row>
    <row r="181" spans="1:34" x14ac:dyDescent="0.3">
      <c r="A181" s="8" t="s">
        <v>208</v>
      </c>
      <c r="B181" s="124"/>
      <c r="C181" s="273">
        <f>SUM(C171:C180)</f>
        <v>2738125.01</v>
      </c>
      <c r="D181" s="273">
        <f t="shared" ref="D181:W181" si="48">SUM(D171:D180)</f>
        <v>0</v>
      </c>
      <c r="E181" s="273">
        <f t="shared" si="48"/>
        <v>0</v>
      </c>
      <c r="F181" s="273">
        <f t="shared" si="48"/>
        <v>0</v>
      </c>
      <c r="G181" s="273">
        <f t="shared" si="48"/>
        <v>0</v>
      </c>
      <c r="H181" s="273">
        <f t="shared" si="48"/>
        <v>0</v>
      </c>
      <c r="I181" s="273">
        <f t="shared" si="48"/>
        <v>0</v>
      </c>
      <c r="J181" s="273">
        <f t="shared" si="48"/>
        <v>0</v>
      </c>
      <c r="K181" s="273">
        <f t="shared" si="48"/>
        <v>0</v>
      </c>
      <c r="L181" s="273">
        <f t="shared" si="48"/>
        <v>0</v>
      </c>
      <c r="M181" s="273">
        <f t="shared" si="48"/>
        <v>0</v>
      </c>
      <c r="N181" s="273">
        <f t="shared" si="48"/>
        <v>0</v>
      </c>
      <c r="O181" s="273">
        <f t="shared" si="48"/>
        <v>0</v>
      </c>
      <c r="P181" s="273">
        <f t="shared" si="48"/>
        <v>0</v>
      </c>
      <c r="Q181" s="273">
        <f t="shared" si="48"/>
        <v>0</v>
      </c>
      <c r="R181" s="273">
        <f t="shared" si="48"/>
        <v>0</v>
      </c>
      <c r="S181" s="273">
        <f t="shared" si="48"/>
        <v>0</v>
      </c>
      <c r="T181" s="273">
        <f t="shared" si="48"/>
        <v>0</v>
      </c>
      <c r="U181" s="273">
        <f t="shared" si="48"/>
        <v>0</v>
      </c>
      <c r="V181" s="273">
        <f t="shared" si="48"/>
        <v>0</v>
      </c>
      <c r="W181" s="273">
        <f t="shared" si="48"/>
        <v>2738125.01</v>
      </c>
      <c r="X181" s="273"/>
      <c r="Y181" s="273"/>
      <c r="Z181" s="273"/>
      <c r="AA181" s="273"/>
      <c r="AB181" s="273"/>
      <c r="AC181" s="16"/>
      <c r="AD181" s="17"/>
      <c r="AE181" s="17"/>
      <c r="AF181" s="17"/>
      <c r="AG181" s="13"/>
    </row>
    <row r="182" spans="1:34" x14ac:dyDescent="0.3">
      <c r="A182" s="130" t="s">
        <v>250</v>
      </c>
      <c r="B182" s="124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  <c r="AA182" s="273"/>
      <c r="AB182" s="273"/>
      <c r="AC182" s="16"/>
      <c r="AD182" s="17"/>
      <c r="AE182" s="17"/>
      <c r="AF182" s="17"/>
      <c r="AG182" s="13"/>
    </row>
    <row r="183" spans="1:34" x14ac:dyDescent="0.3">
      <c r="A183" s="8">
        <f>A180+1</f>
        <v>148</v>
      </c>
      <c r="B183" s="124" t="s">
        <v>251</v>
      </c>
      <c r="C183" s="273">
        <f>D183+N183+P183+R183+S183+U183+V183+W183</f>
        <v>3987590.89</v>
      </c>
      <c r="D183" s="273">
        <f>E183+F183+G183+H183+I183</f>
        <v>0</v>
      </c>
      <c r="E183" s="273"/>
      <c r="F183" s="273"/>
      <c r="G183" s="273"/>
      <c r="H183" s="273"/>
      <c r="I183" s="273"/>
      <c r="J183" s="273"/>
      <c r="K183" s="273"/>
      <c r="L183" s="273"/>
      <c r="M183" s="273">
        <v>480</v>
      </c>
      <c r="N183" s="273">
        <f>8094*M183</f>
        <v>3885120</v>
      </c>
      <c r="O183" s="273"/>
      <c r="P183" s="273"/>
      <c r="Q183" s="273"/>
      <c r="R183" s="273"/>
      <c r="S183" s="273"/>
      <c r="T183" s="273"/>
      <c r="U183" s="273"/>
      <c r="V183" s="273"/>
      <c r="W183" s="273">
        <f>SUM(AA183:AF183)</f>
        <v>102470.89</v>
      </c>
      <c r="X183" s="273"/>
      <c r="Y183" s="273"/>
      <c r="Z183" s="273"/>
      <c r="AA183" s="273"/>
      <c r="AB183" s="273"/>
      <c r="AC183" s="16">
        <v>102470.89</v>
      </c>
      <c r="AD183" s="17"/>
      <c r="AE183" s="17"/>
      <c r="AF183" s="17"/>
      <c r="AG183" s="13"/>
    </row>
    <row r="184" spans="1:34" x14ac:dyDescent="0.3">
      <c r="A184" s="8">
        <f t="shared" ref="A184" si="49">A183+1</f>
        <v>149</v>
      </c>
      <c r="B184" s="124" t="s">
        <v>252</v>
      </c>
      <c r="C184" s="273">
        <f>D184+N184+P184+R184+S184+U184+V184+W184</f>
        <v>618176.26</v>
      </c>
      <c r="D184" s="273">
        <f>E184+F184+G184+H184+I184</f>
        <v>0</v>
      </c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>
        <f>SUM(AA184:AF184)</f>
        <v>618176.26</v>
      </c>
      <c r="X184" s="273"/>
      <c r="Y184" s="273"/>
      <c r="Z184" s="273"/>
      <c r="AA184" s="273"/>
      <c r="AB184" s="273"/>
      <c r="AC184" s="16"/>
      <c r="AD184" s="17"/>
      <c r="AE184" s="17">
        <v>349646.27</v>
      </c>
      <c r="AF184" s="17">
        <v>268529.99</v>
      </c>
      <c r="AG184" s="13"/>
    </row>
    <row r="185" spans="1:34" x14ac:dyDescent="0.3">
      <c r="A185" s="8">
        <f>A184+1</f>
        <v>150</v>
      </c>
      <c r="B185" s="124" t="s">
        <v>253</v>
      </c>
      <c r="C185" s="273">
        <f>D185+N185+P185+R185+S185+U185+V185+W185</f>
        <v>840900.07000000007</v>
      </c>
      <c r="D185" s="273">
        <f>E185+F185+G185+H185+I185</f>
        <v>0</v>
      </c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>
        <f>SUM(AA185:AF185)</f>
        <v>840900.07000000007</v>
      </c>
      <c r="X185" s="273"/>
      <c r="Y185" s="273"/>
      <c r="Z185" s="273"/>
      <c r="AA185" s="273"/>
      <c r="AB185" s="273"/>
      <c r="AC185" s="16"/>
      <c r="AD185" s="17"/>
      <c r="AE185" s="17">
        <v>460588.79</v>
      </c>
      <c r="AF185" s="17">
        <v>380311.28</v>
      </c>
      <c r="AG185" s="13"/>
    </row>
    <row r="186" spans="1:34" x14ac:dyDescent="0.3">
      <c r="A186" s="8">
        <f>A185+1</f>
        <v>151</v>
      </c>
      <c r="B186" s="124" t="s">
        <v>254</v>
      </c>
      <c r="C186" s="273">
        <f>D186+N186+P186+R186+S186+U186+V186+W186</f>
        <v>4078872.17</v>
      </c>
      <c r="D186" s="273">
        <f>E186+F186+G186+H186+I186</f>
        <v>0</v>
      </c>
      <c r="E186" s="273"/>
      <c r="F186" s="273"/>
      <c r="G186" s="273"/>
      <c r="H186" s="273"/>
      <c r="I186" s="273"/>
      <c r="J186" s="273"/>
      <c r="K186" s="273"/>
      <c r="L186" s="273"/>
      <c r="M186" s="273">
        <v>480</v>
      </c>
      <c r="N186" s="273">
        <f>8094*M186</f>
        <v>3885120</v>
      </c>
      <c r="O186" s="273"/>
      <c r="P186" s="273"/>
      <c r="Q186" s="273"/>
      <c r="R186" s="273"/>
      <c r="S186" s="273"/>
      <c r="T186" s="273"/>
      <c r="U186" s="273"/>
      <c r="V186" s="273"/>
      <c r="W186" s="273">
        <f>SUM(X186:AH186)</f>
        <v>193752.17</v>
      </c>
      <c r="X186" s="273"/>
      <c r="Y186" s="273"/>
      <c r="Z186" s="273"/>
      <c r="AA186" s="273"/>
      <c r="AB186" s="273"/>
      <c r="AC186" s="16"/>
      <c r="AD186" s="17"/>
      <c r="AF186" s="17"/>
      <c r="AG186" s="17">
        <v>193752.17</v>
      </c>
    </row>
    <row r="187" spans="1:34" x14ac:dyDescent="0.3">
      <c r="A187" s="8">
        <f>A186+1</f>
        <v>152</v>
      </c>
      <c r="B187" s="124" t="s">
        <v>255</v>
      </c>
      <c r="C187" s="273">
        <f>D187+N187+P187+R187+S187+U187+V187+W187</f>
        <v>195422.39</v>
      </c>
      <c r="D187" s="273">
        <f>E187+F187+G187+H187+I187</f>
        <v>0</v>
      </c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  <c r="V187" s="273"/>
      <c r="W187" s="273">
        <f>SUM(X187:AH187)</f>
        <v>195422.39</v>
      </c>
      <c r="X187" s="273"/>
      <c r="Y187" s="273"/>
      <c r="Z187" s="273"/>
      <c r="AA187" s="273"/>
      <c r="AB187" s="273"/>
      <c r="AC187" s="16"/>
      <c r="AD187" s="17"/>
      <c r="AE187" s="17"/>
      <c r="AF187" s="17"/>
      <c r="AG187" s="17">
        <v>195422.39</v>
      </c>
    </row>
    <row r="188" spans="1:34" x14ac:dyDescent="0.3">
      <c r="A188" s="8" t="s">
        <v>208</v>
      </c>
      <c r="B188" s="124"/>
      <c r="C188" s="273">
        <f>SUM(C183:C187)</f>
        <v>9720961.7800000012</v>
      </c>
      <c r="D188" s="273">
        <f t="shared" ref="D188:W188" si="50">SUM(D183:D187)</f>
        <v>0</v>
      </c>
      <c r="E188" s="273">
        <f t="shared" si="50"/>
        <v>0</v>
      </c>
      <c r="F188" s="273">
        <f t="shared" si="50"/>
        <v>0</v>
      </c>
      <c r="G188" s="273">
        <f t="shared" si="50"/>
        <v>0</v>
      </c>
      <c r="H188" s="273">
        <f t="shared" si="50"/>
        <v>0</v>
      </c>
      <c r="I188" s="273">
        <f t="shared" si="50"/>
        <v>0</v>
      </c>
      <c r="J188" s="273">
        <f t="shared" si="50"/>
        <v>0</v>
      </c>
      <c r="K188" s="273">
        <f t="shared" si="50"/>
        <v>0</v>
      </c>
      <c r="L188" s="273">
        <f t="shared" si="50"/>
        <v>0</v>
      </c>
      <c r="M188" s="273">
        <f t="shared" si="50"/>
        <v>960</v>
      </c>
      <c r="N188" s="273">
        <f t="shared" si="50"/>
        <v>7770240</v>
      </c>
      <c r="O188" s="273">
        <f t="shared" si="50"/>
        <v>0</v>
      </c>
      <c r="P188" s="273">
        <f t="shared" si="50"/>
        <v>0</v>
      </c>
      <c r="Q188" s="273">
        <f t="shared" si="50"/>
        <v>0</v>
      </c>
      <c r="R188" s="273">
        <f t="shared" si="50"/>
        <v>0</v>
      </c>
      <c r="S188" s="273">
        <f t="shared" si="50"/>
        <v>0</v>
      </c>
      <c r="T188" s="273">
        <f t="shared" si="50"/>
        <v>0</v>
      </c>
      <c r="U188" s="273">
        <f t="shared" si="50"/>
        <v>0</v>
      </c>
      <c r="V188" s="273">
        <f t="shared" si="50"/>
        <v>0</v>
      </c>
      <c r="W188" s="273">
        <f t="shared" si="50"/>
        <v>1950721.7800000003</v>
      </c>
      <c r="X188" s="273"/>
      <c r="Y188" s="273"/>
      <c r="Z188" s="273"/>
      <c r="AA188" s="273"/>
      <c r="AB188" s="273"/>
      <c r="AC188" s="16"/>
      <c r="AD188" s="17"/>
      <c r="AE188" s="17"/>
      <c r="AF188" s="17"/>
      <c r="AG188" s="13"/>
    </row>
    <row r="189" spans="1:34" x14ac:dyDescent="0.3">
      <c r="A189" s="392" t="s">
        <v>260</v>
      </c>
      <c r="B189" s="393"/>
      <c r="C189" s="251">
        <f>C149+C181+C157+C165+C169+C188</f>
        <v>33204683</v>
      </c>
      <c r="D189" s="251">
        <f t="shared" ref="D189:W189" si="51">D149+D181+D157+D165+D169+D188</f>
        <v>0</v>
      </c>
      <c r="E189" s="251">
        <f t="shared" si="51"/>
        <v>0</v>
      </c>
      <c r="F189" s="251">
        <f t="shared" si="51"/>
        <v>0</v>
      </c>
      <c r="G189" s="251">
        <f t="shared" si="51"/>
        <v>0</v>
      </c>
      <c r="H189" s="251">
        <f t="shared" si="51"/>
        <v>0</v>
      </c>
      <c r="I189" s="251">
        <f t="shared" si="51"/>
        <v>0</v>
      </c>
      <c r="J189" s="251">
        <f t="shared" si="51"/>
        <v>0</v>
      </c>
      <c r="K189" s="251">
        <f t="shared" si="51"/>
        <v>0</v>
      </c>
      <c r="L189" s="251">
        <f t="shared" si="51"/>
        <v>0</v>
      </c>
      <c r="M189" s="251">
        <f t="shared" si="51"/>
        <v>960</v>
      </c>
      <c r="N189" s="251">
        <f t="shared" si="51"/>
        <v>7770240</v>
      </c>
      <c r="O189" s="251">
        <f t="shared" si="51"/>
        <v>0</v>
      </c>
      <c r="P189" s="251">
        <f t="shared" si="51"/>
        <v>0</v>
      </c>
      <c r="Q189" s="251">
        <f t="shared" si="51"/>
        <v>3148.08</v>
      </c>
      <c r="R189" s="251">
        <f t="shared" si="51"/>
        <v>15436560</v>
      </c>
      <c r="S189" s="251">
        <f t="shared" si="51"/>
        <v>0</v>
      </c>
      <c r="T189" s="251">
        <f t="shared" si="51"/>
        <v>0</v>
      </c>
      <c r="U189" s="251">
        <f t="shared" si="51"/>
        <v>0</v>
      </c>
      <c r="V189" s="251">
        <f t="shared" si="51"/>
        <v>0</v>
      </c>
      <c r="W189" s="251">
        <f t="shared" si="51"/>
        <v>9997883</v>
      </c>
      <c r="X189" s="271"/>
      <c r="Y189" s="271"/>
      <c r="Z189" s="271"/>
      <c r="AA189" s="271"/>
      <c r="AB189" s="269"/>
      <c r="AC189" s="84"/>
      <c r="AD189" s="82"/>
      <c r="AE189" s="82"/>
      <c r="AF189" s="82"/>
      <c r="AG189" s="13"/>
    </row>
    <row r="190" spans="1:34" ht="18.75" customHeight="1" x14ac:dyDescent="0.3">
      <c r="A190" s="399" t="s">
        <v>3124</v>
      </c>
      <c r="B190" s="399"/>
      <c r="C190" s="399"/>
      <c r="D190" s="399"/>
      <c r="E190" s="399"/>
      <c r="F190" s="399"/>
      <c r="G190" s="399"/>
      <c r="H190" s="399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277"/>
      <c r="Y190" s="277"/>
      <c r="Z190" s="277"/>
      <c r="AA190" s="277"/>
      <c r="AB190" s="277"/>
      <c r="AC190" s="251"/>
      <c r="AD190" s="251"/>
      <c r="AE190" s="251"/>
      <c r="AF190" s="17"/>
      <c r="AG190" s="13"/>
      <c r="AH190" s="13"/>
    </row>
    <row r="191" spans="1:34" x14ac:dyDescent="0.3">
      <c r="A191" s="374" t="s">
        <v>267</v>
      </c>
      <c r="B191" s="375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/>
      <c r="X191" s="273"/>
      <c r="Y191" s="273"/>
      <c r="Z191" s="273"/>
      <c r="AA191" s="273"/>
      <c r="AB191" s="273"/>
      <c r="AC191" s="273"/>
      <c r="AD191" s="16"/>
      <c r="AE191" s="17"/>
      <c r="AF191" s="17"/>
      <c r="AG191" s="13"/>
      <c r="AH191" s="13"/>
    </row>
    <row r="192" spans="1:34" x14ac:dyDescent="0.3">
      <c r="A192" s="8">
        <f>A187+1</f>
        <v>153</v>
      </c>
      <c r="B192" s="124" t="s">
        <v>269</v>
      </c>
      <c r="C192" s="273">
        <f>D192+K192+L192+N192+P192+R192+S192+U192+V192+W192</f>
        <v>89136.18</v>
      </c>
      <c r="D192" s="273">
        <f>E192+F192+G192+H192+I192</f>
        <v>0</v>
      </c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>
        <f>SUM(Y192:AH192)</f>
        <v>89136.18</v>
      </c>
      <c r="Y192" s="273"/>
      <c r="Z192" s="273"/>
      <c r="AA192" s="273"/>
      <c r="AB192" s="273"/>
      <c r="AC192" s="273">
        <v>89136.18</v>
      </c>
      <c r="AD192" s="16"/>
      <c r="AE192" s="17"/>
      <c r="AF192" s="17"/>
      <c r="AG192" s="13"/>
      <c r="AH192" s="13"/>
    </row>
    <row r="193" spans="1:34" x14ac:dyDescent="0.3">
      <c r="A193" s="8">
        <f>A192+1</f>
        <v>154</v>
      </c>
      <c r="B193" s="124" t="s">
        <v>270</v>
      </c>
      <c r="C193" s="273">
        <f>D193+K193+L193+N193+P193+R193+S193+U193+V193+W193</f>
        <v>90352.56</v>
      </c>
      <c r="D193" s="273">
        <f>E193+F193+G193+H193+I193</f>
        <v>0</v>
      </c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>
        <f>SUM(Y193:AH193)</f>
        <v>90352.56</v>
      </c>
      <c r="Y193" s="273"/>
      <c r="Z193" s="273"/>
      <c r="AA193" s="273"/>
      <c r="AB193" s="273"/>
      <c r="AC193" s="273">
        <v>90352.56</v>
      </c>
      <c r="AD193" s="16"/>
      <c r="AE193" s="17"/>
      <c r="AF193" s="17"/>
      <c r="AG193" s="13"/>
      <c r="AH193" s="13"/>
    </row>
    <row r="194" spans="1:34" x14ac:dyDescent="0.3">
      <c r="A194" s="8">
        <f>A193+1</f>
        <v>155</v>
      </c>
      <c r="B194" s="125" t="s">
        <v>274</v>
      </c>
      <c r="C194" s="273">
        <f>D194+K194+L194+N194+P194+R194+S194+U194+V194+W194</f>
        <v>130000</v>
      </c>
      <c r="D194" s="273">
        <f>E194+F194+G194+H194+I194</f>
        <v>0</v>
      </c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>
        <v>130000</v>
      </c>
      <c r="X194" s="273"/>
      <c r="Y194" s="273"/>
      <c r="Z194" s="273"/>
      <c r="AA194" s="273"/>
      <c r="AB194" s="273"/>
      <c r="AC194" s="273"/>
      <c r="AD194" s="16"/>
      <c r="AE194" s="17"/>
      <c r="AF194" s="17"/>
      <c r="AG194" s="13"/>
      <c r="AH194" s="13"/>
    </row>
    <row r="195" spans="1:34" x14ac:dyDescent="0.3">
      <c r="A195" s="8">
        <f>A194+1</f>
        <v>156</v>
      </c>
      <c r="B195" s="124" t="s">
        <v>276</v>
      </c>
      <c r="C195" s="273">
        <f>D195+K195+L195+N195+P195+R195+S195+U195+V195+W195</f>
        <v>175897.27</v>
      </c>
      <c r="D195" s="273">
        <f>E195+F195+G195+H195+I195</f>
        <v>0</v>
      </c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>
        <f>SUM(X195:AH195)</f>
        <v>175897.27</v>
      </c>
      <c r="X195" s="273"/>
      <c r="Y195" s="273"/>
      <c r="Z195" s="273"/>
      <c r="AA195" s="273"/>
      <c r="AB195" s="273"/>
      <c r="AC195" s="273"/>
      <c r="AE195" s="17"/>
      <c r="AF195" s="16">
        <v>175897.27</v>
      </c>
      <c r="AG195" s="13"/>
      <c r="AH195" s="13"/>
    </row>
    <row r="196" spans="1:34" x14ac:dyDescent="0.3">
      <c r="A196" s="8"/>
      <c r="B196" s="122" t="s">
        <v>208</v>
      </c>
      <c r="C196" s="273">
        <f t="shared" ref="C196:W196" si="52">SUM(C192:C195)</f>
        <v>485386.01</v>
      </c>
      <c r="D196" s="273">
        <f t="shared" si="52"/>
        <v>0</v>
      </c>
      <c r="E196" s="273">
        <f t="shared" si="52"/>
        <v>0</v>
      </c>
      <c r="F196" s="273">
        <f t="shared" si="52"/>
        <v>0</v>
      </c>
      <c r="G196" s="273">
        <f t="shared" si="52"/>
        <v>0</v>
      </c>
      <c r="H196" s="273">
        <f t="shared" si="52"/>
        <v>0</v>
      </c>
      <c r="I196" s="273">
        <f t="shared" si="52"/>
        <v>0</v>
      </c>
      <c r="J196" s="273">
        <f t="shared" si="52"/>
        <v>0</v>
      </c>
      <c r="K196" s="273">
        <f t="shared" si="52"/>
        <v>0</v>
      </c>
      <c r="L196" s="273">
        <f t="shared" si="52"/>
        <v>0</v>
      </c>
      <c r="M196" s="273">
        <f t="shared" si="52"/>
        <v>0</v>
      </c>
      <c r="N196" s="273">
        <f t="shared" si="52"/>
        <v>0</v>
      </c>
      <c r="O196" s="273">
        <f t="shared" si="52"/>
        <v>0</v>
      </c>
      <c r="P196" s="273">
        <f t="shared" si="52"/>
        <v>0</v>
      </c>
      <c r="Q196" s="273">
        <f t="shared" si="52"/>
        <v>0</v>
      </c>
      <c r="R196" s="273">
        <f t="shared" si="52"/>
        <v>0</v>
      </c>
      <c r="S196" s="273">
        <f t="shared" si="52"/>
        <v>0</v>
      </c>
      <c r="T196" s="273">
        <f t="shared" si="52"/>
        <v>0</v>
      </c>
      <c r="U196" s="273">
        <f t="shared" si="52"/>
        <v>0</v>
      </c>
      <c r="V196" s="273">
        <f t="shared" si="52"/>
        <v>0</v>
      </c>
      <c r="W196" s="273">
        <f t="shared" si="52"/>
        <v>485386.01</v>
      </c>
      <c r="X196" s="273"/>
      <c r="Y196" s="273"/>
      <c r="Z196" s="273"/>
      <c r="AA196" s="273"/>
      <c r="AB196" s="273"/>
      <c r="AC196" s="273"/>
      <c r="AD196" s="16"/>
      <c r="AE196" s="17"/>
      <c r="AF196" s="17"/>
      <c r="AG196" s="13"/>
      <c r="AH196" s="13"/>
    </row>
    <row r="197" spans="1:34" x14ac:dyDescent="0.3">
      <c r="A197" s="374" t="s">
        <v>277</v>
      </c>
      <c r="B197" s="375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/>
      <c r="X197" s="273"/>
      <c r="Y197" s="273"/>
      <c r="Z197" s="273"/>
      <c r="AA197" s="273"/>
      <c r="AB197" s="273"/>
      <c r="AC197" s="273"/>
      <c r="AD197" s="16"/>
      <c r="AE197" s="17"/>
      <c r="AF197" s="17"/>
      <c r="AG197" s="13"/>
      <c r="AH197" s="13"/>
    </row>
    <row r="198" spans="1:34" x14ac:dyDescent="0.3">
      <c r="A198" s="8">
        <f>A195+1</f>
        <v>157</v>
      </c>
      <c r="B198" s="124" t="s">
        <v>278</v>
      </c>
      <c r="C198" s="273">
        <f t="shared" ref="C198:C208" si="53">D198+K198+L198+N198+P198+R198+S198+U198+V198+W198</f>
        <v>559692.15</v>
      </c>
      <c r="D198" s="273">
        <f t="shared" ref="D198:D208" si="54">E198+F198+G198+H198+I198</f>
        <v>348146</v>
      </c>
      <c r="E198" s="273"/>
      <c r="F198" s="273"/>
      <c r="G198" s="273"/>
      <c r="H198" s="273"/>
      <c r="I198" s="273">
        <f>3194*109</f>
        <v>348146</v>
      </c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>
        <f>SUM(Y198:AH198)</f>
        <v>211546.15</v>
      </c>
      <c r="Y198" s="273"/>
      <c r="Z198" s="273">
        <f>211546.15/2</f>
        <v>105773.075</v>
      </c>
      <c r="AA198" s="273">
        <v>105773.075</v>
      </c>
      <c r="AB198" s="273"/>
      <c r="AC198" s="273"/>
      <c r="AD198" s="16"/>
      <c r="AE198" s="17"/>
      <c r="AF198" s="17"/>
      <c r="AG198" s="13"/>
      <c r="AH198" s="13"/>
    </row>
    <row r="199" spans="1:34" x14ac:dyDescent="0.3">
      <c r="A199" s="8">
        <f t="shared" ref="A199:A208" si="55">A198+1</f>
        <v>158</v>
      </c>
      <c r="B199" s="124" t="s">
        <v>279</v>
      </c>
      <c r="C199" s="273">
        <f t="shared" si="53"/>
        <v>200018.81</v>
      </c>
      <c r="D199" s="273">
        <f t="shared" si="54"/>
        <v>0</v>
      </c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>
        <f>SUM(X199:AH199)</f>
        <v>200018.81</v>
      </c>
      <c r="X199" s="273"/>
      <c r="Y199" s="273"/>
      <c r="Z199" s="273"/>
      <c r="AA199" s="273"/>
      <c r="AB199" s="273"/>
      <c r="AD199" s="16"/>
      <c r="AE199" s="273">
        <v>200018.81</v>
      </c>
      <c r="AF199" s="17"/>
      <c r="AG199" s="13"/>
      <c r="AH199" s="13"/>
    </row>
    <row r="200" spans="1:34" x14ac:dyDescent="0.3">
      <c r="A200" s="8">
        <f t="shared" si="55"/>
        <v>159</v>
      </c>
      <c r="B200" s="124" t="s">
        <v>280</v>
      </c>
      <c r="C200" s="273">
        <f t="shared" si="53"/>
        <v>309644.56</v>
      </c>
      <c r="D200" s="273">
        <f t="shared" si="54"/>
        <v>0</v>
      </c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>
        <f>SUM(X200:AH200)</f>
        <v>309644.56</v>
      </c>
      <c r="X200" s="273"/>
      <c r="Y200" s="273"/>
      <c r="Z200" s="273"/>
      <c r="AA200" s="273"/>
      <c r="AB200" s="273"/>
      <c r="AD200" s="16"/>
      <c r="AE200" s="273">
        <v>309644.56</v>
      </c>
      <c r="AF200" s="17"/>
      <c r="AG200" s="13"/>
      <c r="AH200" s="13"/>
    </row>
    <row r="201" spans="1:34" x14ac:dyDescent="0.3">
      <c r="A201" s="8">
        <f t="shared" si="55"/>
        <v>160</v>
      </c>
      <c r="B201" s="124" t="s">
        <v>281</v>
      </c>
      <c r="C201" s="273">
        <f t="shared" si="53"/>
        <v>1696940</v>
      </c>
      <c r="D201" s="273">
        <f t="shared" si="54"/>
        <v>1696940</v>
      </c>
      <c r="E201" s="273"/>
      <c r="F201" s="273"/>
      <c r="G201" s="273">
        <f>3910*434</f>
        <v>1696940</v>
      </c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/>
      <c r="X201" s="273"/>
      <c r="Y201" s="273"/>
      <c r="Z201" s="273"/>
      <c r="AA201" s="273"/>
      <c r="AB201" s="273"/>
      <c r="AC201" s="273"/>
      <c r="AD201" s="16"/>
      <c r="AE201" s="17"/>
      <c r="AF201" s="17"/>
      <c r="AG201" s="13"/>
    </row>
    <row r="202" spans="1:34" x14ac:dyDescent="0.3">
      <c r="A202" s="8">
        <f t="shared" si="55"/>
        <v>161</v>
      </c>
      <c r="B202" s="124" t="s">
        <v>283</v>
      </c>
      <c r="C202" s="273">
        <f t="shared" si="53"/>
        <v>985320</v>
      </c>
      <c r="D202" s="273">
        <f t="shared" si="54"/>
        <v>985320</v>
      </c>
      <c r="E202" s="273"/>
      <c r="F202" s="273"/>
      <c r="G202" s="273">
        <f>3910*252</f>
        <v>985320</v>
      </c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273"/>
      <c r="Y202" s="273"/>
      <c r="Z202" s="273"/>
      <c r="AA202" s="273"/>
      <c r="AB202" s="273"/>
      <c r="AC202" s="273"/>
      <c r="AD202" s="16"/>
      <c r="AE202" s="17"/>
      <c r="AF202" s="17"/>
      <c r="AG202" s="13"/>
    </row>
    <row r="203" spans="1:34" x14ac:dyDescent="0.3">
      <c r="A203" s="8">
        <f t="shared" si="55"/>
        <v>162</v>
      </c>
      <c r="B203" s="124" t="s">
        <v>285</v>
      </c>
      <c r="C203" s="273">
        <f t="shared" si="53"/>
        <v>2592330</v>
      </c>
      <c r="D203" s="273">
        <f t="shared" si="54"/>
        <v>2592330</v>
      </c>
      <c r="E203" s="273"/>
      <c r="F203" s="273"/>
      <c r="G203" s="273">
        <f>3910*663</f>
        <v>2592330</v>
      </c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273"/>
      <c r="Y203" s="273"/>
      <c r="Z203" s="273"/>
      <c r="AA203" s="273"/>
      <c r="AB203" s="273"/>
      <c r="AC203" s="273"/>
      <c r="AD203" s="16"/>
      <c r="AE203" s="17"/>
      <c r="AF203" s="17"/>
      <c r="AG203" s="13"/>
    </row>
    <row r="204" spans="1:34" x14ac:dyDescent="0.3">
      <c r="A204" s="8">
        <f t="shared" si="55"/>
        <v>163</v>
      </c>
      <c r="B204" s="124" t="s">
        <v>286</v>
      </c>
      <c r="C204" s="273">
        <f t="shared" si="53"/>
        <v>326234.58</v>
      </c>
      <c r="D204" s="273">
        <f t="shared" si="54"/>
        <v>0</v>
      </c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73"/>
      <c r="W204" s="273">
        <f>SUM(X204:AH204)</f>
        <v>326234.58</v>
      </c>
      <c r="X204" s="273"/>
      <c r="Y204" s="273"/>
      <c r="Z204" s="273"/>
      <c r="AA204" s="273"/>
      <c r="AB204" s="273"/>
      <c r="AC204" s="273">
        <v>104852.52</v>
      </c>
      <c r="AD204" s="16"/>
      <c r="AE204" s="17">
        <v>221382.06</v>
      </c>
      <c r="AF204" s="17"/>
      <c r="AG204" s="13"/>
      <c r="AH204" s="13"/>
    </row>
    <row r="205" spans="1:34" x14ac:dyDescent="0.3">
      <c r="A205" s="8">
        <f t="shared" si="55"/>
        <v>164</v>
      </c>
      <c r="B205" s="124" t="s">
        <v>288</v>
      </c>
      <c r="C205" s="273">
        <f t="shared" si="53"/>
        <v>188322.9</v>
      </c>
      <c r="D205" s="273">
        <f t="shared" si="54"/>
        <v>0</v>
      </c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>
        <f>SUM(X205:AH205)</f>
        <v>188322.9</v>
      </c>
      <c r="X205" s="273"/>
      <c r="Y205" s="273"/>
      <c r="Z205" s="273"/>
      <c r="AA205" s="273"/>
      <c r="AB205" s="273"/>
      <c r="AD205" s="16"/>
      <c r="AE205" s="273">
        <v>188322.9</v>
      </c>
      <c r="AF205" s="17"/>
      <c r="AG205" s="13"/>
      <c r="AH205" s="13"/>
    </row>
    <row r="206" spans="1:34" x14ac:dyDescent="0.3">
      <c r="A206" s="8">
        <f t="shared" si="55"/>
        <v>165</v>
      </c>
      <c r="B206" s="124" t="s">
        <v>289</v>
      </c>
      <c r="C206" s="273">
        <f t="shared" si="53"/>
        <v>11725384</v>
      </c>
      <c r="D206" s="273">
        <f t="shared" si="54"/>
        <v>11725384</v>
      </c>
      <c r="E206" s="273"/>
      <c r="F206" s="273">
        <f>1248*5502+8*607361</f>
        <v>11725384</v>
      </c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  <c r="V206" s="273"/>
      <c r="W206" s="273"/>
      <c r="X206" s="273"/>
      <c r="Y206" s="273"/>
      <c r="Z206" s="273"/>
      <c r="AA206" s="273"/>
      <c r="AB206" s="273"/>
      <c r="AC206" s="273"/>
      <c r="AD206" s="16"/>
      <c r="AE206" s="17"/>
      <c r="AF206" s="17"/>
      <c r="AG206" s="13"/>
    </row>
    <row r="207" spans="1:34" x14ac:dyDescent="0.3">
      <c r="A207" s="8">
        <f t="shared" si="55"/>
        <v>166</v>
      </c>
      <c r="B207" s="124" t="s">
        <v>290</v>
      </c>
      <c r="C207" s="273">
        <f t="shared" si="53"/>
        <v>367499.3</v>
      </c>
      <c r="D207" s="273">
        <f t="shared" si="54"/>
        <v>0</v>
      </c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  <c r="V207" s="273"/>
      <c r="W207" s="273">
        <f>SUM(X207:AH207)</f>
        <v>367499.3</v>
      </c>
      <c r="X207" s="273"/>
      <c r="Y207" s="273"/>
      <c r="Z207" s="273"/>
      <c r="AA207" s="273"/>
      <c r="AB207" s="273"/>
      <c r="AC207" s="273">
        <v>120752.29</v>
      </c>
      <c r="AD207" s="16"/>
      <c r="AE207" s="17">
        <v>246747.01</v>
      </c>
      <c r="AF207" s="17"/>
      <c r="AG207" s="13"/>
      <c r="AH207" s="13"/>
    </row>
    <row r="208" spans="1:34" x14ac:dyDescent="0.3">
      <c r="A208" s="8">
        <f t="shared" si="55"/>
        <v>167</v>
      </c>
      <c r="B208" s="124" t="s">
        <v>291</v>
      </c>
      <c r="C208" s="273">
        <f t="shared" si="53"/>
        <v>78188.820000000007</v>
      </c>
      <c r="D208" s="273">
        <f t="shared" si="54"/>
        <v>0</v>
      </c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  <c r="V208" s="273"/>
      <c r="W208" s="273">
        <f>SUM(X208:AH208)</f>
        <v>78188.820000000007</v>
      </c>
      <c r="Y208" s="273"/>
      <c r="Z208" s="273"/>
      <c r="AA208" s="273"/>
      <c r="AB208" s="273"/>
      <c r="AC208" s="273">
        <v>78188.820000000007</v>
      </c>
      <c r="AD208" s="16"/>
      <c r="AE208" s="17"/>
      <c r="AF208" s="17"/>
      <c r="AG208" s="13"/>
      <c r="AH208" s="13"/>
    </row>
    <row r="209" spans="1:34" x14ac:dyDescent="0.3">
      <c r="A209" s="8"/>
      <c r="B209" s="122" t="s">
        <v>208</v>
      </c>
      <c r="C209" s="273">
        <f t="shared" ref="C209:W209" si="56">SUM(C198:C208)</f>
        <v>19029575.120000001</v>
      </c>
      <c r="D209" s="273">
        <f t="shared" si="56"/>
        <v>17348120</v>
      </c>
      <c r="E209" s="273">
        <f t="shared" si="56"/>
        <v>0</v>
      </c>
      <c r="F209" s="273">
        <f t="shared" si="56"/>
        <v>11725384</v>
      </c>
      <c r="G209" s="273">
        <f t="shared" si="56"/>
        <v>5274590</v>
      </c>
      <c r="H209" s="273">
        <f t="shared" si="56"/>
        <v>0</v>
      </c>
      <c r="I209" s="273">
        <f t="shared" si="56"/>
        <v>348146</v>
      </c>
      <c r="J209" s="273">
        <f t="shared" si="56"/>
        <v>0</v>
      </c>
      <c r="K209" s="273">
        <f t="shared" si="56"/>
        <v>0</v>
      </c>
      <c r="L209" s="273">
        <f t="shared" si="56"/>
        <v>0</v>
      </c>
      <c r="M209" s="273">
        <f t="shared" si="56"/>
        <v>0</v>
      </c>
      <c r="N209" s="273">
        <f t="shared" si="56"/>
        <v>0</v>
      </c>
      <c r="O209" s="273">
        <f t="shared" si="56"/>
        <v>0</v>
      </c>
      <c r="P209" s="273">
        <f t="shared" si="56"/>
        <v>0</v>
      </c>
      <c r="Q209" s="273">
        <f t="shared" si="56"/>
        <v>0</v>
      </c>
      <c r="R209" s="273">
        <f t="shared" si="56"/>
        <v>0</v>
      </c>
      <c r="S209" s="273">
        <f t="shared" si="56"/>
        <v>0</v>
      </c>
      <c r="T209" s="273">
        <f t="shared" si="56"/>
        <v>0</v>
      </c>
      <c r="U209" s="273">
        <f t="shared" si="56"/>
        <v>0</v>
      </c>
      <c r="V209" s="273">
        <f t="shared" si="56"/>
        <v>0</v>
      </c>
      <c r="W209" s="273">
        <f t="shared" si="56"/>
        <v>1681455.12</v>
      </c>
      <c r="X209" s="273"/>
      <c r="Y209" s="273"/>
      <c r="Z209" s="273"/>
      <c r="AA209" s="273"/>
      <c r="AB209" s="273"/>
      <c r="AC209" s="273"/>
      <c r="AD209" s="16"/>
      <c r="AE209" s="17"/>
      <c r="AF209" s="17"/>
      <c r="AG209" s="13"/>
      <c r="AH209" s="13"/>
    </row>
    <row r="210" spans="1:34" x14ac:dyDescent="0.3">
      <c r="A210" s="374" t="s">
        <v>296</v>
      </c>
      <c r="B210" s="375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  <c r="V210" s="273"/>
      <c r="W210" s="273"/>
      <c r="X210" s="273"/>
      <c r="Y210" s="273"/>
      <c r="Z210" s="273"/>
      <c r="AA210" s="273"/>
      <c r="AB210" s="273"/>
      <c r="AC210" s="273"/>
      <c r="AD210" s="16"/>
      <c r="AE210" s="17"/>
      <c r="AF210" s="17"/>
      <c r="AG210" s="13"/>
      <c r="AH210" s="13"/>
    </row>
    <row r="211" spans="1:34" x14ac:dyDescent="0.3">
      <c r="A211" s="8">
        <f>A208+1</f>
        <v>168</v>
      </c>
      <c r="B211" s="124" t="s">
        <v>297</v>
      </c>
      <c r="C211" s="273">
        <f t="shared" ref="C211:C226" si="57">D211+K211+L211+N211+P211+R211+S211+U211+V211+W211</f>
        <v>358310.62</v>
      </c>
      <c r="D211" s="273">
        <f t="shared" ref="D211:D226" si="58">E211+F211+G211+H211+I211</f>
        <v>0</v>
      </c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  <c r="V211" s="273"/>
      <c r="W211" s="273">
        <f t="shared" ref="W211:W219" si="59">SUM(X211:AH211)</f>
        <v>358310.62</v>
      </c>
      <c r="X211" s="273"/>
      <c r="Y211" s="273"/>
      <c r="Z211" s="273"/>
      <c r="AA211" s="273"/>
      <c r="AB211" s="273"/>
      <c r="AC211" s="273"/>
      <c r="AD211" s="16"/>
      <c r="AE211" s="17"/>
      <c r="AF211" s="17">
        <v>358310.62</v>
      </c>
      <c r="AG211" s="13"/>
      <c r="AH211" s="13"/>
    </row>
    <row r="212" spans="1:34" x14ac:dyDescent="0.3">
      <c r="A212" s="8">
        <f t="shared" ref="A212:A226" si="60">A211+1</f>
        <v>169</v>
      </c>
      <c r="B212" s="124" t="s">
        <v>298</v>
      </c>
      <c r="C212" s="273">
        <f t="shared" si="57"/>
        <v>409692.41</v>
      </c>
      <c r="D212" s="273">
        <f t="shared" si="58"/>
        <v>0</v>
      </c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>
        <f t="shared" si="59"/>
        <v>409692.41</v>
      </c>
      <c r="X212" s="273"/>
      <c r="Y212" s="273"/>
      <c r="Z212" s="273"/>
      <c r="AA212" s="273"/>
      <c r="AB212" s="273"/>
      <c r="AC212" s="273"/>
      <c r="AD212" s="16"/>
      <c r="AE212" s="17">
        <v>409692.41</v>
      </c>
      <c r="AF212" s="17"/>
      <c r="AG212" s="13"/>
      <c r="AH212" s="13"/>
    </row>
    <row r="213" spans="1:34" x14ac:dyDescent="0.3">
      <c r="A213" s="8">
        <f t="shared" si="60"/>
        <v>170</v>
      </c>
      <c r="B213" s="124" t="s">
        <v>299</v>
      </c>
      <c r="C213" s="273">
        <f t="shared" si="57"/>
        <v>344465.33</v>
      </c>
      <c r="D213" s="273">
        <f t="shared" si="58"/>
        <v>0</v>
      </c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  <c r="V213" s="273"/>
      <c r="W213" s="273">
        <f t="shared" si="59"/>
        <v>344465.33</v>
      </c>
      <c r="X213" s="273"/>
      <c r="Y213" s="273"/>
      <c r="Z213" s="273"/>
      <c r="AA213" s="273"/>
      <c r="AB213" s="273"/>
      <c r="AC213" s="273"/>
      <c r="AD213" s="16"/>
      <c r="AE213" s="17">
        <v>344465.33</v>
      </c>
      <c r="AF213" s="17"/>
      <c r="AG213" s="13"/>
      <c r="AH213" s="13"/>
    </row>
    <row r="214" spans="1:34" x14ac:dyDescent="0.3">
      <c r="A214" s="8">
        <f t="shared" si="60"/>
        <v>171</v>
      </c>
      <c r="B214" s="124" t="s">
        <v>300</v>
      </c>
      <c r="C214" s="273">
        <f t="shared" si="57"/>
        <v>343788</v>
      </c>
      <c r="D214" s="273">
        <f t="shared" si="58"/>
        <v>0</v>
      </c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  <c r="V214" s="273"/>
      <c r="W214" s="273">
        <f t="shared" si="59"/>
        <v>343788</v>
      </c>
      <c r="X214" s="273"/>
      <c r="Y214" s="273"/>
      <c r="Z214" s="273"/>
      <c r="AA214" s="273"/>
      <c r="AB214" s="273"/>
      <c r="AC214" s="273"/>
      <c r="AD214" s="16"/>
      <c r="AE214" s="17">
        <v>343788</v>
      </c>
      <c r="AF214" s="17"/>
      <c r="AG214" s="13"/>
      <c r="AH214" s="13"/>
    </row>
    <row r="215" spans="1:34" x14ac:dyDescent="0.3">
      <c r="A215" s="8">
        <f t="shared" si="60"/>
        <v>172</v>
      </c>
      <c r="B215" s="124" t="s">
        <v>301</v>
      </c>
      <c r="C215" s="273">
        <f t="shared" si="57"/>
        <v>195670.45</v>
      </c>
      <c r="D215" s="273">
        <f t="shared" si="58"/>
        <v>0</v>
      </c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  <c r="V215" s="273"/>
      <c r="W215" s="273">
        <f t="shared" si="59"/>
        <v>195670.45</v>
      </c>
      <c r="X215" s="273"/>
      <c r="Y215" s="273"/>
      <c r="Z215" s="273"/>
      <c r="AA215" s="273"/>
      <c r="AB215" s="273"/>
      <c r="AC215" s="273"/>
      <c r="AD215" s="16"/>
      <c r="AE215" s="17"/>
      <c r="AF215" s="17">
        <v>195670.45</v>
      </c>
      <c r="AG215" s="13"/>
      <c r="AH215" s="13"/>
    </row>
    <row r="216" spans="1:34" x14ac:dyDescent="0.3">
      <c r="A216" s="8">
        <f t="shared" si="60"/>
        <v>173</v>
      </c>
      <c r="B216" s="124" t="s">
        <v>302</v>
      </c>
      <c r="C216" s="273">
        <f t="shared" si="57"/>
        <v>4089234.5800000005</v>
      </c>
      <c r="D216" s="273">
        <f t="shared" si="58"/>
        <v>0</v>
      </c>
      <c r="E216" s="273"/>
      <c r="F216" s="273"/>
      <c r="G216" s="273"/>
      <c r="H216" s="273"/>
      <c r="I216" s="273"/>
      <c r="J216" s="273"/>
      <c r="K216" s="273"/>
      <c r="L216" s="273"/>
      <c r="M216" s="273">
        <v>480.6</v>
      </c>
      <c r="N216" s="273">
        <f>480.6*8094</f>
        <v>3889976.4000000004</v>
      </c>
      <c r="O216" s="273"/>
      <c r="P216" s="273"/>
      <c r="Q216" s="273"/>
      <c r="R216" s="273"/>
      <c r="S216" s="273"/>
      <c r="T216" s="273"/>
      <c r="U216" s="273"/>
      <c r="V216" s="273"/>
      <c r="W216" s="273">
        <f t="shared" si="59"/>
        <v>199258.18</v>
      </c>
      <c r="X216" s="273"/>
      <c r="Y216" s="273"/>
      <c r="Z216" s="273"/>
      <c r="AA216" s="273"/>
      <c r="AB216" s="273"/>
      <c r="AC216" s="273"/>
      <c r="AD216" s="16"/>
      <c r="AE216" s="17"/>
      <c r="AF216" s="17">
        <v>199258.18</v>
      </c>
      <c r="AG216" s="13"/>
      <c r="AH216" s="13"/>
    </row>
    <row r="217" spans="1:34" x14ac:dyDescent="0.3">
      <c r="A217" s="8">
        <f t="shared" si="60"/>
        <v>174</v>
      </c>
      <c r="B217" s="124" t="s">
        <v>303</v>
      </c>
      <c r="C217" s="273">
        <f t="shared" si="57"/>
        <v>4048129.08</v>
      </c>
      <c r="D217" s="273">
        <f t="shared" si="58"/>
        <v>0</v>
      </c>
      <c r="E217" s="273"/>
      <c r="F217" s="273"/>
      <c r="G217" s="273"/>
      <c r="H217" s="273"/>
      <c r="I217" s="273"/>
      <c r="J217" s="273"/>
      <c r="K217" s="273"/>
      <c r="L217" s="273"/>
      <c r="M217" s="273">
        <v>475.3</v>
      </c>
      <c r="N217" s="273">
        <f>M217*8094</f>
        <v>3847078.2</v>
      </c>
      <c r="O217" s="273"/>
      <c r="P217" s="273"/>
      <c r="Q217" s="273"/>
      <c r="R217" s="273"/>
      <c r="S217" s="273"/>
      <c r="T217" s="273"/>
      <c r="U217" s="273"/>
      <c r="V217" s="273"/>
      <c r="W217" s="273">
        <f t="shared" si="59"/>
        <v>201050.88</v>
      </c>
      <c r="X217" s="273"/>
      <c r="Y217" s="273"/>
      <c r="Z217" s="273"/>
      <c r="AA217" s="273"/>
      <c r="AB217" s="273"/>
      <c r="AC217" s="273"/>
      <c r="AD217" s="16"/>
      <c r="AE217" s="17"/>
      <c r="AF217" s="17">
        <v>201050.88</v>
      </c>
      <c r="AG217" s="13"/>
      <c r="AH217" s="13"/>
    </row>
    <row r="218" spans="1:34" x14ac:dyDescent="0.3">
      <c r="A218" s="8">
        <f t="shared" si="60"/>
        <v>175</v>
      </c>
      <c r="B218" s="124" t="s">
        <v>304</v>
      </c>
      <c r="C218" s="273">
        <f t="shared" si="57"/>
        <v>178789.16</v>
      </c>
      <c r="D218" s="273">
        <f t="shared" si="58"/>
        <v>0</v>
      </c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  <c r="V218" s="273"/>
      <c r="W218" s="273">
        <f t="shared" si="59"/>
        <v>178789.16</v>
      </c>
      <c r="X218" s="273"/>
      <c r="Y218" s="273"/>
      <c r="Z218" s="273"/>
      <c r="AA218" s="273"/>
      <c r="AB218" s="273"/>
      <c r="AC218" s="273"/>
      <c r="AD218" s="16"/>
      <c r="AE218" s="17"/>
      <c r="AF218" s="17">
        <v>178789.16</v>
      </c>
      <c r="AG218" s="13"/>
      <c r="AH218" s="13"/>
    </row>
    <row r="219" spans="1:34" x14ac:dyDescent="0.3">
      <c r="A219" s="8">
        <f t="shared" si="60"/>
        <v>176</v>
      </c>
      <c r="B219" s="124" t="s">
        <v>305</v>
      </c>
      <c r="C219" s="273">
        <f t="shared" si="57"/>
        <v>25376.18</v>
      </c>
      <c r="D219" s="273">
        <f t="shared" si="58"/>
        <v>0</v>
      </c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>
        <f t="shared" si="59"/>
        <v>25376.18</v>
      </c>
      <c r="X219" s="273"/>
      <c r="Y219" s="273"/>
      <c r="Z219" s="273"/>
      <c r="AA219" s="273"/>
      <c r="AB219" s="273"/>
      <c r="AC219" s="273"/>
      <c r="AD219" s="16"/>
      <c r="AE219" s="17"/>
      <c r="AF219" s="17">
        <v>25376.18</v>
      </c>
      <c r="AG219" s="13"/>
      <c r="AH219" s="13"/>
    </row>
    <row r="220" spans="1:34" x14ac:dyDescent="0.3">
      <c r="A220" s="8">
        <f t="shared" si="60"/>
        <v>177</v>
      </c>
      <c r="B220" s="124" t="s">
        <v>306</v>
      </c>
      <c r="C220" s="273">
        <f t="shared" si="57"/>
        <v>2680265.5</v>
      </c>
      <c r="D220" s="273">
        <f t="shared" si="58"/>
        <v>0</v>
      </c>
      <c r="E220" s="273"/>
      <c r="F220" s="273"/>
      <c r="G220" s="273"/>
      <c r="H220" s="273"/>
      <c r="I220" s="273"/>
      <c r="J220" s="273"/>
      <c r="K220" s="273"/>
      <c r="L220" s="273"/>
      <c r="M220" s="273">
        <v>408.5</v>
      </c>
      <c r="N220" s="273">
        <f>M220*6243</f>
        <v>2550265.5</v>
      </c>
      <c r="O220" s="273"/>
      <c r="P220" s="273"/>
      <c r="Q220" s="273"/>
      <c r="R220" s="273"/>
      <c r="S220" s="273"/>
      <c r="T220" s="273"/>
      <c r="U220" s="273"/>
      <c r="V220" s="273"/>
      <c r="W220" s="273">
        <v>130000</v>
      </c>
      <c r="X220" s="273"/>
      <c r="Y220" s="273"/>
      <c r="Z220" s="273"/>
      <c r="AA220" s="273"/>
      <c r="AB220" s="273"/>
      <c r="AC220" s="273"/>
      <c r="AD220" s="16"/>
      <c r="AE220" s="17"/>
      <c r="AF220" s="17"/>
      <c r="AG220" s="13"/>
      <c r="AH220" s="13"/>
    </row>
    <row r="221" spans="1:34" x14ac:dyDescent="0.3">
      <c r="A221" s="8">
        <f t="shared" si="60"/>
        <v>178</v>
      </c>
      <c r="B221" s="124" t="s">
        <v>307</v>
      </c>
      <c r="C221" s="273">
        <f t="shared" si="57"/>
        <v>50878.2</v>
      </c>
      <c r="D221" s="273">
        <f t="shared" si="58"/>
        <v>0</v>
      </c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  <c r="V221" s="273"/>
      <c r="W221" s="273">
        <f t="shared" ref="W221:W226" si="61">SUM(X221:AH221)</f>
        <v>50878.2</v>
      </c>
      <c r="X221" s="273"/>
      <c r="Y221" s="273"/>
      <c r="Z221" s="273"/>
      <c r="AA221" s="273"/>
      <c r="AB221" s="273"/>
      <c r="AC221" s="273"/>
      <c r="AD221" s="16"/>
      <c r="AE221" s="17"/>
      <c r="AF221" s="17">
        <v>50878.2</v>
      </c>
      <c r="AG221" s="13"/>
      <c r="AH221" s="13"/>
    </row>
    <row r="222" spans="1:34" x14ac:dyDescent="0.3">
      <c r="A222" s="8">
        <f t="shared" si="60"/>
        <v>179</v>
      </c>
      <c r="B222" s="124" t="s">
        <v>308</v>
      </c>
      <c r="C222" s="273">
        <f t="shared" si="57"/>
        <v>182053.31</v>
      </c>
      <c r="D222" s="273">
        <f t="shared" si="58"/>
        <v>0</v>
      </c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  <c r="V222" s="273"/>
      <c r="W222" s="273">
        <f t="shared" si="61"/>
        <v>182053.31</v>
      </c>
      <c r="X222" s="273"/>
      <c r="Y222" s="273"/>
      <c r="Z222" s="273"/>
      <c r="AA222" s="273"/>
      <c r="AB222" s="273"/>
      <c r="AC222" s="273"/>
      <c r="AD222" s="16"/>
      <c r="AE222" s="17"/>
      <c r="AF222" s="17">
        <v>182053.31</v>
      </c>
      <c r="AG222" s="13"/>
      <c r="AH222" s="13"/>
    </row>
    <row r="223" spans="1:34" x14ac:dyDescent="0.3">
      <c r="A223" s="8">
        <f t="shared" si="60"/>
        <v>180</v>
      </c>
      <c r="B223" s="124" t="s">
        <v>309</v>
      </c>
      <c r="C223" s="273">
        <f t="shared" si="57"/>
        <v>8881488</v>
      </c>
      <c r="D223" s="273">
        <f t="shared" si="58"/>
        <v>0</v>
      </c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>
        <v>336</v>
      </c>
      <c r="P223" s="273">
        <f>O223*26433</f>
        <v>8881488</v>
      </c>
      <c r="Q223" s="273"/>
      <c r="R223" s="273"/>
      <c r="S223" s="273"/>
      <c r="T223" s="273"/>
      <c r="U223" s="273"/>
      <c r="V223" s="273"/>
      <c r="W223" s="273">
        <f t="shared" si="61"/>
        <v>0</v>
      </c>
      <c r="X223" s="273"/>
      <c r="Y223" s="273"/>
      <c r="Z223" s="273"/>
      <c r="AA223" s="273"/>
      <c r="AB223" s="273"/>
      <c r="AC223" s="273"/>
      <c r="AD223" s="16"/>
      <c r="AE223" s="17"/>
      <c r="AF223" s="17"/>
      <c r="AG223" s="13"/>
      <c r="AH223" s="13"/>
    </row>
    <row r="224" spans="1:34" x14ac:dyDescent="0.3">
      <c r="A224" s="8">
        <f t="shared" si="60"/>
        <v>181</v>
      </c>
      <c r="B224" s="124" t="s">
        <v>310</v>
      </c>
      <c r="C224" s="273">
        <f t="shared" si="57"/>
        <v>61010.45</v>
      </c>
      <c r="D224" s="273">
        <f t="shared" si="58"/>
        <v>0</v>
      </c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  <c r="V224" s="273"/>
      <c r="W224" s="273">
        <f t="shared" si="61"/>
        <v>61010.45</v>
      </c>
      <c r="X224" s="273"/>
      <c r="Y224" s="273"/>
      <c r="Z224" s="273"/>
      <c r="AA224" s="273"/>
      <c r="AB224" s="273"/>
      <c r="AC224" s="273"/>
      <c r="AD224" s="16"/>
      <c r="AE224" s="17"/>
      <c r="AF224" s="17">
        <v>61010.45</v>
      </c>
      <c r="AG224" s="13"/>
      <c r="AH224" s="13"/>
    </row>
    <row r="225" spans="1:34" x14ac:dyDescent="0.3">
      <c r="A225" s="8">
        <f t="shared" si="60"/>
        <v>182</v>
      </c>
      <c r="B225" s="124" t="s">
        <v>311</v>
      </c>
      <c r="C225" s="273">
        <f t="shared" si="57"/>
        <v>61010.45</v>
      </c>
      <c r="D225" s="273">
        <f t="shared" si="58"/>
        <v>0</v>
      </c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73"/>
      <c r="W225" s="273">
        <f t="shared" si="61"/>
        <v>61010.45</v>
      </c>
      <c r="X225" s="273"/>
      <c r="Y225" s="273"/>
      <c r="Z225" s="273"/>
      <c r="AA225" s="273"/>
      <c r="AB225" s="273"/>
      <c r="AC225" s="273"/>
      <c r="AD225" s="16"/>
      <c r="AE225" s="17"/>
      <c r="AF225" s="17">
        <v>61010.45</v>
      </c>
      <c r="AG225" s="13"/>
      <c r="AH225" s="13"/>
    </row>
    <row r="226" spans="1:34" x14ac:dyDescent="0.3">
      <c r="A226" s="8">
        <f t="shared" si="60"/>
        <v>183</v>
      </c>
      <c r="B226" s="124" t="s">
        <v>312</v>
      </c>
      <c r="C226" s="273">
        <f t="shared" si="57"/>
        <v>63657.58</v>
      </c>
      <c r="D226" s="273">
        <f t="shared" si="58"/>
        <v>0</v>
      </c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273"/>
      <c r="W226" s="273">
        <f t="shared" si="61"/>
        <v>63657.58</v>
      </c>
      <c r="X226" s="273"/>
      <c r="Y226" s="273"/>
      <c r="Z226" s="273"/>
      <c r="AA226" s="273"/>
      <c r="AB226" s="273"/>
      <c r="AC226" s="273"/>
      <c r="AD226" s="16"/>
      <c r="AE226" s="17"/>
      <c r="AF226" s="17">
        <v>63657.58</v>
      </c>
      <c r="AG226" s="13"/>
      <c r="AH226" s="13"/>
    </row>
    <row r="227" spans="1:34" x14ac:dyDescent="0.3">
      <c r="A227" s="8"/>
      <c r="B227" s="122" t="s">
        <v>208</v>
      </c>
      <c r="C227" s="273">
        <f t="shared" ref="C227:W227" si="62">SUM(C211:C226)</f>
        <v>21973819.299999997</v>
      </c>
      <c r="D227" s="273">
        <f t="shared" si="62"/>
        <v>0</v>
      </c>
      <c r="E227" s="273">
        <f t="shared" si="62"/>
        <v>0</v>
      </c>
      <c r="F227" s="273">
        <f t="shared" si="62"/>
        <v>0</v>
      </c>
      <c r="G227" s="273">
        <f t="shared" si="62"/>
        <v>0</v>
      </c>
      <c r="H227" s="273">
        <f t="shared" si="62"/>
        <v>0</v>
      </c>
      <c r="I227" s="273">
        <f t="shared" si="62"/>
        <v>0</v>
      </c>
      <c r="J227" s="273">
        <f t="shared" si="62"/>
        <v>0</v>
      </c>
      <c r="K227" s="273">
        <f t="shared" si="62"/>
        <v>0</v>
      </c>
      <c r="L227" s="273">
        <f t="shared" si="62"/>
        <v>0</v>
      </c>
      <c r="M227" s="273">
        <f t="shared" si="62"/>
        <v>1364.4</v>
      </c>
      <c r="N227" s="273">
        <f t="shared" si="62"/>
        <v>10287320.100000001</v>
      </c>
      <c r="O227" s="273">
        <f t="shared" si="62"/>
        <v>336</v>
      </c>
      <c r="P227" s="273">
        <f t="shared" si="62"/>
        <v>8881488</v>
      </c>
      <c r="Q227" s="273">
        <f t="shared" si="62"/>
        <v>0</v>
      </c>
      <c r="R227" s="273">
        <f t="shared" si="62"/>
        <v>0</v>
      </c>
      <c r="S227" s="273">
        <f t="shared" si="62"/>
        <v>0</v>
      </c>
      <c r="T227" s="273">
        <f t="shared" si="62"/>
        <v>0</v>
      </c>
      <c r="U227" s="273">
        <f t="shared" si="62"/>
        <v>0</v>
      </c>
      <c r="V227" s="273">
        <f t="shared" si="62"/>
        <v>0</v>
      </c>
      <c r="W227" s="273">
        <f t="shared" si="62"/>
        <v>2805011.2000000011</v>
      </c>
      <c r="X227" s="273"/>
      <c r="Y227" s="273"/>
      <c r="Z227" s="273"/>
      <c r="AA227" s="273"/>
      <c r="AB227" s="273"/>
      <c r="AC227" s="273"/>
      <c r="AD227" s="16"/>
      <c r="AE227" s="17"/>
      <c r="AF227" s="17"/>
      <c r="AG227" s="13"/>
      <c r="AH227" s="13"/>
    </row>
    <row r="228" spans="1:34" x14ac:dyDescent="0.3">
      <c r="A228" s="374" t="s">
        <v>313</v>
      </c>
      <c r="B228" s="375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16"/>
      <c r="AE228" s="17"/>
      <c r="AF228" s="17"/>
      <c r="AG228" s="13"/>
      <c r="AH228" s="13"/>
    </row>
    <row r="229" spans="1:34" x14ac:dyDescent="0.3">
      <c r="A229" s="8">
        <f>A226+1</f>
        <v>184</v>
      </c>
      <c r="B229" s="124" t="s">
        <v>317</v>
      </c>
      <c r="C229" s="273">
        <f t="shared" ref="C229:C260" si="63">D229+K229+L229+N229+P229+R229+S229+U229+V229+W229</f>
        <v>1119846</v>
      </c>
      <c r="D229" s="273">
        <f t="shared" ref="D229:D237" si="64">E229+F229+G229+H229+I229</f>
        <v>1119846</v>
      </c>
      <c r="E229" s="273">
        <f>(358323*2)+2688*150</f>
        <v>1119846</v>
      </c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  <c r="V229" s="273"/>
      <c r="W229" s="273"/>
      <c r="X229" s="273"/>
      <c r="Y229" s="273"/>
      <c r="Z229" s="273"/>
      <c r="AA229" s="273"/>
      <c r="AB229" s="273"/>
      <c r="AC229" s="273"/>
      <c r="AD229" s="16"/>
      <c r="AE229" s="17"/>
      <c r="AF229" s="17"/>
      <c r="AG229" s="13"/>
    </row>
    <row r="230" spans="1:34" x14ac:dyDescent="0.3">
      <c r="A230" s="8">
        <f t="shared" ref="A230:A261" si="65">A229+1</f>
        <v>185</v>
      </c>
      <c r="B230" s="124" t="s">
        <v>330</v>
      </c>
      <c r="C230" s="273">
        <f t="shared" si="63"/>
        <v>1853958.2199999997</v>
      </c>
      <c r="D230" s="273">
        <f t="shared" si="64"/>
        <v>1573351.8599999999</v>
      </c>
      <c r="E230" s="273">
        <f>(358323*2)+2688*150</f>
        <v>1119846</v>
      </c>
      <c r="F230" s="273"/>
      <c r="G230" s="273"/>
      <c r="H230" s="273">
        <v>453505.86</v>
      </c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  <c r="V230" s="273">
        <v>280606.36</v>
      </c>
      <c r="W230" s="273"/>
      <c r="X230" s="273"/>
      <c r="Y230" s="273"/>
      <c r="Z230" s="273"/>
      <c r="AA230" s="273"/>
      <c r="AB230" s="273"/>
      <c r="AC230" s="273"/>
      <c r="AD230" s="16"/>
      <c r="AE230" s="17"/>
      <c r="AF230" s="17"/>
      <c r="AG230" s="13"/>
    </row>
    <row r="231" spans="1:34" x14ac:dyDescent="0.3">
      <c r="A231" s="8">
        <f t="shared" si="65"/>
        <v>186</v>
      </c>
      <c r="B231" s="124" t="s">
        <v>331</v>
      </c>
      <c r="C231" s="273">
        <f t="shared" si="63"/>
        <v>1119846</v>
      </c>
      <c r="D231" s="273">
        <f t="shared" si="64"/>
        <v>1119846</v>
      </c>
      <c r="E231" s="273">
        <f>(358323*2)+2688*150</f>
        <v>1119846</v>
      </c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  <c r="V231" s="273"/>
      <c r="W231" s="273"/>
      <c r="X231" s="273"/>
      <c r="Y231" s="273"/>
      <c r="Z231" s="273"/>
      <c r="AA231" s="273"/>
      <c r="AB231" s="273"/>
      <c r="AC231" s="273"/>
      <c r="AD231" s="16"/>
      <c r="AE231" s="17"/>
      <c r="AF231" s="17"/>
      <c r="AG231" s="13"/>
    </row>
    <row r="232" spans="1:34" x14ac:dyDescent="0.3">
      <c r="A232" s="8">
        <f t="shared" si="65"/>
        <v>187</v>
      </c>
      <c r="B232" s="124" t="s">
        <v>332</v>
      </c>
      <c r="C232" s="273">
        <f t="shared" si="63"/>
        <v>627123</v>
      </c>
      <c r="D232" s="273">
        <f t="shared" si="64"/>
        <v>627123</v>
      </c>
      <c r="E232" s="273">
        <f>(358323*1)+2688*100</f>
        <v>627123</v>
      </c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  <c r="V232" s="273"/>
      <c r="W232" s="273"/>
      <c r="X232" s="273"/>
      <c r="Y232" s="273"/>
      <c r="Z232" s="273"/>
      <c r="AA232" s="273"/>
      <c r="AB232" s="273"/>
      <c r="AC232" s="273"/>
      <c r="AD232" s="16"/>
      <c r="AE232" s="17"/>
      <c r="AF232" s="17"/>
      <c r="AG232" s="13"/>
    </row>
    <row r="233" spans="1:34" x14ac:dyDescent="0.3">
      <c r="A233" s="8">
        <f t="shared" si="65"/>
        <v>188</v>
      </c>
      <c r="B233" s="124" t="s">
        <v>334</v>
      </c>
      <c r="C233" s="273">
        <f t="shared" si="63"/>
        <v>1146726</v>
      </c>
      <c r="D233" s="273">
        <f t="shared" si="64"/>
        <v>1146726</v>
      </c>
      <c r="E233" s="273">
        <f>(358323*2)+2688*160</f>
        <v>1146726</v>
      </c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  <c r="V233" s="273"/>
      <c r="W233" s="273">
        <f>SUM(X233:AH233)</f>
        <v>0</v>
      </c>
      <c r="X233" s="273"/>
      <c r="Y233" s="273"/>
      <c r="Z233" s="273"/>
      <c r="AA233" s="273"/>
      <c r="AB233" s="273"/>
      <c r="AD233" s="16"/>
      <c r="AE233" s="273"/>
      <c r="AF233" s="17"/>
      <c r="AG233" s="13"/>
    </row>
    <row r="234" spans="1:34" x14ac:dyDescent="0.3">
      <c r="A234" s="8">
        <f t="shared" si="65"/>
        <v>189</v>
      </c>
      <c r="B234" s="124" t="s">
        <v>335</v>
      </c>
      <c r="C234" s="273">
        <f t="shared" si="63"/>
        <v>2360109</v>
      </c>
      <c r="D234" s="273">
        <f t="shared" si="64"/>
        <v>393267</v>
      </c>
      <c r="E234" s="273">
        <f>(358323*1)+2688*13</f>
        <v>393267</v>
      </c>
      <c r="F234" s="273"/>
      <c r="G234" s="273"/>
      <c r="H234" s="273"/>
      <c r="I234" s="273"/>
      <c r="J234" s="273"/>
      <c r="K234" s="273"/>
      <c r="L234" s="273"/>
      <c r="M234" s="273">
        <v>243</v>
      </c>
      <c r="N234" s="273">
        <f>M234*8094</f>
        <v>1966842</v>
      </c>
      <c r="O234" s="273"/>
      <c r="P234" s="273"/>
      <c r="Q234" s="273"/>
      <c r="R234" s="273"/>
      <c r="S234" s="273"/>
      <c r="T234" s="273"/>
      <c r="U234" s="273"/>
      <c r="V234" s="273"/>
      <c r="W234" s="273"/>
      <c r="X234" s="273"/>
      <c r="Y234" s="273"/>
      <c r="Z234" s="273"/>
      <c r="AA234" s="273"/>
      <c r="AB234" s="273"/>
      <c r="AC234" s="273"/>
      <c r="AD234" s="16"/>
      <c r="AE234" s="17"/>
      <c r="AF234" s="17"/>
      <c r="AG234" s="13"/>
    </row>
    <row r="235" spans="1:34" x14ac:dyDescent="0.3">
      <c r="A235" s="8">
        <f t="shared" si="65"/>
        <v>190</v>
      </c>
      <c r="B235" s="124" t="s">
        <v>346</v>
      </c>
      <c r="C235" s="273">
        <f t="shared" si="63"/>
        <v>10364955.199999999</v>
      </c>
      <c r="D235" s="273">
        <f t="shared" si="64"/>
        <v>4882889</v>
      </c>
      <c r="E235" s="273"/>
      <c r="F235" s="273">
        <f>421*5502+3*607361</f>
        <v>4138425</v>
      </c>
      <c r="G235" s="273">
        <f>190.4*3910</f>
        <v>744464</v>
      </c>
      <c r="H235" s="273"/>
      <c r="I235" s="273"/>
      <c r="J235" s="273"/>
      <c r="K235" s="273"/>
      <c r="L235" s="273"/>
      <c r="M235" s="273">
        <v>677.3</v>
      </c>
      <c r="N235" s="273">
        <f>M235*8094</f>
        <v>5482066.1999999993</v>
      </c>
      <c r="O235" s="273"/>
      <c r="P235" s="273"/>
      <c r="Q235" s="273"/>
      <c r="R235" s="273"/>
      <c r="S235" s="273"/>
      <c r="T235" s="273"/>
      <c r="U235" s="273"/>
      <c r="V235" s="273"/>
      <c r="W235" s="273">
        <f>SUM(X235:AH235)</f>
        <v>0</v>
      </c>
      <c r="X235" s="86"/>
      <c r="Y235" s="86"/>
      <c r="Z235" s="86"/>
      <c r="AA235" s="86"/>
      <c r="AB235" s="86"/>
      <c r="AC235" s="86"/>
      <c r="AD235" s="87"/>
      <c r="AE235" s="86"/>
      <c r="AF235" s="86"/>
      <c r="AG235" s="13"/>
    </row>
    <row r="236" spans="1:34" x14ac:dyDescent="0.3">
      <c r="A236" s="8">
        <f t="shared" si="65"/>
        <v>191</v>
      </c>
      <c r="B236" s="124" t="s">
        <v>314</v>
      </c>
      <c r="C236" s="273">
        <f t="shared" si="63"/>
        <v>226603.88</v>
      </c>
      <c r="D236" s="273">
        <f t="shared" si="64"/>
        <v>0</v>
      </c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>
        <f>SUM(X236:AH236)</f>
        <v>226603.88</v>
      </c>
      <c r="X236" s="273">
        <v>226603.88</v>
      </c>
      <c r="Y236" s="273"/>
      <c r="Z236" s="273"/>
      <c r="AA236" s="273"/>
      <c r="AB236" s="273"/>
      <c r="AC236" s="273"/>
      <c r="AD236" s="16"/>
      <c r="AE236" s="17"/>
      <c r="AF236" s="17"/>
      <c r="AG236" s="13"/>
      <c r="AH236" s="13"/>
    </row>
    <row r="237" spans="1:34" x14ac:dyDescent="0.3">
      <c r="A237" s="8">
        <f t="shared" si="65"/>
        <v>192</v>
      </c>
      <c r="B237" s="124" t="s">
        <v>316</v>
      </c>
      <c r="C237" s="273">
        <f t="shared" si="63"/>
        <v>187004.64</v>
      </c>
      <c r="D237" s="273">
        <f t="shared" si="64"/>
        <v>0</v>
      </c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>
        <f>SUM(X237:AH237)</f>
        <v>187004.64</v>
      </c>
      <c r="X237" s="273"/>
      <c r="Y237" s="273"/>
      <c r="Z237" s="273"/>
      <c r="AA237" s="273"/>
      <c r="AB237" s="273"/>
      <c r="AC237" s="273"/>
      <c r="AE237" s="17"/>
      <c r="AF237" s="16">
        <v>187004.64</v>
      </c>
      <c r="AG237" s="13"/>
      <c r="AH237" s="13"/>
    </row>
    <row r="238" spans="1:34" x14ac:dyDescent="0.3">
      <c r="A238" s="8">
        <f t="shared" si="65"/>
        <v>193</v>
      </c>
      <c r="B238" s="124" t="s">
        <v>315</v>
      </c>
      <c r="C238" s="273">
        <f t="shared" si="63"/>
        <v>130000</v>
      </c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  <c r="V238" s="273"/>
      <c r="W238" s="273">
        <v>130000</v>
      </c>
      <c r="X238" s="273"/>
      <c r="Y238" s="273"/>
      <c r="Z238" s="273"/>
      <c r="AA238" s="273"/>
      <c r="AB238" s="273"/>
      <c r="AC238" s="273"/>
      <c r="AD238" s="16"/>
      <c r="AE238" s="17"/>
      <c r="AF238" s="17"/>
      <c r="AG238" s="13"/>
      <c r="AH238" s="13"/>
    </row>
    <row r="239" spans="1:34" x14ac:dyDescent="0.3">
      <c r="A239" s="8">
        <f t="shared" si="65"/>
        <v>194</v>
      </c>
      <c r="B239" s="124" t="s">
        <v>318</v>
      </c>
      <c r="C239" s="273">
        <f t="shared" si="63"/>
        <v>130000</v>
      </c>
      <c r="D239" s="273">
        <f t="shared" ref="D239:D270" si="66">E239+F239+G239+H239+I239</f>
        <v>0</v>
      </c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  <c r="V239" s="273"/>
      <c r="W239" s="273">
        <v>130000</v>
      </c>
      <c r="X239" s="273"/>
      <c r="Y239" s="273"/>
      <c r="Z239" s="273"/>
      <c r="AA239" s="273"/>
      <c r="AB239" s="273"/>
      <c r="AC239" s="273"/>
      <c r="AD239" s="16"/>
      <c r="AE239" s="17"/>
      <c r="AF239" s="17"/>
      <c r="AG239" s="13"/>
      <c r="AH239" s="13"/>
    </row>
    <row r="240" spans="1:34" x14ac:dyDescent="0.3">
      <c r="A240" s="8">
        <f t="shared" si="65"/>
        <v>195</v>
      </c>
      <c r="B240" s="124" t="s">
        <v>319</v>
      </c>
      <c r="C240" s="273">
        <f t="shared" si="63"/>
        <v>130000</v>
      </c>
      <c r="D240" s="273">
        <f t="shared" si="66"/>
        <v>0</v>
      </c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  <c r="V240" s="273"/>
      <c r="W240" s="273">
        <v>130000</v>
      </c>
      <c r="X240" s="273"/>
      <c r="Y240" s="273"/>
      <c r="Z240" s="273"/>
      <c r="AA240" s="273"/>
      <c r="AB240" s="273"/>
      <c r="AC240" s="273"/>
      <c r="AD240" s="16"/>
      <c r="AE240" s="17"/>
      <c r="AF240" s="17"/>
      <c r="AG240" s="13"/>
      <c r="AH240" s="13"/>
    </row>
    <row r="241" spans="1:34" x14ac:dyDescent="0.3">
      <c r="A241" s="8">
        <f t="shared" si="65"/>
        <v>196</v>
      </c>
      <c r="B241" s="124" t="s">
        <v>320</v>
      </c>
      <c r="C241" s="273">
        <f t="shared" si="63"/>
        <v>130000</v>
      </c>
      <c r="D241" s="273">
        <f t="shared" si="66"/>
        <v>0</v>
      </c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  <c r="V241" s="273"/>
      <c r="W241" s="273">
        <v>130000</v>
      </c>
      <c r="X241" s="273"/>
      <c r="Y241" s="273"/>
      <c r="Z241" s="273"/>
      <c r="AA241" s="273"/>
      <c r="AB241" s="273"/>
      <c r="AC241" s="273"/>
      <c r="AD241" s="16"/>
      <c r="AE241" s="17"/>
      <c r="AF241" s="17"/>
      <c r="AG241" s="13">
        <v>130000</v>
      </c>
      <c r="AH241" s="13"/>
    </row>
    <row r="242" spans="1:34" x14ac:dyDescent="0.3">
      <c r="A242" s="8">
        <f t="shared" si="65"/>
        <v>197</v>
      </c>
      <c r="B242" s="124" t="s">
        <v>321</v>
      </c>
      <c r="C242" s="273">
        <f t="shared" si="63"/>
        <v>62430.64</v>
      </c>
      <c r="D242" s="273">
        <f t="shared" si="66"/>
        <v>0</v>
      </c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  <c r="V242" s="273"/>
      <c r="W242" s="273">
        <f>SUM(X242:AH242)</f>
        <v>62430.64</v>
      </c>
      <c r="X242" s="273"/>
      <c r="Y242" s="273"/>
      <c r="Z242" s="273"/>
      <c r="AA242" s="273"/>
      <c r="AB242" s="273"/>
      <c r="AC242" s="273"/>
      <c r="AE242" s="16">
        <v>62430.64</v>
      </c>
      <c r="AF242" s="17"/>
      <c r="AG242" s="13"/>
      <c r="AH242" s="13"/>
    </row>
    <row r="243" spans="1:34" x14ac:dyDescent="0.3">
      <c r="A243" s="8">
        <f t="shared" si="65"/>
        <v>198</v>
      </c>
      <c r="B243" s="124" t="s">
        <v>322</v>
      </c>
      <c r="C243" s="273">
        <f t="shared" si="63"/>
        <v>130000</v>
      </c>
      <c r="D243" s="273">
        <f t="shared" si="66"/>
        <v>0</v>
      </c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  <c r="V243" s="273"/>
      <c r="W243" s="273">
        <v>130000</v>
      </c>
      <c r="X243" s="273"/>
      <c r="Y243" s="273"/>
      <c r="Z243" s="273"/>
      <c r="AA243" s="273"/>
      <c r="AB243" s="273"/>
      <c r="AC243" s="273"/>
      <c r="AD243" s="16"/>
      <c r="AE243" s="17"/>
      <c r="AF243" s="17"/>
      <c r="AG243" s="13"/>
      <c r="AH243" s="13"/>
    </row>
    <row r="244" spans="1:34" x14ac:dyDescent="0.3">
      <c r="A244" s="8">
        <f t="shared" si="65"/>
        <v>199</v>
      </c>
      <c r="B244" s="124" t="s">
        <v>323</v>
      </c>
      <c r="C244" s="273">
        <f t="shared" si="63"/>
        <v>130000</v>
      </c>
      <c r="D244" s="273">
        <f t="shared" si="66"/>
        <v>0</v>
      </c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  <c r="V244" s="273"/>
      <c r="W244" s="273">
        <v>130000</v>
      </c>
      <c r="X244" s="273"/>
      <c r="Y244" s="273"/>
      <c r="Z244" s="273"/>
      <c r="AA244" s="273"/>
      <c r="AB244" s="273"/>
      <c r="AC244" s="273"/>
      <c r="AD244" s="16"/>
      <c r="AE244" s="17"/>
      <c r="AF244" s="17"/>
      <c r="AG244" s="13"/>
      <c r="AH244" s="13"/>
    </row>
    <row r="245" spans="1:34" x14ac:dyDescent="0.3">
      <c r="A245" s="8">
        <f t="shared" si="65"/>
        <v>200</v>
      </c>
      <c r="B245" s="124" t="s">
        <v>324</v>
      </c>
      <c r="C245" s="273">
        <f t="shared" si="63"/>
        <v>130000</v>
      </c>
      <c r="D245" s="273">
        <f t="shared" si="66"/>
        <v>0</v>
      </c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  <c r="V245" s="273"/>
      <c r="W245" s="273">
        <v>130000</v>
      </c>
      <c r="X245" s="273"/>
      <c r="Y245" s="273"/>
      <c r="Z245" s="273"/>
      <c r="AA245" s="273"/>
      <c r="AB245" s="273"/>
      <c r="AC245" s="273"/>
      <c r="AD245" s="16"/>
      <c r="AE245" s="17"/>
      <c r="AF245" s="17"/>
      <c r="AG245" s="13"/>
      <c r="AH245" s="13"/>
    </row>
    <row r="246" spans="1:34" x14ac:dyDescent="0.3">
      <c r="A246" s="8">
        <f t="shared" si="65"/>
        <v>201</v>
      </c>
      <c r="B246" s="124" t="s">
        <v>325</v>
      </c>
      <c r="C246" s="273">
        <f t="shared" si="63"/>
        <v>130000</v>
      </c>
      <c r="D246" s="273">
        <f t="shared" si="66"/>
        <v>0</v>
      </c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>
        <v>130000</v>
      </c>
      <c r="X246" s="273"/>
      <c r="Y246" s="273"/>
      <c r="Z246" s="273"/>
      <c r="AA246" s="273"/>
      <c r="AB246" s="273"/>
      <c r="AC246" s="273"/>
      <c r="AD246" s="16"/>
      <c r="AE246" s="17"/>
      <c r="AF246" s="17"/>
      <c r="AG246" s="13"/>
      <c r="AH246" s="13"/>
    </row>
    <row r="247" spans="1:34" x14ac:dyDescent="0.3">
      <c r="A247" s="8">
        <f t="shared" si="65"/>
        <v>202</v>
      </c>
      <c r="B247" s="124" t="s">
        <v>326</v>
      </c>
      <c r="C247" s="273">
        <f t="shared" si="63"/>
        <v>120421.86</v>
      </c>
      <c r="D247" s="273">
        <f t="shared" si="66"/>
        <v>0</v>
      </c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  <c r="V247" s="273"/>
      <c r="W247" s="273">
        <f>SUM(X247:AH247)</f>
        <v>120421.86</v>
      </c>
      <c r="X247" s="273">
        <v>120421.86</v>
      </c>
      <c r="Y247" s="273"/>
      <c r="Z247" s="273"/>
      <c r="AA247" s="273"/>
      <c r="AB247" s="273"/>
      <c r="AC247" s="273"/>
      <c r="AD247" s="16"/>
      <c r="AE247" s="17"/>
      <c r="AF247" s="17"/>
      <c r="AG247" s="13"/>
      <c r="AH247" s="13"/>
    </row>
    <row r="248" spans="1:34" x14ac:dyDescent="0.3">
      <c r="A248" s="8">
        <f t="shared" si="65"/>
        <v>203</v>
      </c>
      <c r="B248" s="124" t="s">
        <v>327</v>
      </c>
      <c r="C248" s="273">
        <f t="shared" si="63"/>
        <v>90487.78</v>
      </c>
      <c r="D248" s="273">
        <f t="shared" si="66"/>
        <v>0</v>
      </c>
      <c r="E248" s="273"/>
      <c r="F248" s="273"/>
      <c r="G248" s="273"/>
      <c r="H248" s="273"/>
      <c r="I248" s="273"/>
      <c r="J248" s="273"/>
      <c r="K248" s="273"/>
      <c r="L248" s="273"/>
      <c r="M248" s="273"/>
      <c r="N248" s="273"/>
      <c r="O248" s="273"/>
      <c r="P248" s="273"/>
      <c r="Q248" s="273"/>
      <c r="R248" s="273"/>
      <c r="S248" s="273"/>
      <c r="T248" s="273"/>
      <c r="U248" s="273"/>
      <c r="V248" s="273"/>
      <c r="W248" s="273">
        <f>SUM(Y248:AH248)</f>
        <v>90487.78</v>
      </c>
      <c r="Y248" s="273"/>
      <c r="Z248" s="273"/>
      <c r="AA248" s="273"/>
      <c r="AB248" s="273"/>
      <c r="AC248" s="273">
        <v>90487.78</v>
      </c>
      <c r="AD248" s="16"/>
      <c r="AE248" s="17"/>
      <c r="AF248" s="17"/>
      <c r="AG248" s="13"/>
      <c r="AH248" s="13"/>
    </row>
    <row r="249" spans="1:34" x14ac:dyDescent="0.3">
      <c r="A249" s="8">
        <f t="shared" si="65"/>
        <v>204</v>
      </c>
      <c r="B249" s="124" t="s">
        <v>328</v>
      </c>
      <c r="C249" s="273">
        <f t="shared" si="63"/>
        <v>209056.82</v>
      </c>
      <c r="D249" s="273">
        <f t="shared" si="66"/>
        <v>0</v>
      </c>
      <c r="E249" s="273"/>
      <c r="F249" s="273"/>
      <c r="G249" s="273"/>
      <c r="H249" s="273"/>
      <c r="I249" s="273"/>
      <c r="J249" s="273"/>
      <c r="K249" s="273"/>
      <c r="L249" s="273"/>
      <c r="M249" s="273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>
        <f>SUM(X249:AH249)</f>
        <v>209056.82</v>
      </c>
      <c r="X249" s="273"/>
      <c r="Y249" s="273"/>
      <c r="Z249" s="273"/>
      <c r="AA249" s="273"/>
      <c r="AB249" s="273"/>
      <c r="AD249" s="16"/>
      <c r="AE249" s="273">
        <v>209056.82</v>
      </c>
      <c r="AF249" s="17"/>
      <c r="AG249" s="13"/>
      <c r="AH249" s="13"/>
    </row>
    <row r="250" spans="1:34" x14ac:dyDescent="0.3">
      <c r="A250" s="8">
        <f t="shared" si="65"/>
        <v>205</v>
      </c>
      <c r="B250" s="124" t="s">
        <v>329</v>
      </c>
      <c r="C250" s="273">
        <f t="shared" si="63"/>
        <v>160697.75</v>
      </c>
      <c r="D250" s="273">
        <f t="shared" si="66"/>
        <v>0</v>
      </c>
      <c r="E250" s="273"/>
      <c r="F250" s="273"/>
      <c r="G250" s="273"/>
      <c r="H250" s="273"/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>
        <f>SUM(X250:AH250)</f>
        <v>160697.75</v>
      </c>
      <c r="X250" s="273"/>
      <c r="Y250" s="273"/>
      <c r="Z250" s="273"/>
      <c r="AA250" s="273"/>
      <c r="AB250" s="273"/>
      <c r="AC250" s="273"/>
      <c r="AD250" s="16"/>
      <c r="AE250" s="17"/>
      <c r="AG250" s="13"/>
      <c r="AH250" s="17">
        <v>160697.75</v>
      </c>
    </row>
    <row r="251" spans="1:34" x14ac:dyDescent="0.3">
      <c r="A251" s="8">
        <f t="shared" si="65"/>
        <v>206</v>
      </c>
      <c r="B251" s="124" t="s">
        <v>333</v>
      </c>
      <c r="C251" s="273">
        <f t="shared" si="63"/>
        <v>10888231</v>
      </c>
      <c r="D251" s="273">
        <f t="shared" si="66"/>
        <v>0</v>
      </c>
      <c r="E251" s="273"/>
      <c r="F251" s="273"/>
      <c r="G251" s="273"/>
      <c r="H251" s="273"/>
      <c r="I251" s="273"/>
      <c r="J251" s="273"/>
      <c r="K251" s="273"/>
      <c r="L251" s="273"/>
      <c r="M251" s="273"/>
      <c r="N251" s="273"/>
      <c r="O251" s="273">
        <v>407</v>
      </c>
      <c r="P251" s="273">
        <f>O251*26433</f>
        <v>10758231</v>
      </c>
      <c r="Q251" s="273"/>
      <c r="R251" s="273"/>
      <c r="S251" s="273"/>
      <c r="T251" s="273"/>
      <c r="U251" s="273"/>
      <c r="V251" s="273"/>
      <c r="W251" s="273">
        <v>130000</v>
      </c>
      <c r="X251" s="273"/>
      <c r="Y251" s="273"/>
      <c r="Z251" s="273"/>
      <c r="AA251" s="273"/>
      <c r="AB251" s="273"/>
      <c r="AC251" s="273"/>
      <c r="AD251" s="16"/>
      <c r="AE251" s="17"/>
      <c r="AF251" s="17"/>
      <c r="AG251" s="13"/>
      <c r="AH251" s="13"/>
    </row>
    <row r="252" spans="1:34" x14ac:dyDescent="0.3">
      <c r="A252" s="8">
        <f t="shared" si="65"/>
        <v>207</v>
      </c>
      <c r="B252" s="124" t="s">
        <v>336</v>
      </c>
      <c r="C252" s="273">
        <f t="shared" si="63"/>
        <v>130000</v>
      </c>
      <c r="D252" s="273">
        <f t="shared" si="66"/>
        <v>0</v>
      </c>
      <c r="E252" s="273"/>
      <c r="F252" s="273"/>
      <c r="G252" s="273"/>
      <c r="H252" s="273"/>
      <c r="I252" s="273"/>
      <c r="J252" s="273"/>
      <c r="K252" s="273"/>
      <c r="L252" s="273"/>
      <c r="M252" s="273"/>
      <c r="N252" s="273"/>
      <c r="O252" s="273"/>
      <c r="P252" s="273"/>
      <c r="Q252" s="273"/>
      <c r="R252" s="273"/>
      <c r="S252" s="273"/>
      <c r="T252" s="273"/>
      <c r="U252" s="273"/>
      <c r="V252" s="273"/>
      <c r="W252" s="273">
        <v>130000</v>
      </c>
      <c r="X252" s="273"/>
      <c r="Y252" s="273"/>
      <c r="Z252" s="273"/>
      <c r="AA252" s="273"/>
      <c r="AB252" s="273"/>
      <c r="AC252" s="273"/>
      <c r="AD252" s="16"/>
      <c r="AE252" s="17"/>
      <c r="AF252" s="17"/>
      <c r="AG252" s="13"/>
      <c r="AH252" s="13"/>
    </row>
    <row r="253" spans="1:34" x14ac:dyDescent="0.3">
      <c r="A253" s="8">
        <f t="shared" si="65"/>
        <v>208</v>
      </c>
      <c r="B253" s="124" t="s">
        <v>337</v>
      </c>
      <c r="C253" s="273">
        <f t="shared" si="63"/>
        <v>233269.6</v>
      </c>
      <c r="D253" s="273">
        <f t="shared" si="66"/>
        <v>0</v>
      </c>
      <c r="E253" s="273"/>
      <c r="F253" s="273"/>
      <c r="G253" s="273"/>
      <c r="H253" s="273"/>
      <c r="I253" s="273"/>
      <c r="J253" s="273"/>
      <c r="K253" s="273"/>
      <c r="L253" s="273"/>
      <c r="M253" s="273"/>
      <c r="N253" s="273"/>
      <c r="O253" s="273"/>
      <c r="P253" s="273"/>
      <c r="Q253" s="273"/>
      <c r="R253" s="273"/>
      <c r="S253" s="273"/>
      <c r="T253" s="273"/>
      <c r="U253" s="273"/>
      <c r="V253" s="273"/>
      <c r="W253" s="273">
        <f t="shared" ref="W253:W259" si="67">SUM(X253:AH253)</f>
        <v>233269.6</v>
      </c>
      <c r="X253" s="273"/>
      <c r="Y253" s="273"/>
      <c r="Z253" s="273"/>
      <c r="AA253" s="273"/>
      <c r="AB253" s="273"/>
      <c r="AD253" s="16"/>
      <c r="AE253" s="273">
        <v>233269.6</v>
      </c>
      <c r="AF253" s="17"/>
      <c r="AG253" s="13"/>
      <c r="AH253" s="13"/>
    </row>
    <row r="254" spans="1:34" x14ac:dyDescent="0.3">
      <c r="A254" s="8">
        <f t="shared" si="65"/>
        <v>209</v>
      </c>
      <c r="B254" s="124" t="s">
        <v>338</v>
      </c>
      <c r="C254" s="273">
        <f t="shared" si="63"/>
        <v>1422601.44</v>
      </c>
      <c r="D254" s="273">
        <f t="shared" si="66"/>
        <v>0</v>
      </c>
      <c r="E254" s="273"/>
      <c r="F254" s="273"/>
      <c r="G254" s="273"/>
      <c r="H254" s="273"/>
      <c r="I254" s="273"/>
      <c r="J254" s="273"/>
      <c r="K254" s="273"/>
      <c r="L254" s="273"/>
      <c r="M254" s="273">
        <v>175.76</v>
      </c>
      <c r="N254" s="273">
        <f>M254*8094</f>
        <v>1422601.44</v>
      </c>
      <c r="O254" s="273"/>
      <c r="P254" s="273"/>
      <c r="Q254" s="273"/>
      <c r="R254" s="273"/>
      <c r="S254" s="273"/>
      <c r="T254" s="273"/>
      <c r="U254" s="273"/>
      <c r="V254" s="273"/>
      <c r="W254" s="273">
        <f t="shared" si="67"/>
        <v>0</v>
      </c>
      <c r="X254" s="273"/>
      <c r="Y254" s="273"/>
      <c r="Z254" s="273"/>
      <c r="AA254" s="273"/>
      <c r="AB254" s="273"/>
      <c r="AC254" s="273"/>
      <c r="AD254" s="16"/>
      <c r="AE254" s="17"/>
      <c r="AF254" s="17"/>
      <c r="AG254" s="13"/>
      <c r="AH254" s="13"/>
    </row>
    <row r="255" spans="1:34" x14ac:dyDescent="0.3">
      <c r="A255" s="8">
        <f t="shared" si="65"/>
        <v>210</v>
      </c>
      <c r="B255" s="124" t="s">
        <v>339</v>
      </c>
      <c r="C255" s="273">
        <f t="shared" si="63"/>
        <v>156484.62</v>
      </c>
      <c r="D255" s="273">
        <f t="shared" si="66"/>
        <v>0</v>
      </c>
      <c r="E255" s="273"/>
      <c r="F255" s="273"/>
      <c r="G255" s="273"/>
      <c r="H255" s="273"/>
      <c r="I255" s="273"/>
      <c r="J255" s="273"/>
      <c r="K255" s="273"/>
      <c r="L255" s="273"/>
      <c r="M255" s="273"/>
      <c r="N255" s="273"/>
      <c r="O255" s="273"/>
      <c r="P255" s="273"/>
      <c r="Q255" s="273"/>
      <c r="R255" s="273"/>
      <c r="S255" s="273"/>
      <c r="T255" s="273"/>
      <c r="U255" s="273"/>
      <c r="V255" s="273"/>
      <c r="W255" s="273">
        <f t="shared" si="67"/>
        <v>156484.62</v>
      </c>
      <c r="X255" s="273"/>
      <c r="Y255" s="273"/>
      <c r="Z255" s="273"/>
      <c r="AA255" s="273"/>
      <c r="AB255" s="273"/>
      <c r="AC255" s="273"/>
      <c r="AE255" s="17"/>
      <c r="AF255" s="16">
        <v>156484.62</v>
      </c>
      <c r="AG255" s="13"/>
      <c r="AH255" s="13"/>
    </row>
    <row r="256" spans="1:34" x14ac:dyDescent="0.3">
      <c r="A256" s="8">
        <f t="shared" si="65"/>
        <v>211</v>
      </c>
      <c r="B256" s="124" t="s">
        <v>340</v>
      </c>
      <c r="C256" s="273">
        <f t="shared" si="63"/>
        <v>191432.33</v>
      </c>
      <c r="D256" s="273">
        <f t="shared" si="66"/>
        <v>0</v>
      </c>
      <c r="E256" s="273"/>
      <c r="F256" s="273"/>
      <c r="G256" s="273"/>
      <c r="H256" s="273"/>
      <c r="I256" s="273"/>
      <c r="J256" s="273"/>
      <c r="K256" s="273"/>
      <c r="L256" s="273"/>
      <c r="M256" s="273"/>
      <c r="N256" s="273"/>
      <c r="O256" s="273"/>
      <c r="P256" s="273"/>
      <c r="Q256" s="273"/>
      <c r="R256" s="273"/>
      <c r="S256" s="273"/>
      <c r="T256" s="273"/>
      <c r="U256" s="273"/>
      <c r="V256" s="273"/>
      <c r="W256" s="273">
        <f t="shared" si="67"/>
        <v>191432.33</v>
      </c>
      <c r="X256" s="273"/>
      <c r="Y256" s="273"/>
      <c r="Z256" s="273"/>
      <c r="AA256" s="273"/>
      <c r="AB256" s="273"/>
      <c r="AD256" s="16"/>
      <c r="AE256" s="273">
        <v>191432.33</v>
      </c>
      <c r="AF256" s="17"/>
      <c r="AG256" s="13"/>
      <c r="AH256" s="13"/>
    </row>
    <row r="257" spans="1:34" x14ac:dyDescent="0.3">
      <c r="A257" s="8">
        <f t="shared" si="65"/>
        <v>212</v>
      </c>
      <c r="B257" s="124" t="s">
        <v>341</v>
      </c>
      <c r="C257" s="273">
        <f t="shared" si="63"/>
        <v>191432.33</v>
      </c>
      <c r="D257" s="273">
        <f t="shared" si="66"/>
        <v>0</v>
      </c>
      <c r="E257" s="273"/>
      <c r="F257" s="273"/>
      <c r="G257" s="273"/>
      <c r="H257" s="273"/>
      <c r="I257" s="273"/>
      <c r="J257" s="273"/>
      <c r="K257" s="273"/>
      <c r="L257" s="273"/>
      <c r="M257" s="273"/>
      <c r="N257" s="273"/>
      <c r="O257" s="273"/>
      <c r="P257" s="273"/>
      <c r="Q257" s="273"/>
      <c r="R257" s="273"/>
      <c r="S257" s="273"/>
      <c r="T257" s="273"/>
      <c r="U257" s="273"/>
      <c r="V257" s="273"/>
      <c r="W257" s="273">
        <f t="shared" si="67"/>
        <v>191432.33</v>
      </c>
      <c r="X257" s="273"/>
      <c r="Y257" s="273"/>
      <c r="Z257" s="273"/>
      <c r="AA257" s="273"/>
      <c r="AB257" s="273"/>
      <c r="AD257" s="16"/>
      <c r="AE257" s="273">
        <v>191432.33</v>
      </c>
      <c r="AF257" s="17"/>
      <c r="AG257" s="13"/>
      <c r="AH257" s="13"/>
    </row>
    <row r="258" spans="1:34" x14ac:dyDescent="0.3">
      <c r="A258" s="8">
        <f t="shared" si="65"/>
        <v>213</v>
      </c>
      <c r="B258" s="124" t="s">
        <v>342</v>
      </c>
      <c r="C258" s="273">
        <f t="shared" si="63"/>
        <v>191432.33</v>
      </c>
      <c r="D258" s="273">
        <f t="shared" si="66"/>
        <v>0</v>
      </c>
      <c r="E258" s="273"/>
      <c r="F258" s="273"/>
      <c r="G258" s="273"/>
      <c r="H258" s="273"/>
      <c r="I258" s="273"/>
      <c r="J258" s="273"/>
      <c r="K258" s="273"/>
      <c r="L258" s="273"/>
      <c r="M258" s="273"/>
      <c r="N258" s="273"/>
      <c r="O258" s="273"/>
      <c r="P258" s="273"/>
      <c r="Q258" s="273"/>
      <c r="R258" s="273"/>
      <c r="S258" s="273"/>
      <c r="T258" s="273"/>
      <c r="U258" s="273"/>
      <c r="V258" s="273"/>
      <c r="W258" s="273">
        <f t="shared" si="67"/>
        <v>191432.33</v>
      </c>
      <c r="X258" s="273"/>
      <c r="Y258" s="273"/>
      <c r="Z258" s="273"/>
      <c r="AA258" s="273"/>
      <c r="AB258" s="273"/>
      <c r="AD258" s="16"/>
      <c r="AE258" s="273">
        <v>191432.33</v>
      </c>
      <c r="AF258" s="17"/>
      <c r="AG258" s="13"/>
      <c r="AH258" s="13"/>
    </row>
    <row r="259" spans="1:34" x14ac:dyDescent="0.3">
      <c r="A259" s="8">
        <f t="shared" si="65"/>
        <v>214</v>
      </c>
      <c r="B259" s="124" t="s">
        <v>343</v>
      </c>
      <c r="C259" s="273">
        <f t="shared" si="63"/>
        <v>191432.33</v>
      </c>
      <c r="D259" s="273">
        <f t="shared" si="66"/>
        <v>0</v>
      </c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>
        <f t="shared" si="67"/>
        <v>191432.33</v>
      </c>
      <c r="X259" s="273"/>
      <c r="Y259" s="273"/>
      <c r="Z259" s="273"/>
      <c r="AA259" s="273"/>
      <c r="AB259" s="273"/>
      <c r="AD259" s="16"/>
      <c r="AE259" s="273">
        <v>191432.33</v>
      </c>
      <c r="AF259" s="17"/>
      <c r="AG259" s="13"/>
      <c r="AH259" s="13"/>
    </row>
    <row r="260" spans="1:34" x14ac:dyDescent="0.3">
      <c r="A260" s="8">
        <f t="shared" si="65"/>
        <v>215</v>
      </c>
      <c r="B260" s="124" t="s">
        <v>344</v>
      </c>
      <c r="C260" s="273">
        <f t="shared" si="63"/>
        <v>130000</v>
      </c>
      <c r="D260" s="273">
        <f t="shared" si="66"/>
        <v>0</v>
      </c>
      <c r="E260" s="273"/>
      <c r="F260" s="273"/>
      <c r="G260" s="273"/>
      <c r="H260" s="273"/>
      <c r="I260" s="273"/>
      <c r="J260" s="273"/>
      <c r="K260" s="273"/>
      <c r="L260" s="273"/>
      <c r="M260" s="273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>
        <v>130000</v>
      </c>
      <c r="X260" s="273"/>
      <c r="Y260" s="273"/>
      <c r="Z260" s="273"/>
      <c r="AA260" s="273"/>
      <c r="AB260" s="273"/>
      <c r="AC260" s="273"/>
      <c r="AD260" s="16"/>
      <c r="AE260" s="17"/>
      <c r="AF260" s="17"/>
      <c r="AG260" s="13"/>
      <c r="AH260" s="13"/>
    </row>
    <row r="261" spans="1:34" x14ac:dyDescent="0.3">
      <c r="A261" s="8">
        <f t="shared" si="65"/>
        <v>216</v>
      </c>
      <c r="B261" s="124" t="s">
        <v>345</v>
      </c>
      <c r="C261" s="273">
        <f t="shared" ref="C261:C292" si="68">D261+K261+L261+N261+P261+R261+S261+U261+V261+W261</f>
        <v>130000</v>
      </c>
      <c r="D261" s="273">
        <f t="shared" si="66"/>
        <v>0</v>
      </c>
      <c r="E261" s="273"/>
      <c r="F261" s="273"/>
      <c r="G261" s="273"/>
      <c r="H261" s="273"/>
      <c r="I261" s="273"/>
      <c r="J261" s="273"/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3"/>
      <c r="V261" s="273"/>
      <c r="W261" s="273">
        <v>130000</v>
      </c>
      <c r="X261" s="273"/>
      <c r="Y261" s="273"/>
      <c r="Z261" s="273"/>
      <c r="AA261" s="273"/>
      <c r="AB261" s="273"/>
      <c r="AC261" s="273"/>
      <c r="AD261" s="261"/>
      <c r="AE261" s="273"/>
      <c r="AF261" s="273"/>
      <c r="AG261" s="13"/>
      <c r="AH261" s="13"/>
    </row>
    <row r="262" spans="1:34" x14ac:dyDescent="0.3">
      <c r="A262" s="8">
        <f t="shared" ref="A262:A293" si="69">A261+1</f>
        <v>217</v>
      </c>
      <c r="B262" s="124" t="s">
        <v>347</v>
      </c>
      <c r="C262" s="273">
        <f t="shared" si="68"/>
        <v>263850.05</v>
      </c>
      <c r="D262" s="273">
        <f t="shared" si="66"/>
        <v>0</v>
      </c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>
        <f>SUM(X262:AH262)</f>
        <v>263850.05</v>
      </c>
      <c r="X262" s="86">
        <v>86823.9</v>
      </c>
      <c r="Y262" s="86"/>
      <c r="Z262" s="86"/>
      <c r="AB262" s="86">
        <v>89402.7</v>
      </c>
      <c r="AC262" s="86">
        <v>87623.45</v>
      </c>
      <c r="AD262" s="87"/>
      <c r="AE262" s="86"/>
      <c r="AF262" s="86"/>
      <c r="AG262" s="13"/>
      <c r="AH262" s="13"/>
    </row>
    <row r="263" spans="1:34" x14ac:dyDescent="0.3">
      <c r="A263" s="8">
        <f t="shared" si="69"/>
        <v>218</v>
      </c>
      <c r="B263" s="124" t="s">
        <v>348</v>
      </c>
      <c r="C263" s="273">
        <f t="shared" si="68"/>
        <v>2540334</v>
      </c>
      <c r="D263" s="273">
        <f t="shared" si="66"/>
        <v>0</v>
      </c>
      <c r="E263" s="273"/>
      <c r="F263" s="273"/>
      <c r="G263" s="273"/>
      <c r="H263" s="273"/>
      <c r="I263" s="273"/>
      <c r="J263" s="273"/>
      <c r="K263" s="273"/>
      <c r="L263" s="273"/>
      <c r="M263" s="273">
        <v>345.8</v>
      </c>
      <c r="N263" s="273">
        <v>2540334</v>
      </c>
      <c r="O263" s="273"/>
      <c r="P263" s="273"/>
      <c r="Q263" s="273"/>
      <c r="R263" s="273"/>
      <c r="S263" s="273"/>
      <c r="T263" s="273"/>
      <c r="U263" s="273"/>
      <c r="V263" s="273"/>
      <c r="W263" s="273"/>
      <c r="X263" s="86"/>
      <c r="Y263" s="86"/>
      <c r="Z263" s="86"/>
      <c r="AA263" s="86"/>
      <c r="AB263" s="86"/>
      <c r="AC263" s="86"/>
      <c r="AD263" s="87"/>
      <c r="AE263" s="86"/>
      <c r="AF263" s="86"/>
      <c r="AG263" s="13"/>
      <c r="AH263" s="13"/>
    </row>
    <row r="264" spans="1:34" x14ac:dyDescent="0.3">
      <c r="A264" s="8">
        <f t="shared" si="69"/>
        <v>219</v>
      </c>
      <c r="B264" s="124" t="s">
        <v>349</v>
      </c>
      <c r="C264" s="273">
        <f t="shared" si="68"/>
        <v>223356.07</v>
      </c>
      <c r="D264" s="273">
        <f t="shared" si="66"/>
        <v>0</v>
      </c>
      <c r="E264" s="273"/>
      <c r="F264" s="273"/>
      <c r="G264" s="273"/>
      <c r="H264" s="273"/>
      <c r="I264" s="273"/>
      <c r="J264" s="273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>
        <f>SUM(X264:AH264)</f>
        <v>223356.07</v>
      </c>
      <c r="Y264" s="86"/>
      <c r="Z264" s="86"/>
      <c r="AA264" s="86"/>
      <c r="AB264" s="86"/>
      <c r="AC264" s="108">
        <v>223356.07</v>
      </c>
      <c r="AE264" s="86"/>
      <c r="AF264" s="107"/>
      <c r="AG264" s="13"/>
      <c r="AH264" s="13"/>
    </row>
    <row r="265" spans="1:34" x14ac:dyDescent="0.3">
      <c r="A265" s="8">
        <f t="shared" si="69"/>
        <v>220</v>
      </c>
      <c r="B265" s="124" t="s">
        <v>350</v>
      </c>
      <c r="C265" s="273">
        <f t="shared" si="68"/>
        <v>2470715</v>
      </c>
      <c r="D265" s="273">
        <f t="shared" si="66"/>
        <v>2470715</v>
      </c>
      <c r="E265" s="273">
        <f>(358323*1)+2688*80</f>
        <v>573363</v>
      </c>
      <c r="F265" s="273">
        <f>170.5*5502+1*607361</f>
        <v>1545452</v>
      </c>
      <c r="G265" s="273">
        <f>3910*90</f>
        <v>351900</v>
      </c>
      <c r="H265" s="273"/>
      <c r="I265" s="273"/>
      <c r="J265" s="273"/>
      <c r="K265" s="273"/>
      <c r="L265" s="273"/>
      <c r="M265" s="273"/>
      <c r="N265" s="273"/>
      <c r="O265" s="273"/>
      <c r="P265" s="273"/>
      <c r="Q265" s="273"/>
      <c r="R265" s="273"/>
      <c r="S265" s="273"/>
      <c r="T265" s="273"/>
      <c r="U265" s="273"/>
      <c r="V265" s="273"/>
      <c r="W265" s="273"/>
      <c r="X265" s="86"/>
      <c r="Y265" s="86"/>
      <c r="Z265" s="86"/>
      <c r="AA265" s="86"/>
      <c r="AB265" s="86"/>
      <c r="AC265" s="86"/>
      <c r="AD265" s="87"/>
      <c r="AE265" s="86"/>
      <c r="AF265" s="86"/>
      <c r="AG265" s="13"/>
      <c r="AH265" s="13"/>
    </row>
    <row r="266" spans="1:34" x14ac:dyDescent="0.3">
      <c r="A266" s="8">
        <f t="shared" si="69"/>
        <v>221</v>
      </c>
      <c r="B266" s="124" t="s">
        <v>351</v>
      </c>
      <c r="C266" s="273">
        <f t="shared" si="68"/>
        <v>7845132.7999999989</v>
      </c>
      <c r="D266" s="273">
        <f t="shared" si="66"/>
        <v>2363066.6</v>
      </c>
      <c r="E266" s="273">
        <f>(358323*1)+2688*80</f>
        <v>573363</v>
      </c>
      <c r="F266" s="273">
        <f>163.3*5502+1*607361</f>
        <v>1505837.6</v>
      </c>
      <c r="G266" s="273">
        <f>3910*72.6</f>
        <v>283866</v>
      </c>
      <c r="H266" s="273"/>
      <c r="I266" s="273"/>
      <c r="J266" s="273"/>
      <c r="K266" s="273"/>
      <c r="L266" s="273"/>
      <c r="M266" s="273">
        <v>677.3</v>
      </c>
      <c r="N266" s="273">
        <f>M266*8094</f>
        <v>5482066.1999999993</v>
      </c>
      <c r="O266" s="273"/>
      <c r="P266" s="273"/>
      <c r="Q266" s="273"/>
      <c r="R266" s="273"/>
      <c r="S266" s="273"/>
      <c r="T266" s="273"/>
      <c r="U266" s="273"/>
      <c r="V266" s="273"/>
      <c r="W266" s="273">
        <f>SUM(X266:AH266)</f>
        <v>0</v>
      </c>
      <c r="X266" s="108"/>
      <c r="Y266" s="107"/>
      <c r="Z266" s="86"/>
      <c r="AB266" s="107"/>
      <c r="AC266" s="86"/>
      <c r="AD266" s="87"/>
      <c r="AE266" s="108"/>
      <c r="AF266" s="86"/>
      <c r="AG266" s="13" t="s">
        <v>352</v>
      </c>
      <c r="AH266" s="13"/>
    </row>
    <row r="267" spans="1:34" x14ac:dyDescent="0.3">
      <c r="A267" s="8">
        <f t="shared" si="69"/>
        <v>222</v>
      </c>
      <c r="B267" s="124" t="s">
        <v>353</v>
      </c>
      <c r="C267" s="273">
        <f t="shared" si="68"/>
        <v>130000</v>
      </c>
      <c r="D267" s="273">
        <f t="shared" si="66"/>
        <v>0</v>
      </c>
      <c r="E267" s="273"/>
      <c r="F267" s="273"/>
      <c r="G267" s="273"/>
      <c r="H267" s="273"/>
      <c r="I267" s="273"/>
      <c r="J267" s="273"/>
      <c r="K267" s="273"/>
      <c r="L267" s="273"/>
      <c r="M267" s="273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>
        <v>130000</v>
      </c>
      <c r="X267" s="86"/>
      <c r="Y267" s="86"/>
      <c r="Z267" s="86"/>
      <c r="AA267" s="86"/>
      <c r="AB267" s="86"/>
      <c r="AC267" s="86"/>
      <c r="AD267" s="87"/>
      <c r="AE267" s="86"/>
      <c r="AF267" s="86"/>
      <c r="AG267" s="13"/>
      <c r="AH267" s="13"/>
    </row>
    <row r="268" spans="1:34" x14ac:dyDescent="0.3">
      <c r="A268" s="8">
        <f t="shared" si="69"/>
        <v>223</v>
      </c>
      <c r="B268" s="124" t="s">
        <v>354</v>
      </c>
      <c r="C268" s="273">
        <f t="shared" si="68"/>
        <v>2901026.6</v>
      </c>
      <c r="D268" s="273">
        <f t="shared" si="66"/>
        <v>2901026.6</v>
      </c>
      <c r="E268" s="273"/>
      <c r="F268" s="273">
        <f>163.3*5502+2*607361</f>
        <v>2113198.6</v>
      </c>
      <c r="G268" s="273">
        <f>110*3910</f>
        <v>430100</v>
      </c>
      <c r="H268" s="273"/>
      <c r="I268" s="273">
        <f>3194*112</f>
        <v>357728</v>
      </c>
      <c r="J268" s="273"/>
      <c r="K268" s="273"/>
      <c r="L268" s="273"/>
      <c r="M268" s="273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/>
      <c r="X268" s="86"/>
      <c r="Y268" s="86"/>
      <c r="Z268" s="86"/>
      <c r="AA268" s="86"/>
      <c r="AB268" s="86"/>
      <c r="AC268" s="86"/>
      <c r="AD268" s="87"/>
      <c r="AE268" s="86"/>
      <c r="AF268" s="86"/>
      <c r="AG268" s="13"/>
    </row>
    <row r="269" spans="1:34" x14ac:dyDescent="0.3">
      <c r="A269" s="8">
        <f t="shared" si="69"/>
        <v>224</v>
      </c>
      <c r="B269" s="124" t="s">
        <v>355</v>
      </c>
      <c r="C269" s="273">
        <f t="shared" si="68"/>
        <v>118196.66</v>
      </c>
      <c r="D269" s="273">
        <f t="shared" si="66"/>
        <v>0</v>
      </c>
      <c r="E269" s="273"/>
      <c r="F269" s="273"/>
      <c r="G269" s="273"/>
      <c r="H269" s="273"/>
      <c r="I269" s="273"/>
      <c r="J269" s="273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>
        <f>SUM(Y269:AH269)</f>
        <v>118196.66</v>
      </c>
      <c r="Y269" s="86"/>
      <c r="Z269" s="86"/>
      <c r="AA269" s="86"/>
      <c r="AB269" s="86"/>
      <c r="AC269" s="86"/>
      <c r="AD269" s="87"/>
      <c r="AE269" s="86"/>
      <c r="AF269" s="86"/>
      <c r="AG269" s="13"/>
      <c r="AH269" s="107">
        <v>118196.66</v>
      </c>
    </row>
    <row r="270" spans="1:34" x14ac:dyDescent="0.3">
      <c r="A270" s="8">
        <f t="shared" si="69"/>
        <v>225</v>
      </c>
      <c r="B270" s="124" t="s">
        <v>356</v>
      </c>
      <c r="C270" s="273">
        <f t="shared" si="68"/>
        <v>280513.86</v>
      </c>
      <c r="D270" s="273">
        <f t="shared" si="66"/>
        <v>0</v>
      </c>
      <c r="E270" s="273"/>
      <c r="F270" s="273"/>
      <c r="G270" s="273"/>
      <c r="H270" s="273"/>
      <c r="I270" s="273"/>
      <c r="J270" s="273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3"/>
      <c r="V270" s="273"/>
      <c r="W270" s="273">
        <f t="shared" ref="W270:W292" si="70">SUM(X270:AH270)</f>
        <v>280513.86</v>
      </c>
      <c r="X270" s="107"/>
      <c r="Y270" s="107"/>
      <c r="Z270" s="86"/>
      <c r="AA270" s="108"/>
      <c r="AB270" s="107"/>
      <c r="AC270" s="107">
        <v>98501.59</v>
      </c>
      <c r="AD270" s="87"/>
      <c r="AE270" s="86">
        <v>182012.27</v>
      </c>
      <c r="AF270" s="86"/>
      <c r="AG270" s="13"/>
      <c r="AH270" s="13"/>
    </row>
    <row r="271" spans="1:34" x14ac:dyDescent="0.3">
      <c r="A271" s="8">
        <f t="shared" si="69"/>
        <v>226</v>
      </c>
      <c r="B271" s="124" t="s">
        <v>357</v>
      </c>
      <c r="C271" s="273">
        <f t="shared" si="68"/>
        <v>627123</v>
      </c>
      <c r="D271" s="273">
        <f t="shared" ref="D271:D302" si="71">E271+F271+G271+H271+I271</f>
        <v>627123</v>
      </c>
      <c r="E271" s="273">
        <f>(358323*1)+2688*100</f>
        <v>627123</v>
      </c>
      <c r="F271" s="273"/>
      <c r="G271" s="273"/>
      <c r="H271" s="273"/>
      <c r="I271" s="273"/>
      <c r="J271" s="273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>
        <f t="shared" si="70"/>
        <v>0</v>
      </c>
      <c r="X271" s="107"/>
      <c r="Y271" s="107"/>
      <c r="Z271" s="86"/>
      <c r="AA271" s="107"/>
      <c r="AB271" s="107"/>
      <c r="AC271" s="107"/>
      <c r="AD271" s="87"/>
      <c r="AE271" s="107"/>
      <c r="AF271" s="107"/>
      <c r="AG271" s="13"/>
      <c r="AH271" s="13"/>
    </row>
    <row r="272" spans="1:34" x14ac:dyDescent="0.3">
      <c r="A272" s="8">
        <f t="shared" si="69"/>
        <v>227</v>
      </c>
      <c r="B272" s="124" t="s">
        <v>358</v>
      </c>
      <c r="C272" s="273">
        <f t="shared" si="68"/>
        <v>1150679.6000000001</v>
      </c>
      <c r="D272" s="273">
        <f t="shared" si="71"/>
        <v>1150679.6000000001</v>
      </c>
      <c r="E272" s="273">
        <v>351111.6</v>
      </c>
      <c r="F272" s="273"/>
      <c r="G272" s="273"/>
      <c r="H272" s="273"/>
      <c r="I272" s="273">
        <f>142.78*5600</f>
        <v>799568</v>
      </c>
      <c r="J272" s="273"/>
      <c r="K272" s="273"/>
      <c r="L272" s="273"/>
      <c r="M272" s="273"/>
      <c r="N272" s="273"/>
      <c r="O272" s="273"/>
      <c r="P272" s="273"/>
      <c r="Q272" s="273"/>
      <c r="R272" s="273"/>
      <c r="S272" s="273"/>
      <c r="T272" s="273"/>
      <c r="U272" s="273"/>
      <c r="V272" s="273"/>
      <c r="W272" s="273">
        <f t="shared" si="70"/>
        <v>0</v>
      </c>
      <c r="X272" s="107"/>
      <c r="Y272" s="86"/>
      <c r="Z272" s="86"/>
      <c r="AA272" s="86"/>
      <c r="AB272" s="107"/>
      <c r="AC272" s="107"/>
      <c r="AD272" s="87"/>
      <c r="AE272" s="107"/>
      <c r="AF272" s="86"/>
      <c r="AG272" s="13"/>
    </row>
    <row r="273" spans="1:34" x14ac:dyDescent="0.3">
      <c r="A273" s="8">
        <f t="shared" si="69"/>
        <v>228</v>
      </c>
      <c r="B273" s="124" t="s">
        <v>359</v>
      </c>
      <c r="C273" s="273">
        <f t="shared" si="68"/>
        <v>134066.66</v>
      </c>
      <c r="D273" s="273">
        <f t="shared" si="71"/>
        <v>0</v>
      </c>
      <c r="E273" s="273"/>
      <c r="F273" s="273"/>
      <c r="G273" s="273"/>
      <c r="H273" s="273"/>
      <c r="I273" s="273"/>
      <c r="J273" s="273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>
        <f t="shared" si="70"/>
        <v>134066.66</v>
      </c>
      <c r="X273" s="86"/>
      <c r="Y273" s="86"/>
      <c r="Z273" s="86"/>
      <c r="AA273" s="107"/>
      <c r="AB273" s="86"/>
      <c r="AC273" s="107"/>
      <c r="AD273" s="87"/>
      <c r="AE273" s="107">
        <v>134066.66</v>
      </c>
      <c r="AF273" s="107"/>
      <c r="AG273" s="13"/>
      <c r="AH273" s="13"/>
    </row>
    <row r="274" spans="1:34" x14ac:dyDescent="0.3">
      <c r="A274" s="8">
        <f t="shared" si="69"/>
        <v>229</v>
      </c>
      <c r="B274" s="124" t="s">
        <v>360</v>
      </c>
      <c r="C274" s="273">
        <f t="shared" si="68"/>
        <v>4217118</v>
      </c>
      <c r="D274" s="273">
        <f t="shared" si="71"/>
        <v>0</v>
      </c>
      <c r="E274" s="273"/>
      <c r="F274" s="273"/>
      <c r="G274" s="273"/>
      <c r="H274" s="273"/>
      <c r="I274" s="273"/>
      <c r="J274" s="273"/>
      <c r="K274" s="273"/>
      <c r="L274" s="273"/>
      <c r="M274" s="273">
        <v>610</v>
      </c>
      <c r="N274" s="273">
        <v>4217118</v>
      </c>
      <c r="O274" s="273"/>
      <c r="P274" s="273"/>
      <c r="Q274" s="273"/>
      <c r="R274" s="273"/>
      <c r="S274" s="273"/>
      <c r="T274" s="273"/>
      <c r="U274" s="273"/>
      <c r="V274" s="273"/>
      <c r="W274" s="273">
        <f t="shared" si="70"/>
        <v>0</v>
      </c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3"/>
      <c r="AH274" s="13"/>
    </row>
    <row r="275" spans="1:34" x14ac:dyDescent="0.3">
      <c r="A275" s="8">
        <f t="shared" si="69"/>
        <v>230</v>
      </c>
      <c r="B275" s="124" t="s">
        <v>361</v>
      </c>
      <c r="C275" s="273">
        <f t="shared" si="68"/>
        <v>160656.66</v>
      </c>
      <c r="D275" s="273">
        <f t="shared" si="71"/>
        <v>0</v>
      </c>
      <c r="E275" s="273"/>
      <c r="F275" s="273"/>
      <c r="G275" s="273"/>
      <c r="H275" s="273"/>
      <c r="I275" s="273"/>
      <c r="J275" s="273"/>
      <c r="K275" s="273"/>
      <c r="L275" s="273"/>
      <c r="M275" s="273"/>
      <c r="N275" s="273"/>
      <c r="O275" s="273"/>
      <c r="P275" s="273"/>
      <c r="Q275" s="273"/>
      <c r="R275" s="273"/>
      <c r="S275" s="273"/>
      <c r="T275" s="273"/>
      <c r="U275" s="273"/>
      <c r="V275" s="273"/>
      <c r="W275" s="273">
        <f t="shared" si="70"/>
        <v>160656.66</v>
      </c>
      <c r="X275" s="107"/>
      <c r="Y275" s="107"/>
      <c r="Z275" s="107"/>
      <c r="AA275" s="107"/>
      <c r="AB275" s="107"/>
      <c r="AC275" s="107"/>
      <c r="AD275" s="107"/>
      <c r="AE275" s="107"/>
      <c r="AF275" s="107">
        <v>160656.66</v>
      </c>
      <c r="AG275" s="13"/>
      <c r="AH275" s="13"/>
    </row>
    <row r="276" spans="1:34" x14ac:dyDescent="0.3">
      <c r="A276" s="8">
        <f t="shared" si="69"/>
        <v>231</v>
      </c>
      <c r="B276" s="124" t="s">
        <v>362</v>
      </c>
      <c r="C276" s="273">
        <f t="shared" si="68"/>
        <v>72561.89</v>
      </c>
      <c r="D276" s="273">
        <f t="shared" si="71"/>
        <v>0</v>
      </c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>
        <f t="shared" si="70"/>
        <v>72561.89</v>
      </c>
      <c r="X276" s="107">
        <v>72561.89</v>
      </c>
      <c r="Y276" s="107"/>
      <c r="Z276" s="107"/>
      <c r="AA276" s="107"/>
      <c r="AB276" s="107"/>
      <c r="AC276" s="107"/>
      <c r="AD276" s="107"/>
      <c r="AE276" s="107"/>
      <c r="AF276" s="107"/>
      <c r="AG276" s="13"/>
      <c r="AH276" s="13"/>
    </row>
    <row r="277" spans="1:34" x14ac:dyDescent="0.3">
      <c r="A277" s="8">
        <f t="shared" si="69"/>
        <v>232</v>
      </c>
      <c r="B277" s="124" t="s">
        <v>363</v>
      </c>
      <c r="C277" s="273">
        <f t="shared" si="68"/>
        <v>248555.45</v>
      </c>
      <c r="D277" s="273">
        <f t="shared" si="71"/>
        <v>0</v>
      </c>
      <c r="E277" s="273"/>
      <c r="F277" s="273"/>
      <c r="G277" s="273"/>
      <c r="H277" s="273"/>
      <c r="I277" s="273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>
        <f t="shared" si="70"/>
        <v>248555.45</v>
      </c>
      <c r="X277" s="107"/>
      <c r="Y277" s="107"/>
      <c r="Z277" s="107"/>
      <c r="AA277" s="107"/>
      <c r="AB277" s="107"/>
      <c r="AC277" s="107"/>
      <c r="AD277" s="107"/>
      <c r="AE277" s="107"/>
      <c r="AF277" s="107">
        <v>248555.45</v>
      </c>
      <c r="AG277" s="13"/>
      <c r="AH277" s="13"/>
    </row>
    <row r="278" spans="1:34" x14ac:dyDescent="0.3">
      <c r="A278" s="8">
        <f t="shared" si="69"/>
        <v>233</v>
      </c>
      <c r="B278" s="124" t="s">
        <v>364</v>
      </c>
      <c r="C278" s="273">
        <f t="shared" si="68"/>
        <v>132046.26</v>
      </c>
      <c r="D278" s="273">
        <f t="shared" si="71"/>
        <v>0</v>
      </c>
      <c r="E278" s="273"/>
      <c r="F278" s="273"/>
      <c r="G278" s="273"/>
      <c r="H278" s="273"/>
      <c r="I278" s="273"/>
      <c r="J278" s="273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>
        <f t="shared" si="70"/>
        <v>132046.26</v>
      </c>
      <c r="X278" s="107"/>
      <c r="Y278" s="107"/>
      <c r="Z278" s="107"/>
      <c r="AA278" s="235"/>
      <c r="AB278" s="107"/>
      <c r="AC278" s="107"/>
      <c r="AD278" s="235"/>
      <c r="AE278" s="107">
        <v>132046.26</v>
      </c>
      <c r="AF278" s="107"/>
      <c r="AG278" s="13"/>
      <c r="AH278" s="13"/>
    </row>
    <row r="279" spans="1:34" x14ac:dyDescent="0.3">
      <c r="A279" s="8">
        <f t="shared" si="69"/>
        <v>234</v>
      </c>
      <c r="B279" s="124" t="s">
        <v>365</v>
      </c>
      <c r="C279" s="273">
        <f t="shared" si="68"/>
        <v>111649.57</v>
      </c>
      <c r="D279" s="273">
        <f t="shared" si="71"/>
        <v>0</v>
      </c>
      <c r="E279" s="273"/>
      <c r="F279" s="273"/>
      <c r="G279" s="273"/>
      <c r="H279" s="273"/>
      <c r="I279" s="273"/>
      <c r="J279" s="273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3"/>
      <c r="V279" s="273"/>
      <c r="W279" s="273">
        <f t="shared" si="70"/>
        <v>111649.57</v>
      </c>
      <c r="X279" s="107"/>
      <c r="Y279" s="107"/>
      <c r="Z279" s="107"/>
      <c r="AA279" s="235"/>
      <c r="AB279" s="107"/>
      <c r="AC279" s="107"/>
      <c r="AD279" s="235"/>
      <c r="AE279" s="107">
        <v>111649.57</v>
      </c>
      <c r="AF279" s="107"/>
      <c r="AG279" s="13"/>
      <c r="AH279" s="13"/>
    </row>
    <row r="280" spans="1:34" x14ac:dyDescent="0.3">
      <c r="A280" s="8">
        <f t="shared" si="69"/>
        <v>235</v>
      </c>
      <c r="B280" s="124" t="s">
        <v>366</v>
      </c>
      <c r="C280" s="273">
        <f t="shared" si="68"/>
        <v>219917.02</v>
      </c>
      <c r="D280" s="273">
        <f t="shared" si="71"/>
        <v>0</v>
      </c>
      <c r="E280" s="273"/>
      <c r="F280" s="273"/>
      <c r="G280" s="273"/>
      <c r="H280" s="273"/>
      <c r="I280" s="273"/>
      <c r="J280" s="273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>
        <f t="shared" si="70"/>
        <v>219917.02</v>
      </c>
      <c r="X280" s="107"/>
      <c r="Y280" s="107"/>
      <c r="Z280" s="107"/>
      <c r="AA280" s="235"/>
      <c r="AB280" s="107"/>
      <c r="AC280" s="107"/>
      <c r="AD280" s="235"/>
      <c r="AE280" s="107">
        <v>219917.02</v>
      </c>
      <c r="AF280" s="107"/>
      <c r="AG280" s="13"/>
      <c r="AH280" s="13"/>
    </row>
    <row r="281" spans="1:34" x14ac:dyDescent="0.3">
      <c r="A281" s="8">
        <f t="shared" si="69"/>
        <v>236</v>
      </c>
      <c r="B281" s="124" t="s">
        <v>367</v>
      </c>
      <c r="C281" s="273">
        <f t="shared" si="68"/>
        <v>212514.88</v>
      </c>
      <c r="D281" s="273">
        <f t="shared" si="71"/>
        <v>0</v>
      </c>
      <c r="E281" s="273"/>
      <c r="F281" s="273"/>
      <c r="G281" s="273"/>
      <c r="H281" s="273"/>
      <c r="I281" s="273"/>
      <c r="J281" s="273"/>
      <c r="K281" s="273"/>
      <c r="L281" s="273"/>
      <c r="M281" s="273"/>
      <c r="N281" s="273"/>
      <c r="O281" s="273"/>
      <c r="P281" s="273"/>
      <c r="Q281" s="273"/>
      <c r="R281" s="273"/>
      <c r="S281" s="273"/>
      <c r="T281" s="273"/>
      <c r="U281" s="273"/>
      <c r="V281" s="273"/>
      <c r="W281" s="273">
        <f t="shared" si="70"/>
        <v>212514.88</v>
      </c>
      <c r="X281" s="107"/>
      <c r="Y281" s="107"/>
      <c r="Z281" s="107"/>
      <c r="AA281" s="235"/>
      <c r="AB281" s="107"/>
      <c r="AC281" s="107"/>
      <c r="AD281" s="235"/>
      <c r="AE281" s="107">
        <v>212514.88</v>
      </c>
      <c r="AF281" s="107"/>
      <c r="AG281" s="13"/>
      <c r="AH281" s="13"/>
    </row>
    <row r="282" spans="1:34" x14ac:dyDescent="0.3">
      <c r="A282" s="8">
        <f t="shared" si="69"/>
        <v>237</v>
      </c>
      <c r="B282" s="124" t="s">
        <v>368</v>
      </c>
      <c r="C282" s="273">
        <f t="shared" si="68"/>
        <v>181553.27</v>
      </c>
      <c r="D282" s="273">
        <f t="shared" si="71"/>
        <v>0</v>
      </c>
      <c r="E282" s="273"/>
      <c r="F282" s="273"/>
      <c r="G282" s="273"/>
      <c r="H282" s="273"/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>
        <f t="shared" si="70"/>
        <v>181553.27</v>
      </c>
      <c r="X282" s="107"/>
      <c r="Y282" s="107"/>
      <c r="Z282" s="107"/>
      <c r="AA282" s="107"/>
      <c r="AB282" s="107"/>
      <c r="AD282" s="107"/>
      <c r="AE282" s="107">
        <v>181553.27</v>
      </c>
      <c r="AF282" s="107"/>
      <c r="AG282" s="13"/>
      <c r="AH282" s="13"/>
    </row>
    <row r="283" spans="1:34" x14ac:dyDescent="0.3">
      <c r="A283" s="8">
        <f t="shared" si="69"/>
        <v>238</v>
      </c>
      <c r="B283" s="124" t="s">
        <v>369</v>
      </c>
      <c r="C283" s="273">
        <f t="shared" si="68"/>
        <v>181553.27</v>
      </c>
      <c r="D283" s="273">
        <f t="shared" si="71"/>
        <v>0</v>
      </c>
      <c r="E283" s="273"/>
      <c r="F283" s="273"/>
      <c r="G283" s="273"/>
      <c r="H283" s="273"/>
      <c r="I283" s="273"/>
      <c r="J283" s="273"/>
      <c r="K283" s="273"/>
      <c r="L283" s="273"/>
      <c r="M283" s="273"/>
      <c r="N283" s="273"/>
      <c r="O283" s="273"/>
      <c r="P283" s="273"/>
      <c r="Q283" s="273"/>
      <c r="R283" s="273"/>
      <c r="S283" s="273"/>
      <c r="T283" s="273"/>
      <c r="U283" s="273"/>
      <c r="V283" s="273"/>
      <c r="W283" s="273">
        <f t="shared" si="70"/>
        <v>181553.27</v>
      </c>
      <c r="X283" s="107"/>
      <c r="Y283" s="107"/>
      <c r="Z283" s="107"/>
      <c r="AA283" s="107"/>
      <c r="AB283" s="107"/>
      <c r="AD283" s="107"/>
      <c r="AE283" s="107">
        <v>181553.27</v>
      </c>
      <c r="AF283" s="107"/>
      <c r="AG283" s="13"/>
      <c r="AH283" s="13"/>
    </row>
    <row r="284" spans="1:34" x14ac:dyDescent="0.3">
      <c r="A284" s="8">
        <f t="shared" si="69"/>
        <v>239</v>
      </c>
      <c r="B284" s="124" t="s">
        <v>370</v>
      </c>
      <c r="C284" s="273">
        <f t="shared" si="68"/>
        <v>198904.5</v>
      </c>
      <c r="D284" s="273">
        <f t="shared" si="71"/>
        <v>0</v>
      </c>
      <c r="E284" s="273"/>
      <c r="F284" s="273"/>
      <c r="G284" s="273"/>
      <c r="H284" s="273"/>
      <c r="I284" s="273"/>
      <c r="J284" s="273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3"/>
      <c r="V284" s="273"/>
      <c r="W284" s="273">
        <f t="shared" si="70"/>
        <v>198904.5</v>
      </c>
      <c r="X284" s="107"/>
      <c r="Y284" s="107"/>
      <c r="Z284" s="107"/>
      <c r="AA284" s="107"/>
      <c r="AB284" s="107"/>
      <c r="AD284" s="107"/>
      <c r="AE284" s="107">
        <v>198904.5</v>
      </c>
      <c r="AF284" s="107"/>
      <c r="AG284" s="13"/>
      <c r="AH284" s="13"/>
    </row>
    <row r="285" spans="1:34" x14ac:dyDescent="0.3">
      <c r="A285" s="8">
        <f t="shared" si="69"/>
        <v>240</v>
      </c>
      <c r="B285" s="124" t="s">
        <v>371</v>
      </c>
      <c r="C285" s="273">
        <f t="shared" si="68"/>
        <v>182349.19</v>
      </c>
      <c r="D285" s="273">
        <f t="shared" si="71"/>
        <v>0</v>
      </c>
      <c r="E285" s="273"/>
      <c r="F285" s="273"/>
      <c r="G285" s="273"/>
      <c r="H285" s="273"/>
      <c r="I285" s="273"/>
      <c r="J285" s="273"/>
      <c r="K285" s="273"/>
      <c r="L285" s="273"/>
      <c r="M285" s="273"/>
      <c r="N285" s="273"/>
      <c r="O285" s="273"/>
      <c r="P285" s="273"/>
      <c r="Q285" s="273"/>
      <c r="R285" s="273"/>
      <c r="S285" s="273"/>
      <c r="T285" s="273"/>
      <c r="U285" s="273"/>
      <c r="V285" s="273"/>
      <c r="W285" s="273">
        <f t="shared" si="70"/>
        <v>182349.19</v>
      </c>
      <c r="X285" s="107"/>
      <c r="Y285" s="107"/>
      <c r="Z285" s="107"/>
      <c r="AA285" s="107"/>
      <c r="AB285" s="107"/>
      <c r="AD285" s="107"/>
      <c r="AE285" s="107">
        <v>182349.19</v>
      </c>
      <c r="AF285" s="107"/>
      <c r="AG285" s="13"/>
      <c r="AH285" s="13"/>
    </row>
    <row r="286" spans="1:34" x14ac:dyDescent="0.3">
      <c r="A286" s="8">
        <f t="shared" si="69"/>
        <v>241</v>
      </c>
      <c r="B286" s="124" t="s">
        <v>372</v>
      </c>
      <c r="C286" s="273">
        <f t="shared" si="68"/>
        <v>181314.49</v>
      </c>
      <c r="D286" s="273">
        <f t="shared" si="71"/>
        <v>0</v>
      </c>
      <c r="E286" s="273"/>
      <c r="F286" s="273"/>
      <c r="G286" s="273"/>
      <c r="H286" s="273"/>
      <c r="I286" s="273"/>
      <c r="J286" s="273"/>
      <c r="K286" s="273"/>
      <c r="L286" s="273"/>
      <c r="M286" s="273"/>
      <c r="N286" s="273"/>
      <c r="O286" s="273"/>
      <c r="P286" s="273"/>
      <c r="Q286" s="273"/>
      <c r="R286" s="273"/>
      <c r="S286" s="273"/>
      <c r="T286" s="273"/>
      <c r="U286" s="273"/>
      <c r="V286" s="273"/>
      <c r="W286" s="273">
        <f t="shared" si="70"/>
        <v>181314.49</v>
      </c>
      <c r="X286" s="107"/>
      <c r="Y286" s="107"/>
      <c r="Z286" s="107"/>
      <c r="AA286" s="107"/>
      <c r="AB286" s="107"/>
      <c r="AD286" s="107"/>
      <c r="AE286" s="107">
        <v>181314.49</v>
      </c>
      <c r="AF286" s="107"/>
      <c r="AG286" s="13"/>
      <c r="AH286" s="13"/>
    </row>
    <row r="287" spans="1:34" x14ac:dyDescent="0.3">
      <c r="A287" s="8">
        <f t="shared" si="69"/>
        <v>242</v>
      </c>
      <c r="B287" s="124" t="s">
        <v>373</v>
      </c>
      <c r="C287" s="273">
        <f t="shared" si="68"/>
        <v>182110.42</v>
      </c>
      <c r="D287" s="273">
        <f t="shared" si="71"/>
        <v>0</v>
      </c>
      <c r="E287" s="273"/>
      <c r="F287" s="273"/>
      <c r="G287" s="273"/>
      <c r="H287" s="273"/>
      <c r="I287" s="273"/>
      <c r="J287" s="273"/>
      <c r="K287" s="273"/>
      <c r="L287" s="273"/>
      <c r="M287" s="273"/>
      <c r="N287" s="273"/>
      <c r="O287" s="273"/>
      <c r="P287" s="273"/>
      <c r="Q287" s="273"/>
      <c r="R287" s="273"/>
      <c r="S287" s="273"/>
      <c r="T287" s="273"/>
      <c r="U287" s="273"/>
      <c r="V287" s="273"/>
      <c r="W287" s="273">
        <f t="shared" si="70"/>
        <v>182110.42</v>
      </c>
      <c r="X287" s="273"/>
      <c r="Y287" s="107"/>
      <c r="Z287" s="107"/>
      <c r="AA287" s="107"/>
      <c r="AB287" s="107"/>
      <c r="AD287" s="107"/>
      <c r="AE287" s="107">
        <v>182110.42</v>
      </c>
      <c r="AF287" s="107"/>
      <c r="AG287" s="13"/>
      <c r="AH287" s="13"/>
    </row>
    <row r="288" spans="1:34" x14ac:dyDescent="0.3">
      <c r="A288" s="8">
        <f t="shared" si="69"/>
        <v>243</v>
      </c>
      <c r="B288" s="124" t="s">
        <v>374</v>
      </c>
      <c r="C288" s="273">
        <f t="shared" si="68"/>
        <v>199030.09</v>
      </c>
      <c r="D288" s="273">
        <f t="shared" si="71"/>
        <v>0</v>
      </c>
      <c r="E288" s="273"/>
      <c r="F288" s="273"/>
      <c r="G288" s="273"/>
      <c r="H288" s="273"/>
      <c r="I288" s="273"/>
      <c r="J288" s="273"/>
      <c r="K288" s="273"/>
      <c r="L288" s="273"/>
      <c r="M288" s="273"/>
      <c r="N288" s="273"/>
      <c r="O288" s="273"/>
      <c r="P288" s="273"/>
      <c r="Q288" s="273"/>
      <c r="R288" s="273"/>
      <c r="S288" s="273"/>
      <c r="T288" s="273"/>
      <c r="U288" s="273"/>
      <c r="V288" s="273"/>
      <c r="W288" s="273">
        <f t="shared" si="70"/>
        <v>199030.09</v>
      </c>
      <c r="Y288" s="107"/>
      <c r="Z288" s="107"/>
      <c r="AA288" s="107"/>
      <c r="AB288" s="107"/>
      <c r="AC288" s="107"/>
      <c r="AD288" s="107"/>
      <c r="AE288" s="107">
        <v>199030.09</v>
      </c>
      <c r="AF288" s="107"/>
      <c r="AG288" s="13"/>
      <c r="AH288" s="13"/>
    </row>
    <row r="289" spans="1:34" x14ac:dyDescent="0.3">
      <c r="A289" s="8">
        <f t="shared" si="69"/>
        <v>244</v>
      </c>
      <c r="B289" s="124" t="s">
        <v>375</v>
      </c>
      <c r="C289" s="273">
        <f t="shared" si="68"/>
        <v>298128.15999999997</v>
      </c>
      <c r="D289" s="273">
        <f t="shared" si="71"/>
        <v>0</v>
      </c>
      <c r="E289" s="273"/>
      <c r="F289" s="273"/>
      <c r="G289" s="273"/>
      <c r="H289" s="273"/>
      <c r="I289" s="273"/>
      <c r="J289" s="273"/>
      <c r="K289" s="273"/>
      <c r="L289" s="273"/>
      <c r="M289" s="273"/>
      <c r="N289" s="273"/>
      <c r="O289" s="273"/>
      <c r="P289" s="273"/>
      <c r="Q289" s="273"/>
      <c r="R289" s="273"/>
      <c r="S289" s="273"/>
      <c r="T289" s="273"/>
      <c r="U289" s="273"/>
      <c r="V289" s="273"/>
      <c r="W289" s="273">
        <f t="shared" si="70"/>
        <v>298128.15999999997</v>
      </c>
      <c r="X289" s="273"/>
      <c r="Y289" s="107"/>
      <c r="Z289" s="107"/>
      <c r="AA289" s="107"/>
      <c r="AB289" s="107"/>
      <c r="AC289" s="107"/>
      <c r="AD289" s="107"/>
      <c r="AE289" s="107">
        <v>298128.15999999997</v>
      </c>
      <c r="AF289" s="107"/>
      <c r="AG289" s="13"/>
      <c r="AH289" s="13"/>
    </row>
    <row r="290" spans="1:34" x14ac:dyDescent="0.3">
      <c r="A290" s="8">
        <f t="shared" si="69"/>
        <v>245</v>
      </c>
      <c r="B290" s="124" t="s">
        <v>376</v>
      </c>
      <c r="C290" s="273">
        <f t="shared" si="68"/>
        <v>109340.51</v>
      </c>
      <c r="D290" s="273">
        <f t="shared" si="71"/>
        <v>0</v>
      </c>
      <c r="E290" s="273"/>
      <c r="F290" s="273"/>
      <c r="G290" s="273"/>
      <c r="H290" s="273"/>
      <c r="I290" s="273"/>
      <c r="J290" s="273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>
        <f t="shared" si="70"/>
        <v>109340.51</v>
      </c>
      <c r="X290" s="273"/>
      <c r="Y290" s="107"/>
      <c r="Z290" s="107"/>
      <c r="AA290" s="107"/>
      <c r="AB290" s="107"/>
      <c r="AC290" s="107"/>
      <c r="AD290" s="107"/>
      <c r="AE290" s="107">
        <v>109340.51</v>
      </c>
      <c r="AF290" s="107"/>
      <c r="AG290" s="13"/>
      <c r="AH290" s="13"/>
    </row>
    <row r="291" spans="1:34" x14ac:dyDescent="0.3">
      <c r="A291" s="8">
        <f t="shared" si="69"/>
        <v>246</v>
      </c>
      <c r="B291" s="124" t="s">
        <v>377</v>
      </c>
      <c r="C291" s="273">
        <f t="shared" si="68"/>
        <v>202088.22</v>
      </c>
      <c r="D291" s="273">
        <f t="shared" si="71"/>
        <v>0</v>
      </c>
      <c r="E291" s="273"/>
      <c r="F291" s="273"/>
      <c r="G291" s="273"/>
      <c r="H291" s="273"/>
      <c r="I291" s="273"/>
      <c r="J291" s="273"/>
      <c r="K291" s="273"/>
      <c r="L291" s="273"/>
      <c r="M291" s="273"/>
      <c r="N291" s="273"/>
      <c r="O291" s="273"/>
      <c r="P291" s="273"/>
      <c r="Q291" s="273"/>
      <c r="R291" s="273"/>
      <c r="S291" s="273"/>
      <c r="T291" s="273"/>
      <c r="U291" s="273"/>
      <c r="V291" s="273"/>
      <c r="W291" s="273">
        <f t="shared" si="70"/>
        <v>202088.22</v>
      </c>
      <c r="X291" s="107"/>
      <c r="Y291" s="107"/>
      <c r="Z291" s="107"/>
      <c r="AA291" s="107"/>
      <c r="AB291" s="107"/>
      <c r="AC291" s="107"/>
      <c r="AD291" s="107"/>
      <c r="AE291" s="107">
        <v>202088.22</v>
      </c>
      <c r="AF291" s="107"/>
      <c r="AG291" s="13"/>
      <c r="AH291" s="13"/>
    </row>
    <row r="292" spans="1:34" x14ac:dyDescent="0.3">
      <c r="A292" s="8">
        <f t="shared" si="69"/>
        <v>247</v>
      </c>
      <c r="B292" s="124" t="s">
        <v>378</v>
      </c>
      <c r="C292" s="273">
        <f t="shared" si="68"/>
        <v>161555.26</v>
      </c>
      <c r="D292" s="273">
        <f t="shared" si="71"/>
        <v>0</v>
      </c>
      <c r="E292" s="273"/>
      <c r="F292" s="273"/>
      <c r="G292" s="273"/>
      <c r="H292" s="273"/>
      <c r="I292" s="273"/>
      <c r="J292" s="273"/>
      <c r="K292" s="273"/>
      <c r="L292" s="273"/>
      <c r="M292" s="273"/>
      <c r="N292" s="273"/>
      <c r="O292" s="273"/>
      <c r="P292" s="273"/>
      <c r="Q292" s="273"/>
      <c r="R292" s="273"/>
      <c r="S292" s="273"/>
      <c r="T292" s="273"/>
      <c r="U292" s="273"/>
      <c r="V292" s="273"/>
      <c r="W292" s="273">
        <f t="shared" si="70"/>
        <v>161555.26</v>
      </c>
      <c r="X292" s="107"/>
      <c r="Y292" s="107"/>
      <c r="Z292" s="107"/>
      <c r="AA292" s="107"/>
      <c r="AB292" s="107"/>
      <c r="AC292" s="107"/>
      <c r="AD292" s="107"/>
      <c r="AE292" s="107">
        <v>161555.26</v>
      </c>
      <c r="AF292" s="107"/>
      <c r="AG292" s="13"/>
      <c r="AH292" s="13"/>
    </row>
    <row r="293" spans="1:34" x14ac:dyDescent="0.3">
      <c r="A293" s="8">
        <f t="shared" si="69"/>
        <v>248</v>
      </c>
      <c r="B293" s="124" t="s">
        <v>379</v>
      </c>
      <c r="C293" s="273">
        <f t="shared" ref="C293:C324" si="72">D293+K293+L293+N293+P293+R293+S293+U293+V293+W293</f>
        <v>130000</v>
      </c>
      <c r="D293" s="273">
        <f t="shared" si="71"/>
        <v>0</v>
      </c>
      <c r="E293" s="273"/>
      <c r="F293" s="273"/>
      <c r="G293" s="273"/>
      <c r="H293" s="273"/>
      <c r="I293" s="273"/>
      <c r="J293" s="273"/>
      <c r="K293" s="273"/>
      <c r="L293" s="273"/>
      <c r="M293" s="273"/>
      <c r="N293" s="273"/>
      <c r="O293" s="273"/>
      <c r="P293" s="273"/>
      <c r="Q293" s="273"/>
      <c r="R293" s="273"/>
      <c r="S293" s="273"/>
      <c r="T293" s="273"/>
      <c r="U293" s="273"/>
      <c r="V293" s="273"/>
      <c r="W293" s="273">
        <v>130000</v>
      </c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3"/>
      <c r="AH293" s="13"/>
    </row>
    <row r="294" spans="1:34" x14ac:dyDescent="0.3">
      <c r="A294" s="8">
        <f t="shared" ref="A294:A328" si="73">A293+1</f>
        <v>249</v>
      </c>
      <c r="B294" s="124" t="s">
        <v>380</v>
      </c>
      <c r="C294" s="273">
        <f t="shared" si="72"/>
        <v>75548.88</v>
      </c>
      <c r="D294" s="273">
        <f t="shared" si="71"/>
        <v>0</v>
      </c>
      <c r="E294" s="273"/>
      <c r="F294" s="273"/>
      <c r="G294" s="273"/>
      <c r="H294" s="273"/>
      <c r="I294" s="273"/>
      <c r="J294" s="273"/>
      <c r="K294" s="273"/>
      <c r="L294" s="273"/>
      <c r="M294" s="273"/>
      <c r="N294" s="273"/>
      <c r="O294" s="273"/>
      <c r="P294" s="273"/>
      <c r="Q294" s="273"/>
      <c r="R294" s="273"/>
      <c r="S294" s="273"/>
      <c r="T294" s="273"/>
      <c r="U294" s="273"/>
      <c r="V294" s="273"/>
      <c r="W294" s="273">
        <f>SUM(X294:AH294)</f>
        <v>75548.88</v>
      </c>
      <c r="Y294" s="107"/>
      <c r="Z294" s="107"/>
      <c r="AA294" s="107"/>
      <c r="AB294" s="107"/>
      <c r="AD294" s="107"/>
      <c r="AE294" s="107">
        <v>75548.88</v>
      </c>
      <c r="AF294" s="107"/>
      <c r="AG294" s="13"/>
      <c r="AH294" s="13"/>
    </row>
    <row r="295" spans="1:34" x14ac:dyDescent="0.3">
      <c r="A295" s="8">
        <f t="shared" si="73"/>
        <v>250</v>
      </c>
      <c r="B295" s="124" t="s">
        <v>381</v>
      </c>
      <c r="C295" s="273">
        <f t="shared" si="72"/>
        <v>168022.48</v>
      </c>
      <c r="D295" s="273">
        <f t="shared" si="71"/>
        <v>0</v>
      </c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>
        <f>SUM(X295:AH295)</f>
        <v>168022.48</v>
      </c>
      <c r="X295" s="107"/>
      <c r="Y295" s="107"/>
      <c r="Z295" s="107"/>
      <c r="AA295" s="107"/>
      <c r="AB295" s="107"/>
      <c r="AD295" s="107"/>
      <c r="AE295" s="107">
        <v>168022.48</v>
      </c>
      <c r="AF295" s="107"/>
      <c r="AG295" s="13"/>
      <c r="AH295" s="13"/>
    </row>
    <row r="296" spans="1:34" x14ac:dyDescent="0.3">
      <c r="A296" s="8">
        <f t="shared" si="73"/>
        <v>251</v>
      </c>
      <c r="B296" s="124" t="s">
        <v>382</v>
      </c>
      <c r="C296" s="273">
        <f t="shared" si="72"/>
        <v>127428.14</v>
      </c>
      <c r="D296" s="273">
        <f t="shared" si="71"/>
        <v>0</v>
      </c>
      <c r="E296" s="273"/>
      <c r="F296" s="273"/>
      <c r="G296" s="273"/>
      <c r="H296" s="273"/>
      <c r="I296" s="273"/>
      <c r="J296" s="273"/>
      <c r="K296" s="273"/>
      <c r="L296" s="273"/>
      <c r="M296" s="273"/>
      <c r="N296" s="273"/>
      <c r="O296" s="273"/>
      <c r="P296" s="273"/>
      <c r="Q296" s="273"/>
      <c r="R296" s="273"/>
      <c r="S296" s="273"/>
      <c r="T296" s="273"/>
      <c r="U296" s="273"/>
      <c r="V296" s="273"/>
      <c r="W296" s="273">
        <f>SUM(X296:AH296)</f>
        <v>127428.14</v>
      </c>
      <c r="X296" s="273"/>
      <c r="Y296" s="273"/>
      <c r="Z296" s="273"/>
      <c r="AA296" s="273"/>
      <c r="AB296" s="273"/>
      <c r="AD296" s="16"/>
      <c r="AE296" s="273">
        <v>127428.14</v>
      </c>
      <c r="AF296" s="17"/>
      <c r="AG296" s="13"/>
      <c r="AH296" s="13"/>
    </row>
    <row r="297" spans="1:34" x14ac:dyDescent="0.3">
      <c r="A297" s="8">
        <f t="shared" si="73"/>
        <v>252</v>
      </c>
      <c r="B297" s="124" t="s">
        <v>383</v>
      </c>
      <c r="C297" s="273">
        <f t="shared" si="72"/>
        <v>5017689.2</v>
      </c>
      <c r="D297" s="273">
        <f t="shared" si="71"/>
        <v>3104277</v>
      </c>
      <c r="E297" s="273">
        <f>(140*2688)+(1*358323)</f>
        <v>734643</v>
      </c>
      <c r="F297" s="273">
        <f>146*5502+2*607361</f>
        <v>2018014</v>
      </c>
      <c r="G297" s="273">
        <f>45*3910</f>
        <v>175950</v>
      </c>
      <c r="H297" s="273"/>
      <c r="I297" s="273">
        <f>55*3194</f>
        <v>175670</v>
      </c>
      <c r="J297" s="273"/>
      <c r="K297" s="273"/>
      <c r="L297" s="273"/>
      <c r="M297" s="273">
        <v>204.23</v>
      </c>
      <c r="N297" s="273">
        <v>1188229.2</v>
      </c>
      <c r="O297" s="273"/>
      <c r="P297" s="273"/>
      <c r="Q297" s="273"/>
      <c r="R297" s="273"/>
      <c r="S297" s="273"/>
      <c r="T297" s="273"/>
      <c r="U297" s="273"/>
      <c r="V297" s="273">
        <f>214531+117656+392996</f>
        <v>725183</v>
      </c>
      <c r="W297" s="273"/>
      <c r="X297" s="273"/>
      <c r="Y297" s="273"/>
      <c r="Z297" s="273"/>
      <c r="AA297" s="273"/>
      <c r="AB297" s="273"/>
      <c r="AD297" s="16"/>
      <c r="AE297" s="273"/>
      <c r="AF297" s="17"/>
      <c r="AG297" s="13"/>
    </row>
    <row r="298" spans="1:34" x14ac:dyDescent="0.3">
      <c r="A298" s="8">
        <f t="shared" si="73"/>
        <v>253</v>
      </c>
      <c r="B298" s="124" t="s">
        <v>384</v>
      </c>
      <c r="C298" s="273">
        <f t="shared" si="72"/>
        <v>153536.57999999999</v>
      </c>
      <c r="D298" s="273">
        <f t="shared" si="71"/>
        <v>0</v>
      </c>
      <c r="E298" s="273"/>
      <c r="F298" s="273"/>
      <c r="G298" s="273"/>
      <c r="H298" s="273"/>
      <c r="I298" s="273"/>
      <c r="J298" s="273"/>
      <c r="K298" s="273"/>
      <c r="L298" s="273"/>
      <c r="M298" s="273"/>
      <c r="N298" s="273"/>
      <c r="O298" s="273"/>
      <c r="P298" s="273"/>
      <c r="Q298" s="273"/>
      <c r="R298" s="273"/>
      <c r="S298" s="273"/>
      <c r="T298" s="273"/>
      <c r="U298" s="273"/>
      <c r="V298" s="273"/>
      <c r="W298" s="273">
        <f t="shared" ref="W298:W307" si="74">SUM(X298:AH298)</f>
        <v>153536.57999999999</v>
      </c>
      <c r="X298" s="273"/>
      <c r="Y298" s="273"/>
      <c r="Z298" s="273"/>
      <c r="AA298" s="273"/>
      <c r="AB298" s="273"/>
      <c r="AD298" s="16"/>
      <c r="AE298" s="273">
        <v>153536.57999999999</v>
      </c>
      <c r="AF298" s="17"/>
      <c r="AG298" s="13"/>
      <c r="AH298" s="13"/>
    </row>
    <row r="299" spans="1:34" x14ac:dyDescent="0.3">
      <c r="A299" s="8">
        <f t="shared" si="73"/>
        <v>254</v>
      </c>
      <c r="B299" s="124" t="s">
        <v>385</v>
      </c>
      <c r="C299" s="273">
        <f t="shared" si="72"/>
        <v>191024.81</v>
      </c>
      <c r="D299" s="273">
        <f t="shared" si="71"/>
        <v>0</v>
      </c>
      <c r="E299" s="273"/>
      <c r="F299" s="273"/>
      <c r="G299" s="273"/>
      <c r="H299" s="273"/>
      <c r="I299" s="273"/>
      <c r="J299" s="273"/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>
        <f t="shared" si="74"/>
        <v>191024.81</v>
      </c>
      <c r="X299" s="273"/>
      <c r="Y299" s="273"/>
      <c r="Z299" s="273"/>
      <c r="AA299" s="273"/>
      <c r="AB299" s="273"/>
      <c r="AD299" s="16"/>
      <c r="AE299" s="273">
        <v>191024.81</v>
      </c>
      <c r="AF299" s="17"/>
      <c r="AG299" s="13"/>
      <c r="AH299" s="13"/>
    </row>
    <row r="300" spans="1:34" x14ac:dyDescent="0.3">
      <c r="A300" s="8">
        <f t="shared" si="73"/>
        <v>255</v>
      </c>
      <c r="B300" s="124" t="s">
        <v>386</v>
      </c>
      <c r="C300" s="273">
        <f t="shared" si="72"/>
        <v>133200.78</v>
      </c>
      <c r="D300" s="273">
        <f t="shared" si="71"/>
        <v>0</v>
      </c>
      <c r="E300" s="273"/>
      <c r="F300" s="273"/>
      <c r="G300" s="273"/>
      <c r="H300" s="273"/>
      <c r="I300" s="273"/>
      <c r="J300" s="273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>
        <f t="shared" si="74"/>
        <v>133200.78</v>
      </c>
      <c r="X300" s="273"/>
      <c r="Y300" s="273"/>
      <c r="Z300" s="273"/>
      <c r="AA300" s="273"/>
      <c r="AB300" s="273"/>
      <c r="AD300" s="16"/>
      <c r="AE300" s="273">
        <v>133200.78</v>
      </c>
      <c r="AF300" s="17"/>
      <c r="AG300" s="13"/>
      <c r="AH300" s="13"/>
    </row>
    <row r="301" spans="1:34" x14ac:dyDescent="0.3">
      <c r="A301" s="8">
        <f t="shared" si="73"/>
        <v>256</v>
      </c>
      <c r="B301" s="124" t="s">
        <v>387</v>
      </c>
      <c r="C301" s="273">
        <f t="shared" si="72"/>
        <v>61404.86</v>
      </c>
      <c r="D301" s="273">
        <f t="shared" si="71"/>
        <v>0</v>
      </c>
      <c r="E301" s="273"/>
      <c r="F301" s="273"/>
      <c r="G301" s="273"/>
      <c r="H301" s="273"/>
      <c r="I301" s="273"/>
      <c r="J301" s="273"/>
      <c r="K301" s="273"/>
      <c r="L301" s="273"/>
      <c r="M301" s="273"/>
      <c r="N301" s="273"/>
      <c r="O301" s="273"/>
      <c r="P301" s="273"/>
      <c r="Q301" s="273"/>
      <c r="R301" s="273"/>
      <c r="S301" s="273"/>
      <c r="T301" s="273"/>
      <c r="U301" s="273"/>
      <c r="V301" s="273"/>
      <c r="W301" s="273">
        <f t="shared" si="74"/>
        <v>61404.86</v>
      </c>
      <c r="Y301" s="273"/>
      <c r="Z301" s="273"/>
      <c r="AA301" s="273"/>
      <c r="AB301" s="273"/>
      <c r="AC301" s="273">
        <v>61404.86</v>
      </c>
      <c r="AD301" s="16"/>
      <c r="AE301" s="273"/>
      <c r="AF301" s="17"/>
      <c r="AG301" s="13"/>
      <c r="AH301" s="13"/>
    </row>
    <row r="302" spans="1:34" x14ac:dyDescent="0.3">
      <c r="A302" s="8">
        <f t="shared" si="73"/>
        <v>257</v>
      </c>
      <c r="B302" s="124" t="s">
        <v>388</v>
      </c>
      <c r="C302" s="273">
        <f t="shared" si="72"/>
        <v>117440.41</v>
      </c>
      <c r="D302" s="273">
        <f t="shared" si="71"/>
        <v>0</v>
      </c>
      <c r="E302" s="273"/>
      <c r="F302" s="273"/>
      <c r="G302" s="273"/>
      <c r="H302" s="273"/>
      <c r="I302" s="273"/>
      <c r="J302" s="273"/>
      <c r="K302" s="273"/>
      <c r="L302" s="273"/>
      <c r="M302" s="273"/>
      <c r="N302" s="273"/>
      <c r="O302" s="273"/>
      <c r="P302" s="273"/>
      <c r="Q302" s="273"/>
      <c r="R302" s="273"/>
      <c r="S302" s="273"/>
      <c r="T302" s="273"/>
      <c r="U302" s="273"/>
      <c r="V302" s="273"/>
      <c r="W302" s="273">
        <f t="shared" si="74"/>
        <v>117440.41</v>
      </c>
      <c r="Y302" s="273"/>
      <c r="Z302" s="273"/>
      <c r="AA302" s="273"/>
      <c r="AB302" s="273"/>
      <c r="AC302" s="273">
        <v>117440.41</v>
      </c>
      <c r="AD302" s="16"/>
      <c r="AE302" s="273"/>
      <c r="AF302" s="17"/>
      <c r="AG302" s="13"/>
      <c r="AH302" s="13"/>
    </row>
    <row r="303" spans="1:34" x14ac:dyDescent="0.3">
      <c r="A303" s="8">
        <f t="shared" si="73"/>
        <v>258</v>
      </c>
      <c r="B303" s="124" t="s">
        <v>389</v>
      </c>
      <c r="C303" s="273">
        <f t="shared" si="72"/>
        <v>69628.44</v>
      </c>
      <c r="D303" s="273">
        <f t="shared" ref="D303:D328" si="75">E303+F303+G303+H303+I303</f>
        <v>0</v>
      </c>
      <c r="E303" s="273"/>
      <c r="F303" s="273"/>
      <c r="G303" s="273"/>
      <c r="H303" s="273"/>
      <c r="I303" s="273"/>
      <c r="J303" s="273"/>
      <c r="K303" s="273"/>
      <c r="L303" s="273"/>
      <c r="M303" s="273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>
        <f t="shared" si="74"/>
        <v>69628.44</v>
      </c>
      <c r="Y303" s="273"/>
      <c r="Z303" s="273"/>
      <c r="AA303" s="273"/>
      <c r="AB303" s="273"/>
      <c r="AC303" s="273">
        <v>69628.44</v>
      </c>
      <c r="AD303" s="16"/>
      <c r="AE303" s="273"/>
      <c r="AF303" s="17"/>
      <c r="AG303" s="13"/>
      <c r="AH303" s="13"/>
    </row>
    <row r="304" spans="1:34" x14ac:dyDescent="0.3">
      <c r="A304" s="8">
        <f t="shared" si="73"/>
        <v>259</v>
      </c>
      <c r="B304" s="124" t="s">
        <v>390</v>
      </c>
      <c r="C304" s="273">
        <f t="shared" si="72"/>
        <v>147634.45000000001</v>
      </c>
      <c r="D304" s="273">
        <f t="shared" si="75"/>
        <v>0</v>
      </c>
      <c r="E304" s="273"/>
      <c r="F304" s="273"/>
      <c r="G304" s="273"/>
      <c r="H304" s="273"/>
      <c r="I304" s="273"/>
      <c r="J304" s="273"/>
      <c r="K304" s="273"/>
      <c r="L304" s="273"/>
      <c r="M304" s="273"/>
      <c r="N304" s="273"/>
      <c r="O304" s="273"/>
      <c r="P304" s="273"/>
      <c r="Q304" s="273"/>
      <c r="R304" s="273"/>
      <c r="S304" s="273"/>
      <c r="T304" s="273"/>
      <c r="U304" s="273"/>
      <c r="V304" s="273"/>
      <c r="W304" s="273">
        <f t="shared" si="74"/>
        <v>147634.45000000001</v>
      </c>
      <c r="X304" s="273"/>
      <c r="Y304" s="273"/>
      <c r="Z304" s="273"/>
      <c r="AA304" s="273"/>
      <c r="AB304" s="273"/>
      <c r="AD304" s="16"/>
      <c r="AE304" s="273">
        <v>147634.45000000001</v>
      </c>
      <c r="AF304" s="17"/>
      <c r="AG304" s="13"/>
      <c r="AH304" s="13"/>
    </row>
    <row r="305" spans="1:34" x14ac:dyDescent="0.3">
      <c r="A305" s="8">
        <f t="shared" si="73"/>
        <v>260</v>
      </c>
      <c r="B305" s="124" t="s">
        <v>391</v>
      </c>
      <c r="C305" s="273">
        <f t="shared" si="72"/>
        <v>113085.6</v>
      </c>
      <c r="D305" s="273">
        <f t="shared" si="75"/>
        <v>0</v>
      </c>
      <c r="E305" s="273"/>
      <c r="F305" s="273"/>
      <c r="G305" s="273"/>
      <c r="H305" s="273"/>
      <c r="I305" s="273"/>
      <c r="J305" s="273"/>
      <c r="K305" s="273"/>
      <c r="L305" s="273"/>
      <c r="M305" s="273"/>
      <c r="N305" s="273"/>
      <c r="O305" s="273"/>
      <c r="P305" s="273"/>
      <c r="Q305" s="273"/>
      <c r="R305" s="273"/>
      <c r="S305" s="273"/>
      <c r="T305" s="273"/>
      <c r="U305" s="273"/>
      <c r="V305" s="273"/>
      <c r="W305" s="273">
        <f t="shared" si="74"/>
        <v>113085.6</v>
      </c>
      <c r="X305" s="273"/>
      <c r="Y305" s="273"/>
      <c r="Z305" s="273"/>
      <c r="AA305" s="273"/>
      <c r="AB305" s="273"/>
      <c r="AD305" s="16"/>
      <c r="AE305" s="273">
        <v>113085.6</v>
      </c>
      <c r="AF305" s="17"/>
      <c r="AG305" s="13"/>
      <c r="AH305" s="13"/>
    </row>
    <row r="306" spans="1:34" x14ac:dyDescent="0.3">
      <c r="A306" s="8">
        <f t="shared" si="73"/>
        <v>261</v>
      </c>
      <c r="B306" s="124" t="s">
        <v>392</v>
      </c>
      <c r="C306" s="273">
        <f t="shared" si="72"/>
        <v>158630.53</v>
      </c>
      <c r="D306" s="273">
        <f t="shared" si="75"/>
        <v>0</v>
      </c>
      <c r="E306" s="273"/>
      <c r="F306" s="273"/>
      <c r="G306" s="273"/>
      <c r="H306" s="273"/>
      <c r="I306" s="273"/>
      <c r="J306" s="273"/>
      <c r="K306" s="273"/>
      <c r="L306" s="273"/>
      <c r="M306" s="273"/>
      <c r="N306" s="273"/>
      <c r="O306" s="273"/>
      <c r="P306" s="273"/>
      <c r="Q306" s="273"/>
      <c r="R306" s="273"/>
      <c r="S306" s="273"/>
      <c r="T306" s="273"/>
      <c r="U306" s="273"/>
      <c r="V306" s="273"/>
      <c r="W306" s="273">
        <f t="shared" si="74"/>
        <v>158630.53</v>
      </c>
      <c r="X306" s="273"/>
      <c r="Y306" s="273"/>
      <c r="Z306" s="273"/>
      <c r="AA306" s="273"/>
      <c r="AB306" s="273"/>
      <c r="AD306" s="16"/>
      <c r="AE306" s="273">
        <v>158630.53</v>
      </c>
      <c r="AF306" s="17"/>
      <c r="AG306" s="13"/>
      <c r="AH306" s="13"/>
    </row>
    <row r="307" spans="1:34" x14ac:dyDescent="0.3">
      <c r="A307" s="8">
        <f t="shared" si="73"/>
        <v>262</v>
      </c>
      <c r="B307" s="124" t="s">
        <v>393</v>
      </c>
      <c r="C307" s="273">
        <f t="shared" si="72"/>
        <v>158948.88</v>
      </c>
      <c r="D307" s="273">
        <f t="shared" si="75"/>
        <v>0</v>
      </c>
      <c r="E307" s="273"/>
      <c r="F307" s="273"/>
      <c r="G307" s="273"/>
      <c r="H307" s="273"/>
      <c r="I307" s="273"/>
      <c r="J307" s="273"/>
      <c r="K307" s="273"/>
      <c r="L307" s="273"/>
      <c r="M307" s="273"/>
      <c r="N307" s="273"/>
      <c r="O307" s="273"/>
      <c r="P307" s="273"/>
      <c r="Q307" s="273"/>
      <c r="R307" s="273"/>
      <c r="S307" s="273"/>
      <c r="T307" s="273"/>
      <c r="U307" s="273"/>
      <c r="V307" s="273"/>
      <c r="W307" s="273">
        <f t="shared" si="74"/>
        <v>158948.88</v>
      </c>
      <c r="X307" s="273"/>
      <c r="Y307" s="273"/>
      <c r="Z307" s="273"/>
      <c r="AA307" s="273"/>
      <c r="AB307" s="273"/>
      <c r="AD307" s="16"/>
      <c r="AE307" s="273">
        <v>158948.88</v>
      </c>
      <c r="AF307" s="17"/>
      <c r="AG307" s="13"/>
      <c r="AH307" s="13"/>
    </row>
    <row r="308" spans="1:34" x14ac:dyDescent="0.3">
      <c r="A308" s="8">
        <f t="shared" si="73"/>
        <v>263</v>
      </c>
      <c r="B308" s="124" t="s">
        <v>394</v>
      </c>
      <c r="C308" s="273">
        <f t="shared" si="72"/>
        <v>130000</v>
      </c>
      <c r="D308" s="273">
        <f t="shared" si="75"/>
        <v>0</v>
      </c>
      <c r="E308" s="273"/>
      <c r="F308" s="273"/>
      <c r="G308" s="273"/>
      <c r="H308" s="273"/>
      <c r="I308" s="273"/>
      <c r="J308" s="273"/>
      <c r="K308" s="273"/>
      <c r="L308" s="273"/>
      <c r="M308" s="273"/>
      <c r="N308" s="273"/>
      <c r="O308" s="273"/>
      <c r="P308" s="273"/>
      <c r="Q308" s="273"/>
      <c r="R308" s="273"/>
      <c r="S308" s="273"/>
      <c r="T308" s="273"/>
      <c r="U308" s="273"/>
      <c r="V308" s="273"/>
      <c r="W308" s="273">
        <v>130000</v>
      </c>
      <c r="X308" s="273"/>
      <c r="Y308" s="273"/>
      <c r="Z308" s="273"/>
      <c r="AA308" s="273"/>
      <c r="AB308" s="273"/>
      <c r="AD308" s="16"/>
      <c r="AE308" s="273"/>
      <c r="AF308" s="17"/>
      <c r="AG308" s="13"/>
      <c r="AH308" s="13"/>
    </row>
    <row r="309" spans="1:34" x14ac:dyDescent="0.3">
      <c r="A309" s="8">
        <f t="shared" si="73"/>
        <v>264</v>
      </c>
      <c r="B309" s="124" t="s">
        <v>395</v>
      </c>
      <c r="C309" s="273">
        <f t="shared" si="72"/>
        <v>130000</v>
      </c>
      <c r="D309" s="273">
        <f t="shared" si="75"/>
        <v>0</v>
      </c>
      <c r="E309" s="273"/>
      <c r="F309" s="273"/>
      <c r="G309" s="273"/>
      <c r="H309" s="273"/>
      <c r="I309" s="273"/>
      <c r="J309" s="273"/>
      <c r="K309" s="273"/>
      <c r="L309" s="273"/>
      <c r="M309" s="273"/>
      <c r="N309" s="273"/>
      <c r="O309" s="273"/>
      <c r="P309" s="273"/>
      <c r="Q309" s="273"/>
      <c r="R309" s="273"/>
      <c r="S309" s="273"/>
      <c r="T309" s="273"/>
      <c r="U309" s="273"/>
      <c r="V309" s="273"/>
      <c r="W309" s="273">
        <v>130000</v>
      </c>
      <c r="X309" s="273"/>
      <c r="Y309" s="273"/>
      <c r="Z309" s="273"/>
      <c r="AA309" s="273"/>
      <c r="AB309" s="273"/>
      <c r="AD309" s="16"/>
      <c r="AE309" s="273"/>
      <c r="AF309" s="17"/>
      <c r="AG309" s="13"/>
      <c r="AH309" s="13"/>
    </row>
    <row r="310" spans="1:34" x14ac:dyDescent="0.3">
      <c r="A310" s="8">
        <f t="shared" si="73"/>
        <v>265</v>
      </c>
      <c r="B310" s="124" t="s">
        <v>396</v>
      </c>
      <c r="C310" s="273">
        <f t="shared" si="72"/>
        <v>130000</v>
      </c>
      <c r="D310" s="273">
        <f t="shared" si="75"/>
        <v>0</v>
      </c>
      <c r="E310" s="273"/>
      <c r="F310" s="273"/>
      <c r="G310" s="273"/>
      <c r="H310" s="273"/>
      <c r="I310" s="273"/>
      <c r="J310" s="273"/>
      <c r="K310" s="273"/>
      <c r="L310" s="273"/>
      <c r="M310" s="273"/>
      <c r="N310" s="273"/>
      <c r="O310" s="273"/>
      <c r="P310" s="273"/>
      <c r="Q310" s="273"/>
      <c r="R310" s="273"/>
      <c r="S310" s="273"/>
      <c r="T310" s="273"/>
      <c r="U310" s="273"/>
      <c r="V310" s="273"/>
      <c r="W310" s="273">
        <v>130000</v>
      </c>
      <c r="X310" s="273"/>
      <c r="Y310" s="273"/>
      <c r="Z310" s="273"/>
      <c r="AA310" s="273"/>
      <c r="AB310" s="273"/>
      <c r="AD310" s="16"/>
      <c r="AE310" s="273"/>
      <c r="AF310" s="17"/>
      <c r="AG310" s="13"/>
      <c r="AH310" s="13"/>
    </row>
    <row r="311" spans="1:34" x14ac:dyDescent="0.3">
      <c r="A311" s="8">
        <f t="shared" si="73"/>
        <v>266</v>
      </c>
      <c r="B311" s="124" t="s">
        <v>397</v>
      </c>
      <c r="C311" s="273">
        <f t="shared" si="72"/>
        <v>223887.15</v>
      </c>
      <c r="D311" s="273">
        <f t="shared" si="75"/>
        <v>0</v>
      </c>
      <c r="E311" s="273"/>
      <c r="F311" s="273"/>
      <c r="G311" s="273"/>
      <c r="H311" s="273"/>
      <c r="I311" s="273"/>
      <c r="J311" s="273"/>
      <c r="K311" s="273"/>
      <c r="L311" s="273"/>
      <c r="M311" s="273"/>
      <c r="N311" s="273"/>
      <c r="O311" s="273"/>
      <c r="P311" s="273"/>
      <c r="Q311" s="273"/>
      <c r="R311" s="273"/>
      <c r="S311" s="273"/>
      <c r="T311" s="273"/>
      <c r="U311" s="273"/>
      <c r="V311" s="273"/>
      <c r="W311" s="273">
        <f t="shared" ref="W311:W328" si="76">SUM(X311:AH311)</f>
        <v>223887.15</v>
      </c>
      <c r="X311" s="273"/>
      <c r="Y311" s="273">
        <v>122129.89</v>
      </c>
      <c r="Z311" s="273"/>
      <c r="AB311" s="273">
        <v>101757.26</v>
      </c>
      <c r="AD311" s="16"/>
      <c r="AE311" s="273"/>
      <c r="AF311" s="17"/>
      <c r="AG311" s="13"/>
      <c r="AH311" s="13"/>
    </row>
    <row r="312" spans="1:34" x14ac:dyDescent="0.3">
      <c r="A312" s="8">
        <f t="shared" si="73"/>
        <v>267</v>
      </c>
      <c r="B312" s="124" t="s">
        <v>398</v>
      </c>
      <c r="C312" s="273">
        <f t="shared" si="72"/>
        <v>362539.06</v>
      </c>
      <c r="D312" s="273">
        <f t="shared" si="75"/>
        <v>0</v>
      </c>
      <c r="E312" s="273"/>
      <c r="F312" s="273"/>
      <c r="G312" s="273"/>
      <c r="H312" s="273"/>
      <c r="I312" s="273"/>
      <c r="J312" s="273"/>
      <c r="K312" s="273"/>
      <c r="L312" s="273"/>
      <c r="M312" s="273"/>
      <c r="N312" s="273"/>
      <c r="O312" s="273"/>
      <c r="P312" s="273"/>
      <c r="Q312" s="273"/>
      <c r="R312" s="273"/>
      <c r="S312" s="273"/>
      <c r="T312" s="273"/>
      <c r="U312" s="273"/>
      <c r="V312" s="273"/>
      <c r="W312" s="273">
        <f t="shared" si="76"/>
        <v>362539.06</v>
      </c>
      <c r="Y312" s="273"/>
      <c r="Z312" s="273"/>
      <c r="AA312" s="273"/>
      <c r="AB312" s="273"/>
      <c r="AC312" s="273">
        <v>100759.2</v>
      </c>
      <c r="AD312" s="16"/>
      <c r="AE312" s="273">
        <v>261779.86</v>
      </c>
      <c r="AF312" s="17"/>
      <c r="AG312" s="13"/>
      <c r="AH312" s="13"/>
    </row>
    <row r="313" spans="1:34" x14ac:dyDescent="0.3">
      <c r="A313" s="8">
        <f t="shared" si="73"/>
        <v>268</v>
      </c>
      <c r="B313" s="124" t="s">
        <v>399</v>
      </c>
      <c r="C313" s="273">
        <f t="shared" si="72"/>
        <v>261779.86</v>
      </c>
      <c r="D313" s="273">
        <f t="shared" si="75"/>
        <v>0</v>
      </c>
      <c r="E313" s="273"/>
      <c r="F313" s="273"/>
      <c r="G313" s="273"/>
      <c r="H313" s="273"/>
      <c r="I313" s="273"/>
      <c r="J313" s="273"/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3"/>
      <c r="V313" s="273"/>
      <c r="W313" s="273">
        <f t="shared" si="76"/>
        <v>261779.86</v>
      </c>
      <c r="X313" s="273"/>
      <c r="Y313" s="273"/>
      <c r="Z313" s="273"/>
      <c r="AA313" s="273"/>
      <c r="AB313" s="273"/>
      <c r="AD313" s="16"/>
      <c r="AE313" s="273">
        <v>261779.86</v>
      </c>
      <c r="AF313" s="17"/>
      <c r="AG313" s="13"/>
      <c r="AH313" s="13"/>
    </row>
    <row r="314" spans="1:34" x14ac:dyDescent="0.3">
      <c r="A314" s="8">
        <f t="shared" si="73"/>
        <v>269</v>
      </c>
      <c r="B314" s="124" t="s">
        <v>400</v>
      </c>
      <c r="C314" s="273">
        <f t="shared" si="72"/>
        <v>94298.880000000005</v>
      </c>
      <c r="D314" s="273">
        <f t="shared" si="75"/>
        <v>0</v>
      </c>
      <c r="E314" s="273"/>
      <c r="F314" s="273"/>
      <c r="G314" s="273"/>
      <c r="H314" s="273"/>
      <c r="I314" s="273"/>
      <c r="J314" s="273"/>
      <c r="K314" s="273"/>
      <c r="L314" s="273"/>
      <c r="M314" s="273"/>
      <c r="N314" s="273"/>
      <c r="O314" s="273"/>
      <c r="P314" s="273"/>
      <c r="Q314" s="273"/>
      <c r="R314" s="273"/>
      <c r="S314" s="273"/>
      <c r="T314" s="273"/>
      <c r="U314" s="273"/>
      <c r="V314" s="273"/>
      <c r="W314" s="273">
        <f t="shared" si="76"/>
        <v>94298.880000000005</v>
      </c>
      <c r="Y314" s="273"/>
      <c r="Z314" s="273"/>
      <c r="AA314" s="273"/>
      <c r="AB314" s="273"/>
      <c r="AC314" s="273">
        <v>94298.880000000005</v>
      </c>
      <c r="AD314" s="16"/>
      <c r="AE314" s="17"/>
      <c r="AF314" s="17"/>
      <c r="AG314" s="13"/>
      <c r="AH314" s="13"/>
    </row>
    <row r="315" spans="1:34" x14ac:dyDescent="0.3">
      <c r="A315" s="8">
        <f t="shared" si="73"/>
        <v>270</v>
      </c>
      <c r="B315" s="124" t="s">
        <v>401</v>
      </c>
      <c r="C315" s="273">
        <f t="shared" si="72"/>
        <v>99096</v>
      </c>
      <c r="D315" s="273">
        <f t="shared" si="75"/>
        <v>0</v>
      </c>
      <c r="E315" s="273"/>
      <c r="F315" s="273"/>
      <c r="G315" s="273"/>
      <c r="H315" s="273"/>
      <c r="I315" s="273"/>
      <c r="J315" s="273"/>
      <c r="K315" s="273"/>
      <c r="L315" s="273"/>
      <c r="M315" s="273"/>
      <c r="N315" s="273"/>
      <c r="O315" s="273"/>
      <c r="P315" s="273"/>
      <c r="Q315" s="273"/>
      <c r="R315" s="273"/>
      <c r="S315" s="273"/>
      <c r="T315" s="273"/>
      <c r="U315" s="273"/>
      <c r="V315" s="273"/>
      <c r="W315" s="273">
        <f t="shared" si="76"/>
        <v>99096</v>
      </c>
      <c r="Y315" s="273"/>
      <c r="Z315" s="273"/>
      <c r="AA315" s="273"/>
      <c r="AB315" s="273"/>
      <c r="AC315" s="273">
        <v>99096</v>
      </c>
      <c r="AD315" s="16"/>
      <c r="AE315" s="17"/>
      <c r="AF315" s="17"/>
      <c r="AG315" s="13"/>
      <c r="AH315" s="13"/>
    </row>
    <row r="316" spans="1:34" x14ac:dyDescent="0.3">
      <c r="A316" s="8">
        <f t="shared" si="73"/>
        <v>271</v>
      </c>
      <c r="B316" s="124" t="s">
        <v>403</v>
      </c>
      <c r="C316" s="273">
        <f t="shared" si="72"/>
        <v>168420.44</v>
      </c>
      <c r="D316" s="273">
        <f t="shared" si="75"/>
        <v>0</v>
      </c>
      <c r="E316" s="273"/>
      <c r="F316" s="273"/>
      <c r="G316" s="273"/>
      <c r="H316" s="273"/>
      <c r="I316" s="273"/>
      <c r="J316" s="273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>
        <f t="shared" si="76"/>
        <v>168420.44</v>
      </c>
      <c r="X316" s="273"/>
      <c r="Y316" s="273"/>
      <c r="Z316" s="273"/>
      <c r="AA316" s="273"/>
      <c r="AB316" s="273"/>
      <c r="AD316" s="16"/>
      <c r="AE316" s="273">
        <v>168420.44</v>
      </c>
      <c r="AF316" s="17"/>
      <c r="AG316" s="13"/>
      <c r="AH316" s="13"/>
    </row>
    <row r="317" spans="1:34" x14ac:dyDescent="0.3">
      <c r="A317" s="8">
        <f t="shared" si="73"/>
        <v>272</v>
      </c>
      <c r="B317" s="124" t="s">
        <v>405</v>
      </c>
      <c r="C317" s="273">
        <f t="shared" si="72"/>
        <v>179961.41</v>
      </c>
      <c r="D317" s="273">
        <f t="shared" si="75"/>
        <v>0</v>
      </c>
      <c r="E317" s="273"/>
      <c r="F317" s="273"/>
      <c r="G317" s="273"/>
      <c r="H317" s="273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>
        <f t="shared" si="76"/>
        <v>179961.41</v>
      </c>
      <c r="X317" s="273"/>
      <c r="Y317" s="273"/>
      <c r="Z317" s="273"/>
      <c r="AA317" s="273"/>
      <c r="AB317" s="273"/>
      <c r="AD317" s="16"/>
      <c r="AE317" s="273">
        <v>179961.41</v>
      </c>
      <c r="AF317" s="17"/>
      <c r="AG317" s="13"/>
      <c r="AH317" s="13"/>
    </row>
    <row r="318" spans="1:34" x14ac:dyDescent="0.3">
      <c r="A318" s="8">
        <f t="shared" si="73"/>
        <v>273</v>
      </c>
      <c r="B318" s="124" t="s">
        <v>406</v>
      </c>
      <c r="C318" s="273">
        <f t="shared" si="72"/>
        <v>205762.68</v>
      </c>
      <c r="D318" s="273">
        <f t="shared" si="75"/>
        <v>0</v>
      </c>
      <c r="E318" s="273"/>
      <c r="F318" s="273"/>
      <c r="G318" s="273"/>
      <c r="H318" s="273"/>
      <c r="I318" s="273"/>
      <c r="J318" s="273"/>
      <c r="K318" s="273"/>
      <c r="L318" s="273"/>
      <c r="M318" s="273"/>
      <c r="N318" s="273"/>
      <c r="O318" s="273"/>
      <c r="P318" s="273"/>
      <c r="Q318" s="273"/>
      <c r="R318" s="273"/>
      <c r="S318" s="273"/>
      <c r="T318" s="273"/>
      <c r="U318" s="273"/>
      <c r="V318" s="273"/>
      <c r="W318" s="273">
        <f t="shared" si="76"/>
        <v>205762.68</v>
      </c>
      <c r="X318" s="273">
        <v>102881.34</v>
      </c>
      <c r="Y318" s="273"/>
      <c r="Z318" s="273"/>
      <c r="AB318" s="273">
        <v>102881.34</v>
      </c>
      <c r="AD318" s="16"/>
      <c r="AE318" s="273"/>
      <c r="AF318" s="17"/>
      <c r="AG318" s="13"/>
      <c r="AH318" s="13"/>
    </row>
    <row r="319" spans="1:34" x14ac:dyDescent="0.3">
      <c r="A319" s="8">
        <f t="shared" si="73"/>
        <v>274</v>
      </c>
      <c r="B319" s="124" t="s">
        <v>407</v>
      </c>
      <c r="C319" s="273">
        <f t="shared" si="72"/>
        <v>190434.4</v>
      </c>
      <c r="D319" s="273">
        <f t="shared" si="75"/>
        <v>0</v>
      </c>
      <c r="E319" s="273"/>
      <c r="F319" s="273"/>
      <c r="G319" s="273"/>
      <c r="H319" s="273"/>
      <c r="I319" s="273"/>
      <c r="J319" s="273"/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>
        <f t="shared" si="76"/>
        <v>190434.4</v>
      </c>
      <c r="X319" s="273">
        <v>95217.2</v>
      </c>
      <c r="Y319" s="273"/>
      <c r="Z319" s="273"/>
      <c r="AB319" s="273">
        <v>95217.2</v>
      </c>
      <c r="AD319" s="16"/>
      <c r="AE319" s="273"/>
      <c r="AF319" s="17"/>
      <c r="AG319" s="13"/>
      <c r="AH319" s="13"/>
    </row>
    <row r="320" spans="1:34" x14ac:dyDescent="0.3">
      <c r="A320" s="8">
        <f t="shared" si="73"/>
        <v>275</v>
      </c>
      <c r="B320" s="124" t="s">
        <v>408</v>
      </c>
      <c r="C320" s="273">
        <f t="shared" si="72"/>
        <v>157445.89000000001</v>
      </c>
      <c r="D320" s="273">
        <f t="shared" si="75"/>
        <v>0</v>
      </c>
      <c r="E320" s="273"/>
      <c r="F320" s="273"/>
      <c r="G320" s="273"/>
      <c r="H320" s="273"/>
      <c r="I320" s="273"/>
      <c r="J320" s="273"/>
      <c r="K320" s="273"/>
      <c r="L320" s="273"/>
      <c r="M320" s="273"/>
      <c r="N320" s="273"/>
      <c r="O320" s="273"/>
      <c r="P320" s="273"/>
      <c r="Q320" s="273"/>
      <c r="R320" s="273"/>
      <c r="S320" s="273"/>
      <c r="T320" s="273"/>
      <c r="U320" s="273"/>
      <c r="V320" s="273"/>
      <c r="W320" s="273">
        <f t="shared" si="76"/>
        <v>157445.89000000001</v>
      </c>
      <c r="X320" s="273"/>
      <c r="Y320" s="273"/>
      <c r="Z320" s="273"/>
      <c r="AA320" s="273"/>
      <c r="AB320" s="273"/>
      <c r="AD320" s="16"/>
      <c r="AE320" s="273">
        <v>157445.89000000001</v>
      </c>
      <c r="AF320" s="17"/>
      <c r="AG320" s="13"/>
      <c r="AH320" s="13"/>
    </row>
    <row r="321" spans="1:34" x14ac:dyDescent="0.3">
      <c r="A321" s="8">
        <f t="shared" si="73"/>
        <v>276</v>
      </c>
      <c r="B321" s="124" t="s">
        <v>409</v>
      </c>
      <c r="C321" s="273">
        <f t="shared" si="72"/>
        <v>822521.6</v>
      </c>
      <c r="D321" s="273">
        <f t="shared" si="75"/>
        <v>822521.6</v>
      </c>
      <c r="E321" s="273">
        <v>503121.6</v>
      </c>
      <c r="F321" s="273"/>
      <c r="G321" s="273"/>
      <c r="H321" s="273"/>
      <c r="I321" s="273">
        <f>100*3194</f>
        <v>319400</v>
      </c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>
        <f t="shared" si="76"/>
        <v>0</v>
      </c>
      <c r="X321" s="273"/>
      <c r="Y321" s="273"/>
      <c r="Z321" s="273"/>
      <c r="AA321" s="273"/>
      <c r="AB321" s="273"/>
      <c r="AD321" s="16"/>
      <c r="AE321" s="273"/>
      <c r="AF321" s="17"/>
      <c r="AG321" s="13"/>
      <c r="AH321" s="13"/>
    </row>
    <row r="322" spans="1:34" x14ac:dyDescent="0.3">
      <c r="A322" s="8">
        <f t="shared" si="73"/>
        <v>277</v>
      </c>
      <c r="B322" s="124" t="s">
        <v>410</v>
      </c>
      <c r="C322" s="273">
        <f t="shared" si="72"/>
        <v>830357.6</v>
      </c>
      <c r="D322" s="273">
        <f t="shared" si="75"/>
        <v>830357.6</v>
      </c>
      <c r="E322" s="273">
        <v>510957.6</v>
      </c>
      <c r="F322" s="273"/>
      <c r="G322" s="273"/>
      <c r="H322" s="273"/>
      <c r="I322" s="273">
        <f>100*3194</f>
        <v>319400</v>
      </c>
      <c r="J322" s="273"/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>
        <f t="shared" si="76"/>
        <v>0</v>
      </c>
      <c r="X322" s="273"/>
      <c r="Y322" s="273"/>
      <c r="Z322" s="273"/>
      <c r="AA322" s="273"/>
      <c r="AB322" s="273"/>
      <c r="AD322" s="16"/>
      <c r="AE322" s="273"/>
      <c r="AF322" s="17"/>
      <c r="AG322" s="13"/>
      <c r="AH322" s="13"/>
    </row>
    <row r="323" spans="1:34" x14ac:dyDescent="0.3">
      <c r="A323" s="8">
        <f t="shared" si="73"/>
        <v>278</v>
      </c>
      <c r="B323" s="124" t="s">
        <v>411</v>
      </c>
      <c r="C323" s="273">
        <f t="shared" si="72"/>
        <v>409790.4</v>
      </c>
      <c r="D323" s="273">
        <f t="shared" si="75"/>
        <v>409790.4</v>
      </c>
      <c r="E323" s="273">
        <v>409790.4</v>
      </c>
      <c r="F323" s="273"/>
      <c r="G323" s="273"/>
      <c r="H323" s="273"/>
      <c r="I323" s="273"/>
      <c r="J323" s="273"/>
      <c r="K323" s="273"/>
      <c r="L323" s="273"/>
      <c r="M323" s="273"/>
      <c r="N323" s="273"/>
      <c r="O323" s="273"/>
      <c r="P323" s="273"/>
      <c r="Q323" s="273"/>
      <c r="R323" s="273"/>
      <c r="S323" s="273"/>
      <c r="T323" s="273"/>
      <c r="U323" s="273"/>
      <c r="V323" s="273"/>
      <c r="W323" s="273">
        <f t="shared" si="76"/>
        <v>0</v>
      </c>
      <c r="X323" s="273"/>
      <c r="Y323" s="273"/>
      <c r="Z323" s="273"/>
      <c r="AA323" s="273"/>
      <c r="AB323" s="273"/>
      <c r="AD323" s="16"/>
      <c r="AE323" s="273"/>
      <c r="AF323" s="17"/>
      <c r="AG323" s="13"/>
      <c r="AH323" s="13"/>
    </row>
    <row r="324" spans="1:34" x14ac:dyDescent="0.3">
      <c r="A324" s="8">
        <f t="shared" si="73"/>
        <v>279</v>
      </c>
      <c r="B324" s="124" t="s">
        <v>412</v>
      </c>
      <c r="C324" s="273">
        <f t="shared" si="72"/>
        <v>778022.8</v>
      </c>
      <c r="D324" s="273">
        <f t="shared" si="75"/>
        <v>778022.8</v>
      </c>
      <c r="E324" s="273">
        <v>474592.8</v>
      </c>
      <c r="F324" s="273"/>
      <c r="G324" s="273"/>
      <c r="H324" s="273"/>
      <c r="I324" s="273">
        <f>95*3194</f>
        <v>303430</v>
      </c>
      <c r="J324" s="273"/>
      <c r="K324" s="273"/>
      <c r="L324" s="273"/>
      <c r="M324" s="273"/>
      <c r="N324" s="273"/>
      <c r="O324" s="273"/>
      <c r="P324" s="273"/>
      <c r="Q324" s="273"/>
      <c r="R324" s="273"/>
      <c r="S324" s="273"/>
      <c r="T324" s="273"/>
      <c r="U324" s="273"/>
      <c r="V324" s="273"/>
      <c r="W324" s="273">
        <f t="shared" si="76"/>
        <v>0</v>
      </c>
      <c r="X324" s="273"/>
      <c r="Y324" s="273"/>
      <c r="Z324" s="273"/>
      <c r="AA324" s="273"/>
      <c r="AB324" s="273"/>
      <c r="AD324" s="16"/>
      <c r="AE324" s="273"/>
      <c r="AF324" s="17"/>
      <c r="AG324" s="13"/>
      <c r="AH324" s="13"/>
    </row>
    <row r="325" spans="1:34" x14ac:dyDescent="0.3">
      <c r="A325" s="8">
        <f t="shared" si="73"/>
        <v>280</v>
      </c>
      <c r="B325" s="124" t="s">
        <v>413</v>
      </c>
      <c r="C325" s="273">
        <f t="shared" ref="C325:C328" si="77">D325+K325+L325+N325+P325+R325+S325+U325+V325+W325</f>
        <v>150037.67000000001</v>
      </c>
      <c r="D325" s="273">
        <f t="shared" si="75"/>
        <v>0</v>
      </c>
      <c r="E325" s="273"/>
      <c r="F325" s="273"/>
      <c r="G325" s="273"/>
      <c r="H325" s="273"/>
      <c r="I325" s="273"/>
      <c r="J325" s="273"/>
      <c r="K325" s="273"/>
      <c r="L325" s="273"/>
      <c r="M325" s="273"/>
      <c r="N325" s="273"/>
      <c r="O325" s="273"/>
      <c r="P325" s="273"/>
      <c r="Q325" s="273"/>
      <c r="R325" s="273"/>
      <c r="S325" s="273"/>
      <c r="T325" s="273"/>
      <c r="U325" s="273"/>
      <c r="V325" s="273"/>
      <c r="W325" s="273">
        <f t="shared" si="76"/>
        <v>150037.67000000001</v>
      </c>
      <c r="X325" s="273"/>
      <c r="Y325" s="273"/>
      <c r="Z325" s="273"/>
      <c r="AA325" s="273"/>
      <c r="AB325" s="273"/>
      <c r="AD325" s="16"/>
      <c r="AE325" s="273">
        <v>150037.67000000001</v>
      </c>
      <c r="AF325" s="17"/>
      <c r="AG325" s="13"/>
      <c r="AH325" s="13"/>
    </row>
    <row r="326" spans="1:34" x14ac:dyDescent="0.3">
      <c r="A326" s="8">
        <f t="shared" si="73"/>
        <v>281</v>
      </c>
      <c r="B326" s="124" t="s">
        <v>414</v>
      </c>
      <c r="C326" s="273">
        <f t="shared" si="77"/>
        <v>155425.46</v>
      </c>
      <c r="D326" s="273">
        <f t="shared" si="75"/>
        <v>0</v>
      </c>
      <c r="E326" s="273"/>
      <c r="F326" s="273"/>
      <c r="G326" s="273"/>
      <c r="H326" s="273"/>
      <c r="I326" s="273"/>
      <c r="J326" s="273"/>
      <c r="K326" s="273"/>
      <c r="L326" s="273"/>
      <c r="M326" s="273"/>
      <c r="N326" s="273"/>
      <c r="O326" s="273"/>
      <c r="P326" s="273"/>
      <c r="Q326" s="273"/>
      <c r="R326" s="273"/>
      <c r="S326" s="273"/>
      <c r="T326" s="273"/>
      <c r="U326" s="273"/>
      <c r="V326" s="273"/>
      <c r="W326" s="273">
        <f t="shared" si="76"/>
        <v>155425.46</v>
      </c>
      <c r="X326" s="273"/>
      <c r="Y326" s="273"/>
      <c r="Z326" s="273"/>
      <c r="AA326" s="273"/>
      <c r="AB326" s="273"/>
      <c r="AD326" s="16"/>
      <c r="AE326" s="273">
        <v>155425.46</v>
      </c>
      <c r="AF326" s="17"/>
      <c r="AG326" s="13"/>
      <c r="AH326" s="13"/>
    </row>
    <row r="327" spans="1:34" x14ac:dyDescent="0.3">
      <c r="A327" s="8">
        <f t="shared" si="73"/>
        <v>282</v>
      </c>
      <c r="B327" s="124" t="s">
        <v>415</v>
      </c>
      <c r="C327" s="273">
        <f t="shared" si="77"/>
        <v>245426.52</v>
      </c>
      <c r="D327" s="273">
        <f t="shared" si="75"/>
        <v>0</v>
      </c>
      <c r="E327" s="273"/>
      <c r="F327" s="273"/>
      <c r="G327" s="273"/>
      <c r="H327" s="273"/>
      <c r="I327" s="273"/>
      <c r="J327" s="273"/>
      <c r="K327" s="273"/>
      <c r="L327" s="273"/>
      <c r="M327" s="273"/>
      <c r="N327" s="273"/>
      <c r="O327" s="273"/>
      <c r="P327" s="273"/>
      <c r="Q327" s="273"/>
      <c r="R327" s="273"/>
      <c r="S327" s="273"/>
      <c r="T327" s="273"/>
      <c r="U327" s="273"/>
      <c r="V327" s="273"/>
      <c r="W327" s="273">
        <f t="shared" si="76"/>
        <v>245426.52</v>
      </c>
      <c r="X327" s="273"/>
      <c r="Y327" s="273"/>
      <c r="Z327" s="273"/>
      <c r="AA327" s="273"/>
      <c r="AB327" s="273"/>
      <c r="AD327" s="16"/>
      <c r="AE327" s="273">
        <v>245426.52</v>
      </c>
      <c r="AF327" s="17"/>
      <c r="AG327" s="13"/>
      <c r="AH327" s="13"/>
    </row>
    <row r="328" spans="1:34" x14ac:dyDescent="0.3">
      <c r="A328" s="8">
        <f t="shared" si="73"/>
        <v>283</v>
      </c>
      <c r="B328" s="124" t="s">
        <v>416</v>
      </c>
      <c r="C328" s="273">
        <f t="shared" si="77"/>
        <v>218723.14</v>
      </c>
      <c r="D328" s="273">
        <f t="shared" si="75"/>
        <v>0</v>
      </c>
      <c r="E328" s="273"/>
      <c r="F328" s="273"/>
      <c r="G328" s="273"/>
      <c r="H328" s="273"/>
      <c r="I328" s="273"/>
      <c r="J328" s="273"/>
      <c r="K328" s="273"/>
      <c r="L328" s="273"/>
      <c r="M328" s="273"/>
      <c r="N328" s="273"/>
      <c r="O328" s="273"/>
      <c r="P328" s="273"/>
      <c r="Q328" s="273"/>
      <c r="R328" s="273"/>
      <c r="S328" s="273"/>
      <c r="T328" s="273"/>
      <c r="U328" s="273"/>
      <c r="V328" s="273"/>
      <c r="W328" s="273">
        <f t="shared" si="76"/>
        <v>218723.14</v>
      </c>
      <c r="X328" s="273"/>
      <c r="Y328" s="273"/>
      <c r="Z328" s="273"/>
      <c r="AA328" s="273"/>
      <c r="AB328" s="273"/>
      <c r="AD328" s="16"/>
      <c r="AE328" s="273">
        <v>218723.14</v>
      </c>
      <c r="AF328" s="17"/>
      <c r="AG328" s="13"/>
      <c r="AH328" s="13"/>
    </row>
    <row r="329" spans="1:34" x14ac:dyDescent="0.3">
      <c r="A329" s="8"/>
      <c r="B329" s="122" t="s">
        <v>208</v>
      </c>
      <c r="C329" s="273">
        <f t="shared" ref="C329:W329" si="78">SUM(C229:C328)</f>
        <v>73450679.179999977</v>
      </c>
      <c r="D329" s="273">
        <f t="shared" si="78"/>
        <v>26320629.060000002</v>
      </c>
      <c r="E329" s="273">
        <f t="shared" si="78"/>
        <v>10284720</v>
      </c>
      <c r="F329" s="273">
        <f t="shared" si="78"/>
        <v>11320927.199999999</v>
      </c>
      <c r="G329" s="273">
        <f t="shared" si="78"/>
        <v>1986280</v>
      </c>
      <c r="H329" s="273">
        <f t="shared" si="78"/>
        <v>453505.86</v>
      </c>
      <c r="I329" s="273">
        <f t="shared" si="78"/>
        <v>2275196</v>
      </c>
      <c r="J329" s="273">
        <f t="shared" si="78"/>
        <v>0</v>
      </c>
      <c r="K329" s="273">
        <f t="shared" si="78"/>
        <v>0</v>
      </c>
      <c r="L329" s="273">
        <f t="shared" si="78"/>
        <v>0</v>
      </c>
      <c r="M329" s="273">
        <f t="shared" si="78"/>
        <v>2933.39</v>
      </c>
      <c r="N329" s="273">
        <f t="shared" si="78"/>
        <v>22299257.039999995</v>
      </c>
      <c r="O329" s="273">
        <f t="shared" si="78"/>
        <v>407</v>
      </c>
      <c r="P329" s="273">
        <f t="shared" si="78"/>
        <v>10758231</v>
      </c>
      <c r="Q329" s="273">
        <f t="shared" si="78"/>
        <v>0</v>
      </c>
      <c r="R329" s="273">
        <f t="shared" si="78"/>
        <v>0</v>
      </c>
      <c r="S329" s="273">
        <f t="shared" si="78"/>
        <v>0</v>
      </c>
      <c r="T329" s="273">
        <f t="shared" si="78"/>
        <v>0</v>
      </c>
      <c r="U329" s="273">
        <f t="shared" si="78"/>
        <v>0</v>
      </c>
      <c r="V329" s="273">
        <f t="shared" si="78"/>
        <v>1005789.36</v>
      </c>
      <c r="W329" s="273">
        <f t="shared" si="78"/>
        <v>13066772.720000001</v>
      </c>
      <c r="X329" s="273"/>
      <c r="Y329" s="273"/>
      <c r="Z329" s="273"/>
      <c r="AA329" s="273"/>
      <c r="AB329" s="273"/>
      <c r="AC329" s="273"/>
      <c r="AD329" s="16"/>
      <c r="AE329" s="17"/>
      <c r="AF329" s="17"/>
      <c r="AG329" s="13"/>
      <c r="AH329" s="13"/>
    </row>
    <row r="330" spans="1:34" x14ac:dyDescent="0.3">
      <c r="A330" s="374" t="s">
        <v>417</v>
      </c>
      <c r="B330" s="375"/>
      <c r="C330" s="273"/>
      <c r="D330" s="273"/>
      <c r="E330" s="273"/>
      <c r="F330" s="273"/>
      <c r="G330" s="273"/>
      <c r="H330" s="273"/>
      <c r="I330" s="273"/>
      <c r="J330" s="273"/>
      <c r="K330" s="273"/>
      <c r="L330" s="273"/>
      <c r="M330" s="273"/>
      <c r="N330" s="273"/>
      <c r="O330" s="273"/>
      <c r="P330" s="273"/>
      <c r="Q330" s="273"/>
      <c r="R330" s="273"/>
      <c r="S330" s="273"/>
      <c r="T330" s="273"/>
      <c r="U330" s="273"/>
      <c r="V330" s="273"/>
      <c r="W330" s="273"/>
      <c r="X330" s="273"/>
      <c r="Y330" s="273"/>
      <c r="Z330" s="273"/>
      <c r="AA330" s="273"/>
      <c r="AB330" s="273"/>
      <c r="AC330" s="273"/>
      <c r="AD330" s="16"/>
      <c r="AE330" s="17"/>
      <c r="AF330" s="17"/>
      <c r="AG330" s="13"/>
    </row>
    <row r="331" spans="1:34" x14ac:dyDescent="0.3">
      <c r="A331" s="8">
        <f>A328+1</f>
        <v>284</v>
      </c>
      <c r="B331" s="124" t="s">
        <v>423</v>
      </c>
      <c r="C331" s="273">
        <f>D331+K331+L331+N331+P331+R331+S331+U331+V331+W331</f>
        <v>4451700</v>
      </c>
      <c r="D331" s="273">
        <f>E331+F331+G331+H331+I331</f>
        <v>0</v>
      </c>
      <c r="E331" s="273"/>
      <c r="F331" s="273"/>
      <c r="G331" s="273"/>
      <c r="H331" s="273"/>
      <c r="I331" s="273"/>
      <c r="J331" s="273"/>
      <c r="K331" s="273"/>
      <c r="L331" s="273"/>
      <c r="M331" s="273">
        <v>550</v>
      </c>
      <c r="N331" s="273">
        <f>M331*8094</f>
        <v>4451700</v>
      </c>
      <c r="O331" s="273"/>
      <c r="P331" s="273"/>
      <c r="Q331" s="273"/>
      <c r="R331" s="273"/>
      <c r="S331" s="273"/>
      <c r="T331" s="273"/>
      <c r="U331" s="273"/>
      <c r="V331" s="273"/>
      <c r="W331" s="273"/>
      <c r="X331" s="273"/>
      <c r="Y331" s="273"/>
      <c r="Z331" s="273"/>
      <c r="AA331" s="273"/>
      <c r="AB331" s="273"/>
      <c r="AC331" s="273"/>
      <c r="AD331" s="16"/>
      <c r="AE331" s="17"/>
      <c r="AF331" s="17"/>
      <c r="AG331" s="13"/>
    </row>
    <row r="332" spans="1:34" x14ac:dyDescent="0.3">
      <c r="A332" s="8">
        <f>A331+1</f>
        <v>285</v>
      </c>
      <c r="B332" s="124" t="s">
        <v>424</v>
      </c>
      <c r="C332" s="273">
        <f>D332+K332+L332+N332+P332+R332+S332+U332+V332+W332</f>
        <v>2676119.2199999997</v>
      </c>
      <c r="D332" s="273">
        <f>E332+F332+G332+H332+I332</f>
        <v>0</v>
      </c>
      <c r="E332" s="273"/>
      <c r="F332" s="273"/>
      <c r="G332" s="273"/>
      <c r="H332" s="273"/>
      <c r="I332" s="273"/>
      <c r="J332" s="273"/>
      <c r="K332" s="273"/>
      <c r="L332" s="273"/>
      <c r="M332" s="273">
        <v>330.63</v>
      </c>
      <c r="N332" s="273">
        <f>M332*8094</f>
        <v>2676119.2199999997</v>
      </c>
      <c r="O332" s="273"/>
      <c r="P332" s="273"/>
      <c r="Q332" s="273"/>
      <c r="R332" s="273"/>
      <c r="S332" s="273"/>
      <c r="T332" s="273"/>
      <c r="U332" s="273"/>
      <c r="V332" s="273"/>
      <c r="W332" s="273"/>
      <c r="X332" s="273"/>
      <c r="Y332" s="273"/>
      <c r="Z332" s="273"/>
      <c r="AA332" s="273"/>
      <c r="AB332" s="273"/>
      <c r="AC332" s="273"/>
      <c r="AD332" s="16"/>
      <c r="AE332" s="17"/>
      <c r="AF332" s="17"/>
      <c r="AG332" s="13"/>
    </row>
    <row r="333" spans="1:34" x14ac:dyDescent="0.3">
      <c r="A333" s="8"/>
      <c r="B333" s="122" t="s">
        <v>208</v>
      </c>
      <c r="C333" s="273">
        <f t="shared" ref="C333:W333" si="79">SUM(C331:C332)</f>
        <v>7127819.2199999997</v>
      </c>
      <c r="D333" s="273">
        <f t="shared" si="79"/>
        <v>0</v>
      </c>
      <c r="E333" s="273">
        <f t="shared" si="79"/>
        <v>0</v>
      </c>
      <c r="F333" s="273">
        <f t="shared" si="79"/>
        <v>0</v>
      </c>
      <c r="G333" s="273">
        <f t="shared" si="79"/>
        <v>0</v>
      </c>
      <c r="H333" s="273">
        <f t="shared" si="79"/>
        <v>0</v>
      </c>
      <c r="I333" s="273">
        <f t="shared" si="79"/>
        <v>0</v>
      </c>
      <c r="J333" s="273">
        <f t="shared" si="79"/>
        <v>0</v>
      </c>
      <c r="K333" s="273">
        <f t="shared" si="79"/>
        <v>0</v>
      </c>
      <c r="L333" s="273">
        <f t="shared" si="79"/>
        <v>0</v>
      </c>
      <c r="M333" s="273">
        <f t="shared" si="79"/>
        <v>880.63</v>
      </c>
      <c r="N333" s="273">
        <f t="shared" si="79"/>
        <v>7127819.2199999997</v>
      </c>
      <c r="O333" s="273">
        <f t="shared" si="79"/>
        <v>0</v>
      </c>
      <c r="P333" s="273">
        <f t="shared" si="79"/>
        <v>0</v>
      </c>
      <c r="Q333" s="273">
        <f t="shared" si="79"/>
        <v>0</v>
      </c>
      <c r="R333" s="273">
        <f t="shared" si="79"/>
        <v>0</v>
      </c>
      <c r="S333" s="273">
        <f t="shared" si="79"/>
        <v>0</v>
      </c>
      <c r="T333" s="273">
        <f t="shared" si="79"/>
        <v>0</v>
      </c>
      <c r="U333" s="273">
        <f t="shared" si="79"/>
        <v>0</v>
      </c>
      <c r="V333" s="273">
        <f t="shared" si="79"/>
        <v>0</v>
      </c>
      <c r="W333" s="273">
        <f t="shared" si="79"/>
        <v>0</v>
      </c>
      <c r="X333" s="273"/>
      <c r="Y333" s="273"/>
      <c r="Z333" s="273"/>
      <c r="AA333" s="273"/>
      <c r="AB333" s="273"/>
      <c r="AC333" s="273"/>
      <c r="AD333" s="16"/>
      <c r="AE333" s="17"/>
      <c r="AF333" s="17"/>
      <c r="AG333" s="13"/>
    </row>
    <row r="334" spans="1:34" x14ac:dyDescent="0.3">
      <c r="A334" s="374" t="s">
        <v>429</v>
      </c>
      <c r="B334" s="375"/>
      <c r="C334" s="273"/>
      <c r="D334" s="273"/>
      <c r="E334" s="273"/>
      <c r="F334" s="273"/>
      <c r="G334" s="273"/>
      <c r="H334" s="273"/>
      <c r="I334" s="273"/>
      <c r="J334" s="273"/>
      <c r="K334" s="273"/>
      <c r="L334" s="273"/>
      <c r="M334" s="273"/>
      <c r="N334" s="273"/>
      <c r="O334" s="273"/>
      <c r="P334" s="273"/>
      <c r="Q334" s="273"/>
      <c r="R334" s="273"/>
      <c r="S334" s="273"/>
      <c r="T334" s="273"/>
      <c r="U334" s="273"/>
      <c r="V334" s="273"/>
      <c r="W334" s="273"/>
      <c r="X334" s="273"/>
      <c r="Y334" s="273"/>
      <c r="Z334" s="273"/>
      <c r="AA334" s="273"/>
      <c r="AB334" s="273"/>
      <c r="AC334" s="273"/>
      <c r="AD334" s="16"/>
      <c r="AE334" s="17"/>
      <c r="AF334" s="17"/>
      <c r="AG334" s="13"/>
      <c r="AH334" s="13"/>
    </row>
    <row r="335" spans="1:34" x14ac:dyDescent="0.3">
      <c r="A335" s="8">
        <f>A332+1</f>
        <v>286</v>
      </c>
      <c r="B335" s="124" t="s">
        <v>430</v>
      </c>
      <c r="C335" s="273">
        <f>D335+K335+L335+N335+P335+R335+S335+U335+V335+W335</f>
        <v>2969564.4</v>
      </c>
      <c r="D335" s="273">
        <f>E335+F335+G335+H335+I335</f>
        <v>0</v>
      </c>
      <c r="E335" s="273"/>
      <c r="F335" s="273"/>
      <c r="G335" s="273"/>
      <c r="H335" s="273"/>
      <c r="I335" s="273"/>
      <c r="J335" s="273"/>
      <c r="K335" s="273"/>
      <c r="L335" s="273"/>
      <c r="M335" s="273">
        <v>537.1</v>
      </c>
      <c r="N335" s="273">
        <v>2969564.4</v>
      </c>
      <c r="O335" s="273"/>
      <c r="P335" s="273"/>
      <c r="Q335" s="273"/>
      <c r="R335" s="273"/>
      <c r="S335" s="273"/>
      <c r="T335" s="273"/>
      <c r="U335" s="273"/>
      <c r="V335" s="273"/>
      <c r="W335" s="273"/>
      <c r="X335" s="273"/>
      <c r="Y335" s="273"/>
      <c r="Z335" s="273"/>
      <c r="AA335" s="273"/>
      <c r="AB335" s="273"/>
      <c r="AC335" s="273"/>
      <c r="AD335" s="16"/>
      <c r="AE335" s="17"/>
      <c r="AF335" s="17"/>
      <c r="AG335" s="13"/>
      <c r="AH335" s="13"/>
    </row>
    <row r="336" spans="1:34" x14ac:dyDescent="0.3">
      <c r="A336" s="8">
        <f>A335+1</f>
        <v>287</v>
      </c>
      <c r="B336" s="124" t="s">
        <v>431</v>
      </c>
      <c r="C336" s="273">
        <f>D336+K336+L336+N336+P336+R336+S336+U336+V336+W336</f>
        <v>2990902.8</v>
      </c>
      <c r="D336" s="273">
        <f>E336+F336+G336+H336+I336</f>
        <v>0</v>
      </c>
      <c r="E336" s="273"/>
      <c r="F336" s="273"/>
      <c r="G336" s="273"/>
      <c r="H336" s="273"/>
      <c r="I336" s="273"/>
      <c r="J336" s="273"/>
      <c r="K336" s="273"/>
      <c r="L336" s="273"/>
      <c r="M336" s="273">
        <v>537.1</v>
      </c>
      <c r="N336" s="273">
        <v>2990902.8</v>
      </c>
      <c r="O336" s="273"/>
      <c r="P336" s="273"/>
      <c r="Q336" s="273"/>
      <c r="R336" s="273"/>
      <c r="S336" s="273"/>
      <c r="T336" s="273"/>
      <c r="U336" s="273"/>
      <c r="V336" s="273"/>
      <c r="W336" s="273"/>
      <c r="X336" s="273"/>
      <c r="Y336" s="273"/>
      <c r="Z336" s="273"/>
      <c r="AA336" s="273"/>
      <c r="AB336" s="273"/>
      <c r="AC336" s="273"/>
      <c r="AD336" s="16"/>
      <c r="AE336" s="17"/>
      <c r="AF336" s="17"/>
      <c r="AG336" s="13"/>
      <c r="AH336" s="13"/>
    </row>
    <row r="337" spans="1:34" x14ac:dyDescent="0.3">
      <c r="A337" s="8">
        <f>A336+1</f>
        <v>288</v>
      </c>
      <c r="B337" s="124" t="s">
        <v>432</v>
      </c>
      <c r="C337" s="273">
        <f>D337+K337+L337+N337+P337+R337+S337+U337+V337+W337</f>
        <v>2898813.6</v>
      </c>
      <c r="D337" s="273">
        <f>E337+F337+G337+H337+I337</f>
        <v>0</v>
      </c>
      <c r="E337" s="273"/>
      <c r="F337" s="273"/>
      <c r="G337" s="273"/>
      <c r="H337" s="273"/>
      <c r="I337" s="273"/>
      <c r="J337" s="273"/>
      <c r="K337" s="273"/>
      <c r="L337" s="273"/>
      <c r="M337" s="273">
        <v>687.78</v>
      </c>
      <c r="N337" s="273">
        <v>2898813.6</v>
      </c>
      <c r="O337" s="273"/>
      <c r="P337" s="273"/>
      <c r="Q337" s="273"/>
      <c r="R337" s="273"/>
      <c r="S337" s="273"/>
      <c r="T337" s="273"/>
      <c r="U337" s="273"/>
      <c r="V337" s="273"/>
      <c r="W337" s="273"/>
      <c r="X337" s="273"/>
      <c r="Y337" s="273"/>
      <c r="Z337" s="273"/>
      <c r="AA337" s="273"/>
      <c r="AB337" s="273"/>
      <c r="AC337" s="273"/>
      <c r="AD337" s="16"/>
      <c r="AE337" s="17"/>
      <c r="AF337" s="17"/>
      <c r="AG337" s="13"/>
      <c r="AH337" s="13"/>
    </row>
    <row r="338" spans="1:34" x14ac:dyDescent="0.3">
      <c r="A338" s="8"/>
      <c r="B338" s="122" t="s">
        <v>208</v>
      </c>
      <c r="C338" s="273">
        <f t="shared" ref="C338:W338" si="80">SUM(C335:C337)</f>
        <v>8859280.7999999989</v>
      </c>
      <c r="D338" s="273">
        <f t="shared" si="80"/>
        <v>0</v>
      </c>
      <c r="E338" s="273">
        <f t="shared" si="80"/>
        <v>0</v>
      </c>
      <c r="F338" s="273">
        <f t="shared" si="80"/>
        <v>0</v>
      </c>
      <c r="G338" s="273">
        <f t="shared" si="80"/>
        <v>0</v>
      </c>
      <c r="H338" s="273">
        <f t="shared" si="80"/>
        <v>0</v>
      </c>
      <c r="I338" s="273">
        <f t="shared" si="80"/>
        <v>0</v>
      </c>
      <c r="J338" s="273">
        <f t="shared" si="80"/>
        <v>0</v>
      </c>
      <c r="K338" s="273">
        <f t="shared" si="80"/>
        <v>0</v>
      </c>
      <c r="L338" s="273">
        <f t="shared" si="80"/>
        <v>0</v>
      </c>
      <c r="M338" s="273">
        <f t="shared" si="80"/>
        <v>1761.98</v>
      </c>
      <c r="N338" s="273">
        <f t="shared" si="80"/>
        <v>8859280.7999999989</v>
      </c>
      <c r="O338" s="273">
        <f t="shared" si="80"/>
        <v>0</v>
      </c>
      <c r="P338" s="273">
        <f t="shared" si="80"/>
        <v>0</v>
      </c>
      <c r="Q338" s="273">
        <f t="shared" si="80"/>
        <v>0</v>
      </c>
      <c r="R338" s="273">
        <f t="shared" si="80"/>
        <v>0</v>
      </c>
      <c r="S338" s="273">
        <f t="shared" si="80"/>
        <v>0</v>
      </c>
      <c r="T338" s="273">
        <f t="shared" si="80"/>
        <v>0</v>
      </c>
      <c r="U338" s="273">
        <f t="shared" si="80"/>
        <v>0</v>
      </c>
      <c r="V338" s="273">
        <f t="shared" si="80"/>
        <v>0</v>
      </c>
      <c r="W338" s="273">
        <f t="shared" si="80"/>
        <v>0</v>
      </c>
      <c r="X338" s="273"/>
      <c r="Y338" s="273"/>
      <c r="Z338" s="273"/>
      <c r="AA338" s="273"/>
      <c r="AB338" s="273"/>
      <c r="AC338" s="273"/>
      <c r="AD338" s="16"/>
      <c r="AE338" s="17"/>
      <c r="AF338" s="17"/>
      <c r="AG338" s="13"/>
      <c r="AH338" s="13"/>
    </row>
    <row r="339" spans="1:34" x14ac:dyDescent="0.3">
      <c r="A339" s="374" t="s">
        <v>439</v>
      </c>
      <c r="B339" s="375"/>
      <c r="C339" s="273"/>
      <c r="D339" s="273"/>
      <c r="E339" s="273"/>
      <c r="F339" s="273"/>
      <c r="G339" s="273"/>
      <c r="H339" s="273"/>
      <c r="I339" s="273"/>
      <c r="J339" s="273"/>
      <c r="K339" s="273"/>
      <c r="L339" s="273"/>
      <c r="M339" s="273"/>
      <c r="N339" s="273"/>
      <c r="O339" s="273"/>
      <c r="P339" s="273"/>
      <c r="Q339" s="273"/>
      <c r="R339" s="273"/>
      <c r="S339" s="273"/>
      <c r="T339" s="273"/>
      <c r="U339" s="273"/>
      <c r="V339" s="273"/>
      <c r="W339" s="273"/>
      <c r="X339" s="273"/>
      <c r="Y339" s="273"/>
      <c r="Z339" s="273"/>
      <c r="AA339" s="273"/>
      <c r="AB339" s="273"/>
      <c r="AC339" s="273"/>
      <c r="AD339" s="16"/>
      <c r="AE339" s="17"/>
      <c r="AF339" s="17"/>
      <c r="AG339" s="13"/>
      <c r="AH339" s="13"/>
    </row>
    <row r="340" spans="1:34" x14ac:dyDescent="0.3">
      <c r="A340" s="8">
        <f>A337+1</f>
        <v>289</v>
      </c>
      <c r="B340" s="124" t="s">
        <v>440</v>
      </c>
      <c r="C340" s="273">
        <f>D340+K340+L340+N340+P340+R340+S340+V340+W340</f>
        <v>130000</v>
      </c>
      <c r="D340" s="273">
        <f>E340+F340+G340+H340+I340</f>
        <v>0</v>
      </c>
      <c r="E340" s="273"/>
      <c r="F340" s="273"/>
      <c r="G340" s="273"/>
      <c r="H340" s="273"/>
      <c r="I340" s="273"/>
      <c r="J340" s="273"/>
      <c r="K340" s="273"/>
      <c r="L340" s="273"/>
      <c r="M340" s="273"/>
      <c r="N340" s="273"/>
      <c r="O340" s="273"/>
      <c r="P340" s="273"/>
      <c r="Q340" s="273"/>
      <c r="R340" s="273"/>
      <c r="S340" s="273"/>
      <c r="T340" s="273"/>
      <c r="U340" s="273"/>
      <c r="V340" s="273"/>
      <c r="W340" s="273">
        <v>130000</v>
      </c>
      <c r="X340" s="273"/>
      <c r="Y340" s="273"/>
      <c r="Z340" s="273"/>
      <c r="AA340" s="273"/>
      <c r="AB340" s="273"/>
      <c r="AC340" s="273"/>
      <c r="AD340" s="16"/>
      <c r="AE340" s="17"/>
      <c r="AF340" s="17"/>
      <c r="AG340" s="13"/>
      <c r="AH340" s="13"/>
    </row>
    <row r="341" spans="1:34" x14ac:dyDescent="0.3">
      <c r="A341" s="8">
        <f>A340+1</f>
        <v>290</v>
      </c>
      <c r="B341" s="124" t="s">
        <v>441</v>
      </c>
      <c r="C341" s="273">
        <f>D341+K341+L341+N341+P341+R341+S341+V341+W341</f>
        <v>130000</v>
      </c>
      <c r="D341" s="273">
        <f>E341+F341+G341+H341+I341</f>
        <v>0</v>
      </c>
      <c r="E341" s="273"/>
      <c r="F341" s="273"/>
      <c r="G341" s="273"/>
      <c r="H341" s="273"/>
      <c r="I341" s="273"/>
      <c r="J341" s="273"/>
      <c r="K341" s="273"/>
      <c r="L341" s="273"/>
      <c r="M341" s="273"/>
      <c r="N341" s="273"/>
      <c r="O341" s="273"/>
      <c r="P341" s="273"/>
      <c r="Q341" s="273"/>
      <c r="R341" s="273"/>
      <c r="S341" s="273"/>
      <c r="T341" s="273"/>
      <c r="U341" s="273"/>
      <c r="V341" s="273"/>
      <c r="W341" s="273">
        <v>130000</v>
      </c>
      <c r="X341" s="273"/>
      <c r="Y341" s="273"/>
      <c r="Z341" s="273"/>
      <c r="AA341" s="273"/>
      <c r="AB341" s="273"/>
      <c r="AC341" s="273"/>
      <c r="AD341" s="16"/>
      <c r="AE341" s="17"/>
      <c r="AF341" s="17"/>
      <c r="AG341" s="13"/>
      <c r="AH341" s="13"/>
    </row>
    <row r="342" spans="1:34" x14ac:dyDescent="0.3">
      <c r="A342" s="8">
        <f>A341+1</f>
        <v>291</v>
      </c>
      <c r="B342" s="124" t="s">
        <v>443</v>
      </c>
      <c r="C342" s="273">
        <f>D342+K342+L342+N342+P342+R342+S342+V342+W342</f>
        <v>130000</v>
      </c>
      <c r="D342" s="273">
        <f>E342+F342+G342+H342+I342</f>
        <v>0</v>
      </c>
      <c r="E342" s="273"/>
      <c r="F342" s="273"/>
      <c r="G342" s="273"/>
      <c r="H342" s="273"/>
      <c r="I342" s="273"/>
      <c r="J342" s="273"/>
      <c r="K342" s="273"/>
      <c r="L342" s="273"/>
      <c r="M342" s="273"/>
      <c r="N342" s="273"/>
      <c r="O342" s="273"/>
      <c r="P342" s="273"/>
      <c r="Q342" s="273"/>
      <c r="R342" s="273"/>
      <c r="S342" s="273"/>
      <c r="T342" s="273"/>
      <c r="U342" s="273"/>
      <c r="V342" s="273"/>
      <c r="W342" s="273">
        <v>130000</v>
      </c>
      <c r="X342" s="273"/>
      <c r="Y342" s="273"/>
      <c r="Z342" s="273"/>
      <c r="AA342" s="273"/>
      <c r="AB342" s="273"/>
      <c r="AC342" s="273"/>
      <c r="AD342" s="16"/>
      <c r="AE342" s="17"/>
      <c r="AF342" s="17"/>
      <c r="AG342" s="13"/>
      <c r="AH342" s="13"/>
    </row>
    <row r="343" spans="1:34" x14ac:dyDescent="0.3">
      <c r="A343" s="8"/>
      <c r="B343" s="122" t="s">
        <v>208</v>
      </c>
      <c r="C343" s="273">
        <f t="shared" ref="C343:W343" si="81">SUM(C340:C342)</f>
        <v>390000</v>
      </c>
      <c r="D343" s="273">
        <f t="shared" si="81"/>
        <v>0</v>
      </c>
      <c r="E343" s="273">
        <f t="shared" si="81"/>
        <v>0</v>
      </c>
      <c r="F343" s="273">
        <f t="shared" si="81"/>
        <v>0</v>
      </c>
      <c r="G343" s="273">
        <f t="shared" si="81"/>
        <v>0</v>
      </c>
      <c r="H343" s="273">
        <f t="shared" si="81"/>
        <v>0</v>
      </c>
      <c r="I343" s="273">
        <f t="shared" si="81"/>
        <v>0</v>
      </c>
      <c r="J343" s="273">
        <f t="shared" si="81"/>
        <v>0</v>
      </c>
      <c r="K343" s="273">
        <f t="shared" si="81"/>
        <v>0</v>
      </c>
      <c r="L343" s="273">
        <f t="shared" si="81"/>
        <v>0</v>
      </c>
      <c r="M343" s="273">
        <f t="shared" si="81"/>
        <v>0</v>
      </c>
      <c r="N343" s="273">
        <f t="shared" si="81"/>
        <v>0</v>
      </c>
      <c r="O343" s="273">
        <f t="shared" si="81"/>
        <v>0</v>
      </c>
      <c r="P343" s="273">
        <f t="shared" si="81"/>
        <v>0</v>
      </c>
      <c r="Q343" s="273">
        <f t="shared" si="81"/>
        <v>0</v>
      </c>
      <c r="R343" s="273">
        <f t="shared" si="81"/>
        <v>0</v>
      </c>
      <c r="S343" s="273">
        <f t="shared" si="81"/>
        <v>0</v>
      </c>
      <c r="T343" s="273">
        <f t="shared" si="81"/>
        <v>0</v>
      </c>
      <c r="U343" s="273">
        <f t="shared" si="81"/>
        <v>0</v>
      </c>
      <c r="V343" s="273">
        <f t="shared" si="81"/>
        <v>0</v>
      </c>
      <c r="W343" s="273">
        <f t="shared" si="81"/>
        <v>390000</v>
      </c>
      <c r="X343" s="273"/>
      <c r="Y343" s="273"/>
      <c r="Z343" s="273"/>
      <c r="AA343" s="273"/>
      <c r="AB343" s="273"/>
      <c r="AC343" s="273"/>
      <c r="AD343" s="16"/>
      <c r="AE343" s="17"/>
      <c r="AF343" s="17"/>
      <c r="AG343" s="13"/>
      <c r="AH343" s="13"/>
    </row>
    <row r="344" spans="1:34" x14ac:dyDescent="0.3">
      <c r="A344" s="374" t="s">
        <v>455</v>
      </c>
      <c r="B344" s="375"/>
      <c r="C344" s="273"/>
      <c r="D344" s="273"/>
      <c r="E344" s="273"/>
      <c r="F344" s="273"/>
      <c r="G344" s="273"/>
      <c r="H344" s="273"/>
      <c r="I344" s="273"/>
      <c r="J344" s="273"/>
      <c r="K344" s="273"/>
      <c r="L344" s="273"/>
      <c r="M344" s="273"/>
      <c r="N344" s="273"/>
      <c r="O344" s="273"/>
      <c r="P344" s="273"/>
      <c r="Q344" s="273"/>
      <c r="R344" s="273"/>
      <c r="S344" s="273"/>
      <c r="T344" s="273"/>
      <c r="U344" s="273"/>
      <c r="V344" s="273"/>
      <c r="W344" s="273"/>
      <c r="X344" s="273"/>
      <c r="Y344" s="273"/>
      <c r="Z344" s="273"/>
      <c r="AA344" s="273"/>
      <c r="AB344" s="273"/>
      <c r="AC344" s="273"/>
      <c r="AD344" s="16"/>
      <c r="AE344" s="17"/>
      <c r="AF344" s="17"/>
      <c r="AG344" s="13"/>
      <c r="AH344" s="13"/>
    </row>
    <row r="345" spans="1:34" x14ac:dyDescent="0.3">
      <c r="A345" s="8">
        <f>A342+1</f>
        <v>292</v>
      </c>
      <c r="B345" s="124" t="s">
        <v>456</v>
      </c>
      <c r="C345" s="273">
        <f t="shared" ref="C345:C351" si="82">D345+K345+L345+N345+P345+R345+S345+U345+V345+W345</f>
        <v>352050.24</v>
      </c>
      <c r="D345" s="273">
        <f t="shared" ref="D345:D351" si="83">E345+F345+G345+H345+I345</f>
        <v>0</v>
      </c>
      <c r="E345" s="273"/>
      <c r="F345" s="273"/>
      <c r="G345" s="273"/>
      <c r="H345" s="273"/>
      <c r="I345" s="273"/>
      <c r="J345" s="273"/>
      <c r="K345" s="273"/>
      <c r="L345" s="273"/>
      <c r="M345" s="273"/>
      <c r="N345" s="273"/>
      <c r="O345" s="273"/>
      <c r="P345" s="273"/>
      <c r="Q345" s="273"/>
      <c r="R345" s="273"/>
      <c r="S345" s="273"/>
      <c r="T345" s="273"/>
      <c r="U345" s="273"/>
      <c r="V345" s="273"/>
      <c r="W345" s="273">
        <f>SUM(X345:AH345)</f>
        <v>352050.24</v>
      </c>
      <c r="X345" s="273"/>
      <c r="Y345" s="273"/>
      <c r="Z345" s="273"/>
      <c r="AA345" s="273"/>
      <c r="AB345" s="273"/>
      <c r="AD345" s="16"/>
      <c r="AE345" s="273">
        <v>352050.24</v>
      </c>
      <c r="AF345" s="17"/>
      <c r="AG345" s="13"/>
      <c r="AH345" s="13"/>
    </row>
    <row r="346" spans="1:34" x14ac:dyDescent="0.3">
      <c r="A346" s="8">
        <f t="shared" ref="A346:A351" si="84">A345+1</f>
        <v>293</v>
      </c>
      <c r="B346" s="124" t="s">
        <v>457</v>
      </c>
      <c r="C346" s="273">
        <f t="shared" si="82"/>
        <v>481208.21</v>
      </c>
      <c r="D346" s="273">
        <f t="shared" si="83"/>
        <v>0</v>
      </c>
      <c r="E346" s="273"/>
      <c r="F346" s="273"/>
      <c r="G346" s="273"/>
      <c r="H346" s="273"/>
      <c r="I346" s="273"/>
      <c r="J346" s="273"/>
      <c r="K346" s="273"/>
      <c r="L346" s="273"/>
      <c r="M346" s="273"/>
      <c r="N346" s="273"/>
      <c r="O346" s="273"/>
      <c r="P346" s="273"/>
      <c r="Q346" s="273"/>
      <c r="R346" s="273"/>
      <c r="S346" s="273"/>
      <c r="T346" s="273"/>
      <c r="U346" s="273"/>
      <c r="V346" s="273"/>
      <c r="W346" s="273">
        <f>SUM(X346:AH346)</f>
        <v>481208.21</v>
      </c>
      <c r="X346" s="273"/>
      <c r="Y346" s="273"/>
      <c r="Z346" s="273"/>
      <c r="AA346" s="273"/>
      <c r="AB346" s="273"/>
      <c r="AC346" s="273"/>
      <c r="AE346" s="17"/>
      <c r="AF346" s="16">
        <v>481208.21</v>
      </c>
      <c r="AG346" s="13"/>
      <c r="AH346" s="13"/>
    </row>
    <row r="347" spans="1:34" x14ac:dyDescent="0.3">
      <c r="A347" s="8">
        <f t="shared" si="84"/>
        <v>294</v>
      </c>
      <c r="B347" s="124" t="s">
        <v>459</v>
      </c>
      <c r="C347" s="273">
        <f t="shared" si="82"/>
        <v>110076.12</v>
      </c>
      <c r="D347" s="273">
        <f t="shared" si="83"/>
        <v>0</v>
      </c>
      <c r="E347" s="273"/>
      <c r="F347" s="273"/>
      <c r="G347" s="273"/>
      <c r="H347" s="273"/>
      <c r="I347" s="273"/>
      <c r="J347" s="273"/>
      <c r="K347" s="273"/>
      <c r="L347" s="273"/>
      <c r="M347" s="273"/>
      <c r="N347" s="273"/>
      <c r="O347" s="273"/>
      <c r="P347" s="273"/>
      <c r="Q347" s="273"/>
      <c r="R347" s="273"/>
      <c r="S347" s="273"/>
      <c r="T347" s="273"/>
      <c r="U347" s="273"/>
      <c r="V347" s="273"/>
      <c r="W347" s="273">
        <f>SUM(Y347:AH347)</f>
        <v>110076.12</v>
      </c>
      <c r="Y347" s="273"/>
      <c r="Z347" s="273"/>
      <c r="AA347" s="273"/>
      <c r="AB347" s="273"/>
      <c r="AC347" s="273">
        <v>110076.12</v>
      </c>
      <c r="AD347" s="16"/>
      <c r="AE347" s="17"/>
      <c r="AF347" s="17"/>
      <c r="AG347" s="13"/>
      <c r="AH347" s="13"/>
    </row>
    <row r="348" spans="1:34" x14ac:dyDescent="0.3">
      <c r="A348" s="8">
        <f t="shared" si="84"/>
        <v>295</v>
      </c>
      <c r="B348" s="124" t="s">
        <v>460</v>
      </c>
      <c r="C348" s="273">
        <f t="shared" si="82"/>
        <v>130000</v>
      </c>
      <c r="D348" s="273">
        <f t="shared" si="83"/>
        <v>0</v>
      </c>
      <c r="E348" s="273"/>
      <c r="F348" s="273"/>
      <c r="G348" s="273"/>
      <c r="H348" s="273"/>
      <c r="I348" s="273"/>
      <c r="J348" s="273"/>
      <c r="K348" s="273"/>
      <c r="L348" s="273"/>
      <c r="M348" s="273"/>
      <c r="N348" s="273"/>
      <c r="O348" s="273"/>
      <c r="P348" s="273"/>
      <c r="Q348" s="273"/>
      <c r="R348" s="273"/>
      <c r="S348" s="273"/>
      <c r="T348" s="273"/>
      <c r="U348" s="273"/>
      <c r="V348" s="273"/>
      <c r="W348" s="273">
        <v>130000</v>
      </c>
      <c r="X348" s="273"/>
      <c r="Y348" s="273"/>
      <c r="Z348" s="273"/>
      <c r="AA348" s="273"/>
      <c r="AB348" s="273"/>
      <c r="AC348" s="273"/>
      <c r="AD348" s="16"/>
      <c r="AE348" s="17"/>
      <c r="AF348" s="17"/>
      <c r="AG348" s="13"/>
      <c r="AH348" s="13"/>
    </row>
    <row r="349" spans="1:34" x14ac:dyDescent="0.3">
      <c r="A349" s="8">
        <f t="shared" si="84"/>
        <v>296</v>
      </c>
      <c r="B349" s="124" t="s">
        <v>458</v>
      </c>
      <c r="C349" s="273">
        <f t="shared" si="82"/>
        <v>1723302</v>
      </c>
      <c r="D349" s="273">
        <f t="shared" si="83"/>
        <v>1723302</v>
      </c>
      <c r="E349" s="273">
        <f>(374.5*2688)+(2*358323)</f>
        <v>1723302</v>
      </c>
      <c r="F349" s="273"/>
      <c r="G349" s="273"/>
      <c r="H349" s="273"/>
      <c r="I349" s="273"/>
      <c r="J349" s="273"/>
      <c r="K349" s="273"/>
      <c r="L349" s="273"/>
      <c r="M349" s="273"/>
      <c r="N349" s="273"/>
      <c r="O349" s="273"/>
      <c r="P349" s="273"/>
      <c r="Q349" s="273"/>
      <c r="R349" s="273"/>
      <c r="S349" s="273"/>
      <c r="T349" s="273"/>
      <c r="U349" s="273"/>
      <c r="V349" s="273"/>
      <c r="W349" s="273"/>
      <c r="X349" s="273"/>
      <c r="Y349" s="273"/>
      <c r="Z349" s="273"/>
      <c r="AA349" s="273"/>
      <c r="AB349" s="273"/>
      <c r="AC349" s="273"/>
      <c r="AD349" s="16"/>
      <c r="AE349" s="17"/>
      <c r="AF349" s="17"/>
      <c r="AG349" s="13"/>
    </row>
    <row r="350" spans="1:34" x14ac:dyDescent="0.3">
      <c r="A350" s="8">
        <f t="shared" si="84"/>
        <v>297</v>
      </c>
      <c r="B350" s="124" t="s">
        <v>461</v>
      </c>
      <c r="C350" s="273">
        <f t="shared" si="82"/>
        <v>110370.66</v>
      </c>
      <c r="D350" s="273">
        <f t="shared" si="83"/>
        <v>0</v>
      </c>
      <c r="E350" s="273"/>
      <c r="F350" s="273"/>
      <c r="G350" s="273"/>
      <c r="H350" s="273"/>
      <c r="I350" s="273"/>
      <c r="J350" s="273"/>
      <c r="K350" s="273"/>
      <c r="L350" s="273"/>
      <c r="M350" s="273"/>
      <c r="N350" s="273"/>
      <c r="O350" s="273"/>
      <c r="P350" s="273"/>
      <c r="Q350" s="273"/>
      <c r="R350" s="273"/>
      <c r="S350" s="273"/>
      <c r="T350" s="273"/>
      <c r="U350" s="273"/>
      <c r="V350" s="273"/>
      <c r="W350" s="273">
        <f>SUM(Y350:AH350)</f>
        <v>110370.66</v>
      </c>
      <c r="Y350" s="273"/>
      <c r="Z350" s="273"/>
      <c r="AA350" s="273"/>
      <c r="AB350" s="273"/>
      <c r="AC350" s="273">
        <v>110370.66</v>
      </c>
      <c r="AD350" s="16"/>
      <c r="AE350" s="17"/>
      <c r="AF350" s="17"/>
      <c r="AG350" s="13"/>
      <c r="AH350" s="13"/>
    </row>
    <row r="351" spans="1:34" x14ac:dyDescent="0.3">
      <c r="A351" s="8">
        <f t="shared" si="84"/>
        <v>298</v>
      </c>
      <c r="B351" s="124" t="s">
        <v>462</v>
      </c>
      <c r="C351" s="273">
        <f t="shared" si="82"/>
        <v>112250.08</v>
      </c>
      <c r="D351" s="273">
        <f t="shared" si="83"/>
        <v>0</v>
      </c>
      <c r="E351" s="273"/>
      <c r="F351" s="273"/>
      <c r="G351" s="273"/>
      <c r="H351" s="273"/>
      <c r="I351" s="273"/>
      <c r="J351" s="273"/>
      <c r="K351" s="273"/>
      <c r="L351" s="273"/>
      <c r="M351" s="273"/>
      <c r="N351" s="273"/>
      <c r="O351" s="273"/>
      <c r="P351" s="273"/>
      <c r="Q351" s="273"/>
      <c r="R351" s="273"/>
      <c r="S351" s="273"/>
      <c r="T351" s="273"/>
      <c r="U351" s="273"/>
      <c r="V351" s="273"/>
      <c r="W351" s="273">
        <f>SUM(Y351:AH351)</f>
        <v>112250.08</v>
      </c>
      <c r="Y351" s="273"/>
      <c r="Z351" s="273"/>
      <c r="AA351" s="273"/>
      <c r="AB351" s="273"/>
      <c r="AC351" s="273">
        <v>112250.08</v>
      </c>
      <c r="AD351" s="16"/>
      <c r="AE351" s="17"/>
      <c r="AF351" s="17"/>
      <c r="AG351" s="13"/>
      <c r="AH351" s="13"/>
    </row>
    <row r="352" spans="1:34" x14ac:dyDescent="0.3">
      <c r="A352" s="8"/>
      <c r="B352" s="122" t="s">
        <v>208</v>
      </c>
      <c r="C352" s="273">
        <f t="shared" ref="C352:W352" si="85">SUM(C345:C351)</f>
        <v>3019257.31</v>
      </c>
      <c r="D352" s="273">
        <f t="shared" si="85"/>
        <v>1723302</v>
      </c>
      <c r="E352" s="273">
        <f t="shared" si="85"/>
        <v>1723302</v>
      </c>
      <c r="F352" s="273">
        <f t="shared" si="85"/>
        <v>0</v>
      </c>
      <c r="G352" s="273">
        <f t="shared" si="85"/>
        <v>0</v>
      </c>
      <c r="H352" s="273">
        <f t="shared" si="85"/>
        <v>0</v>
      </c>
      <c r="I352" s="273">
        <f t="shared" si="85"/>
        <v>0</v>
      </c>
      <c r="J352" s="273">
        <f t="shared" si="85"/>
        <v>0</v>
      </c>
      <c r="K352" s="273">
        <f t="shared" si="85"/>
        <v>0</v>
      </c>
      <c r="L352" s="273">
        <f t="shared" si="85"/>
        <v>0</v>
      </c>
      <c r="M352" s="273">
        <f t="shared" si="85"/>
        <v>0</v>
      </c>
      <c r="N352" s="273">
        <f t="shared" si="85"/>
        <v>0</v>
      </c>
      <c r="O352" s="273">
        <f t="shared" si="85"/>
        <v>0</v>
      </c>
      <c r="P352" s="273">
        <f t="shared" si="85"/>
        <v>0</v>
      </c>
      <c r="Q352" s="273">
        <f t="shared" si="85"/>
        <v>0</v>
      </c>
      <c r="R352" s="273">
        <f t="shared" si="85"/>
        <v>0</v>
      </c>
      <c r="S352" s="273">
        <f t="shared" si="85"/>
        <v>0</v>
      </c>
      <c r="T352" s="273">
        <f t="shared" si="85"/>
        <v>0</v>
      </c>
      <c r="U352" s="273">
        <f t="shared" si="85"/>
        <v>0</v>
      </c>
      <c r="V352" s="273">
        <f t="shared" si="85"/>
        <v>0</v>
      </c>
      <c r="W352" s="273">
        <f t="shared" si="85"/>
        <v>1295955.3099999998</v>
      </c>
      <c r="X352" s="271"/>
      <c r="Y352" s="271"/>
      <c r="Z352" s="271"/>
      <c r="AA352" s="271"/>
      <c r="AB352" s="271"/>
      <c r="AC352" s="271"/>
      <c r="AD352" s="109"/>
      <c r="AE352" s="110"/>
      <c r="AF352" s="110"/>
      <c r="AG352" s="13"/>
      <c r="AH352" s="13"/>
    </row>
    <row r="353" spans="1:34" x14ac:dyDescent="0.3">
      <c r="A353" s="408" t="s">
        <v>3286</v>
      </c>
      <c r="B353" s="409"/>
      <c r="C353" s="251">
        <f t="shared" ref="C353:W353" si="86">C352+C343+C338+C333+C329+C227+C209+C196</f>
        <v>134335816.93999997</v>
      </c>
      <c r="D353" s="251">
        <f t="shared" si="86"/>
        <v>45392051.060000002</v>
      </c>
      <c r="E353" s="251">
        <f t="shared" si="86"/>
        <v>12008022</v>
      </c>
      <c r="F353" s="251">
        <f t="shared" si="86"/>
        <v>23046311.199999999</v>
      </c>
      <c r="G353" s="251">
        <f t="shared" si="86"/>
        <v>7260870</v>
      </c>
      <c r="H353" s="251">
        <f t="shared" si="86"/>
        <v>453505.86</v>
      </c>
      <c r="I353" s="251">
        <f t="shared" si="86"/>
        <v>2623342</v>
      </c>
      <c r="J353" s="251">
        <f t="shared" si="86"/>
        <v>0</v>
      </c>
      <c r="K353" s="251">
        <f t="shared" si="86"/>
        <v>0</v>
      </c>
      <c r="L353" s="251">
        <f t="shared" si="86"/>
        <v>0</v>
      </c>
      <c r="M353" s="251">
        <f t="shared" si="86"/>
        <v>6940.4</v>
      </c>
      <c r="N353" s="251">
        <f t="shared" si="86"/>
        <v>48573677.159999996</v>
      </c>
      <c r="O353" s="251">
        <f t="shared" si="86"/>
        <v>743</v>
      </c>
      <c r="P353" s="251">
        <f t="shared" si="86"/>
        <v>19639719</v>
      </c>
      <c r="Q353" s="251">
        <f t="shared" si="86"/>
        <v>0</v>
      </c>
      <c r="R353" s="251">
        <f t="shared" si="86"/>
        <v>0</v>
      </c>
      <c r="S353" s="251">
        <f t="shared" si="86"/>
        <v>0</v>
      </c>
      <c r="T353" s="251">
        <f t="shared" si="86"/>
        <v>0</v>
      </c>
      <c r="U353" s="251">
        <f t="shared" si="86"/>
        <v>0</v>
      </c>
      <c r="V353" s="251">
        <f t="shared" si="86"/>
        <v>1005789.36</v>
      </c>
      <c r="W353" s="251">
        <f t="shared" si="86"/>
        <v>19724580.360000007</v>
      </c>
      <c r="X353" s="271"/>
      <c r="Y353" s="271"/>
      <c r="Z353" s="271"/>
      <c r="AA353" s="271"/>
      <c r="AB353" s="271"/>
      <c r="AC353" s="271"/>
      <c r="AD353" s="109"/>
      <c r="AE353" s="110"/>
      <c r="AF353" s="110"/>
      <c r="AG353" s="13"/>
      <c r="AH353" s="13"/>
    </row>
    <row r="354" spans="1:34" x14ac:dyDescent="0.3">
      <c r="A354" s="382" t="s">
        <v>464</v>
      </c>
      <c r="B354" s="383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3"/>
      <c r="S354" s="383"/>
      <c r="T354" s="383"/>
      <c r="U354" s="383"/>
      <c r="V354" s="383"/>
      <c r="W354" s="384"/>
      <c r="X354" s="273"/>
      <c r="Y354" s="14"/>
      <c r="Z354" s="15"/>
      <c r="AA354" s="15"/>
      <c r="AB354" s="15"/>
      <c r="AC354" s="15"/>
      <c r="AD354" s="15"/>
      <c r="AE354" s="15"/>
      <c r="AF354" s="15"/>
    </row>
    <row r="355" spans="1:34" x14ac:dyDescent="0.3">
      <c r="A355" s="374" t="s">
        <v>465</v>
      </c>
      <c r="B355" s="375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73"/>
      <c r="Y355" s="14"/>
      <c r="Z355" s="15"/>
      <c r="AA355" s="15"/>
      <c r="AB355" s="15"/>
      <c r="AC355" s="15"/>
      <c r="AD355" s="15"/>
      <c r="AE355" s="15"/>
      <c r="AF355" s="15"/>
    </row>
    <row r="356" spans="1:34" x14ac:dyDescent="0.3">
      <c r="A356" s="8">
        <f>A351+1</f>
        <v>299</v>
      </c>
      <c r="B356" s="124" t="s">
        <v>466</v>
      </c>
      <c r="C356" s="273">
        <f>D356+K356+L356+N356+R356+S356+U356+V356+W356</f>
        <v>278513.7</v>
      </c>
      <c r="D356" s="273">
        <f t="shared" ref="D356:D393" si="87">E356+F356+G356+H356+I356</f>
        <v>0</v>
      </c>
      <c r="E356" s="273"/>
      <c r="F356" s="273"/>
      <c r="G356" s="273"/>
      <c r="H356" s="273"/>
      <c r="I356" s="273"/>
      <c r="J356" s="273"/>
      <c r="K356" s="273"/>
      <c r="L356" s="273"/>
      <c r="M356" s="273"/>
      <c r="N356" s="273"/>
      <c r="O356" s="273"/>
      <c r="P356" s="273"/>
      <c r="Q356" s="273"/>
      <c r="R356" s="273"/>
      <c r="S356" s="273"/>
      <c r="T356" s="273"/>
      <c r="U356" s="273"/>
      <c r="V356" s="273"/>
      <c r="W356" s="273">
        <f>SUM(X356:AH356)</f>
        <v>278513.7</v>
      </c>
      <c r="X356" s="251"/>
      <c r="Z356" s="237"/>
      <c r="AA356" s="279"/>
      <c r="AB356" s="239"/>
      <c r="AC356" s="279"/>
      <c r="AD356" s="279"/>
      <c r="AH356" s="279">
        <v>278513.7</v>
      </c>
    </row>
    <row r="357" spans="1:34" x14ac:dyDescent="0.3">
      <c r="A357" s="8">
        <f t="shared" ref="A357:A393" si="88">A356+1</f>
        <v>300</v>
      </c>
      <c r="B357" s="124" t="s">
        <v>469</v>
      </c>
      <c r="C357" s="273">
        <f t="shared" ref="C357:C393" si="89">D357+K357+L357+N357+R357+S357+U357+V357+W357+P357</f>
        <v>4615897.2</v>
      </c>
      <c r="D357" s="273">
        <f t="shared" si="87"/>
        <v>0</v>
      </c>
      <c r="E357" s="273"/>
      <c r="F357" s="273"/>
      <c r="G357" s="273"/>
      <c r="H357" s="273"/>
      <c r="I357" s="273"/>
      <c r="J357" s="273"/>
      <c r="K357" s="273"/>
      <c r="L357" s="273"/>
      <c r="M357" s="273"/>
      <c r="N357" s="273"/>
      <c r="O357" s="273">
        <v>555</v>
      </c>
      <c r="P357" s="273">
        <v>4615897.2</v>
      </c>
      <c r="Q357" s="273"/>
      <c r="R357" s="273"/>
      <c r="S357" s="273"/>
      <c r="T357" s="273"/>
      <c r="U357" s="273"/>
      <c r="V357" s="273"/>
      <c r="W357" s="273">
        <f>SUM(X357:AH357)</f>
        <v>0</v>
      </c>
      <c r="X357" s="273"/>
      <c r="Z357" s="17"/>
      <c r="AA357" s="17"/>
      <c r="AB357" s="16"/>
      <c r="AC357" s="17"/>
      <c r="AD357" s="17"/>
      <c r="AE357" s="17"/>
      <c r="AH357" s="17"/>
    </row>
    <row r="358" spans="1:34" x14ac:dyDescent="0.3">
      <c r="A358" s="8">
        <f t="shared" si="88"/>
        <v>301</v>
      </c>
      <c r="B358" s="124" t="s">
        <v>470</v>
      </c>
      <c r="C358" s="273">
        <f t="shared" si="89"/>
        <v>201562.75</v>
      </c>
      <c r="D358" s="273">
        <f t="shared" si="87"/>
        <v>0</v>
      </c>
      <c r="E358" s="273"/>
      <c r="F358" s="273"/>
      <c r="G358" s="273"/>
      <c r="H358" s="273"/>
      <c r="I358" s="273"/>
      <c r="J358" s="273"/>
      <c r="K358" s="273"/>
      <c r="L358" s="273"/>
      <c r="M358" s="273"/>
      <c r="N358" s="273"/>
      <c r="O358" s="273"/>
      <c r="P358" s="273"/>
      <c r="Q358" s="273"/>
      <c r="R358" s="273"/>
      <c r="S358" s="273"/>
      <c r="T358" s="273"/>
      <c r="U358" s="273"/>
      <c r="V358" s="273"/>
      <c r="W358" s="273">
        <f>SUM(X358:AG358)</f>
        <v>201562.75</v>
      </c>
      <c r="X358" s="251"/>
      <c r="Z358" s="279"/>
      <c r="AA358" s="279"/>
      <c r="AB358" s="18"/>
      <c r="AC358" s="37"/>
      <c r="AD358" s="17"/>
      <c r="AE358" s="17"/>
      <c r="AF358" s="279">
        <v>201562.75</v>
      </c>
    </row>
    <row r="359" spans="1:34" x14ac:dyDescent="0.3">
      <c r="A359" s="8">
        <f t="shared" si="88"/>
        <v>302</v>
      </c>
      <c r="B359" s="124" t="s">
        <v>471</v>
      </c>
      <c r="C359" s="273">
        <f t="shared" si="89"/>
        <v>334185.3</v>
      </c>
      <c r="D359" s="273">
        <f t="shared" si="87"/>
        <v>0</v>
      </c>
      <c r="E359" s="273"/>
      <c r="F359" s="273"/>
      <c r="G359" s="273"/>
      <c r="H359" s="273"/>
      <c r="I359" s="273"/>
      <c r="J359" s="273"/>
      <c r="K359" s="273"/>
      <c r="L359" s="273"/>
      <c r="M359" s="273"/>
      <c r="N359" s="273"/>
      <c r="O359" s="273"/>
      <c r="P359" s="273"/>
      <c r="Q359" s="273"/>
      <c r="R359" s="273"/>
      <c r="S359" s="273"/>
      <c r="T359" s="273"/>
      <c r="U359" s="273"/>
      <c r="V359" s="273"/>
      <c r="W359" s="273">
        <f t="shared" ref="W359:W386" si="90">SUM(X359:AF359)</f>
        <v>334185.3</v>
      </c>
      <c r="X359" s="279"/>
      <c r="Z359" s="279"/>
      <c r="AA359" s="279"/>
      <c r="AB359" s="279"/>
      <c r="AC359" s="279"/>
      <c r="AD359" s="17"/>
      <c r="AE359" s="279">
        <v>334185.3</v>
      </c>
      <c r="AF359" s="17"/>
    </row>
    <row r="360" spans="1:34" x14ac:dyDescent="0.3">
      <c r="A360" s="10">
        <f t="shared" si="88"/>
        <v>303</v>
      </c>
      <c r="B360" s="124" t="s">
        <v>472</v>
      </c>
      <c r="C360" s="273">
        <f t="shared" si="89"/>
        <v>357327.04</v>
      </c>
      <c r="D360" s="273">
        <f t="shared" si="87"/>
        <v>0</v>
      </c>
      <c r="E360" s="273"/>
      <c r="F360" s="273"/>
      <c r="G360" s="273"/>
      <c r="H360" s="273"/>
      <c r="I360" s="273"/>
      <c r="J360" s="273"/>
      <c r="K360" s="273"/>
      <c r="L360" s="273"/>
      <c r="M360" s="273"/>
      <c r="N360" s="273"/>
      <c r="O360" s="273"/>
      <c r="P360" s="273"/>
      <c r="Q360" s="273"/>
      <c r="R360" s="273"/>
      <c r="S360" s="273"/>
      <c r="T360" s="273"/>
      <c r="U360" s="273"/>
      <c r="V360" s="273"/>
      <c r="W360" s="273">
        <f t="shared" si="90"/>
        <v>357327.04</v>
      </c>
      <c r="X360" s="17"/>
      <c r="Z360" s="17"/>
      <c r="AA360" s="17"/>
      <c r="AB360" s="17"/>
      <c r="AC360" s="279"/>
      <c r="AD360" s="17"/>
      <c r="AE360" s="279">
        <v>357327.04</v>
      </c>
      <c r="AF360" s="17"/>
    </row>
    <row r="361" spans="1:34" x14ac:dyDescent="0.3">
      <c r="A361" s="10">
        <f t="shared" si="88"/>
        <v>304</v>
      </c>
      <c r="B361" s="124" t="s">
        <v>473</v>
      </c>
      <c r="C361" s="273">
        <f t="shared" si="89"/>
        <v>394652.93</v>
      </c>
      <c r="D361" s="273">
        <f t="shared" si="87"/>
        <v>0</v>
      </c>
      <c r="E361" s="273"/>
      <c r="F361" s="273"/>
      <c r="G361" s="273"/>
      <c r="H361" s="273"/>
      <c r="I361" s="273"/>
      <c r="J361" s="273"/>
      <c r="K361" s="273"/>
      <c r="L361" s="273"/>
      <c r="M361" s="273"/>
      <c r="N361" s="273"/>
      <c r="O361" s="273"/>
      <c r="P361" s="273"/>
      <c r="Q361" s="273"/>
      <c r="R361" s="273"/>
      <c r="S361" s="273"/>
      <c r="T361" s="273"/>
      <c r="U361" s="273"/>
      <c r="V361" s="273"/>
      <c r="W361" s="273">
        <f t="shared" si="90"/>
        <v>394652.93</v>
      </c>
      <c r="X361" s="17"/>
      <c r="Z361" s="17"/>
      <c r="AA361" s="17"/>
      <c r="AB361" s="17"/>
      <c r="AC361" s="279"/>
      <c r="AD361" s="17"/>
      <c r="AE361" s="279">
        <v>394652.93</v>
      </c>
      <c r="AF361" s="17"/>
    </row>
    <row r="362" spans="1:34" x14ac:dyDescent="0.3">
      <c r="A362" s="10">
        <f t="shared" si="88"/>
        <v>305</v>
      </c>
      <c r="B362" s="124" t="s">
        <v>475</v>
      </c>
      <c r="C362" s="273">
        <f t="shared" si="89"/>
        <v>201319.78</v>
      </c>
      <c r="D362" s="273">
        <f t="shared" si="87"/>
        <v>0</v>
      </c>
      <c r="E362" s="273"/>
      <c r="F362" s="273"/>
      <c r="G362" s="273"/>
      <c r="H362" s="273"/>
      <c r="I362" s="273"/>
      <c r="J362" s="273"/>
      <c r="K362" s="273"/>
      <c r="L362" s="273"/>
      <c r="M362" s="273"/>
      <c r="N362" s="273"/>
      <c r="O362" s="273"/>
      <c r="P362" s="273"/>
      <c r="Q362" s="273"/>
      <c r="R362" s="273"/>
      <c r="S362" s="273"/>
      <c r="T362" s="273"/>
      <c r="U362" s="273"/>
      <c r="V362" s="273"/>
      <c r="W362" s="273">
        <f t="shared" si="90"/>
        <v>201319.78</v>
      </c>
      <c r="X362" s="279"/>
      <c r="Y362" s="236">
        <v>201319.78</v>
      </c>
      <c r="Z362" s="237"/>
      <c r="AA362" s="279"/>
      <c r="AC362" s="279"/>
      <c r="AD362" s="279"/>
      <c r="AE362" s="279"/>
      <c r="AF362" s="17"/>
    </row>
    <row r="363" spans="1:34" x14ac:dyDescent="0.3">
      <c r="A363" s="10">
        <f t="shared" si="88"/>
        <v>306</v>
      </c>
      <c r="B363" s="124" t="s">
        <v>476</v>
      </c>
      <c r="C363" s="273">
        <f t="shared" si="89"/>
        <v>218236.08</v>
      </c>
      <c r="D363" s="273">
        <f t="shared" si="87"/>
        <v>0</v>
      </c>
      <c r="E363" s="273"/>
      <c r="F363" s="273"/>
      <c r="G363" s="273"/>
      <c r="H363" s="273"/>
      <c r="I363" s="273"/>
      <c r="J363" s="273"/>
      <c r="K363" s="273"/>
      <c r="L363" s="273"/>
      <c r="M363" s="273"/>
      <c r="N363" s="273"/>
      <c r="O363" s="273"/>
      <c r="P363" s="273"/>
      <c r="Q363" s="273"/>
      <c r="R363" s="273"/>
      <c r="S363" s="273"/>
      <c r="T363" s="273"/>
      <c r="U363" s="273"/>
      <c r="V363" s="273"/>
      <c r="W363" s="273">
        <f t="shared" si="90"/>
        <v>218236.08</v>
      </c>
      <c r="Y363" s="279">
        <v>218236.08</v>
      </c>
      <c r="Z363" s="278"/>
      <c r="AA363" s="279"/>
      <c r="AC363" s="279"/>
      <c r="AD363" s="279"/>
      <c r="AE363" s="279"/>
      <c r="AF363" s="17"/>
    </row>
    <row r="364" spans="1:34" x14ac:dyDescent="0.3">
      <c r="A364" s="10">
        <f t="shared" si="88"/>
        <v>307</v>
      </c>
      <c r="B364" s="124" t="s">
        <v>477</v>
      </c>
      <c r="C364" s="273">
        <f t="shared" si="89"/>
        <v>122651.87</v>
      </c>
      <c r="D364" s="273">
        <f t="shared" si="87"/>
        <v>0</v>
      </c>
      <c r="E364" s="273"/>
      <c r="F364" s="273"/>
      <c r="G364" s="273"/>
      <c r="H364" s="273"/>
      <c r="I364" s="273"/>
      <c r="J364" s="273"/>
      <c r="K364" s="273"/>
      <c r="L364" s="273"/>
      <c r="M364" s="273"/>
      <c r="N364" s="273"/>
      <c r="O364" s="273"/>
      <c r="P364" s="273"/>
      <c r="Q364" s="273"/>
      <c r="R364" s="273"/>
      <c r="S364" s="273"/>
      <c r="T364" s="273"/>
      <c r="U364" s="273"/>
      <c r="V364" s="273"/>
      <c r="W364" s="273">
        <f t="shared" si="90"/>
        <v>122651.87</v>
      </c>
      <c r="Y364" s="279">
        <v>122651.87</v>
      </c>
      <c r="Z364" s="237"/>
      <c r="AA364" s="17"/>
      <c r="AC364" s="17"/>
      <c r="AD364" s="17"/>
      <c r="AE364" s="17"/>
      <c r="AF364" s="17"/>
    </row>
    <row r="365" spans="1:34" x14ac:dyDescent="0.3">
      <c r="A365" s="10">
        <f t="shared" si="88"/>
        <v>308</v>
      </c>
      <c r="B365" s="124" t="s">
        <v>478</v>
      </c>
      <c r="C365" s="273">
        <f t="shared" si="89"/>
        <v>122619.92</v>
      </c>
      <c r="D365" s="273">
        <f t="shared" si="87"/>
        <v>0</v>
      </c>
      <c r="E365" s="273"/>
      <c r="F365" s="273"/>
      <c r="G365" s="273"/>
      <c r="H365" s="273"/>
      <c r="I365" s="273"/>
      <c r="J365" s="273"/>
      <c r="K365" s="273"/>
      <c r="L365" s="273"/>
      <c r="M365" s="273"/>
      <c r="N365" s="273"/>
      <c r="O365" s="273"/>
      <c r="P365" s="273"/>
      <c r="Q365" s="273"/>
      <c r="R365" s="273"/>
      <c r="S365" s="273"/>
      <c r="T365" s="273"/>
      <c r="U365" s="273"/>
      <c r="V365" s="273"/>
      <c r="W365" s="273">
        <f t="shared" si="90"/>
        <v>122619.92</v>
      </c>
      <c r="Y365" s="279">
        <v>122619.92</v>
      </c>
      <c r="Z365" s="237"/>
      <c r="AA365" s="17"/>
      <c r="AC365" s="17"/>
      <c r="AD365" s="17"/>
      <c r="AE365" s="17"/>
      <c r="AF365" s="17"/>
    </row>
    <row r="366" spans="1:34" x14ac:dyDescent="0.3">
      <c r="A366" s="10">
        <f t="shared" si="88"/>
        <v>309</v>
      </c>
      <c r="B366" s="124" t="s">
        <v>480</v>
      </c>
      <c r="C366" s="273">
        <f t="shared" si="89"/>
        <v>233806.72</v>
      </c>
      <c r="D366" s="273">
        <f t="shared" si="87"/>
        <v>0</v>
      </c>
      <c r="E366" s="273"/>
      <c r="F366" s="273"/>
      <c r="G366" s="273"/>
      <c r="H366" s="273"/>
      <c r="I366" s="273"/>
      <c r="J366" s="273"/>
      <c r="K366" s="273"/>
      <c r="L366" s="273"/>
      <c r="M366" s="273"/>
      <c r="N366" s="273"/>
      <c r="O366" s="273"/>
      <c r="P366" s="273"/>
      <c r="Q366" s="273"/>
      <c r="R366" s="273"/>
      <c r="S366" s="273"/>
      <c r="T366" s="273"/>
      <c r="U366" s="273"/>
      <c r="V366" s="273"/>
      <c r="W366" s="273">
        <f t="shared" si="90"/>
        <v>233806.72</v>
      </c>
      <c r="Y366" s="279">
        <v>233806.72</v>
      </c>
      <c r="Z366" s="237"/>
      <c r="AA366" s="17"/>
      <c r="AC366" s="279"/>
      <c r="AD366" s="17"/>
      <c r="AE366" s="17"/>
      <c r="AF366" s="17"/>
    </row>
    <row r="367" spans="1:34" x14ac:dyDescent="0.3">
      <c r="A367" s="10">
        <f t="shared" si="88"/>
        <v>310</v>
      </c>
      <c r="B367" s="124" t="s">
        <v>482</v>
      </c>
      <c r="C367" s="273">
        <f t="shared" si="89"/>
        <v>622718.4</v>
      </c>
      <c r="D367" s="273">
        <f t="shared" si="87"/>
        <v>0</v>
      </c>
      <c r="E367" s="273"/>
      <c r="F367" s="273"/>
      <c r="G367" s="273"/>
      <c r="H367" s="273"/>
      <c r="I367" s="273"/>
      <c r="J367" s="273"/>
      <c r="K367" s="273"/>
      <c r="L367" s="273"/>
      <c r="M367" s="273"/>
      <c r="N367" s="273"/>
      <c r="O367" s="273"/>
      <c r="P367" s="273"/>
      <c r="Q367" s="273"/>
      <c r="R367" s="273"/>
      <c r="S367" s="273"/>
      <c r="T367" s="273">
        <v>650.1</v>
      </c>
      <c r="U367" s="273">
        <v>622718.4</v>
      </c>
      <c r="V367" s="273"/>
      <c r="W367" s="273">
        <f t="shared" si="90"/>
        <v>0</v>
      </c>
      <c r="X367" s="17"/>
      <c r="Z367" s="17"/>
      <c r="AA367" s="17"/>
      <c r="AB367" s="17"/>
      <c r="AC367" s="17"/>
      <c r="AD367" s="17"/>
      <c r="AE367" s="17"/>
      <c r="AF367" s="17"/>
    </row>
    <row r="368" spans="1:34" ht="15.75" customHeight="1" x14ac:dyDescent="0.3">
      <c r="A368" s="10">
        <f t="shared" si="88"/>
        <v>311</v>
      </c>
      <c r="B368" s="124" t="s">
        <v>483</v>
      </c>
      <c r="C368" s="273">
        <f t="shared" si="89"/>
        <v>386911.62</v>
      </c>
      <c r="D368" s="273">
        <f t="shared" si="87"/>
        <v>0</v>
      </c>
      <c r="E368" s="273"/>
      <c r="F368" s="273"/>
      <c r="G368" s="273"/>
      <c r="H368" s="273"/>
      <c r="I368" s="273"/>
      <c r="J368" s="273"/>
      <c r="K368" s="273"/>
      <c r="L368" s="273"/>
      <c r="M368" s="273"/>
      <c r="N368" s="273"/>
      <c r="O368" s="273"/>
      <c r="P368" s="273"/>
      <c r="Q368" s="273"/>
      <c r="R368" s="273"/>
      <c r="S368" s="273"/>
      <c r="T368" s="273"/>
      <c r="U368" s="273"/>
      <c r="V368" s="273"/>
      <c r="W368" s="273">
        <f t="shared" si="90"/>
        <v>386911.62</v>
      </c>
      <c r="X368" s="279"/>
      <c r="Z368" s="279"/>
      <c r="AA368" s="279"/>
      <c r="AB368" s="279"/>
      <c r="AC368" s="279"/>
      <c r="AD368" s="279"/>
      <c r="AE368" s="279">
        <v>386911.62</v>
      </c>
      <c r="AF368" s="17"/>
    </row>
    <row r="369" spans="1:34" ht="31.2" x14ac:dyDescent="0.3">
      <c r="A369" s="10">
        <f t="shared" si="88"/>
        <v>312</v>
      </c>
      <c r="B369" s="124" t="s">
        <v>484</v>
      </c>
      <c r="C369" s="273">
        <f t="shared" si="89"/>
        <v>356793.56</v>
      </c>
      <c r="D369" s="273">
        <f t="shared" si="87"/>
        <v>0</v>
      </c>
      <c r="E369" s="273"/>
      <c r="F369" s="273"/>
      <c r="G369" s="273"/>
      <c r="H369" s="273"/>
      <c r="I369" s="273"/>
      <c r="J369" s="273"/>
      <c r="K369" s="273"/>
      <c r="L369" s="273"/>
      <c r="M369" s="273"/>
      <c r="N369" s="273"/>
      <c r="O369" s="273"/>
      <c r="P369" s="273"/>
      <c r="Q369" s="273"/>
      <c r="R369" s="273"/>
      <c r="S369" s="273"/>
      <c r="T369" s="273"/>
      <c r="U369" s="273"/>
      <c r="V369" s="273"/>
      <c r="W369" s="273">
        <f t="shared" si="90"/>
        <v>356793.56</v>
      </c>
      <c r="X369" s="17"/>
      <c r="Z369" s="17"/>
      <c r="AA369" s="17"/>
      <c r="AB369" s="17"/>
      <c r="AC369" s="279"/>
      <c r="AD369" s="279"/>
      <c r="AE369" s="279">
        <v>356793.56</v>
      </c>
      <c r="AF369" s="17"/>
    </row>
    <row r="370" spans="1:34" ht="15.75" customHeight="1" x14ac:dyDescent="0.3">
      <c r="A370" s="10">
        <f t="shared" si="88"/>
        <v>313</v>
      </c>
      <c r="B370" s="124" t="s">
        <v>485</v>
      </c>
      <c r="C370" s="273">
        <f t="shared" si="89"/>
        <v>576631.14</v>
      </c>
      <c r="D370" s="273">
        <f t="shared" si="87"/>
        <v>0</v>
      </c>
      <c r="E370" s="273"/>
      <c r="F370" s="273"/>
      <c r="G370" s="273"/>
      <c r="H370" s="273"/>
      <c r="I370" s="273"/>
      <c r="J370" s="273"/>
      <c r="K370" s="273"/>
      <c r="L370" s="273"/>
      <c r="M370" s="273"/>
      <c r="N370" s="273"/>
      <c r="O370" s="273"/>
      <c r="P370" s="273"/>
      <c r="Q370" s="273"/>
      <c r="R370" s="273"/>
      <c r="S370" s="273"/>
      <c r="T370" s="273"/>
      <c r="U370" s="273"/>
      <c r="V370" s="273"/>
      <c r="W370" s="273">
        <f t="shared" si="90"/>
        <v>576631.14</v>
      </c>
      <c r="X370" s="279"/>
      <c r="Z370" s="279"/>
      <c r="AA370" s="279"/>
      <c r="AB370" s="279"/>
      <c r="AC370" s="17"/>
      <c r="AD370" s="17"/>
      <c r="AE370" s="279">
        <v>576631.14</v>
      </c>
      <c r="AF370" s="17"/>
    </row>
    <row r="371" spans="1:34" ht="15.75" customHeight="1" x14ac:dyDescent="0.3">
      <c r="A371" s="10">
        <f t="shared" si="88"/>
        <v>314</v>
      </c>
      <c r="B371" s="124" t="s">
        <v>486</v>
      </c>
      <c r="C371" s="273">
        <f t="shared" si="89"/>
        <v>455832.38</v>
      </c>
      <c r="D371" s="273">
        <f t="shared" si="87"/>
        <v>0</v>
      </c>
      <c r="E371" s="273"/>
      <c r="F371" s="273"/>
      <c r="G371" s="273"/>
      <c r="H371" s="273"/>
      <c r="I371" s="273"/>
      <c r="J371" s="273"/>
      <c r="K371" s="273"/>
      <c r="L371" s="273"/>
      <c r="M371" s="273"/>
      <c r="N371" s="273"/>
      <c r="O371" s="273"/>
      <c r="P371" s="273"/>
      <c r="Q371" s="273"/>
      <c r="R371" s="273"/>
      <c r="S371" s="273"/>
      <c r="T371" s="273"/>
      <c r="U371" s="273"/>
      <c r="V371" s="273"/>
      <c r="W371" s="273">
        <f t="shared" si="90"/>
        <v>455832.38</v>
      </c>
      <c r="X371" s="279"/>
      <c r="Z371" s="279"/>
      <c r="AA371" s="279"/>
      <c r="AB371" s="279"/>
      <c r="AC371" s="279"/>
      <c r="AD371" s="17"/>
      <c r="AE371" s="279">
        <v>455832.38</v>
      </c>
      <c r="AF371" s="17"/>
    </row>
    <row r="372" spans="1:34" ht="15.75" customHeight="1" x14ac:dyDescent="0.3">
      <c r="A372" s="10">
        <f t="shared" si="88"/>
        <v>315</v>
      </c>
      <c r="B372" s="124" t="s">
        <v>487</v>
      </c>
      <c r="C372" s="273">
        <f t="shared" si="89"/>
        <v>455832.38</v>
      </c>
      <c r="D372" s="273">
        <f t="shared" si="87"/>
        <v>0</v>
      </c>
      <c r="E372" s="273"/>
      <c r="F372" s="273"/>
      <c r="G372" s="273"/>
      <c r="H372" s="273"/>
      <c r="I372" s="273"/>
      <c r="J372" s="273"/>
      <c r="K372" s="273"/>
      <c r="L372" s="273"/>
      <c r="M372" s="273"/>
      <c r="N372" s="273"/>
      <c r="O372" s="273"/>
      <c r="P372" s="273"/>
      <c r="Q372" s="273"/>
      <c r="R372" s="273"/>
      <c r="S372" s="273"/>
      <c r="T372" s="273"/>
      <c r="U372" s="273"/>
      <c r="V372" s="273"/>
      <c r="W372" s="273">
        <f t="shared" si="90"/>
        <v>455832.38</v>
      </c>
      <c r="X372" s="17"/>
      <c r="Z372" s="17"/>
      <c r="AA372" s="17"/>
      <c r="AB372" s="17"/>
      <c r="AC372" s="279"/>
      <c r="AD372" s="279"/>
      <c r="AE372" s="279">
        <v>455832.38</v>
      </c>
      <c r="AF372" s="17"/>
    </row>
    <row r="373" spans="1:34" x14ac:dyDescent="0.3">
      <c r="A373" s="10">
        <f t="shared" si="88"/>
        <v>316</v>
      </c>
      <c r="B373" s="124" t="s">
        <v>488</v>
      </c>
      <c r="C373" s="273">
        <f t="shared" si="89"/>
        <v>395750.7</v>
      </c>
      <c r="D373" s="273">
        <f t="shared" si="87"/>
        <v>0</v>
      </c>
      <c r="E373" s="273"/>
      <c r="F373" s="273"/>
      <c r="G373" s="273"/>
      <c r="H373" s="273"/>
      <c r="I373" s="273"/>
      <c r="J373" s="273"/>
      <c r="K373" s="273"/>
      <c r="L373" s="273"/>
      <c r="M373" s="273"/>
      <c r="N373" s="273"/>
      <c r="O373" s="273"/>
      <c r="P373" s="273"/>
      <c r="Q373" s="273"/>
      <c r="R373" s="273"/>
      <c r="S373" s="273"/>
      <c r="T373" s="273"/>
      <c r="U373" s="273"/>
      <c r="V373" s="273"/>
      <c r="W373" s="273">
        <f t="shared" si="90"/>
        <v>395750.7</v>
      </c>
      <c r="X373" s="279"/>
      <c r="Z373" s="279"/>
      <c r="AA373" s="279"/>
      <c r="AB373" s="279"/>
      <c r="AC373" s="279"/>
      <c r="AD373" s="17"/>
      <c r="AE373" s="279">
        <v>395750.7</v>
      </c>
      <c r="AF373" s="17"/>
    </row>
    <row r="374" spans="1:34" ht="31.2" x14ac:dyDescent="0.3">
      <c r="A374" s="10">
        <f t="shared" si="88"/>
        <v>317</v>
      </c>
      <c r="B374" s="124" t="s">
        <v>489</v>
      </c>
      <c r="C374" s="273">
        <f t="shared" si="89"/>
        <v>73814.42</v>
      </c>
      <c r="D374" s="273">
        <f t="shared" si="87"/>
        <v>0</v>
      </c>
      <c r="E374" s="273"/>
      <c r="F374" s="273"/>
      <c r="G374" s="273"/>
      <c r="H374" s="273"/>
      <c r="I374" s="273"/>
      <c r="J374" s="273"/>
      <c r="K374" s="273"/>
      <c r="L374" s="273"/>
      <c r="M374" s="273"/>
      <c r="N374" s="273"/>
      <c r="O374" s="273"/>
      <c r="P374" s="273"/>
      <c r="Q374" s="273"/>
      <c r="R374" s="273"/>
      <c r="S374" s="273"/>
      <c r="T374" s="273"/>
      <c r="U374" s="273"/>
      <c r="V374" s="273"/>
      <c r="W374" s="273">
        <f t="shared" si="90"/>
        <v>73814.42</v>
      </c>
      <c r="X374" s="17"/>
      <c r="Z374" s="17"/>
      <c r="AA374" s="17"/>
      <c r="AB374" s="17"/>
      <c r="AD374" s="279"/>
      <c r="AE374" s="17"/>
      <c r="AF374" s="279">
        <v>73814.42</v>
      </c>
    </row>
    <row r="375" spans="1:34" x14ac:dyDescent="0.3">
      <c r="A375" s="10">
        <f t="shared" si="88"/>
        <v>318</v>
      </c>
      <c r="B375" s="124" t="s">
        <v>490</v>
      </c>
      <c r="C375" s="273">
        <f t="shared" si="89"/>
        <v>171654.52</v>
      </c>
      <c r="D375" s="273">
        <f t="shared" si="87"/>
        <v>0</v>
      </c>
      <c r="E375" s="273"/>
      <c r="F375" s="273"/>
      <c r="G375" s="273"/>
      <c r="H375" s="273"/>
      <c r="I375" s="273"/>
      <c r="J375" s="273"/>
      <c r="K375" s="273"/>
      <c r="L375" s="273"/>
      <c r="M375" s="273"/>
      <c r="N375" s="273"/>
      <c r="O375" s="273"/>
      <c r="P375" s="273"/>
      <c r="Q375" s="273"/>
      <c r="R375" s="273"/>
      <c r="S375" s="273"/>
      <c r="T375" s="273"/>
      <c r="U375" s="273"/>
      <c r="V375" s="273"/>
      <c r="W375" s="273">
        <f t="shared" si="90"/>
        <v>171654.52</v>
      </c>
      <c r="X375" s="17"/>
      <c r="Z375" s="17"/>
      <c r="AA375" s="17"/>
      <c r="AB375" s="17"/>
      <c r="AD375" s="15"/>
      <c r="AE375" s="17"/>
      <c r="AF375" s="279">
        <v>171654.52</v>
      </c>
    </row>
    <row r="376" spans="1:34" ht="31.2" x14ac:dyDescent="0.3">
      <c r="A376" s="10">
        <f t="shared" si="88"/>
        <v>319</v>
      </c>
      <c r="B376" s="124" t="s">
        <v>491</v>
      </c>
      <c r="C376" s="273">
        <f t="shared" si="89"/>
        <v>73846.820000000007</v>
      </c>
      <c r="D376" s="273">
        <f t="shared" si="87"/>
        <v>0</v>
      </c>
      <c r="E376" s="273"/>
      <c r="F376" s="273"/>
      <c r="G376" s="273"/>
      <c r="H376" s="273"/>
      <c r="I376" s="273"/>
      <c r="J376" s="273"/>
      <c r="K376" s="273"/>
      <c r="L376" s="273"/>
      <c r="M376" s="273"/>
      <c r="N376" s="273"/>
      <c r="O376" s="273"/>
      <c r="P376" s="273"/>
      <c r="Q376" s="273"/>
      <c r="R376" s="273"/>
      <c r="S376" s="273"/>
      <c r="T376" s="273"/>
      <c r="U376" s="273"/>
      <c r="V376" s="273"/>
      <c r="W376" s="273">
        <f t="shared" si="90"/>
        <v>73846.820000000007</v>
      </c>
      <c r="X376" s="17"/>
      <c r="Z376" s="17"/>
      <c r="AA376" s="17"/>
      <c r="AB376" s="17"/>
      <c r="AD376" s="279"/>
      <c r="AE376" s="17"/>
      <c r="AF376" s="279">
        <v>73846.820000000007</v>
      </c>
    </row>
    <row r="377" spans="1:34" x14ac:dyDescent="0.3">
      <c r="A377" s="10">
        <f t="shared" si="88"/>
        <v>320</v>
      </c>
      <c r="B377" s="124" t="s">
        <v>492</v>
      </c>
      <c r="C377" s="273">
        <f t="shared" si="89"/>
        <v>168980.62</v>
      </c>
      <c r="D377" s="273">
        <f t="shared" si="87"/>
        <v>0</v>
      </c>
      <c r="E377" s="273"/>
      <c r="F377" s="273"/>
      <c r="G377" s="273"/>
      <c r="H377" s="273"/>
      <c r="I377" s="273"/>
      <c r="J377" s="273"/>
      <c r="K377" s="273"/>
      <c r="L377" s="273"/>
      <c r="M377" s="273"/>
      <c r="N377" s="273"/>
      <c r="O377" s="273"/>
      <c r="P377" s="273"/>
      <c r="Q377" s="273"/>
      <c r="R377" s="273"/>
      <c r="S377" s="273"/>
      <c r="T377" s="273"/>
      <c r="U377" s="273"/>
      <c r="V377" s="273"/>
      <c r="W377" s="273">
        <f t="shared" si="90"/>
        <v>168980.62</v>
      </c>
      <c r="X377" s="17"/>
      <c r="Z377" s="241"/>
      <c r="AA377" s="17"/>
      <c r="AB377" s="240"/>
      <c r="AC377" s="37">
        <v>168980.62</v>
      </c>
      <c r="AD377" s="17"/>
      <c r="AE377" s="17"/>
      <c r="AF377" s="17"/>
    </row>
    <row r="378" spans="1:34" ht="31.2" x14ac:dyDescent="0.3">
      <c r="A378" s="10">
        <f t="shared" si="88"/>
        <v>321</v>
      </c>
      <c r="B378" s="124" t="s">
        <v>493</v>
      </c>
      <c r="C378" s="273">
        <f t="shared" si="89"/>
        <v>96492.79</v>
      </c>
      <c r="D378" s="273">
        <f t="shared" si="87"/>
        <v>0</v>
      </c>
      <c r="E378" s="273"/>
      <c r="F378" s="273"/>
      <c r="G378" s="273"/>
      <c r="H378" s="273"/>
      <c r="I378" s="273"/>
      <c r="J378" s="273"/>
      <c r="K378" s="273"/>
      <c r="L378" s="273"/>
      <c r="M378" s="273"/>
      <c r="N378" s="273"/>
      <c r="O378" s="273"/>
      <c r="P378" s="273"/>
      <c r="Q378" s="273"/>
      <c r="R378" s="273"/>
      <c r="S378" s="273"/>
      <c r="T378" s="273"/>
      <c r="U378" s="273"/>
      <c r="V378" s="273"/>
      <c r="W378" s="273">
        <f t="shared" si="90"/>
        <v>96492.79</v>
      </c>
      <c r="X378" s="17"/>
      <c r="Z378" s="17"/>
      <c r="AA378" s="17"/>
      <c r="AB378" s="17"/>
      <c r="AC378" s="283"/>
      <c r="AD378" s="279"/>
      <c r="AE378" s="17"/>
      <c r="AF378" s="279">
        <v>96492.79</v>
      </c>
    </row>
    <row r="379" spans="1:34" ht="31.2" x14ac:dyDescent="0.3">
      <c r="A379" s="10">
        <f t="shared" si="88"/>
        <v>322</v>
      </c>
      <c r="B379" s="124" t="s">
        <v>494</v>
      </c>
      <c r="C379" s="273">
        <f t="shared" si="89"/>
        <v>350637.03</v>
      </c>
      <c r="D379" s="273">
        <f t="shared" si="87"/>
        <v>0</v>
      </c>
      <c r="E379" s="273"/>
      <c r="F379" s="273"/>
      <c r="G379" s="273"/>
      <c r="H379" s="273"/>
      <c r="I379" s="273"/>
      <c r="J379" s="273"/>
      <c r="K379" s="273"/>
      <c r="L379" s="273"/>
      <c r="M379" s="273"/>
      <c r="N379" s="273"/>
      <c r="O379" s="273"/>
      <c r="P379" s="273"/>
      <c r="Q379" s="273"/>
      <c r="R379" s="273"/>
      <c r="S379" s="273"/>
      <c r="T379" s="273"/>
      <c r="U379" s="273"/>
      <c r="V379" s="273"/>
      <c r="W379" s="273">
        <f t="shared" si="90"/>
        <v>350637.03</v>
      </c>
      <c r="X379" s="279"/>
      <c r="Z379" s="279"/>
      <c r="AA379" s="279"/>
      <c r="AB379" s="279"/>
      <c r="AC379" s="37">
        <v>166860.38</v>
      </c>
      <c r="AD379" s="279"/>
      <c r="AE379" s="17"/>
      <c r="AF379" s="279">
        <v>183776.65</v>
      </c>
    </row>
    <row r="380" spans="1:34" x14ac:dyDescent="0.3">
      <c r="A380" s="10">
        <f t="shared" si="88"/>
        <v>323</v>
      </c>
      <c r="B380" s="124" t="s">
        <v>497</v>
      </c>
      <c r="C380" s="273">
        <f t="shared" si="89"/>
        <v>575289.27</v>
      </c>
      <c r="D380" s="273">
        <f t="shared" si="87"/>
        <v>0</v>
      </c>
      <c r="E380" s="273"/>
      <c r="F380" s="273"/>
      <c r="G380" s="273"/>
      <c r="H380" s="273"/>
      <c r="I380" s="273"/>
      <c r="J380" s="273"/>
      <c r="K380" s="273"/>
      <c r="L380" s="273"/>
      <c r="M380" s="273"/>
      <c r="N380" s="273"/>
      <c r="O380" s="273"/>
      <c r="P380" s="273"/>
      <c r="Q380" s="273"/>
      <c r="R380" s="273"/>
      <c r="S380" s="273"/>
      <c r="T380" s="273"/>
      <c r="U380" s="273"/>
      <c r="V380" s="273"/>
      <c r="W380" s="273">
        <f t="shared" si="90"/>
        <v>575289.27</v>
      </c>
      <c r="Y380" s="279">
        <v>223468.39</v>
      </c>
      <c r="Z380" s="237"/>
      <c r="AA380" s="279">
        <v>90507.184999999998</v>
      </c>
      <c r="AB380" s="236">
        <f>181014.37/2</f>
        <v>90507.184999999998</v>
      </c>
      <c r="AC380" s="37">
        <v>170806.51</v>
      </c>
      <c r="AD380" s="279"/>
      <c r="AF380" s="279"/>
      <c r="AH380" s="279"/>
    </row>
    <row r="381" spans="1:34" x14ac:dyDescent="0.3">
      <c r="A381" s="10">
        <f t="shared" si="88"/>
        <v>324</v>
      </c>
      <c r="B381" s="124" t="s">
        <v>499</v>
      </c>
      <c r="C381" s="273">
        <f t="shared" si="89"/>
        <v>1697831.23</v>
      </c>
      <c r="D381" s="273">
        <f t="shared" si="87"/>
        <v>0</v>
      </c>
      <c r="E381" s="273"/>
      <c r="F381" s="273"/>
      <c r="G381" s="273"/>
      <c r="H381" s="273"/>
      <c r="I381" s="273"/>
      <c r="J381" s="273"/>
      <c r="K381" s="273"/>
      <c r="L381" s="273"/>
      <c r="M381" s="273"/>
      <c r="N381" s="273"/>
      <c r="O381" s="273"/>
      <c r="P381" s="273"/>
      <c r="Q381" s="273"/>
      <c r="R381" s="273"/>
      <c r="S381" s="273"/>
      <c r="T381" s="273"/>
      <c r="U381" s="273"/>
      <c r="V381" s="273"/>
      <c r="W381" s="273">
        <f t="shared" si="90"/>
        <v>1697831.23</v>
      </c>
      <c r="Y381" s="279"/>
      <c r="Z381" s="279"/>
      <c r="AA381" s="279"/>
      <c r="AB381" s="279"/>
      <c r="AC381" s="37">
        <v>477668.3</v>
      </c>
      <c r="AD381" s="279"/>
      <c r="AE381" s="279">
        <v>809900.59</v>
      </c>
      <c r="AF381" s="279">
        <v>410262.34</v>
      </c>
    </row>
    <row r="382" spans="1:34" x14ac:dyDescent="0.3">
      <c r="A382" s="10">
        <f t="shared" si="88"/>
        <v>325</v>
      </c>
      <c r="B382" s="124" t="s">
        <v>500</v>
      </c>
      <c r="C382" s="273">
        <f t="shared" si="89"/>
        <v>708072.39</v>
      </c>
      <c r="D382" s="273">
        <f t="shared" si="87"/>
        <v>0</v>
      </c>
      <c r="E382" s="273"/>
      <c r="F382" s="273"/>
      <c r="G382" s="273"/>
      <c r="H382" s="273"/>
      <c r="I382" s="273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273"/>
      <c r="V382" s="273"/>
      <c r="W382" s="273">
        <f t="shared" si="90"/>
        <v>708072.39</v>
      </c>
      <c r="Y382" s="279">
        <v>186265.64</v>
      </c>
      <c r="Z382" s="237"/>
      <c r="AA382" s="236">
        <f>152208.04/2</f>
        <v>76104.02</v>
      </c>
      <c r="AB382" s="236">
        <f>152208.04/2</f>
        <v>76104.02</v>
      </c>
      <c r="AC382" s="37">
        <v>170181.05</v>
      </c>
      <c r="AD382" s="17"/>
      <c r="AE382" s="17"/>
      <c r="AF382" s="279">
        <v>199417.66</v>
      </c>
    </row>
    <row r="383" spans="1:34" x14ac:dyDescent="0.3">
      <c r="A383" s="10">
        <f t="shared" si="88"/>
        <v>326</v>
      </c>
      <c r="B383" s="124" t="s">
        <v>501</v>
      </c>
      <c r="C383" s="273">
        <f t="shared" si="89"/>
        <v>332976.40000000002</v>
      </c>
      <c r="D383" s="273">
        <f t="shared" si="87"/>
        <v>0</v>
      </c>
      <c r="E383" s="273"/>
      <c r="F383" s="273"/>
      <c r="G383" s="273"/>
      <c r="H383" s="273"/>
      <c r="I383" s="273"/>
      <c r="J383" s="273"/>
      <c r="K383" s="273"/>
      <c r="L383" s="273"/>
      <c r="M383" s="273"/>
      <c r="N383" s="273"/>
      <c r="O383" s="273"/>
      <c r="P383" s="273"/>
      <c r="Q383" s="273"/>
      <c r="R383" s="273"/>
      <c r="S383" s="273"/>
      <c r="T383" s="273"/>
      <c r="U383" s="273"/>
      <c r="V383" s="273"/>
      <c r="W383" s="273">
        <f t="shared" si="90"/>
        <v>332976.40000000002</v>
      </c>
      <c r="X383" s="17">
        <v>156374.57999999999</v>
      </c>
      <c r="Z383" s="237"/>
      <c r="AA383" s="236">
        <f>176601.82/2</f>
        <v>88300.91</v>
      </c>
      <c r="AB383" s="236">
        <f>176601.82/2</f>
        <v>88300.91</v>
      </c>
      <c r="AC383" s="283"/>
      <c r="AD383" s="17"/>
      <c r="AE383" s="17"/>
      <c r="AF383" s="17"/>
    </row>
    <row r="384" spans="1:34" x14ac:dyDescent="0.3">
      <c r="A384" s="10">
        <f t="shared" si="88"/>
        <v>327</v>
      </c>
      <c r="B384" s="124" t="s">
        <v>503</v>
      </c>
      <c r="C384" s="273">
        <f t="shared" si="89"/>
        <v>3788836.52</v>
      </c>
      <c r="D384" s="273">
        <f t="shared" si="87"/>
        <v>0</v>
      </c>
      <c r="E384" s="273"/>
      <c r="F384" s="273"/>
      <c r="G384" s="273"/>
      <c r="H384" s="273"/>
      <c r="I384" s="273"/>
      <c r="J384" s="273"/>
      <c r="K384" s="273"/>
      <c r="L384" s="273"/>
      <c r="M384" s="273"/>
      <c r="N384" s="273"/>
      <c r="O384" s="273">
        <f>660</f>
        <v>660</v>
      </c>
      <c r="P384" s="273">
        <v>3608196</v>
      </c>
      <c r="Q384" s="273"/>
      <c r="R384" s="273"/>
      <c r="S384" s="273"/>
      <c r="T384" s="273"/>
      <c r="U384" s="273"/>
      <c r="V384" s="273"/>
      <c r="W384" s="273">
        <f t="shared" si="90"/>
        <v>180640.52</v>
      </c>
      <c r="X384" s="251"/>
      <c r="Z384" s="279"/>
      <c r="AA384" s="279"/>
      <c r="AB384" s="18"/>
      <c r="AC384" s="37">
        <v>180640.52</v>
      </c>
      <c r="AD384" s="17"/>
      <c r="AE384" s="17"/>
      <c r="AF384" s="279"/>
    </row>
    <row r="385" spans="1:34" ht="31.2" x14ac:dyDescent="0.3">
      <c r="A385" s="10">
        <f t="shared" si="88"/>
        <v>328</v>
      </c>
      <c r="B385" s="124" t="s">
        <v>504</v>
      </c>
      <c r="C385" s="273">
        <f t="shared" si="89"/>
        <v>175448.34</v>
      </c>
      <c r="D385" s="273">
        <f t="shared" si="87"/>
        <v>0</v>
      </c>
      <c r="E385" s="273"/>
      <c r="F385" s="273"/>
      <c r="G385" s="273"/>
      <c r="H385" s="273"/>
      <c r="I385" s="273"/>
      <c r="J385" s="273"/>
      <c r="K385" s="273"/>
      <c r="L385" s="273"/>
      <c r="M385" s="273"/>
      <c r="N385" s="273"/>
      <c r="O385" s="273"/>
      <c r="P385" s="273"/>
      <c r="Q385" s="273"/>
      <c r="R385" s="273"/>
      <c r="S385" s="273"/>
      <c r="T385" s="273"/>
      <c r="U385" s="273"/>
      <c r="V385" s="273"/>
      <c r="W385" s="273">
        <f t="shared" si="90"/>
        <v>175448.34</v>
      </c>
      <c r="X385" s="273"/>
      <c r="Z385" s="17"/>
      <c r="AA385" s="17"/>
      <c r="AB385" s="16"/>
      <c r="AC385" s="283"/>
      <c r="AD385" s="279"/>
      <c r="AE385" s="17"/>
      <c r="AF385" s="279">
        <v>175448.34</v>
      </c>
    </row>
    <row r="386" spans="1:34" x14ac:dyDescent="0.3">
      <c r="A386" s="10">
        <f t="shared" si="88"/>
        <v>329</v>
      </c>
      <c r="B386" s="124" t="s">
        <v>505</v>
      </c>
      <c r="C386" s="273">
        <f t="shared" si="89"/>
        <v>233166.07</v>
      </c>
      <c r="D386" s="273">
        <f t="shared" si="87"/>
        <v>0</v>
      </c>
      <c r="E386" s="273"/>
      <c r="F386" s="273"/>
      <c r="G386" s="273"/>
      <c r="H386" s="273"/>
      <c r="I386" s="273"/>
      <c r="J386" s="273"/>
      <c r="K386" s="273"/>
      <c r="L386" s="273"/>
      <c r="M386" s="273"/>
      <c r="N386" s="273"/>
      <c r="O386" s="273"/>
      <c r="P386" s="273"/>
      <c r="Q386" s="251"/>
      <c r="R386" s="273"/>
      <c r="S386" s="251"/>
      <c r="T386" s="251"/>
      <c r="U386" s="251"/>
      <c r="V386" s="251"/>
      <c r="W386" s="273">
        <f t="shared" si="90"/>
        <v>233166.07</v>
      </c>
      <c r="X386" s="251"/>
      <c r="Z386" s="279"/>
      <c r="AA386" s="279"/>
      <c r="AB386" s="18"/>
      <c r="AC386" s="37">
        <v>233166.07</v>
      </c>
      <c r="AE386" s="17"/>
      <c r="AF386" s="279"/>
    </row>
    <row r="387" spans="1:34" x14ac:dyDescent="0.3">
      <c r="A387" s="10">
        <f t="shared" si="88"/>
        <v>330</v>
      </c>
      <c r="B387" s="124" t="s">
        <v>506</v>
      </c>
      <c r="C387" s="273">
        <f t="shared" si="89"/>
        <v>383679</v>
      </c>
      <c r="D387" s="273">
        <f t="shared" si="87"/>
        <v>0</v>
      </c>
      <c r="E387" s="273"/>
      <c r="F387" s="273"/>
      <c r="G387" s="273"/>
      <c r="H387" s="273"/>
      <c r="I387" s="273"/>
      <c r="J387" s="273"/>
      <c r="K387" s="273"/>
      <c r="L387" s="273"/>
      <c r="M387" s="273"/>
      <c r="N387" s="273"/>
      <c r="O387" s="273"/>
      <c r="P387" s="273"/>
      <c r="Q387" s="273"/>
      <c r="R387" s="273"/>
      <c r="S387" s="273"/>
      <c r="T387" s="273"/>
      <c r="U387" s="273"/>
      <c r="V387" s="273"/>
      <c r="W387" s="273">
        <f>SUM(X387:AE387)</f>
        <v>383679</v>
      </c>
      <c r="X387" s="273"/>
      <c r="Z387" s="17"/>
      <c r="AA387" s="17"/>
      <c r="AB387" s="16"/>
      <c r="AC387" s="283"/>
      <c r="AE387" s="279">
        <v>383679</v>
      </c>
      <c r="AF387" s="279"/>
    </row>
    <row r="388" spans="1:34" x14ac:dyDescent="0.3">
      <c r="A388" s="10">
        <f t="shared" si="88"/>
        <v>331</v>
      </c>
      <c r="B388" s="124" t="s">
        <v>507</v>
      </c>
      <c r="C388" s="273">
        <f t="shared" si="89"/>
        <v>384552.83</v>
      </c>
      <c r="D388" s="273">
        <f t="shared" si="87"/>
        <v>0</v>
      </c>
      <c r="E388" s="273"/>
      <c r="F388" s="273"/>
      <c r="G388" s="273"/>
      <c r="H388" s="273"/>
      <c r="I388" s="273"/>
      <c r="J388" s="273"/>
      <c r="K388" s="273"/>
      <c r="L388" s="273"/>
      <c r="M388" s="273"/>
      <c r="N388" s="273"/>
      <c r="O388" s="273"/>
      <c r="P388" s="273"/>
      <c r="Q388" s="273"/>
      <c r="R388" s="273"/>
      <c r="S388" s="273"/>
      <c r="T388" s="273"/>
      <c r="U388" s="273"/>
      <c r="V388" s="273"/>
      <c r="W388" s="273">
        <f>SUM(X388:AE388)</f>
        <v>384552.83</v>
      </c>
      <c r="X388" s="273"/>
      <c r="Z388" s="17"/>
      <c r="AA388" s="17"/>
      <c r="AB388" s="16"/>
      <c r="AC388" s="283"/>
      <c r="AE388" s="279">
        <v>384552.83</v>
      </c>
      <c r="AF388" s="279"/>
    </row>
    <row r="389" spans="1:34" ht="31.2" x14ac:dyDescent="0.3">
      <c r="A389" s="10">
        <f t="shared" si="88"/>
        <v>332</v>
      </c>
      <c r="B389" s="124" t="s">
        <v>508</v>
      </c>
      <c r="C389" s="273">
        <f t="shared" si="89"/>
        <v>8864768.4000000004</v>
      </c>
      <c r="D389" s="273">
        <f t="shared" si="87"/>
        <v>0</v>
      </c>
      <c r="E389" s="273"/>
      <c r="F389" s="273"/>
      <c r="G389" s="273"/>
      <c r="H389" s="273"/>
      <c r="I389" s="273"/>
      <c r="J389" s="273"/>
      <c r="K389" s="273"/>
      <c r="L389" s="273"/>
      <c r="M389" s="273"/>
      <c r="N389" s="273"/>
      <c r="O389" s="273"/>
      <c r="P389" s="273"/>
      <c r="Q389" s="273"/>
      <c r="R389" s="273"/>
      <c r="S389" s="273"/>
      <c r="T389" s="273">
        <v>7800</v>
      </c>
      <c r="U389" s="273">
        <v>8864768.4000000004</v>
      </c>
      <c r="V389" s="273"/>
      <c r="W389" s="273"/>
      <c r="X389" s="273"/>
      <c r="Z389" s="17"/>
      <c r="AA389" s="17"/>
      <c r="AB389" s="16"/>
      <c r="AC389" s="283"/>
      <c r="AE389" s="17"/>
      <c r="AF389" s="17"/>
    </row>
    <row r="390" spans="1:34" ht="15.75" customHeight="1" x14ac:dyDescent="0.3">
      <c r="A390" s="10">
        <f t="shared" si="88"/>
        <v>333</v>
      </c>
      <c r="B390" s="124" t="s">
        <v>509</v>
      </c>
      <c r="C390" s="273">
        <f t="shared" si="89"/>
        <v>4157577.82</v>
      </c>
      <c r="D390" s="273">
        <f t="shared" si="87"/>
        <v>0</v>
      </c>
      <c r="E390" s="273"/>
      <c r="F390" s="273"/>
      <c r="G390" s="273"/>
      <c r="H390" s="273"/>
      <c r="I390" s="273"/>
      <c r="J390" s="273"/>
      <c r="K390" s="273"/>
      <c r="L390" s="273"/>
      <c r="M390" s="273"/>
      <c r="N390" s="273"/>
      <c r="O390" s="273">
        <v>1150</v>
      </c>
      <c r="P390" s="273">
        <v>3876914.4</v>
      </c>
      <c r="Q390" s="273"/>
      <c r="R390" s="273"/>
      <c r="S390" s="273"/>
      <c r="T390" s="273"/>
      <c r="U390" s="273"/>
      <c r="V390" s="273"/>
      <c r="W390" s="273">
        <f>SUM(X390:AE390)</f>
        <v>280663.42</v>
      </c>
      <c r="X390" s="251"/>
      <c r="Z390" s="279"/>
      <c r="AA390" s="279"/>
      <c r="AB390" s="18"/>
      <c r="AC390" s="37">
        <v>280663.42</v>
      </c>
      <c r="AE390" s="279"/>
      <c r="AF390" s="279"/>
    </row>
    <row r="391" spans="1:34" ht="15.75" customHeight="1" x14ac:dyDescent="0.3">
      <c r="A391" s="10">
        <f t="shared" si="88"/>
        <v>334</v>
      </c>
      <c r="B391" s="124" t="s">
        <v>510</v>
      </c>
      <c r="C391" s="273">
        <f t="shared" si="89"/>
        <v>336215.96</v>
      </c>
      <c r="D391" s="273">
        <f t="shared" si="87"/>
        <v>0</v>
      </c>
      <c r="E391" s="273"/>
      <c r="F391" s="273"/>
      <c r="G391" s="273"/>
      <c r="H391" s="273"/>
      <c r="I391" s="273"/>
      <c r="J391" s="273"/>
      <c r="K391" s="273"/>
      <c r="L391" s="273"/>
      <c r="M391" s="273"/>
      <c r="N391" s="273"/>
      <c r="O391" s="273"/>
      <c r="P391" s="273"/>
      <c r="Q391" s="273"/>
      <c r="R391" s="273"/>
      <c r="S391" s="273"/>
      <c r="T391" s="273"/>
      <c r="U391" s="273"/>
      <c r="V391" s="273"/>
      <c r="W391" s="273">
        <f>SUM(Y391:AE391)</f>
        <v>336215.96</v>
      </c>
      <c r="Y391" s="251">
        <v>125013.43</v>
      </c>
      <c r="Z391" s="17"/>
      <c r="AA391" s="17"/>
      <c r="AB391" s="18">
        <v>104792.46</v>
      </c>
      <c r="AC391" s="37">
        <v>106410.07</v>
      </c>
      <c r="AE391" s="17"/>
      <c r="AF391" s="17"/>
    </row>
    <row r="392" spans="1:34" ht="15.75" customHeight="1" x14ac:dyDescent="0.3">
      <c r="A392" s="10">
        <f t="shared" si="88"/>
        <v>335</v>
      </c>
      <c r="B392" s="124" t="s">
        <v>511</v>
      </c>
      <c r="C392" s="273">
        <f t="shared" si="89"/>
        <v>336215.96</v>
      </c>
      <c r="D392" s="273">
        <f t="shared" si="87"/>
        <v>0</v>
      </c>
      <c r="E392" s="273"/>
      <c r="F392" s="273"/>
      <c r="G392" s="273"/>
      <c r="H392" s="273"/>
      <c r="I392" s="273"/>
      <c r="J392" s="273"/>
      <c r="K392" s="273"/>
      <c r="L392" s="273"/>
      <c r="M392" s="273"/>
      <c r="N392" s="273"/>
      <c r="O392" s="273"/>
      <c r="P392" s="273"/>
      <c r="Q392" s="273"/>
      <c r="R392" s="273"/>
      <c r="S392" s="273"/>
      <c r="T392" s="273"/>
      <c r="U392" s="273"/>
      <c r="V392" s="273"/>
      <c r="W392" s="273">
        <f>SUM(Y392:AE392)</f>
        <v>336215.96</v>
      </c>
      <c r="Y392" s="251">
        <v>125013.43</v>
      </c>
      <c r="Z392" s="17"/>
      <c r="AA392" s="17"/>
      <c r="AB392" s="18">
        <v>104792.46</v>
      </c>
      <c r="AC392" s="37">
        <v>106410.07</v>
      </c>
      <c r="AE392" s="17"/>
      <c r="AF392" s="17"/>
    </row>
    <row r="393" spans="1:34" ht="31.2" x14ac:dyDescent="0.3">
      <c r="A393" s="10">
        <f t="shared" si="88"/>
        <v>336</v>
      </c>
      <c r="B393" s="124" t="s">
        <v>514</v>
      </c>
      <c r="C393" s="273">
        <f t="shared" si="89"/>
        <v>409251.32</v>
      </c>
      <c r="D393" s="273">
        <f t="shared" si="87"/>
        <v>0</v>
      </c>
      <c r="E393" s="273"/>
      <c r="F393" s="273"/>
      <c r="G393" s="273"/>
      <c r="H393" s="273"/>
      <c r="I393" s="273"/>
      <c r="J393" s="273"/>
      <c r="K393" s="273"/>
      <c r="L393" s="273"/>
      <c r="M393" s="273"/>
      <c r="N393" s="273"/>
      <c r="O393" s="273"/>
      <c r="P393" s="273"/>
      <c r="Q393" s="273"/>
      <c r="R393" s="273"/>
      <c r="S393" s="273"/>
      <c r="T393" s="273"/>
      <c r="U393" s="273"/>
      <c r="V393" s="273"/>
      <c r="W393" s="273">
        <f>SUM(X393:AH393)</f>
        <v>409251.32</v>
      </c>
      <c r="X393" s="279">
        <v>58934.69</v>
      </c>
      <c r="Y393" s="18"/>
      <c r="Z393" s="279"/>
      <c r="AC393" s="37">
        <v>69235.33</v>
      </c>
      <c r="AE393" s="279">
        <v>127384.18</v>
      </c>
      <c r="AF393" s="279"/>
      <c r="AH393" s="279">
        <v>153697.12</v>
      </c>
    </row>
    <row r="394" spans="1:34" x14ac:dyDescent="0.3">
      <c r="A394" s="10"/>
      <c r="B394" s="124" t="s">
        <v>208</v>
      </c>
      <c r="C394" s="273">
        <f t="shared" ref="C394:W394" si="91">SUM(C356:C393)</f>
        <v>33650551.18</v>
      </c>
      <c r="D394" s="273">
        <f t="shared" si="91"/>
        <v>0</v>
      </c>
      <c r="E394" s="273">
        <f t="shared" si="91"/>
        <v>0</v>
      </c>
      <c r="F394" s="273">
        <f t="shared" si="91"/>
        <v>0</v>
      </c>
      <c r="G394" s="273">
        <f t="shared" si="91"/>
        <v>0</v>
      </c>
      <c r="H394" s="273">
        <f t="shared" si="91"/>
        <v>0</v>
      </c>
      <c r="I394" s="273">
        <f t="shared" si="91"/>
        <v>0</v>
      </c>
      <c r="J394" s="273">
        <f t="shared" si="91"/>
        <v>0</v>
      </c>
      <c r="K394" s="273">
        <f t="shared" si="91"/>
        <v>0</v>
      </c>
      <c r="L394" s="273">
        <f t="shared" si="91"/>
        <v>0</v>
      </c>
      <c r="M394" s="273">
        <f t="shared" si="91"/>
        <v>0</v>
      </c>
      <c r="N394" s="273">
        <f t="shared" si="91"/>
        <v>0</v>
      </c>
      <c r="O394" s="273">
        <f t="shared" si="91"/>
        <v>2365</v>
      </c>
      <c r="P394" s="273">
        <f t="shared" si="91"/>
        <v>12101007.6</v>
      </c>
      <c r="Q394" s="273">
        <f t="shared" si="91"/>
        <v>0</v>
      </c>
      <c r="R394" s="273">
        <f t="shared" si="91"/>
        <v>0</v>
      </c>
      <c r="S394" s="273">
        <f t="shared" si="91"/>
        <v>0</v>
      </c>
      <c r="T394" s="273">
        <f t="shared" si="91"/>
        <v>8450.1</v>
      </c>
      <c r="U394" s="273">
        <f t="shared" si="91"/>
        <v>9487486.8000000007</v>
      </c>
      <c r="V394" s="273">
        <f t="shared" si="91"/>
        <v>0</v>
      </c>
      <c r="W394" s="273">
        <f t="shared" si="91"/>
        <v>12062056.780000005</v>
      </c>
      <c r="X394" s="251"/>
      <c r="Y394" s="18"/>
      <c r="Z394" s="279"/>
      <c r="AA394" s="279"/>
      <c r="AB394" s="279"/>
      <c r="AD394" s="279"/>
      <c r="AE394" s="279"/>
      <c r="AF394" s="279"/>
    </row>
    <row r="395" spans="1:34" ht="33" customHeight="1" x14ac:dyDescent="0.3">
      <c r="A395" s="374" t="s">
        <v>515</v>
      </c>
      <c r="B395" s="375"/>
      <c r="C395" s="273"/>
      <c r="D395" s="273"/>
      <c r="E395" s="273"/>
      <c r="F395" s="273"/>
      <c r="G395" s="273"/>
      <c r="H395" s="273"/>
      <c r="I395" s="273"/>
      <c r="J395" s="273"/>
      <c r="K395" s="273"/>
      <c r="L395" s="273"/>
      <c r="M395" s="273"/>
      <c r="N395" s="273"/>
      <c r="O395" s="273"/>
      <c r="P395" s="273"/>
      <c r="Q395" s="273"/>
      <c r="R395" s="273"/>
      <c r="S395" s="273"/>
      <c r="T395" s="273"/>
      <c r="U395" s="273"/>
      <c r="V395" s="273"/>
      <c r="W395" s="273"/>
      <c r="X395" s="251"/>
      <c r="Y395" s="18"/>
      <c r="Z395" s="279"/>
      <c r="AA395" s="279"/>
      <c r="AB395" s="279"/>
      <c r="AC395" s="279"/>
      <c r="AD395" s="279"/>
      <c r="AE395" s="279"/>
      <c r="AF395" s="17"/>
    </row>
    <row r="396" spans="1:34" x14ac:dyDescent="0.3">
      <c r="A396" s="10">
        <f>A393+1</f>
        <v>337</v>
      </c>
      <c r="B396" s="124" t="s">
        <v>516</v>
      </c>
      <c r="C396" s="273">
        <f t="shared" ref="C396:C422" si="92">D396+K396+L396+N396+R396+S396+U396+V396+W396</f>
        <v>161782.78</v>
      </c>
      <c r="D396" s="273">
        <f t="shared" ref="D396:D422" si="93">E396+F396+G396+H396+I396</f>
        <v>0</v>
      </c>
      <c r="E396" s="273"/>
      <c r="F396" s="273"/>
      <c r="G396" s="273"/>
      <c r="H396" s="273"/>
      <c r="I396" s="273"/>
      <c r="J396" s="273"/>
      <c r="K396" s="273"/>
      <c r="L396" s="273"/>
      <c r="M396" s="273"/>
      <c r="N396" s="273"/>
      <c r="O396" s="273"/>
      <c r="P396" s="273"/>
      <c r="Q396" s="273"/>
      <c r="R396" s="273"/>
      <c r="S396" s="273"/>
      <c r="T396" s="273"/>
      <c r="U396" s="273"/>
      <c r="V396" s="273"/>
      <c r="W396" s="273">
        <f t="shared" ref="W396:W403" si="94">SUM(X396:AH396)</f>
        <v>161782.78</v>
      </c>
      <c r="X396" s="273"/>
      <c r="Y396" s="16"/>
      <c r="Z396" s="17"/>
      <c r="AA396" s="17"/>
      <c r="AB396" s="17"/>
      <c r="AC396" s="279"/>
      <c r="AD396" s="17"/>
      <c r="AE396" s="17"/>
      <c r="AF396" s="17">
        <v>161782.78</v>
      </c>
    </row>
    <row r="397" spans="1:34" x14ac:dyDescent="0.3">
      <c r="A397" s="10">
        <f t="shared" ref="A397:A422" si="95">A396+1</f>
        <v>338</v>
      </c>
      <c r="B397" s="124" t="s">
        <v>517</v>
      </c>
      <c r="C397" s="273">
        <f t="shared" si="92"/>
        <v>214371.46</v>
      </c>
      <c r="D397" s="273">
        <f t="shared" si="93"/>
        <v>0</v>
      </c>
      <c r="E397" s="273"/>
      <c r="F397" s="273"/>
      <c r="G397" s="273"/>
      <c r="H397" s="273"/>
      <c r="I397" s="273"/>
      <c r="J397" s="273"/>
      <c r="K397" s="273"/>
      <c r="L397" s="273"/>
      <c r="M397" s="273"/>
      <c r="N397" s="273"/>
      <c r="O397" s="273"/>
      <c r="P397" s="273"/>
      <c r="Q397" s="273"/>
      <c r="R397" s="273"/>
      <c r="S397" s="273"/>
      <c r="T397" s="273"/>
      <c r="U397" s="273"/>
      <c r="V397" s="273"/>
      <c r="W397" s="273">
        <f t="shared" si="94"/>
        <v>214371.46</v>
      </c>
      <c r="X397" s="251"/>
      <c r="Y397" s="251"/>
      <c r="Z397" s="273"/>
      <c r="AA397" s="273"/>
      <c r="AB397" s="251"/>
      <c r="AC397" s="16"/>
      <c r="AD397" s="279"/>
      <c r="AE397" s="17">
        <v>214371.46</v>
      </c>
      <c r="AF397" s="15"/>
    </row>
    <row r="398" spans="1:34" x14ac:dyDescent="0.3">
      <c r="A398" s="10">
        <f t="shared" si="95"/>
        <v>339</v>
      </c>
      <c r="B398" s="124" t="s">
        <v>518</v>
      </c>
      <c r="C398" s="273">
        <f t="shared" si="92"/>
        <v>214371.46</v>
      </c>
      <c r="D398" s="273">
        <f t="shared" si="93"/>
        <v>0</v>
      </c>
      <c r="E398" s="273"/>
      <c r="F398" s="273"/>
      <c r="G398" s="273"/>
      <c r="H398" s="273"/>
      <c r="I398" s="273"/>
      <c r="J398" s="273"/>
      <c r="K398" s="273"/>
      <c r="L398" s="273"/>
      <c r="M398" s="273"/>
      <c r="N398" s="273"/>
      <c r="O398" s="273"/>
      <c r="P398" s="273"/>
      <c r="Q398" s="273"/>
      <c r="R398" s="273"/>
      <c r="S398" s="273"/>
      <c r="T398" s="273"/>
      <c r="U398" s="273"/>
      <c r="V398" s="273"/>
      <c r="W398" s="273">
        <f t="shared" si="94"/>
        <v>214371.46</v>
      </c>
      <c r="X398" s="251"/>
      <c r="Y398" s="251"/>
      <c r="Z398" s="273"/>
      <c r="AA398" s="273"/>
      <c r="AB398" s="251"/>
      <c r="AC398" s="16"/>
      <c r="AD398" s="279"/>
      <c r="AE398" s="17">
        <v>214371.46</v>
      </c>
      <c r="AF398" s="15"/>
    </row>
    <row r="399" spans="1:34" x14ac:dyDescent="0.3">
      <c r="A399" s="10">
        <f t="shared" si="95"/>
        <v>340</v>
      </c>
      <c r="B399" s="124" t="s">
        <v>519</v>
      </c>
      <c r="C399" s="273">
        <f t="shared" si="92"/>
        <v>214371.46</v>
      </c>
      <c r="D399" s="273">
        <f t="shared" si="93"/>
        <v>0</v>
      </c>
      <c r="E399" s="273"/>
      <c r="F399" s="273"/>
      <c r="G399" s="273"/>
      <c r="H399" s="273"/>
      <c r="I399" s="273"/>
      <c r="J399" s="273"/>
      <c r="K399" s="273"/>
      <c r="L399" s="273"/>
      <c r="M399" s="273"/>
      <c r="N399" s="273"/>
      <c r="O399" s="273"/>
      <c r="P399" s="273"/>
      <c r="Q399" s="273"/>
      <c r="R399" s="273"/>
      <c r="S399" s="273"/>
      <c r="T399" s="273"/>
      <c r="U399" s="251"/>
      <c r="V399" s="251"/>
      <c r="W399" s="273">
        <f t="shared" si="94"/>
        <v>214371.46</v>
      </c>
      <c r="X399" s="251"/>
      <c r="Y399" s="251"/>
      <c r="Z399" s="251"/>
      <c r="AA399" s="251"/>
      <c r="AB399" s="251"/>
      <c r="AC399" s="18"/>
      <c r="AD399" s="279"/>
      <c r="AE399" s="17">
        <v>214371.46</v>
      </c>
      <c r="AF399" s="15"/>
    </row>
    <row r="400" spans="1:34" x14ac:dyDescent="0.3">
      <c r="A400" s="10">
        <f t="shared" si="95"/>
        <v>341</v>
      </c>
      <c r="B400" s="124" t="s">
        <v>520</v>
      </c>
      <c r="C400" s="273">
        <f t="shared" si="92"/>
        <v>214371.46</v>
      </c>
      <c r="D400" s="273">
        <f t="shared" si="93"/>
        <v>0</v>
      </c>
      <c r="E400" s="273"/>
      <c r="F400" s="273"/>
      <c r="G400" s="273"/>
      <c r="H400" s="273"/>
      <c r="I400" s="273"/>
      <c r="J400" s="273"/>
      <c r="K400" s="273"/>
      <c r="L400" s="273"/>
      <c r="M400" s="273"/>
      <c r="N400" s="273"/>
      <c r="O400" s="273"/>
      <c r="P400" s="273"/>
      <c r="Q400" s="273"/>
      <c r="R400" s="273"/>
      <c r="S400" s="273"/>
      <c r="T400" s="273"/>
      <c r="U400" s="273"/>
      <c r="V400" s="273"/>
      <c r="W400" s="273">
        <f t="shared" si="94"/>
        <v>214371.46</v>
      </c>
      <c r="X400" s="251"/>
      <c r="Y400" s="251"/>
      <c r="Z400" s="251"/>
      <c r="AA400" s="251"/>
      <c r="AB400" s="251"/>
      <c r="AC400" s="18"/>
      <c r="AD400" s="279"/>
      <c r="AE400" s="17">
        <v>214371.46</v>
      </c>
      <c r="AF400" s="15"/>
    </row>
    <row r="401" spans="1:32" x14ac:dyDescent="0.3">
      <c r="A401" s="10">
        <f t="shared" si="95"/>
        <v>342</v>
      </c>
      <c r="B401" s="124" t="s">
        <v>521</v>
      </c>
      <c r="C401" s="273">
        <f t="shared" si="92"/>
        <v>197855.65</v>
      </c>
      <c r="D401" s="273">
        <f t="shared" si="93"/>
        <v>0</v>
      </c>
      <c r="E401" s="273"/>
      <c r="F401" s="273"/>
      <c r="G401" s="273"/>
      <c r="H401" s="273"/>
      <c r="I401" s="273"/>
      <c r="J401" s="273"/>
      <c r="K401" s="273"/>
      <c r="L401" s="273"/>
      <c r="M401" s="273"/>
      <c r="N401" s="273"/>
      <c r="O401" s="273"/>
      <c r="P401" s="273"/>
      <c r="Q401" s="273"/>
      <c r="R401" s="273"/>
      <c r="S401" s="273"/>
      <c r="T401" s="273"/>
      <c r="U401" s="273"/>
      <c r="V401" s="273"/>
      <c r="W401" s="273">
        <f t="shared" si="94"/>
        <v>197855.65</v>
      </c>
      <c r="X401" s="273"/>
      <c r="Y401" s="273"/>
      <c r="Z401" s="273"/>
      <c r="AA401" s="273"/>
      <c r="AB401" s="273"/>
      <c r="AC401" s="18"/>
      <c r="AE401" s="17"/>
      <c r="AF401" s="17">
        <v>197855.65</v>
      </c>
    </row>
    <row r="402" spans="1:32" x14ac:dyDescent="0.3">
      <c r="A402" s="10">
        <f t="shared" si="95"/>
        <v>343</v>
      </c>
      <c r="B402" s="124" t="s">
        <v>522</v>
      </c>
      <c r="C402" s="273">
        <f t="shared" si="92"/>
        <v>132160.5</v>
      </c>
      <c r="D402" s="273">
        <f t="shared" si="93"/>
        <v>0</v>
      </c>
      <c r="E402" s="273"/>
      <c r="F402" s="273"/>
      <c r="G402" s="273"/>
      <c r="H402" s="273"/>
      <c r="I402" s="273"/>
      <c r="J402" s="273"/>
      <c r="K402" s="273"/>
      <c r="L402" s="273"/>
      <c r="M402" s="273"/>
      <c r="N402" s="273"/>
      <c r="O402" s="273"/>
      <c r="P402" s="273"/>
      <c r="Q402" s="273"/>
      <c r="R402" s="273"/>
      <c r="S402" s="273"/>
      <c r="T402" s="273"/>
      <c r="U402" s="273"/>
      <c r="V402" s="273"/>
      <c r="W402" s="273">
        <f t="shared" si="94"/>
        <v>132160.5</v>
      </c>
      <c r="X402" s="273"/>
      <c r="Y402" s="273"/>
      <c r="Z402" s="273"/>
      <c r="AA402" s="273"/>
      <c r="AB402" s="273"/>
      <c r="AC402" s="18"/>
      <c r="AE402" s="17"/>
      <c r="AF402" s="279">
        <v>132160.5</v>
      </c>
    </row>
    <row r="403" spans="1:32" x14ac:dyDescent="0.3">
      <c r="A403" s="10">
        <f t="shared" si="95"/>
        <v>344</v>
      </c>
      <c r="B403" s="124" t="s">
        <v>523</v>
      </c>
      <c r="C403" s="273">
        <f t="shared" si="92"/>
        <v>316174.2</v>
      </c>
      <c r="D403" s="273">
        <f t="shared" si="93"/>
        <v>0</v>
      </c>
      <c r="E403" s="273"/>
      <c r="F403" s="273"/>
      <c r="G403" s="273"/>
      <c r="H403" s="273"/>
      <c r="I403" s="273"/>
      <c r="J403" s="273"/>
      <c r="K403" s="273"/>
      <c r="L403" s="273"/>
      <c r="M403" s="273"/>
      <c r="N403" s="273"/>
      <c r="O403" s="273"/>
      <c r="P403" s="273"/>
      <c r="Q403" s="273"/>
      <c r="R403" s="273"/>
      <c r="S403" s="273"/>
      <c r="T403" s="273"/>
      <c r="U403" s="273"/>
      <c r="V403" s="273"/>
      <c r="W403" s="273">
        <f t="shared" si="94"/>
        <v>316174.2</v>
      </c>
      <c r="X403" s="251"/>
      <c r="Y403" s="236">
        <v>181147.56</v>
      </c>
      <c r="Z403" s="238"/>
      <c r="AA403" s="273">
        <f>135026.64/2</f>
        <v>67513.320000000007</v>
      </c>
      <c r="AB403" s="273">
        <f>135026.64/2</f>
        <v>67513.320000000007</v>
      </c>
      <c r="AC403" s="18"/>
      <c r="AD403" s="279"/>
      <c r="AE403" s="17"/>
      <c r="AF403" s="15"/>
    </row>
    <row r="404" spans="1:32" x14ac:dyDescent="0.3">
      <c r="A404" s="10">
        <f t="shared" si="95"/>
        <v>345</v>
      </c>
      <c r="B404" s="124" t="s">
        <v>524</v>
      </c>
      <c r="C404" s="273">
        <f t="shared" si="92"/>
        <v>130000</v>
      </c>
      <c r="D404" s="273">
        <f t="shared" si="93"/>
        <v>0</v>
      </c>
      <c r="E404" s="273"/>
      <c r="F404" s="273"/>
      <c r="G404" s="273"/>
      <c r="H404" s="273"/>
      <c r="I404" s="273"/>
      <c r="J404" s="273"/>
      <c r="K404" s="273"/>
      <c r="L404" s="273"/>
      <c r="M404" s="273"/>
      <c r="N404" s="273"/>
      <c r="O404" s="273"/>
      <c r="P404" s="273"/>
      <c r="Q404" s="273"/>
      <c r="R404" s="273"/>
      <c r="S404" s="273"/>
      <c r="T404" s="273"/>
      <c r="U404" s="273"/>
      <c r="V404" s="273"/>
      <c r="W404" s="273">
        <v>130000</v>
      </c>
      <c r="X404" s="273"/>
      <c r="Y404" s="273"/>
      <c r="Z404" s="273"/>
      <c r="AA404" s="273"/>
      <c r="AB404" s="273"/>
      <c r="AC404" s="16"/>
      <c r="AD404" s="17"/>
      <c r="AE404" s="17"/>
      <c r="AF404" s="15"/>
    </row>
    <row r="405" spans="1:32" x14ac:dyDescent="0.3">
      <c r="A405" s="10">
        <f t="shared" si="95"/>
        <v>346</v>
      </c>
      <c r="B405" s="124" t="s">
        <v>525</v>
      </c>
      <c r="C405" s="273">
        <f t="shared" si="92"/>
        <v>214371.46</v>
      </c>
      <c r="D405" s="273">
        <f t="shared" si="93"/>
        <v>0</v>
      </c>
      <c r="E405" s="273"/>
      <c r="F405" s="273"/>
      <c r="G405" s="273"/>
      <c r="H405" s="273"/>
      <c r="I405" s="273"/>
      <c r="J405" s="273"/>
      <c r="K405" s="273"/>
      <c r="L405" s="273"/>
      <c r="M405" s="273"/>
      <c r="N405" s="273"/>
      <c r="O405" s="273"/>
      <c r="P405" s="273"/>
      <c r="Q405" s="273"/>
      <c r="R405" s="273"/>
      <c r="S405" s="273"/>
      <c r="T405" s="273"/>
      <c r="U405" s="273"/>
      <c r="V405" s="273"/>
      <c r="W405" s="273">
        <f t="shared" ref="W405:W422" si="96">SUM(X405:AH405)</f>
        <v>214371.46</v>
      </c>
      <c r="X405" s="251"/>
      <c r="Y405" s="251"/>
      <c r="Z405" s="251"/>
      <c r="AA405" s="251"/>
      <c r="AB405" s="251"/>
      <c r="AC405" s="18"/>
      <c r="AD405" s="279"/>
      <c r="AE405" s="17">
        <v>214371.46</v>
      </c>
      <c r="AF405" s="15"/>
    </row>
    <row r="406" spans="1:32" x14ac:dyDescent="0.3">
      <c r="A406" s="10">
        <f t="shared" si="95"/>
        <v>347</v>
      </c>
      <c r="B406" s="124" t="s">
        <v>526</v>
      </c>
      <c r="C406" s="273">
        <f t="shared" si="92"/>
        <v>214371.46</v>
      </c>
      <c r="D406" s="273">
        <f t="shared" si="93"/>
        <v>0</v>
      </c>
      <c r="E406" s="273"/>
      <c r="F406" s="273"/>
      <c r="G406" s="273"/>
      <c r="H406" s="273"/>
      <c r="I406" s="273"/>
      <c r="J406" s="273"/>
      <c r="K406" s="273"/>
      <c r="L406" s="273"/>
      <c r="M406" s="273"/>
      <c r="N406" s="273"/>
      <c r="O406" s="273"/>
      <c r="P406" s="273"/>
      <c r="Q406" s="273"/>
      <c r="R406" s="273"/>
      <c r="S406" s="273"/>
      <c r="T406" s="273"/>
      <c r="U406" s="273"/>
      <c r="V406" s="273"/>
      <c r="W406" s="273">
        <f t="shared" si="96"/>
        <v>214371.46</v>
      </c>
      <c r="X406" s="251"/>
      <c r="Y406" s="251"/>
      <c r="Z406" s="251"/>
      <c r="AA406" s="251"/>
      <c r="AB406" s="251"/>
      <c r="AC406" s="18"/>
      <c r="AD406" s="279"/>
      <c r="AE406" s="17">
        <v>214371.46</v>
      </c>
      <c r="AF406" s="15"/>
    </row>
    <row r="407" spans="1:32" x14ac:dyDescent="0.3">
      <c r="A407" s="10">
        <f t="shared" si="95"/>
        <v>348</v>
      </c>
      <c r="B407" s="124" t="s">
        <v>527</v>
      </c>
      <c r="C407" s="273">
        <f t="shared" si="92"/>
        <v>214371.46</v>
      </c>
      <c r="D407" s="273">
        <f t="shared" si="93"/>
        <v>0</v>
      </c>
      <c r="E407" s="273"/>
      <c r="F407" s="273"/>
      <c r="G407" s="273"/>
      <c r="H407" s="273"/>
      <c r="I407" s="273"/>
      <c r="J407" s="273"/>
      <c r="K407" s="273"/>
      <c r="L407" s="273"/>
      <c r="M407" s="273"/>
      <c r="N407" s="273"/>
      <c r="O407" s="273"/>
      <c r="P407" s="273"/>
      <c r="Q407" s="273"/>
      <c r="R407" s="273"/>
      <c r="S407" s="273"/>
      <c r="T407" s="273"/>
      <c r="U407" s="273"/>
      <c r="V407" s="273"/>
      <c r="W407" s="273">
        <f t="shared" si="96"/>
        <v>214371.46</v>
      </c>
      <c r="X407" s="251"/>
      <c r="Y407" s="251"/>
      <c r="Z407" s="251"/>
      <c r="AA407" s="251"/>
      <c r="AB407" s="251"/>
      <c r="AC407" s="18"/>
      <c r="AD407" s="279"/>
      <c r="AE407" s="17">
        <v>214371.46</v>
      </c>
      <c r="AF407" s="15"/>
    </row>
    <row r="408" spans="1:32" x14ac:dyDescent="0.3">
      <c r="A408" s="10">
        <f t="shared" si="95"/>
        <v>349</v>
      </c>
      <c r="B408" s="124" t="s">
        <v>528</v>
      </c>
      <c r="C408" s="273">
        <f t="shared" si="92"/>
        <v>214371.46</v>
      </c>
      <c r="D408" s="273">
        <f t="shared" si="93"/>
        <v>0</v>
      </c>
      <c r="E408" s="273"/>
      <c r="F408" s="273"/>
      <c r="G408" s="273"/>
      <c r="H408" s="273"/>
      <c r="I408" s="273"/>
      <c r="J408" s="273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273"/>
      <c r="V408" s="273"/>
      <c r="W408" s="273">
        <f t="shared" si="96"/>
        <v>214371.46</v>
      </c>
      <c r="X408" s="251"/>
      <c r="Y408" s="251"/>
      <c r="Z408" s="251"/>
      <c r="AA408" s="251"/>
      <c r="AB408" s="251"/>
      <c r="AC408" s="18"/>
      <c r="AD408" s="279"/>
      <c r="AE408" s="17">
        <v>214371.46</v>
      </c>
      <c r="AF408" s="15"/>
    </row>
    <row r="409" spans="1:32" x14ac:dyDescent="0.3">
      <c r="A409" s="10">
        <f t="shared" si="95"/>
        <v>350</v>
      </c>
      <c r="B409" s="124" t="s">
        <v>529</v>
      </c>
      <c r="C409" s="273">
        <f t="shared" si="92"/>
        <v>214371.46</v>
      </c>
      <c r="D409" s="273">
        <f t="shared" si="93"/>
        <v>0</v>
      </c>
      <c r="E409" s="273"/>
      <c r="F409" s="273"/>
      <c r="G409" s="273"/>
      <c r="H409" s="273"/>
      <c r="I409" s="273"/>
      <c r="J409" s="273"/>
      <c r="K409" s="273"/>
      <c r="L409" s="273"/>
      <c r="M409" s="273"/>
      <c r="N409" s="273"/>
      <c r="O409" s="273"/>
      <c r="P409" s="273"/>
      <c r="Q409" s="273"/>
      <c r="R409" s="273"/>
      <c r="S409" s="273"/>
      <c r="T409" s="273"/>
      <c r="U409" s="273"/>
      <c r="V409" s="273"/>
      <c r="W409" s="273">
        <f t="shared" si="96"/>
        <v>214371.46</v>
      </c>
      <c r="X409" s="251"/>
      <c r="Y409" s="251"/>
      <c r="Z409" s="251"/>
      <c r="AA409" s="251"/>
      <c r="AB409" s="251"/>
      <c r="AC409" s="18"/>
      <c r="AD409" s="279"/>
      <c r="AE409" s="17">
        <v>214371.46</v>
      </c>
      <c r="AF409" s="15"/>
    </row>
    <row r="410" spans="1:32" x14ac:dyDescent="0.3">
      <c r="A410" s="10">
        <f t="shared" si="95"/>
        <v>351</v>
      </c>
      <c r="B410" s="124" t="s">
        <v>530</v>
      </c>
      <c r="C410" s="273">
        <f t="shared" si="92"/>
        <v>214371.46</v>
      </c>
      <c r="D410" s="273">
        <f t="shared" si="93"/>
        <v>0</v>
      </c>
      <c r="E410" s="273"/>
      <c r="F410" s="273"/>
      <c r="G410" s="273"/>
      <c r="H410" s="273"/>
      <c r="I410" s="273"/>
      <c r="J410" s="273"/>
      <c r="K410" s="273"/>
      <c r="L410" s="273"/>
      <c r="M410" s="273"/>
      <c r="N410" s="273"/>
      <c r="O410" s="273"/>
      <c r="P410" s="273"/>
      <c r="Q410" s="273"/>
      <c r="R410" s="273"/>
      <c r="S410" s="273"/>
      <c r="T410" s="273"/>
      <c r="U410" s="273"/>
      <c r="V410" s="273"/>
      <c r="W410" s="273">
        <f t="shared" si="96"/>
        <v>214371.46</v>
      </c>
      <c r="X410" s="251"/>
      <c r="Y410" s="251"/>
      <c r="Z410" s="251"/>
      <c r="AA410" s="251"/>
      <c r="AB410" s="251"/>
      <c r="AC410" s="18"/>
      <c r="AD410" s="279"/>
      <c r="AE410" s="17">
        <v>214371.46</v>
      </c>
      <c r="AF410" s="15"/>
    </row>
    <row r="411" spans="1:32" x14ac:dyDescent="0.3">
      <c r="A411" s="10">
        <f t="shared" si="95"/>
        <v>352</v>
      </c>
      <c r="B411" s="124" t="s">
        <v>531</v>
      </c>
      <c r="C411" s="273">
        <f t="shared" si="92"/>
        <v>128856.23</v>
      </c>
      <c r="D411" s="273">
        <f t="shared" si="93"/>
        <v>0</v>
      </c>
      <c r="E411" s="273"/>
      <c r="F411" s="273"/>
      <c r="G411" s="273"/>
      <c r="H411" s="273"/>
      <c r="I411" s="273"/>
      <c r="J411" s="273"/>
      <c r="K411" s="273"/>
      <c r="L411" s="273"/>
      <c r="M411" s="273"/>
      <c r="N411" s="273"/>
      <c r="O411" s="273"/>
      <c r="P411" s="273"/>
      <c r="Q411" s="273"/>
      <c r="R411" s="273"/>
      <c r="S411" s="273"/>
      <c r="T411" s="273"/>
      <c r="U411" s="273"/>
      <c r="V411" s="273"/>
      <c r="W411" s="273">
        <f t="shared" si="96"/>
        <v>128856.23</v>
      </c>
      <c r="X411" s="273"/>
      <c r="Y411" s="273"/>
      <c r="Z411" s="273"/>
      <c r="AA411" s="273"/>
      <c r="AB411" s="273"/>
      <c r="AD411" s="279"/>
      <c r="AE411" s="18">
        <v>128856.23</v>
      </c>
      <c r="AF411" s="15"/>
    </row>
    <row r="412" spans="1:32" x14ac:dyDescent="0.3">
      <c r="A412" s="10">
        <f t="shared" si="95"/>
        <v>353</v>
      </c>
      <c r="B412" s="124" t="s">
        <v>532</v>
      </c>
      <c r="C412" s="273">
        <f t="shared" si="92"/>
        <v>345868.64</v>
      </c>
      <c r="D412" s="273">
        <f t="shared" si="93"/>
        <v>0</v>
      </c>
      <c r="E412" s="273"/>
      <c r="F412" s="273"/>
      <c r="G412" s="273"/>
      <c r="H412" s="273"/>
      <c r="I412" s="273"/>
      <c r="J412" s="273"/>
      <c r="K412" s="273"/>
      <c r="L412" s="273"/>
      <c r="M412" s="273"/>
      <c r="N412" s="273"/>
      <c r="O412" s="273"/>
      <c r="P412" s="273"/>
      <c r="Q412" s="273"/>
      <c r="R412" s="273"/>
      <c r="S412" s="273"/>
      <c r="T412" s="273"/>
      <c r="U412" s="273"/>
      <c r="V412" s="273"/>
      <c r="W412" s="273">
        <f t="shared" si="96"/>
        <v>345868.64</v>
      </c>
      <c r="X412" s="273"/>
      <c r="Y412" s="273"/>
      <c r="Z412" s="273"/>
      <c r="AA412" s="273"/>
      <c r="AB412" s="251"/>
      <c r="AC412" s="18"/>
      <c r="AD412" s="279"/>
      <c r="AE412" s="17">
        <v>345868.64</v>
      </c>
      <c r="AF412" s="15"/>
    </row>
    <row r="413" spans="1:32" x14ac:dyDescent="0.3">
      <c r="A413" s="10">
        <f t="shared" si="95"/>
        <v>354</v>
      </c>
      <c r="B413" s="124" t="s">
        <v>533</v>
      </c>
      <c r="C413" s="273">
        <f t="shared" si="92"/>
        <v>429673.41000000003</v>
      </c>
      <c r="D413" s="273">
        <f t="shared" si="93"/>
        <v>0</v>
      </c>
      <c r="E413" s="273"/>
      <c r="F413" s="273"/>
      <c r="G413" s="273"/>
      <c r="H413" s="273"/>
      <c r="I413" s="273"/>
      <c r="J413" s="273"/>
      <c r="K413" s="273"/>
      <c r="L413" s="273"/>
      <c r="M413" s="273"/>
      <c r="N413" s="273"/>
      <c r="O413" s="273"/>
      <c r="P413" s="273"/>
      <c r="Q413" s="273"/>
      <c r="R413" s="273"/>
      <c r="S413" s="273"/>
      <c r="T413" s="273"/>
      <c r="U413" s="273"/>
      <c r="V413" s="273"/>
      <c r="W413" s="273">
        <f t="shared" si="96"/>
        <v>429673.41000000003</v>
      </c>
      <c r="X413" s="251"/>
      <c r="Y413" s="273">
        <v>125727.61</v>
      </c>
      <c r="Z413" s="273"/>
      <c r="AA413" s="273"/>
      <c r="AB413" s="251"/>
      <c r="AC413" s="16">
        <v>107839.76</v>
      </c>
      <c r="AD413" s="279"/>
      <c r="AE413" s="17">
        <v>196106.04</v>
      </c>
      <c r="AF413" s="15"/>
    </row>
    <row r="414" spans="1:32" x14ac:dyDescent="0.3">
      <c r="A414" s="10">
        <f t="shared" si="95"/>
        <v>355</v>
      </c>
      <c r="B414" s="124" t="s">
        <v>534</v>
      </c>
      <c r="C414" s="273">
        <f t="shared" si="92"/>
        <v>303945.8</v>
      </c>
      <c r="D414" s="273">
        <f t="shared" si="93"/>
        <v>0</v>
      </c>
      <c r="E414" s="273"/>
      <c r="F414" s="273"/>
      <c r="G414" s="273"/>
      <c r="H414" s="273"/>
      <c r="I414" s="273"/>
      <c r="J414" s="273"/>
      <c r="K414" s="273"/>
      <c r="L414" s="273"/>
      <c r="M414" s="273"/>
      <c r="N414" s="273"/>
      <c r="O414" s="273"/>
      <c r="P414" s="273"/>
      <c r="Q414" s="273"/>
      <c r="R414" s="273"/>
      <c r="S414" s="273"/>
      <c r="T414" s="273"/>
      <c r="U414" s="273"/>
      <c r="V414" s="273"/>
      <c r="W414" s="273">
        <f t="shared" si="96"/>
        <v>303945.8</v>
      </c>
      <c r="X414" s="251"/>
      <c r="Y414" s="251"/>
      <c r="Z414" s="251"/>
      <c r="AA414" s="251"/>
      <c r="AB414" s="251"/>
      <c r="AC414" s="18">
        <v>107839.76</v>
      </c>
      <c r="AD414" s="279"/>
      <c r="AE414" s="17">
        <v>196106.04</v>
      </c>
      <c r="AF414" s="15"/>
    </row>
    <row r="415" spans="1:32" x14ac:dyDescent="0.3">
      <c r="A415" s="10">
        <f t="shared" si="95"/>
        <v>356</v>
      </c>
      <c r="B415" s="124" t="s">
        <v>535</v>
      </c>
      <c r="C415" s="273">
        <f t="shared" si="92"/>
        <v>251062.25</v>
      </c>
      <c r="D415" s="273">
        <f t="shared" si="93"/>
        <v>0</v>
      </c>
      <c r="E415" s="273"/>
      <c r="F415" s="273"/>
      <c r="G415" s="273"/>
      <c r="H415" s="273"/>
      <c r="I415" s="273"/>
      <c r="J415" s="273"/>
      <c r="K415" s="273"/>
      <c r="L415" s="273"/>
      <c r="M415" s="273"/>
      <c r="N415" s="273"/>
      <c r="O415" s="273"/>
      <c r="P415" s="273"/>
      <c r="Q415" s="273"/>
      <c r="R415" s="273"/>
      <c r="S415" s="273"/>
      <c r="T415" s="273"/>
      <c r="U415" s="273"/>
      <c r="V415" s="273"/>
      <c r="W415" s="273">
        <f t="shared" si="96"/>
        <v>251062.25</v>
      </c>
      <c r="X415" s="273"/>
      <c r="Y415" s="273"/>
      <c r="Z415" s="273"/>
      <c r="AA415" s="273"/>
      <c r="AB415" s="273"/>
      <c r="AC415" s="18"/>
      <c r="AD415" s="17"/>
      <c r="AE415" s="17"/>
      <c r="AF415" s="15">
        <v>251062.25</v>
      </c>
    </row>
    <row r="416" spans="1:32" x14ac:dyDescent="0.3">
      <c r="A416" s="10">
        <f t="shared" si="95"/>
        <v>357</v>
      </c>
      <c r="B416" s="124" t="s">
        <v>536</v>
      </c>
      <c r="C416" s="273">
        <f t="shared" si="92"/>
        <v>217370.05</v>
      </c>
      <c r="D416" s="273">
        <f t="shared" si="93"/>
        <v>0</v>
      </c>
      <c r="E416" s="273"/>
      <c r="F416" s="273"/>
      <c r="G416" s="273"/>
      <c r="H416" s="273"/>
      <c r="I416" s="273"/>
      <c r="J416" s="273"/>
      <c r="K416" s="273"/>
      <c r="L416" s="273"/>
      <c r="M416" s="273"/>
      <c r="N416" s="273"/>
      <c r="O416" s="273"/>
      <c r="P416" s="273"/>
      <c r="Q416" s="273"/>
      <c r="R416" s="273"/>
      <c r="S416" s="273"/>
      <c r="T416" s="273"/>
      <c r="U416" s="273"/>
      <c r="V416" s="273"/>
      <c r="W416" s="273">
        <f t="shared" si="96"/>
        <v>217370.05</v>
      </c>
      <c r="X416" s="251"/>
      <c r="Y416" s="251"/>
      <c r="Z416" s="251"/>
      <c r="AA416" s="251"/>
      <c r="AB416" s="251"/>
      <c r="AC416" s="18"/>
      <c r="AD416" s="279"/>
      <c r="AE416" s="279">
        <v>217370.05</v>
      </c>
      <c r="AF416" s="15"/>
    </row>
    <row r="417" spans="1:33" x14ac:dyDescent="0.3">
      <c r="A417" s="10">
        <f t="shared" si="95"/>
        <v>358</v>
      </c>
      <c r="B417" s="124" t="s">
        <v>537</v>
      </c>
      <c r="C417" s="273">
        <f t="shared" si="92"/>
        <v>217877.75</v>
      </c>
      <c r="D417" s="273">
        <f t="shared" si="93"/>
        <v>0</v>
      </c>
      <c r="E417" s="273"/>
      <c r="F417" s="273"/>
      <c r="G417" s="273"/>
      <c r="H417" s="273"/>
      <c r="I417" s="273"/>
      <c r="J417" s="273"/>
      <c r="K417" s="273"/>
      <c r="L417" s="273"/>
      <c r="M417" s="273"/>
      <c r="N417" s="273"/>
      <c r="O417" s="273"/>
      <c r="P417" s="273"/>
      <c r="Q417" s="273"/>
      <c r="R417" s="273"/>
      <c r="S417" s="273"/>
      <c r="T417" s="273"/>
      <c r="U417" s="273"/>
      <c r="V417" s="273"/>
      <c r="W417" s="273">
        <f t="shared" si="96"/>
        <v>217877.75</v>
      </c>
      <c r="X417" s="251"/>
      <c r="Y417" s="251"/>
      <c r="Z417" s="251"/>
      <c r="AA417" s="251"/>
      <c r="AB417" s="251"/>
      <c r="AC417" s="18"/>
      <c r="AD417" s="279"/>
      <c r="AE417" s="17">
        <v>217877.75</v>
      </c>
      <c r="AF417" s="15"/>
    </row>
    <row r="418" spans="1:33" x14ac:dyDescent="0.3">
      <c r="A418" s="10">
        <f t="shared" si="95"/>
        <v>359</v>
      </c>
      <c r="B418" s="124" t="s">
        <v>538</v>
      </c>
      <c r="C418" s="273">
        <f t="shared" si="92"/>
        <v>219560.6</v>
      </c>
      <c r="D418" s="273">
        <f t="shared" si="93"/>
        <v>0</v>
      </c>
      <c r="E418" s="273"/>
      <c r="F418" s="273"/>
      <c r="G418" s="273"/>
      <c r="H418" s="273"/>
      <c r="I418" s="273"/>
      <c r="J418" s="273"/>
      <c r="K418" s="273"/>
      <c r="L418" s="273"/>
      <c r="M418" s="273"/>
      <c r="N418" s="273"/>
      <c r="O418" s="273"/>
      <c r="P418" s="273"/>
      <c r="Q418" s="273"/>
      <c r="R418" s="273"/>
      <c r="S418" s="273"/>
      <c r="T418" s="273"/>
      <c r="U418" s="273"/>
      <c r="V418" s="273"/>
      <c r="W418" s="273">
        <f t="shared" si="96"/>
        <v>219560.6</v>
      </c>
      <c r="X418" s="251"/>
      <c r="Y418" s="251"/>
      <c r="Z418" s="251"/>
      <c r="AA418" s="251"/>
      <c r="AB418" s="251"/>
      <c r="AC418" s="18"/>
      <c r="AD418" s="279"/>
      <c r="AE418" s="17">
        <v>219560.6</v>
      </c>
      <c r="AF418" s="15"/>
    </row>
    <row r="419" spans="1:33" x14ac:dyDescent="0.3">
      <c r="A419" s="10">
        <f t="shared" si="95"/>
        <v>360</v>
      </c>
      <c r="B419" s="124" t="s">
        <v>539</v>
      </c>
      <c r="C419" s="273">
        <f t="shared" si="92"/>
        <v>185167.6</v>
      </c>
      <c r="D419" s="273">
        <f t="shared" si="93"/>
        <v>0</v>
      </c>
      <c r="E419" s="273"/>
      <c r="F419" s="273"/>
      <c r="G419" s="273"/>
      <c r="H419" s="273"/>
      <c r="I419" s="273"/>
      <c r="J419" s="273"/>
      <c r="K419" s="273"/>
      <c r="L419" s="273"/>
      <c r="M419" s="273"/>
      <c r="N419" s="273"/>
      <c r="O419" s="273"/>
      <c r="P419" s="273"/>
      <c r="Q419" s="273"/>
      <c r="R419" s="273"/>
      <c r="S419" s="273"/>
      <c r="T419" s="273"/>
      <c r="U419" s="273"/>
      <c r="V419" s="273"/>
      <c r="W419" s="273">
        <f t="shared" si="96"/>
        <v>185167.6</v>
      </c>
      <c r="X419" s="251"/>
      <c r="Y419" s="251"/>
      <c r="Z419" s="251"/>
      <c r="AA419" s="251"/>
      <c r="AB419" s="251"/>
      <c r="AC419" s="18"/>
      <c r="AD419" s="279"/>
      <c r="AE419" s="279">
        <v>185167.6</v>
      </c>
      <c r="AF419" s="15"/>
    </row>
    <row r="420" spans="1:33" x14ac:dyDescent="0.3">
      <c r="A420" s="10">
        <f t="shared" si="95"/>
        <v>361</v>
      </c>
      <c r="B420" s="124" t="s">
        <v>540</v>
      </c>
      <c r="C420" s="273">
        <f t="shared" si="92"/>
        <v>198595.82</v>
      </c>
      <c r="D420" s="273">
        <f t="shared" si="93"/>
        <v>0</v>
      </c>
      <c r="E420" s="273"/>
      <c r="F420" s="273"/>
      <c r="G420" s="273"/>
      <c r="H420" s="273"/>
      <c r="I420" s="273"/>
      <c r="J420" s="273"/>
      <c r="K420" s="273"/>
      <c r="L420" s="273"/>
      <c r="M420" s="273"/>
      <c r="N420" s="273"/>
      <c r="O420" s="273"/>
      <c r="P420" s="273"/>
      <c r="Q420" s="273"/>
      <c r="R420" s="273"/>
      <c r="S420" s="273"/>
      <c r="T420" s="273"/>
      <c r="U420" s="273"/>
      <c r="V420" s="273"/>
      <c r="W420" s="273">
        <f t="shared" si="96"/>
        <v>198595.82</v>
      </c>
      <c r="X420" s="251"/>
      <c r="Y420" s="251"/>
      <c r="Z420" s="251"/>
      <c r="AA420" s="251"/>
      <c r="AB420" s="251"/>
      <c r="AC420" s="18"/>
      <c r="AD420" s="279"/>
      <c r="AE420" s="279">
        <v>198595.82</v>
      </c>
      <c r="AF420" s="15"/>
    </row>
    <row r="421" spans="1:33" x14ac:dyDescent="0.3">
      <c r="A421" s="10">
        <f t="shared" si="95"/>
        <v>362</v>
      </c>
      <c r="B421" s="124" t="s">
        <v>541</v>
      </c>
      <c r="C421" s="273">
        <f t="shared" si="92"/>
        <v>198595.82</v>
      </c>
      <c r="D421" s="273">
        <f t="shared" si="93"/>
        <v>0</v>
      </c>
      <c r="E421" s="273"/>
      <c r="F421" s="273"/>
      <c r="G421" s="273"/>
      <c r="H421" s="273"/>
      <c r="I421" s="273"/>
      <c r="J421" s="273"/>
      <c r="K421" s="273"/>
      <c r="L421" s="273"/>
      <c r="M421" s="273"/>
      <c r="N421" s="273"/>
      <c r="O421" s="273"/>
      <c r="P421" s="273"/>
      <c r="Q421" s="273"/>
      <c r="R421" s="273"/>
      <c r="S421" s="273"/>
      <c r="T421" s="273"/>
      <c r="U421" s="273"/>
      <c r="V421" s="273"/>
      <c r="W421" s="273">
        <f t="shared" si="96"/>
        <v>198595.82</v>
      </c>
      <c r="X421" s="251"/>
      <c r="Y421" s="251"/>
      <c r="Z421" s="251"/>
      <c r="AA421" s="251"/>
      <c r="AB421" s="251"/>
      <c r="AC421" s="18"/>
      <c r="AD421" s="279"/>
      <c r="AE421" s="279">
        <v>198595.82</v>
      </c>
      <c r="AF421" s="15"/>
    </row>
    <row r="422" spans="1:33" x14ac:dyDescent="0.3">
      <c r="A422" s="10">
        <f t="shared" si="95"/>
        <v>363</v>
      </c>
      <c r="B422" s="124" t="s">
        <v>542</v>
      </c>
      <c r="C422" s="273">
        <f t="shared" si="92"/>
        <v>310692.46999999997</v>
      </c>
      <c r="D422" s="273">
        <f t="shared" si="93"/>
        <v>0</v>
      </c>
      <c r="E422" s="273"/>
      <c r="F422" s="273"/>
      <c r="G422" s="273"/>
      <c r="H422" s="273"/>
      <c r="I422" s="273"/>
      <c r="J422" s="273"/>
      <c r="K422" s="273"/>
      <c r="L422" s="273"/>
      <c r="M422" s="273"/>
      <c r="N422" s="273"/>
      <c r="O422" s="273"/>
      <c r="P422" s="273"/>
      <c r="Q422" s="273"/>
      <c r="R422" s="273"/>
      <c r="S422" s="273"/>
      <c r="T422" s="273"/>
      <c r="U422" s="273"/>
      <c r="V422" s="273"/>
      <c r="W422" s="273">
        <f t="shared" si="96"/>
        <v>310692.46999999997</v>
      </c>
      <c r="X422" s="251"/>
      <c r="Y422" s="251"/>
      <c r="Z422" s="251"/>
      <c r="AA422" s="251"/>
      <c r="AB422" s="251"/>
      <c r="AC422" s="18"/>
      <c r="AD422" s="279"/>
      <c r="AE422" s="17">
        <v>310692.46999999997</v>
      </c>
      <c r="AF422" s="15"/>
    </row>
    <row r="423" spans="1:33" x14ac:dyDescent="0.3">
      <c r="A423" s="10"/>
      <c r="B423" s="124" t="s">
        <v>208</v>
      </c>
      <c r="C423" s="273">
        <f t="shared" ref="C423:W423" si="97">SUM(C396:C422)</f>
        <v>6088954.169999999</v>
      </c>
      <c r="D423" s="273">
        <f t="shared" si="97"/>
        <v>0</v>
      </c>
      <c r="E423" s="273">
        <f t="shared" si="97"/>
        <v>0</v>
      </c>
      <c r="F423" s="273">
        <f t="shared" si="97"/>
        <v>0</v>
      </c>
      <c r="G423" s="273">
        <f t="shared" si="97"/>
        <v>0</v>
      </c>
      <c r="H423" s="273">
        <f t="shared" si="97"/>
        <v>0</v>
      </c>
      <c r="I423" s="273">
        <f t="shared" si="97"/>
        <v>0</v>
      </c>
      <c r="J423" s="273">
        <f t="shared" si="97"/>
        <v>0</v>
      </c>
      <c r="K423" s="273">
        <f t="shared" si="97"/>
        <v>0</v>
      </c>
      <c r="L423" s="273">
        <f t="shared" si="97"/>
        <v>0</v>
      </c>
      <c r="M423" s="273">
        <f t="shared" si="97"/>
        <v>0</v>
      </c>
      <c r="N423" s="273">
        <f t="shared" si="97"/>
        <v>0</v>
      </c>
      <c r="O423" s="273">
        <f t="shared" si="97"/>
        <v>0</v>
      </c>
      <c r="P423" s="273">
        <f t="shared" si="97"/>
        <v>0</v>
      </c>
      <c r="Q423" s="273">
        <f t="shared" si="97"/>
        <v>0</v>
      </c>
      <c r="R423" s="273">
        <f t="shared" si="97"/>
        <v>0</v>
      </c>
      <c r="S423" s="273">
        <f t="shared" si="97"/>
        <v>0</v>
      </c>
      <c r="T423" s="273">
        <f t="shared" si="97"/>
        <v>0</v>
      </c>
      <c r="U423" s="273">
        <f t="shared" si="97"/>
        <v>0</v>
      </c>
      <c r="V423" s="273">
        <f t="shared" si="97"/>
        <v>0</v>
      </c>
      <c r="W423" s="273">
        <f t="shared" si="97"/>
        <v>6088954.169999999</v>
      </c>
      <c r="X423" s="251"/>
      <c r="Y423" s="251"/>
      <c r="Z423" s="251"/>
      <c r="AA423" s="251"/>
      <c r="AB423" s="251"/>
      <c r="AC423" s="18"/>
      <c r="AD423" s="279"/>
      <c r="AE423" s="17"/>
      <c r="AF423" s="15"/>
    </row>
    <row r="424" spans="1:33" ht="33" customHeight="1" x14ac:dyDescent="0.3">
      <c r="A424" s="374" t="s">
        <v>553</v>
      </c>
      <c r="B424" s="375"/>
      <c r="C424" s="273"/>
      <c r="D424" s="273"/>
      <c r="E424" s="273"/>
      <c r="F424" s="273"/>
      <c r="G424" s="273"/>
      <c r="H424" s="273"/>
      <c r="I424" s="273"/>
      <c r="J424" s="273"/>
      <c r="K424" s="273"/>
      <c r="L424" s="273"/>
      <c r="M424" s="273"/>
      <c r="N424" s="273"/>
      <c r="O424" s="273"/>
      <c r="P424" s="273"/>
      <c r="Q424" s="273"/>
      <c r="R424" s="273"/>
      <c r="S424" s="273"/>
      <c r="T424" s="273"/>
      <c r="U424" s="273"/>
      <c r="V424" s="273"/>
      <c r="W424" s="273"/>
      <c r="X424" s="279"/>
      <c r="Y424" s="279"/>
      <c r="Z424" s="279"/>
      <c r="AA424" s="279"/>
      <c r="AB424" s="279"/>
      <c r="AC424" s="279"/>
      <c r="AD424" s="279"/>
      <c r="AE424" s="279"/>
      <c r="AF424" s="15"/>
    </row>
    <row r="425" spans="1:33" x14ac:dyDescent="0.3">
      <c r="A425" s="10">
        <f>A422+1</f>
        <v>364</v>
      </c>
      <c r="B425" s="124" t="s">
        <v>554</v>
      </c>
      <c r="C425" s="273">
        <f t="shared" ref="C425:C441" si="98">D425+K425+L425+N425+R425+S425+U425+V425+W425</f>
        <v>152888.82999999999</v>
      </c>
      <c r="D425" s="273">
        <f t="shared" ref="D425:D441" si="99">E425+F425+G425+H425+I425</f>
        <v>0</v>
      </c>
      <c r="E425" s="273"/>
      <c r="F425" s="273"/>
      <c r="G425" s="273"/>
      <c r="H425" s="273"/>
      <c r="I425" s="273"/>
      <c r="J425" s="273"/>
      <c r="K425" s="273"/>
      <c r="L425" s="273"/>
      <c r="M425" s="273"/>
      <c r="N425" s="273"/>
      <c r="O425" s="273"/>
      <c r="P425" s="273"/>
      <c r="Q425" s="273"/>
      <c r="R425" s="273"/>
      <c r="S425" s="273"/>
      <c r="T425" s="273"/>
      <c r="U425" s="273"/>
      <c r="V425" s="273"/>
      <c r="W425" s="273">
        <f t="shared" ref="W425:W441" si="100">SUM(X425:AH425)</f>
        <v>152888.82999999999</v>
      </c>
      <c r="X425" s="279"/>
      <c r="Y425" s="279">
        <v>152888.82999999999</v>
      </c>
      <c r="Z425" s="279"/>
      <c r="AA425" s="279"/>
      <c r="AB425" s="279"/>
      <c r="AC425" s="279"/>
      <c r="AD425" s="279"/>
      <c r="AE425" s="279"/>
      <c r="AF425" s="15"/>
    </row>
    <row r="426" spans="1:33" x14ac:dyDescent="0.3">
      <c r="A426" s="10">
        <f t="shared" ref="A426:A441" si="101">A425+1</f>
        <v>365</v>
      </c>
      <c r="B426" s="124" t="s">
        <v>555</v>
      </c>
      <c r="C426" s="273">
        <f t="shared" si="98"/>
        <v>152470.54</v>
      </c>
      <c r="D426" s="273">
        <f t="shared" si="99"/>
        <v>0</v>
      </c>
      <c r="E426" s="273"/>
      <c r="F426" s="273"/>
      <c r="G426" s="273"/>
      <c r="H426" s="273"/>
      <c r="I426" s="273"/>
      <c r="J426" s="273"/>
      <c r="K426" s="273"/>
      <c r="L426" s="273"/>
      <c r="M426" s="273"/>
      <c r="N426" s="273"/>
      <c r="O426" s="273"/>
      <c r="P426" s="273"/>
      <c r="Q426" s="273"/>
      <c r="R426" s="273"/>
      <c r="S426" s="273"/>
      <c r="T426" s="273"/>
      <c r="U426" s="273"/>
      <c r="V426" s="273"/>
      <c r="W426" s="273">
        <f t="shared" si="100"/>
        <v>152470.54</v>
      </c>
      <c r="X426" s="279"/>
      <c r="Y426" s="279">
        <v>152470.54</v>
      </c>
      <c r="Z426" s="279"/>
      <c r="AA426" s="279"/>
      <c r="AB426" s="279"/>
      <c r="AC426" s="279"/>
      <c r="AD426" s="279"/>
      <c r="AE426" s="279"/>
      <c r="AF426" s="15"/>
    </row>
    <row r="427" spans="1:33" x14ac:dyDescent="0.3">
      <c r="A427" s="10">
        <f t="shared" si="101"/>
        <v>366</v>
      </c>
      <c r="B427" s="124" t="s">
        <v>556</v>
      </c>
      <c r="C427" s="273">
        <f t="shared" si="98"/>
        <v>196297.15</v>
      </c>
      <c r="D427" s="273">
        <f t="shared" si="99"/>
        <v>0</v>
      </c>
      <c r="E427" s="273"/>
      <c r="F427" s="273"/>
      <c r="G427" s="273"/>
      <c r="H427" s="273"/>
      <c r="I427" s="273"/>
      <c r="J427" s="273"/>
      <c r="K427" s="273"/>
      <c r="L427" s="273"/>
      <c r="M427" s="273"/>
      <c r="N427" s="273"/>
      <c r="O427" s="273"/>
      <c r="P427" s="273"/>
      <c r="Q427" s="273"/>
      <c r="R427" s="273"/>
      <c r="S427" s="273"/>
      <c r="T427" s="273"/>
      <c r="U427" s="273"/>
      <c r="V427" s="273"/>
      <c r="W427" s="273">
        <f t="shared" si="100"/>
        <v>196297.15</v>
      </c>
      <c r="X427" s="279"/>
      <c r="Y427" s="279">
        <v>196297.15</v>
      </c>
      <c r="Z427" s="279"/>
      <c r="AA427" s="279"/>
      <c r="AB427" s="279"/>
      <c r="AC427" s="279"/>
      <c r="AD427" s="279"/>
      <c r="AE427" s="279"/>
      <c r="AF427" s="15"/>
    </row>
    <row r="428" spans="1:33" x14ac:dyDescent="0.3">
      <c r="A428" s="10">
        <f t="shared" si="101"/>
        <v>367</v>
      </c>
      <c r="B428" s="124" t="s">
        <v>557</v>
      </c>
      <c r="C428" s="273">
        <f t="shared" si="98"/>
        <v>1394257.67</v>
      </c>
      <c r="D428" s="273">
        <f t="shared" si="99"/>
        <v>0</v>
      </c>
      <c r="E428" s="273"/>
      <c r="F428" s="273"/>
      <c r="G428" s="273"/>
      <c r="H428" s="273"/>
      <c r="I428" s="273"/>
      <c r="J428" s="273"/>
      <c r="K428" s="273"/>
      <c r="L428" s="273"/>
      <c r="M428" s="273"/>
      <c r="N428" s="273"/>
      <c r="O428" s="273"/>
      <c r="P428" s="273"/>
      <c r="Q428" s="273"/>
      <c r="R428" s="273"/>
      <c r="S428" s="273"/>
      <c r="T428" s="273"/>
      <c r="U428" s="273"/>
      <c r="V428" s="273"/>
      <c r="W428" s="273">
        <f t="shared" si="100"/>
        <v>1394257.67</v>
      </c>
      <c r="X428" s="279"/>
      <c r="Y428" s="279"/>
      <c r="Z428" s="279"/>
      <c r="AA428" s="279"/>
      <c r="AB428" s="279"/>
      <c r="AC428" s="279"/>
      <c r="AD428" s="279"/>
      <c r="AE428" s="279"/>
      <c r="AF428" s="15"/>
      <c r="AG428" s="36">
        <v>1394257.67</v>
      </c>
    </row>
    <row r="429" spans="1:33" x14ac:dyDescent="0.3">
      <c r="A429" s="10">
        <f t="shared" si="101"/>
        <v>368</v>
      </c>
      <c r="B429" s="124" t="s">
        <v>558</v>
      </c>
      <c r="C429" s="273">
        <f t="shared" si="98"/>
        <v>119148.73</v>
      </c>
      <c r="D429" s="273">
        <f t="shared" si="99"/>
        <v>0</v>
      </c>
      <c r="E429" s="273"/>
      <c r="F429" s="273"/>
      <c r="G429" s="273"/>
      <c r="H429" s="273"/>
      <c r="I429" s="273"/>
      <c r="J429" s="273"/>
      <c r="K429" s="273"/>
      <c r="L429" s="273"/>
      <c r="M429" s="273"/>
      <c r="N429" s="273"/>
      <c r="O429" s="273"/>
      <c r="P429" s="273"/>
      <c r="Q429" s="273"/>
      <c r="R429" s="273"/>
      <c r="S429" s="273"/>
      <c r="T429" s="273"/>
      <c r="U429" s="273"/>
      <c r="V429" s="273"/>
      <c r="W429" s="273">
        <f t="shared" si="100"/>
        <v>119148.73</v>
      </c>
      <c r="X429" s="279"/>
      <c r="Y429" s="279"/>
      <c r="Z429" s="279"/>
      <c r="AA429" s="279"/>
      <c r="AB429" s="279"/>
      <c r="AC429" s="279">
        <v>119148.73</v>
      </c>
      <c r="AD429" s="279"/>
      <c r="AE429" s="279"/>
      <c r="AF429" s="15"/>
    </row>
    <row r="430" spans="1:33" x14ac:dyDescent="0.3">
      <c r="A430" s="10">
        <f t="shared" si="101"/>
        <v>369</v>
      </c>
      <c r="B430" s="124" t="s">
        <v>559</v>
      </c>
      <c r="C430" s="273">
        <f t="shared" si="98"/>
        <v>803195.9</v>
      </c>
      <c r="D430" s="273">
        <f t="shared" si="99"/>
        <v>0</v>
      </c>
      <c r="E430" s="273"/>
      <c r="F430" s="273"/>
      <c r="G430" s="273"/>
      <c r="H430" s="273"/>
      <c r="I430" s="273"/>
      <c r="J430" s="273"/>
      <c r="K430" s="273"/>
      <c r="L430" s="273"/>
      <c r="M430" s="273"/>
      <c r="N430" s="273"/>
      <c r="O430" s="273"/>
      <c r="P430" s="273"/>
      <c r="Q430" s="273"/>
      <c r="R430" s="273"/>
      <c r="S430" s="273"/>
      <c r="T430" s="273"/>
      <c r="U430" s="273"/>
      <c r="V430" s="273"/>
      <c r="W430" s="273">
        <f t="shared" si="100"/>
        <v>803195.9</v>
      </c>
      <c r="X430" s="279"/>
      <c r="Y430" s="279"/>
      <c r="Z430" s="279"/>
      <c r="AA430" s="279"/>
      <c r="AB430" s="279"/>
      <c r="AC430" s="279"/>
      <c r="AD430" s="279"/>
      <c r="AE430" s="279"/>
      <c r="AF430" s="15"/>
      <c r="AG430" s="36">
        <v>803195.9</v>
      </c>
    </row>
    <row r="431" spans="1:33" x14ac:dyDescent="0.3">
      <c r="A431" s="10">
        <f t="shared" si="101"/>
        <v>370</v>
      </c>
      <c r="B431" s="124" t="s">
        <v>560</v>
      </c>
      <c r="C431" s="273">
        <f t="shared" si="98"/>
        <v>118650.11</v>
      </c>
      <c r="D431" s="273">
        <f t="shared" si="99"/>
        <v>0</v>
      </c>
      <c r="E431" s="273"/>
      <c r="F431" s="273"/>
      <c r="G431" s="273"/>
      <c r="H431" s="273"/>
      <c r="I431" s="273"/>
      <c r="J431" s="273"/>
      <c r="K431" s="273"/>
      <c r="L431" s="273"/>
      <c r="M431" s="273"/>
      <c r="N431" s="273"/>
      <c r="O431" s="273"/>
      <c r="P431" s="273"/>
      <c r="Q431" s="273"/>
      <c r="R431" s="273"/>
      <c r="S431" s="273"/>
      <c r="T431" s="273"/>
      <c r="U431" s="273"/>
      <c r="V431" s="273"/>
      <c r="W431" s="273">
        <f t="shared" si="100"/>
        <v>118650.11</v>
      </c>
      <c r="X431" s="279"/>
      <c r="Y431" s="279"/>
      <c r="Z431" s="279"/>
      <c r="AA431" s="279"/>
      <c r="AB431" s="279"/>
      <c r="AC431" s="279">
        <v>118650.11</v>
      </c>
      <c r="AD431" s="279"/>
      <c r="AE431" s="279"/>
      <c r="AF431" s="15"/>
    </row>
    <row r="432" spans="1:33" x14ac:dyDescent="0.3">
      <c r="A432" s="10">
        <f t="shared" si="101"/>
        <v>371</v>
      </c>
      <c r="B432" s="124" t="s">
        <v>561</v>
      </c>
      <c r="C432" s="273">
        <f t="shared" si="98"/>
        <v>116445.05</v>
      </c>
      <c r="D432" s="273">
        <f t="shared" si="99"/>
        <v>0</v>
      </c>
      <c r="E432" s="273"/>
      <c r="F432" s="273"/>
      <c r="G432" s="273"/>
      <c r="H432" s="273"/>
      <c r="I432" s="273"/>
      <c r="J432" s="273"/>
      <c r="K432" s="273"/>
      <c r="L432" s="273"/>
      <c r="M432" s="273"/>
      <c r="N432" s="273"/>
      <c r="O432" s="273"/>
      <c r="P432" s="273"/>
      <c r="Q432" s="273"/>
      <c r="R432" s="273"/>
      <c r="S432" s="273"/>
      <c r="T432" s="273"/>
      <c r="U432" s="273"/>
      <c r="V432" s="273"/>
      <c r="W432" s="273">
        <f t="shared" si="100"/>
        <v>116445.05</v>
      </c>
      <c r="X432" s="279"/>
      <c r="Y432" s="279"/>
      <c r="Z432" s="279"/>
      <c r="AA432" s="279"/>
      <c r="AB432" s="279"/>
      <c r="AC432" s="279">
        <v>116445.05</v>
      </c>
      <c r="AD432" s="279"/>
      <c r="AE432" s="279"/>
      <c r="AF432" s="15"/>
    </row>
    <row r="433" spans="1:33" x14ac:dyDescent="0.3">
      <c r="A433" s="10">
        <f t="shared" si="101"/>
        <v>372</v>
      </c>
      <c r="B433" s="124" t="s">
        <v>562</v>
      </c>
      <c r="C433" s="273">
        <f t="shared" si="98"/>
        <v>110992.5</v>
      </c>
      <c r="D433" s="273">
        <f t="shared" si="99"/>
        <v>0</v>
      </c>
      <c r="E433" s="273"/>
      <c r="F433" s="273"/>
      <c r="G433" s="273"/>
      <c r="H433" s="273"/>
      <c r="I433" s="273"/>
      <c r="J433" s="273"/>
      <c r="K433" s="273"/>
      <c r="L433" s="273"/>
      <c r="M433" s="273"/>
      <c r="N433" s="273"/>
      <c r="O433" s="273"/>
      <c r="P433" s="273"/>
      <c r="Q433" s="273"/>
      <c r="R433" s="273"/>
      <c r="S433" s="273"/>
      <c r="T433" s="273"/>
      <c r="U433" s="273"/>
      <c r="V433" s="273"/>
      <c r="W433" s="273">
        <f t="shared" si="100"/>
        <v>110992.5</v>
      </c>
      <c r="X433" s="279"/>
      <c r="Y433" s="279"/>
      <c r="Z433" s="279"/>
      <c r="AA433" s="279"/>
      <c r="AB433" s="279"/>
      <c r="AC433" s="279">
        <v>110992.5</v>
      </c>
      <c r="AD433" s="279"/>
      <c r="AE433" s="279"/>
      <c r="AF433" s="15"/>
    </row>
    <row r="434" spans="1:33" x14ac:dyDescent="0.3">
      <c r="A434" s="10">
        <f t="shared" si="101"/>
        <v>373</v>
      </c>
      <c r="B434" s="124" t="s">
        <v>563</v>
      </c>
      <c r="C434" s="273">
        <f t="shared" si="98"/>
        <v>115004.78</v>
      </c>
      <c r="D434" s="273">
        <f t="shared" si="99"/>
        <v>0</v>
      </c>
      <c r="E434" s="273"/>
      <c r="F434" s="273"/>
      <c r="G434" s="273"/>
      <c r="H434" s="273"/>
      <c r="I434" s="273"/>
      <c r="J434" s="273"/>
      <c r="K434" s="273"/>
      <c r="L434" s="273"/>
      <c r="M434" s="273"/>
      <c r="N434" s="273"/>
      <c r="O434" s="273"/>
      <c r="P434" s="273"/>
      <c r="Q434" s="273"/>
      <c r="R434" s="273"/>
      <c r="S434" s="273"/>
      <c r="T434" s="273"/>
      <c r="U434" s="273"/>
      <c r="V434" s="273"/>
      <c r="W434" s="273">
        <f t="shared" si="100"/>
        <v>115004.78</v>
      </c>
      <c r="X434" s="279"/>
      <c r="Y434" s="279"/>
      <c r="Z434" s="279"/>
      <c r="AA434" s="279"/>
      <c r="AB434" s="279"/>
      <c r="AC434" s="279">
        <v>115004.78</v>
      </c>
      <c r="AD434" s="279"/>
      <c r="AE434" s="279"/>
      <c r="AF434" s="15"/>
    </row>
    <row r="435" spans="1:33" x14ac:dyDescent="0.3">
      <c r="A435" s="10">
        <f t="shared" si="101"/>
        <v>374</v>
      </c>
      <c r="B435" s="124" t="s">
        <v>564</v>
      </c>
      <c r="C435" s="273">
        <f t="shared" si="98"/>
        <v>111953.23</v>
      </c>
      <c r="D435" s="273">
        <f t="shared" si="99"/>
        <v>0</v>
      </c>
      <c r="E435" s="273"/>
      <c r="F435" s="273"/>
      <c r="G435" s="273"/>
      <c r="H435" s="273"/>
      <c r="I435" s="273"/>
      <c r="J435" s="273"/>
      <c r="K435" s="273"/>
      <c r="L435" s="273"/>
      <c r="M435" s="273"/>
      <c r="N435" s="273"/>
      <c r="O435" s="273"/>
      <c r="P435" s="273"/>
      <c r="Q435" s="273"/>
      <c r="R435" s="273"/>
      <c r="S435" s="273"/>
      <c r="T435" s="273"/>
      <c r="U435" s="273"/>
      <c r="V435" s="273"/>
      <c r="W435" s="273">
        <f t="shared" si="100"/>
        <v>111953.23</v>
      </c>
      <c r="X435" s="279"/>
      <c r="Y435" s="279"/>
      <c r="Z435" s="279"/>
      <c r="AA435" s="279"/>
      <c r="AB435" s="279"/>
      <c r="AC435" s="279">
        <v>111953.23</v>
      </c>
      <c r="AD435" s="279"/>
      <c r="AE435" s="279"/>
      <c r="AF435" s="15"/>
    </row>
    <row r="436" spans="1:33" x14ac:dyDescent="0.3">
      <c r="A436" s="10">
        <f t="shared" si="101"/>
        <v>375</v>
      </c>
      <c r="B436" s="124" t="s">
        <v>565</v>
      </c>
      <c r="C436" s="273">
        <f t="shared" si="98"/>
        <v>453446.11</v>
      </c>
      <c r="D436" s="273">
        <f t="shared" si="99"/>
        <v>0</v>
      </c>
      <c r="E436" s="273"/>
      <c r="F436" s="273"/>
      <c r="G436" s="273"/>
      <c r="H436" s="273"/>
      <c r="I436" s="273"/>
      <c r="J436" s="273"/>
      <c r="K436" s="273"/>
      <c r="L436" s="273"/>
      <c r="M436" s="273"/>
      <c r="N436" s="273"/>
      <c r="O436" s="273"/>
      <c r="P436" s="273"/>
      <c r="Q436" s="273"/>
      <c r="R436" s="273"/>
      <c r="S436" s="273"/>
      <c r="T436" s="273"/>
      <c r="U436" s="273"/>
      <c r="V436" s="273"/>
      <c r="W436" s="273">
        <f t="shared" si="100"/>
        <v>453446.11</v>
      </c>
      <c r="X436" s="279"/>
      <c r="Y436" s="279"/>
      <c r="Z436" s="279"/>
      <c r="AA436" s="279"/>
      <c r="AB436" s="279"/>
      <c r="AC436" s="279"/>
      <c r="AD436" s="279"/>
      <c r="AE436" s="279"/>
      <c r="AF436" s="15"/>
      <c r="AG436" s="36">
        <v>453446.11</v>
      </c>
    </row>
    <row r="437" spans="1:33" x14ac:dyDescent="0.3">
      <c r="A437" s="10">
        <f t="shared" si="101"/>
        <v>376</v>
      </c>
      <c r="B437" s="124" t="s">
        <v>566</v>
      </c>
      <c r="C437" s="273">
        <f t="shared" si="98"/>
        <v>564504.1</v>
      </c>
      <c r="D437" s="273">
        <f t="shared" si="99"/>
        <v>0</v>
      </c>
      <c r="E437" s="273"/>
      <c r="F437" s="273"/>
      <c r="G437" s="273"/>
      <c r="H437" s="273"/>
      <c r="I437" s="273"/>
      <c r="J437" s="273"/>
      <c r="K437" s="273"/>
      <c r="L437" s="273"/>
      <c r="M437" s="273"/>
      <c r="N437" s="273"/>
      <c r="O437" s="273"/>
      <c r="P437" s="273"/>
      <c r="Q437" s="273"/>
      <c r="R437" s="273"/>
      <c r="S437" s="273"/>
      <c r="T437" s="273"/>
      <c r="U437" s="273"/>
      <c r="V437" s="273"/>
      <c r="W437" s="273">
        <f t="shared" si="100"/>
        <v>564504.1</v>
      </c>
      <c r="X437" s="279"/>
      <c r="Y437" s="279"/>
      <c r="Z437" s="279"/>
      <c r="AA437" s="279"/>
      <c r="AB437" s="279"/>
      <c r="AC437" s="279"/>
      <c r="AD437" s="251"/>
      <c r="AE437" s="279"/>
      <c r="AF437" s="15"/>
      <c r="AG437" s="36">
        <v>564504.1</v>
      </c>
    </row>
    <row r="438" spans="1:33" x14ac:dyDescent="0.3">
      <c r="A438" s="10">
        <f t="shared" si="101"/>
        <v>377</v>
      </c>
      <c r="B438" s="124" t="s">
        <v>567</v>
      </c>
      <c r="C438" s="273">
        <f t="shared" si="98"/>
        <v>423629.6</v>
      </c>
      <c r="D438" s="273">
        <f t="shared" si="99"/>
        <v>0</v>
      </c>
      <c r="E438" s="273"/>
      <c r="F438" s="273"/>
      <c r="G438" s="273"/>
      <c r="H438" s="273"/>
      <c r="I438" s="273"/>
      <c r="J438" s="273"/>
      <c r="K438" s="273"/>
      <c r="L438" s="273"/>
      <c r="M438" s="273"/>
      <c r="N438" s="273"/>
      <c r="O438" s="273"/>
      <c r="P438" s="273"/>
      <c r="Q438" s="273"/>
      <c r="R438" s="273"/>
      <c r="S438" s="273"/>
      <c r="T438" s="273"/>
      <c r="U438" s="273"/>
      <c r="V438" s="273"/>
      <c r="W438" s="273">
        <f t="shared" si="100"/>
        <v>423629.6</v>
      </c>
      <c r="X438" s="279"/>
      <c r="Y438" s="279"/>
      <c r="Z438" s="279"/>
      <c r="AA438" s="279"/>
      <c r="AB438" s="279"/>
      <c r="AC438" s="279"/>
      <c r="AD438" s="279"/>
      <c r="AE438" s="279"/>
      <c r="AF438" s="15"/>
      <c r="AG438" s="36">
        <v>423629.6</v>
      </c>
    </row>
    <row r="439" spans="1:33" x14ac:dyDescent="0.3">
      <c r="A439" s="10">
        <f t="shared" si="101"/>
        <v>378</v>
      </c>
      <c r="B439" s="124" t="s">
        <v>568</v>
      </c>
      <c r="C439" s="273">
        <f t="shared" si="98"/>
        <v>135118.79999999999</v>
      </c>
      <c r="D439" s="273">
        <f t="shared" si="99"/>
        <v>0</v>
      </c>
      <c r="E439" s="273"/>
      <c r="F439" s="273"/>
      <c r="G439" s="273"/>
      <c r="H439" s="273"/>
      <c r="I439" s="273"/>
      <c r="J439" s="273"/>
      <c r="K439" s="273"/>
      <c r="L439" s="273"/>
      <c r="M439" s="273"/>
      <c r="N439" s="273"/>
      <c r="O439" s="273"/>
      <c r="P439" s="273"/>
      <c r="Q439" s="273"/>
      <c r="R439" s="273"/>
      <c r="S439" s="273"/>
      <c r="T439" s="273"/>
      <c r="U439" s="273"/>
      <c r="V439" s="273"/>
      <c r="W439" s="273">
        <f t="shared" si="100"/>
        <v>135118.79999999999</v>
      </c>
      <c r="X439" s="279"/>
      <c r="Y439" s="279">
        <v>135118.79999999999</v>
      </c>
      <c r="Z439" s="279"/>
      <c r="AA439" s="279"/>
      <c r="AB439" s="279"/>
      <c r="AC439" s="279"/>
      <c r="AD439" s="279"/>
      <c r="AE439" s="279"/>
      <c r="AF439" s="15"/>
    </row>
    <row r="440" spans="1:33" x14ac:dyDescent="0.3">
      <c r="A440" s="10">
        <f t="shared" si="101"/>
        <v>379</v>
      </c>
      <c r="B440" s="124" t="s">
        <v>569</v>
      </c>
      <c r="C440" s="273">
        <f t="shared" si="98"/>
        <v>90520.43</v>
      </c>
      <c r="D440" s="273">
        <f t="shared" si="99"/>
        <v>0</v>
      </c>
      <c r="E440" s="273"/>
      <c r="F440" s="273"/>
      <c r="G440" s="273"/>
      <c r="H440" s="273"/>
      <c r="I440" s="273"/>
      <c r="J440" s="273"/>
      <c r="K440" s="273"/>
      <c r="L440" s="273"/>
      <c r="M440" s="273"/>
      <c r="N440" s="273"/>
      <c r="O440" s="273"/>
      <c r="P440" s="273"/>
      <c r="Q440" s="273"/>
      <c r="R440" s="273"/>
      <c r="S440" s="273"/>
      <c r="T440" s="273"/>
      <c r="U440" s="273"/>
      <c r="V440" s="273"/>
      <c r="W440" s="273">
        <f t="shared" si="100"/>
        <v>90520.43</v>
      </c>
      <c r="X440" s="279"/>
      <c r="Y440" s="279"/>
      <c r="Z440" s="279"/>
      <c r="AA440" s="279"/>
      <c r="AB440" s="279"/>
      <c r="AC440" s="279">
        <v>90520.43</v>
      </c>
      <c r="AD440" s="279"/>
      <c r="AE440" s="279"/>
      <c r="AF440" s="15"/>
    </row>
    <row r="441" spans="1:33" x14ac:dyDescent="0.3">
      <c r="A441" s="10">
        <f t="shared" si="101"/>
        <v>380</v>
      </c>
      <c r="B441" s="124" t="s">
        <v>570</v>
      </c>
      <c r="C441" s="273">
        <f t="shared" si="98"/>
        <v>137385.78</v>
      </c>
      <c r="D441" s="273">
        <f t="shared" si="99"/>
        <v>0</v>
      </c>
      <c r="E441" s="273"/>
      <c r="F441" s="273"/>
      <c r="G441" s="273"/>
      <c r="H441" s="273"/>
      <c r="I441" s="273"/>
      <c r="J441" s="273"/>
      <c r="K441" s="273"/>
      <c r="L441" s="273"/>
      <c r="M441" s="273"/>
      <c r="N441" s="273"/>
      <c r="O441" s="273"/>
      <c r="P441" s="273"/>
      <c r="Q441" s="273"/>
      <c r="R441" s="273"/>
      <c r="S441" s="273"/>
      <c r="T441" s="273"/>
      <c r="U441" s="273"/>
      <c r="V441" s="273"/>
      <c r="W441" s="273">
        <f t="shared" si="100"/>
        <v>137385.78</v>
      </c>
      <c r="X441" s="279"/>
      <c r="Y441" s="279">
        <v>137385.78</v>
      </c>
      <c r="Z441" s="279"/>
      <c r="AA441" s="279"/>
      <c r="AB441" s="279"/>
      <c r="AC441" s="279"/>
      <c r="AD441" s="279"/>
      <c r="AE441" s="279"/>
      <c r="AF441" s="15"/>
    </row>
    <row r="442" spans="1:33" x14ac:dyDescent="0.3">
      <c r="A442" s="10"/>
      <c r="B442" s="124" t="s">
        <v>208</v>
      </c>
      <c r="C442" s="273">
        <f t="shared" ref="C442:W442" si="102">SUM(C425:C441)</f>
        <v>5195909.3099999987</v>
      </c>
      <c r="D442" s="273">
        <f t="shared" si="102"/>
        <v>0</v>
      </c>
      <c r="E442" s="273">
        <f t="shared" si="102"/>
        <v>0</v>
      </c>
      <c r="F442" s="273">
        <f t="shared" si="102"/>
        <v>0</v>
      </c>
      <c r="G442" s="273">
        <f t="shared" si="102"/>
        <v>0</v>
      </c>
      <c r="H442" s="273">
        <f t="shared" si="102"/>
        <v>0</v>
      </c>
      <c r="I442" s="273">
        <f t="shared" si="102"/>
        <v>0</v>
      </c>
      <c r="J442" s="273">
        <f t="shared" si="102"/>
        <v>0</v>
      </c>
      <c r="K442" s="273">
        <f t="shared" si="102"/>
        <v>0</v>
      </c>
      <c r="L442" s="273">
        <f t="shared" si="102"/>
        <v>0</v>
      </c>
      <c r="M442" s="273">
        <f t="shared" si="102"/>
        <v>0</v>
      </c>
      <c r="N442" s="273">
        <f t="shared" si="102"/>
        <v>0</v>
      </c>
      <c r="O442" s="273">
        <f t="shared" si="102"/>
        <v>0</v>
      </c>
      <c r="P442" s="273">
        <f t="shared" si="102"/>
        <v>0</v>
      </c>
      <c r="Q442" s="273">
        <f t="shared" si="102"/>
        <v>0</v>
      </c>
      <c r="R442" s="273">
        <f t="shared" si="102"/>
        <v>0</v>
      </c>
      <c r="S442" s="273">
        <f t="shared" si="102"/>
        <v>0</v>
      </c>
      <c r="T442" s="273">
        <f t="shared" si="102"/>
        <v>0</v>
      </c>
      <c r="U442" s="273">
        <f t="shared" si="102"/>
        <v>0</v>
      </c>
      <c r="V442" s="273">
        <f t="shared" si="102"/>
        <v>0</v>
      </c>
      <c r="W442" s="273">
        <f t="shared" si="102"/>
        <v>5195909.3099999987</v>
      </c>
      <c r="X442" s="279"/>
      <c r="Y442" s="279"/>
      <c r="Z442" s="279"/>
      <c r="AA442" s="279"/>
      <c r="AB442" s="279"/>
      <c r="AC442" s="279"/>
      <c r="AD442" s="279"/>
      <c r="AE442" s="279"/>
      <c r="AF442" s="15"/>
    </row>
    <row r="443" spans="1:33" ht="32.25" customHeight="1" x14ac:dyDescent="0.3">
      <c r="A443" s="374" t="s">
        <v>586</v>
      </c>
      <c r="B443" s="375"/>
      <c r="C443" s="273"/>
      <c r="D443" s="273"/>
      <c r="E443" s="273"/>
      <c r="F443" s="273"/>
      <c r="G443" s="273"/>
      <c r="H443" s="273"/>
      <c r="I443" s="273"/>
      <c r="J443" s="273"/>
      <c r="K443" s="273"/>
      <c r="L443" s="273"/>
      <c r="M443" s="273"/>
      <c r="N443" s="273"/>
      <c r="O443" s="273"/>
      <c r="P443" s="273"/>
      <c r="Q443" s="273"/>
      <c r="R443" s="273"/>
      <c r="S443" s="273"/>
      <c r="T443" s="273"/>
      <c r="U443" s="273"/>
      <c r="V443" s="273"/>
      <c r="W443" s="273"/>
      <c r="X443" s="15"/>
      <c r="Y443" s="15"/>
      <c r="Z443" s="15"/>
      <c r="AA443" s="15"/>
      <c r="AB443" s="15"/>
      <c r="AC443" s="15"/>
      <c r="AD443" s="15"/>
      <c r="AE443" s="15"/>
      <c r="AF443" s="15"/>
    </row>
    <row r="444" spans="1:33" x14ac:dyDescent="0.3">
      <c r="A444" s="10">
        <f>A441+1</f>
        <v>381</v>
      </c>
      <c r="B444" s="124" t="s">
        <v>620</v>
      </c>
      <c r="C444" s="273">
        <f t="shared" ref="C444:C451" si="103">D444+K444+L444+N444+R444+S444+U444+V444+W444</f>
        <v>222105.31</v>
      </c>
      <c r="D444" s="273">
        <f t="shared" ref="D444:D451" si="104">E444+F444+G444+H444+I444</f>
        <v>0</v>
      </c>
      <c r="E444" s="273"/>
      <c r="F444" s="273"/>
      <c r="G444" s="273"/>
      <c r="H444" s="273"/>
      <c r="I444" s="273"/>
      <c r="J444" s="273"/>
      <c r="K444" s="273"/>
      <c r="L444" s="273"/>
      <c r="M444" s="273"/>
      <c r="N444" s="273"/>
      <c r="O444" s="273"/>
      <c r="P444" s="273"/>
      <c r="Q444" s="273"/>
      <c r="R444" s="273"/>
      <c r="S444" s="273"/>
      <c r="T444" s="273"/>
      <c r="U444" s="273"/>
      <c r="V444" s="273"/>
      <c r="W444" s="273">
        <f t="shared" ref="W444:W450" si="105">SUM(X444:AE444)</f>
        <v>222105.31</v>
      </c>
      <c r="X444" s="19"/>
      <c r="Y444" s="19"/>
      <c r="Z444" s="19"/>
      <c r="AA444" s="19"/>
      <c r="AB444" s="19"/>
      <c r="AC444" s="19"/>
      <c r="AD444" s="19"/>
      <c r="AE444" s="15">
        <v>222105.31</v>
      </c>
      <c r="AF444" s="15"/>
    </row>
    <row r="445" spans="1:33" x14ac:dyDescent="0.3">
      <c r="A445" s="10">
        <f t="shared" ref="A445:A451" si="106">A444+1</f>
        <v>382</v>
      </c>
      <c r="B445" s="124" t="s">
        <v>621</v>
      </c>
      <c r="C445" s="273">
        <f t="shared" si="103"/>
        <v>538483.79</v>
      </c>
      <c r="D445" s="273">
        <f t="shared" si="104"/>
        <v>0</v>
      </c>
      <c r="E445" s="273"/>
      <c r="F445" s="273"/>
      <c r="G445" s="273"/>
      <c r="H445" s="273"/>
      <c r="I445" s="273"/>
      <c r="J445" s="273"/>
      <c r="K445" s="273"/>
      <c r="L445" s="273"/>
      <c r="M445" s="273"/>
      <c r="N445" s="273"/>
      <c r="O445" s="273"/>
      <c r="P445" s="273"/>
      <c r="Q445" s="273"/>
      <c r="R445" s="273"/>
      <c r="S445" s="273"/>
      <c r="T445" s="273"/>
      <c r="U445" s="273"/>
      <c r="V445" s="273"/>
      <c r="W445" s="273">
        <f t="shared" si="105"/>
        <v>538483.79</v>
      </c>
      <c r="X445" s="15"/>
      <c r="Y445" s="15"/>
      <c r="Z445" s="15"/>
      <c r="AA445" s="15"/>
      <c r="AB445" s="19"/>
      <c r="AC445" s="19"/>
      <c r="AD445" s="19"/>
      <c r="AE445" s="15">
        <v>538483.79</v>
      </c>
      <c r="AF445" s="15"/>
    </row>
    <row r="446" spans="1:33" x14ac:dyDescent="0.3">
      <c r="A446" s="10">
        <f t="shared" si="106"/>
        <v>383</v>
      </c>
      <c r="B446" s="124" t="s">
        <v>622</v>
      </c>
      <c r="C446" s="273">
        <f t="shared" si="103"/>
        <v>298759.27</v>
      </c>
      <c r="D446" s="273">
        <f t="shared" si="104"/>
        <v>0</v>
      </c>
      <c r="E446" s="273"/>
      <c r="F446" s="273"/>
      <c r="G446" s="273"/>
      <c r="H446" s="273"/>
      <c r="I446" s="273"/>
      <c r="J446" s="273"/>
      <c r="K446" s="273"/>
      <c r="L446" s="273"/>
      <c r="M446" s="273"/>
      <c r="N446" s="273"/>
      <c r="O446" s="273"/>
      <c r="P446" s="273"/>
      <c r="Q446" s="273"/>
      <c r="R446" s="273"/>
      <c r="S446" s="273"/>
      <c r="T446" s="273"/>
      <c r="U446" s="273"/>
      <c r="V446" s="273"/>
      <c r="W446" s="273">
        <f t="shared" si="105"/>
        <v>298759.27</v>
      </c>
      <c r="X446" s="19"/>
      <c r="Y446" s="19"/>
      <c r="Z446" s="19"/>
      <c r="AA446" s="19"/>
      <c r="AB446" s="19"/>
      <c r="AC446" s="19"/>
      <c r="AD446" s="19"/>
      <c r="AE446" s="15">
        <v>298759.27</v>
      </c>
      <c r="AF446" s="15"/>
    </row>
    <row r="447" spans="1:33" x14ac:dyDescent="0.3">
      <c r="A447" s="10">
        <f t="shared" si="106"/>
        <v>384</v>
      </c>
      <c r="B447" s="124" t="s">
        <v>623</v>
      </c>
      <c r="C447" s="273">
        <f t="shared" si="103"/>
        <v>200922.52</v>
      </c>
      <c r="D447" s="273">
        <f t="shared" si="104"/>
        <v>0</v>
      </c>
      <c r="E447" s="273"/>
      <c r="F447" s="273"/>
      <c r="G447" s="273"/>
      <c r="H447" s="273"/>
      <c r="I447" s="273"/>
      <c r="J447" s="273"/>
      <c r="K447" s="273"/>
      <c r="L447" s="273"/>
      <c r="M447" s="273"/>
      <c r="N447" s="273"/>
      <c r="O447" s="273"/>
      <c r="P447" s="273"/>
      <c r="Q447" s="273"/>
      <c r="R447" s="273"/>
      <c r="S447" s="273"/>
      <c r="T447" s="273"/>
      <c r="U447" s="273"/>
      <c r="V447" s="273"/>
      <c r="W447" s="273">
        <f t="shared" si="105"/>
        <v>200922.52</v>
      </c>
      <c r="X447" s="19"/>
      <c r="Y447" s="19"/>
      <c r="Z447" s="19"/>
      <c r="AA447" s="19"/>
      <c r="AB447" s="19"/>
      <c r="AC447" s="19"/>
      <c r="AD447" s="19"/>
      <c r="AE447" s="15">
        <v>200922.52</v>
      </c>
      <c r="AF447" s="15"/>
    </row>
    <row r="448" spans="1:33" x14ac:dyDescent="0.3">
      <c r="A448" s="10">
        <f t="shared" si="106"/>
        <v>385</v>
      </c>
      <c r="B448" s="124" t="s">
        <v>624</v>
      </c>
      <c r="C448" s="273">
        <f t="shared" si="103"/>
        <v>225098.96</v>
      </c>
      <c r="D448" s="273">
        <f t="shared" si="104"/>
        <v>0</v>
      </c>
      <c r="E448" s="273"/>
      <c r="F448" s="273"/>
      <c r="G448" s="273"/>
      <c r="H448" s="273"/>
      <c r="I448" s="273"/>
      <c r="J448" s="273"/>
      <c r="K448" s="273"/>
      <c r="L448" s="273"/>
      <c r="M448" s="273"/>
      <c r="N448" s="273"/>
      <c r="O448" s="273"/>
      <c r="P448" s="273"/>
      <c r="Q448" s="273"/>
      <c r="R448" s="273"/>
      <c r="S448" s="273"/>
      <c r="T448" s="273"/>
      <c r="U448" s="273"/>
      <c r="V448" s="273"/>
      <c r="W448" s="273">
        <f t="shared" si="105"/>
        <v>225098.96</v>
      </c>
      <c r="X448" s="19"/>
      <c r="Y448" s="19"/>
      <c r="Z448" s="19"/>
      <c r="AA448" s="19"/>
      <c r="AB448" s="19"/>
      <c r="AC448" s="19"/>
      <c r="AD448" s="19"/>
      <c r="AE448" s="15">
        <v>225098.96</v>
      </c>
      <c r="AF448" s="15"/>
    </row>
    <row r="449" spans="1:32" x14ac:dyDescent="0.3">
      <c r="A449" s="10">
        <f t="shared" si="106"/>
        <v>386</v>
      </c>
      <c r="B449" s="124" t="s">
        <v>625</v>
      </c>
      <c r="C449" s="273">
        <f t="shared" si="103"/>
        <v>539974.5</v>
      </c>
      <c r="D449" s="273">
        <f t="shared" si="104"/>
        <v>0</v>
      </c>
      <c r="E449" s="273"/>
      <c r="F449" s="273"/>
      <c r="G449" s="273"/>
      <c r="H449" s="273"/>
      <c r="I449" s="273"/>
      <c r="J449" s="273"/>
      <c r="K449" s="273"/>
      <c r="L449" s="273"/>
      <c r="M449" s="273"/>
      <c r="N449" s="273"/>
      <c r="O449" s="273"/>
      <c r="P449" s="273"/>
      <c r="Q449" s="273"/>
      <c r="R449" s="273"/>
      <c r="S449" s="273"/>
      <c r="T449" s="273"/>
      <c r="U449" s="273"/>
      <c r="V449" s="273"/>
      <c r="W449" s="273">
        <f t="shared" si="105"/>
        <v>539974.5</v>
      </c>
      <c r="X449" s="17"/>
      <c r="Y449" s="15"/>
      <c r="Z449" s="15"/>
      <c r="AA449" s="15"/>
      <c r="AB449" s="19"/>
      <c r="AC449" s="19"/>
      <c r="AD449" s="19"/>
      <c r="AE449" s="15">
        <v>539974.5</v>
      </c>
      <c r="AF449" s="15"/>
    </row>
    <row r="450" spans="1:32" x14ac:dyDescent="0.3">
      <c r="A450" s="10">
        <f t="shared" si="106"/>
        <v>387</v>
      </c>
      <c r="B450" s="124" t="s">
        <v>626</v>
      </c>
      <c r="C450" s="273">
        <f t="shared" si="103"/>
        <v>194515.96</v>
      </c>
      <c r="D450" s="273">
        <f t="shared" si="104"/>
        <v>0</v>
      </c>
      <c r="E450" s="273"/>
      <c r="F450" s="273"/>
      <c r="G450" s="273"/>
      <c r="H450" s="273"/>
      <c r="I450" s="273"/>
      <c r="J450" s="273"/>
      <c r="K450" s="273"/>
      <c r="L450" s="273"/>
      <c r="M450" s="273"/>
      <c r="N450" s="273"/>
      <c r="O450" s="273"/>
      <c r="P450" s="273"/>
      <c r="Q450" s="273"/>
      <c r="R450" s="273"/>
      <c r="S450" s="273"/>
      <c r="T450" s="273"/>
      <c r="U450" s="273"/>
      <c r="V450" s="273"/>
      <c r="W450" s="273">
        <f t="shared" si="105"/>
        <v>194515.96</v>
      </c>
      <c r="X450" s="19"/>
      <c r="Y450" s="19"/>
      <c r="Z450" s="19"/>
      <c r="AA450" s="19"/>
      <c r="AB450" s="19"/>
      <c r="AC450" s="19"/>
      <c r="AD450" s="19"/>
      <c r="AE450" s="15">
        <v>194515.96</v>
      </c>
      <c r="AF450" s="15"/>
    </row>
    <row r="451" spans="1:32" x14ac:dyDescent="0.3">
      <c r="A451" s="10">
        <f t="shared" si="106"/>
        <v>388</v>
      </c>
      <c r="B451" s="124" t="s">
        <v>627</v>
      </c>
      <c r="C451" s="273">
        <f t="shared" si="103"/>
        <v>130000</v>
      </c>
      <c r="D451" s="273">
        <f t="shared" si="104"/>
        <v>0</v>
      </c>
      <c r="E451" s="273"/>
      <c r="F451" s="273"/>
      <c r="G451" s="273"/>
      <c r="H451" s="273"/>
      <c r="I451" s="273"/>
      <c r="J451" s="273"/>
      <c r="K451" s="273"/>
      <c r="L451" s="273"/>
      <c r="M451" s="273"/>
      <c r="N451" s="273"/>
      <c r="O451" s="273"/>
      <c r="P451" s="273"/>
      <c r="Q451" s="273"/>
      <c r="R451" s="273"/>
      <c r="S451" s="273"/>
      <c r="T451" s="273"/>
      <c r="U451" s="273"/>
      <c r="V451" s="273"/>
      <c r="W451" s="273">
        <v>130000</v>
      </c>
      <c r="X451" s="15"/>
      <c r="Y451" s="15"/>
      <c r="Z451" s="15"/>
      <c r="AA451" s="15"/>
      <c r="AB451" s="15"/>
      <c r="AC451" s="15"/>
      <c r="AD451" s="15"/>
      <c r="AE451" s="15"/>
      <c r="AF451" s="15"/>
    </row>
    <row r="452" spans="1:32" x14ac:dyDescent="0.3">
      <c r="A452" s="10"/>
      <c r="B452" s="124" t="s">
        <v>208</v>
      </c>
      <c r="C452" s="273">
        <f t="shared" ref="C452:W452" si="107">SUM(C444:C451)</f>
        <v>2349860.31</v>
      </c>
      <c r="D452" s="273">
        <f t="shared" si="107"/>
        <v>0</v>
      </c>
      <c r="E452" s="273">
        <f t="shared" si="107"/>
        <v>0</v>
      </c>
      <c r="F452" s="273">
        <f t="shared" si="107"/>
        <v>0</v>
      </c>
      <c r="G452" s="273">
        <f t="shared" si="107"/>
        <v>0</v>
      </c>
      <c r="H452" s="273">
        <f t="shared" si="107"/>
        <v>0</v>
      </c>
      <c r="I452" s="273">
        <f t="shared" si="107"/>
        <v>0</v>
      </c>
      <c r="J452" s="273">
        <f t="shared" si="107"/>
        <v>0</v>
      </c>
      <c r="K452" s="273">
        <f t="shared" si="107"/>
        <v>0</v>
      </c>
      <c r="L452" s="273">
        <f t="shared" si="107"/>
        <v>0</v>
      </c>
      <c r="M452" s="273">
        <f t="shared" si="107"/>
        <v>0</v>
      </c>
      <c r="N452" s="273">
        <f t="shared" si="107"/>
        <v>0</v>
      </c>
      <c r="O452" s="273">
        <f t="shared" si="107"/>
        <v>0</v>
      </c>
      <c r="P452" s="273">
        <f t="shared" si="107"/>
        <v>0</v>
      </c>
      <c r="Q452" s="273">
        <f t="shared" si="107"/>
        <v>0</v>
      </c>
      <c r="R452" s="273">
        <f t="shared" si="107"/>
        <v>0</v>
      </c>
      <c r="S452" s="273">
        <f t="shared" si="107"/>
        <v>0</v>
      </c>
      <c r="T452" s="273">
        <f t="shared" si="107"/>
        <v>0</v>
      </c>
      <c r="U452" s="273">
        <f t="shared" si="107"/>
        <v>0</v>
      </c>
      <c r="V452" s="273">
        <f t="shared" si="107"/>
        <v>0</v>
      </c>
      <c r="W452" s="273">
        <f t="shared" si="107"/>
        <v>2349860.31</v>
      </c>
      <c r="X452" s="15"/>
      <c r="Y452" s="15"/>
      <c r="Z452" s="15"/>
      <c r="AA452" s="15"/>
      <c r="AB452" s="15"/>
      <c r="AC452" s="15"/>
      <c r="AD452" s="15"/>
      <c r="AE452" s="15"/>
      <c r="AF452" s="15"/>
    </row>
    <row r="453" spans="1:32" ht="33" customHeight="1" x14ac:dyDescent="0.3">
      <c r="A453" s="374" t="s">
        <v>628</v>
      </c>
      <c r="B453" s="375"/>
      <c r="C453" s="273"/>
      <c r="D453" s="273"/>
      <c r="E453" s="273"/>
      <c r="F453" s="273"/>
      <c r="G453" s="273"/>
      <c r="H453" s="273"/>
      <c r="I453" s="273"/>
      <c r="J453" s="273"/>
      <c r="K453" s="273"/>
      <c r="L453" s="273"/>
      <c r="M453" s="273"/>
      <c r="N453" s="273"/>
      <c r="O453" s="273"/>
      <c r="P453" s="273"/>
      <c r="Q453" s="273"/>
      <c r="R453" s="273"/>
      <c r="S453" s="273"/>
      <c r="T453" s="273"/>
      <c r="U453" s="273"/>
      <c r="V453" s="273"/>
      <c r="W453" s="273"/>
      <c r="X453" s="15"/>
      <c r="Y453" s="15"/>
      <c r="Z453" s="15"/>
      <c r="AA453" s="15"/>
      <c r="AB453" s="15"/>
      <c r="AC453" s="15"/>
      <c r="AD453" s="15"/>
      <c r="AE453" s="15"/>
      <c r="AF453" s="15"/>
    </row>
    <row r="454" spans="1:32" x14ac:dyDescent="0.3">
      <c r="A454" s="10">
        <f>A451+1</f>
        <v>389</v>
      </c>
      <c r="B454" s="124" t="s">
        <v>629</v>
      </c>
      <c r="C454" s="273">
        <f t="shared" ref="C454:C460" si="108">D454+K454+L454+N454+R454+S454+U454+V454+W454</f>
        <v>6441327.5999999996</v>
      </c>
      <c r="D454" s="273">
        <f t="shared" ref="D454:D460" si="109">E454+F454+G454+H454+I454</f>
        <v>0</v>
      </c>
      <c r="E454" s="273"/>
      <c r="F454" s="273"/>
      <c r="G454" s="273"/>
      <c r="H454" s="273"/>
      <c r="I454" s="273"/>
      <c r="J454" s="273"/>
      <c r="K454" s="273"/>
      <c r="L454" s="273"/>
      <c r="M454" s="273"/>
      <c r="N454" s="273"/>
      <c r="O454" s="273"/>
      <c r="P454" s="273"/>
      <c r="Q454" s="273">
        <v>1178.08</v>
      </c>
      <c r="R454" s="273">
        <v>6441327.5999999996</v>
      </c>
      <c r="S454" s="273"/>
      <c r="T454" s="273"/>
      <c r="U454" s="273"/>
      <c r="V454" s="273"/>
      <c r="W454" s="273"/>
      <c r="X454" s="15"/>
      <c r="Y454" s="15"/>
      <c r="Z454" s="15"/>
      <c r="AA454" s="15"/>
      <c r="AB454" s="15"/>
      <c r="AC454" s="15"/>
      <c r="AD454" s="15"/>
      <c r="AE454" s="15"/>
      <c r="AF454" s="15"/>
    </row>
    <row r="455" spans="1:32" x14ac:dyDescent="0.3">
      <c r="A455" s="10">
        <f t="shared" ref="A455:A460" si="110">A454+1</f>
        <v>390</v>
      </c>
      <c r="B455" s="124" t="s">
        <v>3542</v>
      </c>
      <c r="C455" s="273">
        <f t="shared" si="108"/>
        <v>31209948</v>
      </c>
      <c r="D455" s="273">
        <f t="shared" si="109"/>
        <v>9628597</v>
      </c>
      <c r="E455" s="273"/>
      <c r="F455" s="273">
        <v>6157206</v>
      </c>
      <c r="G455" s="273">
        <v>2553607</v>
      </c>
      <c r="H455" s="273"/>
      <c r="I455" s="273">
        <v>917784</v>
      </c>
      <c r="J455" s="273"/>
      <c r="K455" s="273"/>
      <c r="L455" s="273"/>
      <c r="M455" s="273">
        <v>719</v>
      </c>
      <c r="N455" s="273">
        <v>5022215</v>
      </c>
      <c r="O455" s="273"/>
      <c r="P455" s="273"/>
      <c r="Q455" s="273">
        <v>1584</v>
      </c>
      <c r="R455" s="273">
        <v>16559136</v>
      </c>
      <c r="S455" s="273"/>
      <c r="T455" s="273"/>
      <c r="U455" s="273"/>
      <c r="V455" s="273"/>
      <c r="W455" s="273"/>
      <c r="X455" s="15"/>
      <c r="Y455" s="15"/>
      <c r="Z455" s="15"/>
      <c r="AA455" s="15"/>
      <c r="AB455" s="15"/>
      <c r="AC455" s="15"/>
      <c r="AD455" s="15"/>
      <c r="AE455" s="15"/>
      <c r="AF455" s="15"/>
    </row>
    <row r="456" spans="1:32" x14ac:dyDescent="0.3">
      <c r="A456" s="10">
        <f t="shared" si="110"/>
        <v>391</v>
      </c>
      <c r="B456" s="124" t="s">
        <v>3543</v>
      </c>
      <c r="C456" s="273">
        <f t="shared" si="108"/>
        <v>16559136</v>
      </c>
      <c r="D456" s="273">
        <f t="shared" si="109"/>
        <v>0</v>
      </c>
      <c r="E456" s="273"/>
      <c r="F456" s="273"/>
      <c r="G456" s="273"/>
      <c r="H456" s="273"/>
      <c r="I456" s="273"/>
      <c r="J456" s="273"/>
      <c r="K456" s="273"/>
      <c r="L456" s="273"/>
      <c r="M456" s="273"/>
      <c r="N456" s="273"/>
      <c r="O456" s="273"/>
      <c r="P456" s="273"/>
      <c r="Q456" s="273">
        <v>1584</v>
      </c>
      <c r="R456" s="273">
        <v>16559136</v>
      </c>
      <c r="S456" s="273"/>
      <c r="T456" s="273"/>
      <c r="U456" s="273"/>
      <c r="V456" s="273"/>
      <c r="W456" s="273"/>
      <c r="X456" s="15"/>
      <c r="Y456" s="15"/>
      <c r="Z456" s="15"/>
      <c r="AA456" s="15"/>
      <c r="AB456" s="15"/>
      <c r="AC456" s="15"/>
      <c r="AD456" s="15"/>
      <c r="AE456" s="15"/>
      <c r="AF456" s="15"/>
    </row>
    <row r="457" spans="1:32" x14ac:dyDescent="0.3">
      <c r="A457" s="10">
        <f t="shared" si="110"/>
        <v>392</v>
      </c>
      <c r="B457" s="124" t="s">
        <v>630</v>
      </c>
      <c r="C457" s="273">
        <f t="shared" si="108"/>
        <v>5213906.2</v>
      </c>
      <c r="D457" s="273">
        <f t="shared" si="109"/>
        <v>0</v>
      </c>
      <c r="E457" s="273"/>
      <c r="F457" s="273"/>
      <c r="G457" s="273"/>
      <c r="H457" s="273"/>
      <c r="I457" s="273"/>
      <c r="J457" s="273"/>
      <c r="K457" s="273"/>
      <c r="L457" s="273"/>
      <c r="M457" s="273"/>
      <c r="N457" s="273"/>
      <c r="O457" s="273"/>
      <c r="P457" s="273"/>
      <c r="Q457" s="273">
        <v>1178.08</v>
      </c>
      <c r="R457" s="273">
        <v>5213906.2</v>
      </c>
      <c r="S457" s="273"/>
      <c r="T457" s="273"/>
      <c r="U457" s="273"/>
      <c r="V457" s="273"/>
      <c r="W457" s="273"/>
      <c r="X457" s="15"/>
      <c r="Y457" s="15"/>
      <c r="Z457" s="15"/>
      <c r="AA457" s="15"/>
      <c r="AB457" s="15"/>
      <c r="AC457" s="15"/>
      <c r="AD457" s="15"/>
      <c r="AE457" s="15"/>
      <c r="AF457" s="15"/>
    </row>
    <row r="458" spans="1:32" x14ac:dyDescent="0.3">
      <c r="A458" s="10">
        <f t="shared" si="110"/>
        <v>393</v>
      </c>
      <c r="B458" s="124" t="s">
        <v>631</v>
      </c>
      <c r="C458" s="273">
        <f t="shared" si="108"/>
        <v>6817283.6600000001</v>
      </c>
      <c r="D458" s="273">
        <f t="shared" si="109"/>
        <v>0</v>
      </c>
      <c r="E458" s="273"/>
      <c r="F458" s="273"/>
      <c r="G458" s="273"/>
      <c r="H458" s="273"/>
      <c r="I458" s="273"/>
      <c r="J458" s="273"/>
      <c r="K458" s="273"/>
      <c r="L458" s="273"/>
      <c r="M458" s="273"/>
      <c r="N458" s="273"/>
      <c r="O458" s="273"/>
      <c r="P458" s="273"/>
      <c r="Q458" s="273">
        <v>1216.9000000000001</v>
      </c>
      <c r="R458" s="273">
        <v>6817283.6600000001</v>
      </c>
      <c r="S458" s="273"/>
      <c r="T458" s="273"/>
      <c r="U458" s="273"/>
      <c r="V458" s="273"/>
      <c r="W458" s="273"/>
      <c r="X458" s="15"/>
      <c r="Y458" s="15"/>
      <c r="Z458" s="15"/>
      <c r="AA458" s="15"/>
      <c r="AB458" s="15"/>
      <c r="AC458" s="15"/>
      <c r="AD458" s="15"/>
      <c r="AE458" s="15"/>
      <c r="AF458" s="15"/>
    </row>
    <row r="459" spans="1:32" x14ac:dyDescent="0.3">
      <c r="A459" s="10">
        <f t="shared" si="110"/>
        <v>394</v>
      </c>
      <c r="B459" s="124" t="s">
        <v>632</v>
      </c>
      <c r="C459" s="273">
        <f t="shared" si="108"/>
        <v>7943744.1699999999</v>
      </c>
      <c r="D459" s="273">
        <f t="shared" si="109"/>
        <v>0</v>
      </c>
      <c r="E459" s="273"/>
      <c r="F459" s="273"/>
      <c r="G459" s="273"/>
      <c r="H459" s="273"/>
      <c r="I459" s="273"/>
      <c r="J459" s="273"/>
      <c r="K459" s="273"/>
      <c r="L459" s="273"/>
      <c r="M459" s="273"/>
      <c r="N459" s="273"/>
      <c r="O459" s="273"/>
      <c r="P459" s="273"/>
      <c r="Q459" s="273">
        <v>1175.04</v>
      </c>
      <c r="R459" s="273">
        <v>7943744.1699999999</v>
      </c>
      <c r="S459" s="273"/>
      <c r="T459" s="273"/>
      <c r="U459" s="273"/>
      <c r="V459" s="273"/>
      <c r="W459" s="273"/>
      <c r="X459" s="15"/>
      <c r="Y459" s="15"/>
      <c r="Z459" s="15"/>
      <c r="AA459" s="15"/>
      <c r="AB459" s="15"/>
      <c r="AC459" s="15"/>
      <c r="AD459" s="15"/>
      <c r="AE459" s="15"/>
      <c r="AF459" s="15"/>
    </row>
    <row r="460" spans="1:32" x14ac:dyDescent="0.3">
      <c r="A460" s="10">
        <f t="shared" si="110"/>
        <v>395</v>
      </c>
      <c r="B460" s="124" t="s">
        <v>633</v>
      </c>
      <c r="C460" s="273">
        <f t="shared" si="108"/>
        <v>6575808</v>
      </c>
      <c r="D460" s="273">
        <f t="shared" si="109"/>
        <v>0</v>
      </c>
      <c r="E460" s="273"/>
      <c r="F460" s="273"/>
      <c r="G460" s="273"/>
      <c r="H460" s="273"/>
      <c r="I460" s="273"/>
      <c r="J460" s="273"/>
      <c r="K460" s="273"/>
      <c r="L460" s="273"/>
      <c r="M460" s="273"/>
      <c r="N460" s="273"/>
      <c r="O460" s="273"/>
      <c r="P460" s="273"/>
      <c r="Q460" s="273">
        <v>1320</v>
      </c>
      <c r="R460" s="273">
        <v>6575808</v>
      </c>
      <c r="S460" s="273"/>
      <c r="T460" s="273"/>
      <c r="U460" s="273"/>
      <c r="V460" s="273"/>
      <c r="W460" s="273"/>
      <c r="X460" s="15"/>
      <c r="Y460" s="15"/>
      <c r="Z460" s="15"/>
      <c r="AA460" s="15"/>
      <c r="AB460" s="15"/>
      <c r="AC460" s="15"/>
      <c r="AD460" s="15"/>
      <c r="AE460" s="15"/>
      <c r="AF460" s="15"/>
    </row>
    <row r="461" spans="1:32" x14ac:dyDescent="0.3">
      <c r="A461" s="10"/>
      <c r="B461" s="124" t="s">
        <v>208</v>
      </c>
      <c r="C461" s="273">
        <f t="shared" ref="C461:W461" si="111">SUM(C454:C460)</f>
        <v>80761153.63000001</v>
      </c>
      <c r="D461" s="273">
        <f t="shared" si="111"/>
        <v>9628597</v>
      </c>
      <c r="E461" s="273">
        <f t="shared" si="111"/>
        <v>0</v>
      </c>
      <c r="F461" s="273">
        <f t="shared" si="111"/>
        <v>6157206</v>
      </c>
      <c r="G461" s="273">
        <f t="shared" si="111"/>
        <v>2553607</v>
      </c>
      <c r="H461" s="273">
        <f t="shared" si="111"/>
        <v>0</v>
      </c>
      <c r="I461" s="273">
        <f t="shared" si="111"/>
        <v>917784</v>
      </c>
      <c r="J461" s="273">
        <f t="shared" si="111"/>
        <v>0</v>
      </c>
      <c r="K461" s="273">
        <f t="shared" si="111"/>
        <v>0</v>
      </c>
      <c r="L461" s="273">
        <f t="shared" si="111"/>
        <v>0</v>
      </c>
      <c r="M461" s="273">
        <f t="shared" si="111"/>
        <v>719</v>
      </c>
      <c r="N461" s="273">
        <f t="shared" si="111"/>
        <v>5022215</v>
      </c>
      <c r="O461" s="273">
        <f t="shared" si="111"/>
        <v>0</v>
      </c>
      <c r="P461" s="273">
        <f t="shared" si="111"/>
        <v>0</v>
      </c>
      <c r="Q461" s="273">
        <f t="shared" si="111"/>
        <v>9236.0999999999985</v>
      </c>
      <c r="R461" s="273">
        <f t="shared" si="111"/>
        <v>66110341.63000001</v>
      </c>
      <c r="S461" s="273">
        <f t="shared" si="111"/>
        <v>0</v>
      </c>
      <c r="T461" s="273">
        <f t="shared" si="111"/>
        <v>0</v>
      </c>
      <c r="U461" s="273">
        <f t="shared" si="111"/>
        <v>0</v>
      </c>
      <c r="V461" s="273">
        <f t="shared" si="111"/>
        <v>0</v>
      </c>
      <c r="W461" s="273">
        <f t="shared" si="111"/>
        <v>0</v>
      </c>
      <c r="X461" s="19"/>
      <c r="Y461" s="19"/>
      <c r="Z461" s="19"/>
      <c r="AA461" s="19"/>
      <c r="AB461" s="15"/>
      <c r="AC461" s="15"/>
      <c r="AD461" s="15"/>
      <c r="AE461" s="15"/>
      <c r="AF461" s="15"/>
    </row>
    <row r="462" spans="1:32" ht="33" customHeight="1" x14ac:dyDescent="0.3">
      <c r="A462" s="374" t="s">
        <v>635</v>
      </c>
      <c r="B462" s="375"/>
      <c r="C462" s="273"/>
      <c r="D462" s="273"/>
      <c r="E462" s="273"/>
      <c r="F462" s="273"/>
      <c r="G462" s="273"/>
      <c r="H462" s="273"/>
      <c r="I462" s="273"/>
      <c r="J462" s="273"/>
      <c r="K462" s="273"/>
      <c r="L462" s="273"/>
      <c r="M462" s="273"/>
      <c r="N462" s="273"/>
      <c r="O462" s="273"/>
      <c r="P462" s="273"/>
      <c r="Q462" s="273"/>
      <c r="R462" s="273"/>
      <c r="S462" s="273"/>
      <c r="T462" s="273"/>
      <c r="U462" s="273"/>
      <c r="V462" s="273"/>
      <c r="W462" s="273"/>
      <c r="X462" s="19"/>
      <c r="Y462" s="19"/>
      <c r="Z462" s="19"/>
      <c r="AA462" s="19"/>
      <c r="AB462" s="15"/>
      <c r="AC462" s="15"/>
      <c r="AD462" s="15"/>
      <c r="AE462" s="15"/>
      <c r="AF462" s="15"/>
    </row>
    <row r="463" spans="1:32" x14ac:dyDescent="0.3">
      <c r="A463" s="10">
        <f>A460+1</f>
        <v>396</v>
      </c>
      <c r="B463" s="124" t="s">
        <v>636</v>
      </c>
      <c r="C463" s="273">
        <f>D463+K463+L463+N463+R463+S463+U463+V463+W463</f>
        <v>160618.85999999999</v>
      </c>
      <c r="D463" s="273">
        <f>E463+F463+G463+H463+I463</f>
        <v>0</v>
      </c>
      <c r="E463" s="273"/>
      <c r="F463" s="273"/>
      <c r="G463" s="273"/>
      <c r="H463" s="273"/>
      <c r="I463" s="273"/>
      <c r="J463" s="273"/>
      <c r="K463" s="273"/>
      <c r="L463" s="273"/>
      <c r="M463" s="273"/>
      <c r="N463" s="273"/>
      <c r="O463" s="273"/>
      <c r="P463" s="273"/>
      <c r="Q463" s="273"/>
      <c r="R463" s="273"/>
      <c r="S463" s="273"/>
      <c r="T463" s="273"/>
      <c r="U463" s="273"/>
      <c r="V463" s="273"/>
      <c r="W463" s="273">
        <f>SUM(X463:AE463)</f>
        <v>160618.85999999999</v>
      </c>
      <c r="X463" s="19"/>
      <c r="Y463" s="111"/>
      <c r="Z463" s="19"/>
      <c r="AA463" s="19"/>
      <c r="AB463" s="19"/>
      <c r="AC463" s="37">
        <v>160618.85999999999</v>
      </c>
      <c r="AD463" s="19"/>
      <c r="AE463" s="15"/>
      <c r="AF463" s="15"/>
    </row>
    <row r="464" spans="1:32" x14ac:dyDescent="0.3">
      <c r="A464" s="10">
        <f>A463+1</f>
        <v>397</v>
      </c>
      <c r="B464" s="124" t="s">
        <v>637</v>
      </c>
      <c r="C464" s="273">
        <f>D464+K464+L464+N464+R464+S464+U464+V464+W464</f>
        <v>160381.67000000001</v>
      </c>
      <c r="D464" s="273">
        <f>E464+F464+G464+H464+I464</f>
        <v>0</v>
      </c>
      <c r="E464" s="273"/>
      <c r="F464" s="273"/>
      <c r="G464" s="273"/>
      <c r="H464" s="273"/>
      <c r="I464" s="273"/>
      <c r="J464" s="273"/>
      <c r="K464" s="273"/>
      <c r="L464" s="273"/>
      <c r="M464" s="273"/>
      <c r="N464" s="273"/>
      <c r="O464" s="273"/>
      <c r="P464" s="273"/>
      <c r="Q464" s="273"/>
      <c r="R464" s="273"/>
      <c r="S464" s="273"/>
      <c r="T464" s="273"/>
      <c r="U464" s="273"/>
      <c r="V464" s="273"/>
      <c r="W464" s="273">
        <f>SUM(X464:AE464)</f>
        <v>160381.67000000001</v>
      </c>
      <c r="X464" s="19"/>
      <c r="Y464" s="19"/>
      <c r="Z464" s="19"/>
      <c r="AA464" s="19"/>
      <c r="AB464" s="19"/>
      <c r="AC464" s="37">
        <v>160381.67000000001</v>
      </c>
      <c r="AD464" s="19"/>
      <c r="AE464" s="15"/>
      <c r="AF464" s="15"/>
    </row>
    <row r="465" spans="1:32" x14ac:dyDescent="0.3">
      <c r="A465" s="10"/>
      <c r="B465" s="124" t="s">
        <v>208</v>
      </c>
      <c r="C465" s="273">
        <f t="shared" ref="C465:W465" si="112">SUM(C463:C464)</f>
        <v>321000.53000000003</v>
      </c>
      <c r="D465" s="273">
        <f t="shared" si="112"/>
        <v>0</v>
      </c>
      <c r="E465" s="273">
        <f t="shared" si="112"/>
        <v>0</v>
      </c>
      <c r="F465" s="273">
        <f t="shared" si="112"/>
        <v>0</v>
      </c>
      <c r="G465" s="273">
        <f t="shared" si="112"/>
        <v>0</v>
      </c>
      <c r="H465" s="273">
        <f t="shared" si="112"/>
        <v>0</v>
      </c>
      <c r="I465" s="273">
        <f t="shared" si="112"/>
        <v>0</v>
      </c>
      <c r="J465" s="273">
        <f t="shared" si="112"/>
        <v>0</v>
      </c>
      <c r="K465" s="273">
        <f t="shared" si="112"/>
        <v>0</v>
      </c>
      <c r="L465" s="273">
        <f t="shared" si="112"/>
        <v>0</v>
      </c>
      <c r="M465" s="273">
        <f t="shared" si="112"/>
        <v>0</v>
      </c>
      <c r="N465" s="273">
        <f t="shared" si="112"/>
        <v>0</v>
      </c>
      <c r="O465" s="273">
        <f t="shared" si="112"/>
        <v>0</v>
      </c>
      <c r="P465" s="273">
        <f t="shared" si="112"/>
        <v>0</v>
      </c>
      <c r="Q465" s="273">
        <f t="shared" si="112"/>
        <v>0</v>
      </c>
      <c r="R465" s="273">
        <f t="shared" si="112"/>
        <v>0</v>
      </c>
      <c r="S465" s="273">
        <f t="shared" si="112"/>
        <v>0</v>
      </c>
      <c r="T465" s="273">
        <f t="shared" si="112"/>
        <v>0</v>
      </c>
      <c r="U465" s="273">
        <f t="shared" si="112"/>
        <v>0</v>
      </c>
      <c r="V465" s="273">
        <f t="shared" si="112"/>
        <v>0</v>
      </c>
      <c r="W465" s="273">
        <f t="shared" si="112"/>
        <v>321000.53000000003</v>
      </c>
      <c r="X465" s="19"/>
      <c r="Y465" s="19"/>
      <c r="Z465" s="19"/>
      <c r="AA465" s="19"/>
      <c r="AB465" s="19"/>
      <c r="AC465" s="19"/>
      <c r="AD465" s="19"/>
      <c r="AE465" s="15"/>
      <c r="AF465" s="15"/>
    </row>
    <row r="466" spans="1:32" ht="32.25" customHeight="1" x14ac:dyDescent="0.3">
      <c r="A466" s="374" t="s">
        <v>638</v>
      </c>
      <c r="B466" s="375"/>
      <c r="C466" s="273"/>
      <c r="D466" s="273"/>
      <c r="E466" s="273"/>
      <c r="F466" s="273"/>
      <c r="G466" s="273"/>
      <c r="H466" s="273"/>
      <c r="I466" s="273"/>
      <c r="J466" s="273"/>
      <c r="K466" s="273"/>
      <c r="L466" s="273"/>
      <c r="M466" s="273"/>
      <c r="N466" s="273"/>
      <c r="O466" s="273"/>
      <c r="P466" s="273"/>
      <c r="Q466" s="273"/>
      <c r="R466" s="273"/>
      <c r="S466" s="273"/>
      <c r="T466" s="273"/>
      <c r="U466" s="273"/>
      <c r="V466" s="273"/>
      <c r="W466" s="273"/>
      <c r="X466" s="19"/>
      <c r="Y466" s="19"/>
      <c r="Z466" s="19"/>
      <c r="AA466" s="19"/>
      <c r="AB466" s="19"/>
      <c r="AC466" s="19"/>
      <c r="AD466" s="19"/>
      <c r="AE466" s="15"/>
      <c r="AF466" s="15"/>
    </row>
    <row r="467" spans="1:32" x14ac:dyDescent="0.3">
      <c r="A467" s="10">
        <f>A464+1</f>
        <v>398</v>
      </c>
      <c r="B467" s="124" t="s">
        <v>639</v>
      </c>
      <c r="C467" s="273">
        <f>D467+K467+L467+N467+R467+S467+U467+V467+W467</f>
        <v>3737983.2</v>
      </c>
      <c r="D467" s="273">
        <f>E467+F467+G467+H467+I467</f>
        <v>0</v>
      </c>
      <c r="E467" s="273"/>
      <c r="F467" s="273"/>
      <c r="G467" s="273"/>
      <c r="H467" s="273"/>
      <c r="I467" s="273"/>
      <c r="J467" s="273"/>
      <c r="K467" s="273"/>
      <c r="L467" s="273"/>
      <c r="M467" s="273"/>
      <c r="N467" s="273"/>
      <c r="O467" s="273"/>
      <c r="P467" s="273"/>
      <c r="Q467" s="273"/>
      <c r="R467" s="273"/>
      <c r="S467" s="273"/>
      <c r="T467" s="273">
        <v>3114.4</v>
      </c>
      <c r="U467" s="273">
        <v>3737983.2</v>
      </c>
      <c r="V467" s="273"/>
      <c r="W467" s="273"/>
      <c r="X467" s="15"/>
      <c r="Y467" s="15"/>
      <c r="Z467" s="15"/>
      <c r="AA467" s="15"/>
      <c r="AB467" s="15"/>
      <c r="AC467" s="15"/>
      <c r="AD467" s="15"/>
      <c r="AE467" s="15"/>
      <c r="AF467" s="15"/>
    </row>
    <row r="468" spans="1:32" x14ac:dyDescent="0.3">
      <c r="A468" s="10">
        <f>A467+1</f>
        <v>399</v>
      </c>
      <c r="B468" s="124" t="s">
        <v>640</v>
      </c>
      <c r="C468" s="273">
        <f>D468+K468+L468+N468+R468+S468+U468+V468+W468</f>
        <v>4217968.8</v>
      </c>
      <c r="D468" s="273">
        <f>E468+F468+G468+H468+I468</f>
        <v>0</v>
      </c>
      <c r="E468" s="273"/>
      <c r="F468" s="273"/>
      <c r="G468" s="273"/>
      <c r="H468" s="273"/>
      <c r="I468" s="273"/>
      <c r="J468" s="273"/>
      <c r="K468" s="273"/>
      <c r="L468" s="273"/>
      <c r="M468" s="273"/>
      <c r="N468" s="273"/>
      <c r="O468" s="273"/>
      <c r="P468" s="273"/>
      <c r="Q468" s="273"/>
      <c r="R468" s="273"/>
      <c r="S468" s="273"/>
      <c r="T468" s="273">
        <v>4364.8999999999996</v>
      </c>
      <c r="U468" s="273">
        <v>4217968.8</v>
      </c>
      <c r="V468" s="273"/>
      <c r="W468" s="273"/>
      <c r="X468" s="15"/>
      <c r="Y468" s="15"/>
      <c r="Z468" s="15"/>
      <c r="AA468" s="15"/>
      <c r="AB468" s="15"/>
      <c r="AC468" s="15"/>
      <c r="AD468" s="15"/>
      <c r="AE468" s="15"/>
      <c r="AF468" s="15"/>
    </row>
    <row r="469" spans="1:32" x14ac:dyDescent="0.3">
      <c r="A469" s="10">
        <f>A468+1</f>
        <v>400</v>
      </c>
      <c r="B469" s="124" t="s">
        <v>642</v>
      </c>
      <c r="C469" s="273">
        <f>D469+K469+L469+N469+R469+S469+U469+V469+W469</f>
        <v>4211682</v>
      </c>
      <c r="D469" s="273">
        <f>E469+F469+G469+H469+I469</f>
        <v>0</v>
      </c>
      <c r="E469" s="273"/>
      <c r="F469" s="273"/>
      <c r="G469" s="273"/>
      <c r="H469" s="273"/>
      <c r="I469" s="273"/>
      <c r="J469" s="273"/>
      <c r="K469" s="273"/>
      <c r="L469" s="273"/>
      <c r="M469" s="273"/>
      <c r="N469" s="273"/>
      <c r="O469" s="273"/>
      <c r="P469" s="273"/>
      <c r="Q469" s="273"/>
      <c r="R469" s="273"/>
      <c r="S469" s="273"/>
      <c r="T469" s="273">
        <v>4029.9</v>
      </c>
      <c r="U469" s="273">
        <v>4211682</v>
      </c>
      <c r="V469" s="273"/>
      <c r="W469" s="273"/>
      <c r="X469" s="15"/>
      <c r="Y469" s="15"/>
      <c r="Z469" s="15"/>
      <c r="AA469" s="15"/>
      <c r="AB469" s="15"/>
      <c r="AC469" s="15"/>
      <c r="AD469" s="15"/>
      <c r="AE469" s="15"/>
      <c r="AF469" s="15"/>
    </row>
    <row r="470" spans="1:32" x14ac:dyDescent="0.3">
      <c r="A470" s="10">
        <f>A469+1</f>
        <v>401</v>
      </c>
      <c r="B470" s="124" t="s">
        <v>643</v>
      </c>
      <c r="C470" s="273">
        <f>D470+K470+L470+N470+R470+S470+U470+V470+W470</f>
        <v>155933.92000000001</v>
      </c>
      <c r="D470" s="273">
        <f>E470+F470+G470+H470+I470</f>
        <v>0</v>
      </c>
      <c r="E470" s="273"/>
      <c r="F470" s="273"/>
      <c r="G470" s="273"/>
      <c r="H470" s="273"/>
      <c r="I470" s="273"/>
      <c r="J470" s="273"/>
      <c r="K470" s="273"/>
      <c r="L470" s="273"/>
      <c r="M470" s="273"/>
      <c r="N470" s="273"/>
      <c r="O470" s="273"/>
      <c r="P470" s="273"/>
      <c r="Q470" s="273"/>
      <c r="R470" s="273"/>
      <c r="S470" s="273"/>
      <c r="T470" s="273"/>
      <c r="U470" s="273"/>
      <c r="V470" s="273"/>
      <c r="W470" s="273">
        <f>SUM(X470:AE470)</f>
        <v>155933.92000000001</v>
      </c>
      <c r="X470" s="19"/>
      <c r="Y470" s="19"/>
      <c r="Z470" s="19"/>
      <c r="AA470" s="19"/>
      <c r="AB470" s="19"/>
      <c r="AC470" s="37">
        <v>155933.92000000001</v>
      </c>
      <c r="AD470" s="19"/>
      <c r="AE470" s="15"/>
      <c r="AF470" s="15"/>
    </row>
    <row r="471" spans="1:32" x14ac:dyDescent="0.3">
      <c r="A471" s="10">
        <f>A470+1</f>
        <v>402</v>
      </c>
      <c r="B471" s="124" t="s">
        <v>644</v>
      </c>
      <c r="C471" s="273">
        <f>D471+K471+L471+N471+R471+S471+U471+V471+W471</f>
        <v>342280.99</v>
      </c>
      <c r="D471" s="273">
        <f>E471+F471+G471+H471+I471</f>
        <v>0</v>
      </c>
      <c r="E471" s="273"/>
      <c r="F471" s="273"/>
      <c r="G471" s="273"/>
      <c r="H471" s="273"/>
      <c r="I471" s="273"/>
      <c r="J471" s="273"/>
      <c r="K471" s="273"/>
      <c r="L471" s="273"/>
      <c r="M471" s="273"/>
      <c r="N471" s="273"/>
      <c r="O471" s="273"/>
      <c r="P471" s="273"/>
      <c r="Q471" s="273"/>
      <c r="R471" s="273"/>
      <c r="S471" s="273"/>
      <c r="T471" s="273"/>
      <c r="U471" s="273"/>
      <c r="V471" s="273"/>
      <c r="W471" s="273">
        <f>SUM(X471:AE471)</f>
        <v>342280.99</v>
      </c>
      <c r="X471" s="19"/>
      <c r="Y471" s="19"/>
      <c r="Z471" s="19"/>
      <c r="AA471" s="19"/>
      <c r="AC471" s="19"/>
      <c r="AD471" s="19"/>
      <c r="AE471" s="19">
        <v>342280.99</v>
      </c>
      <c r="AF471" s="15"/>
    </row>
    <row r="472" spans="1:32" x14ac:dyDescent="0.3">
      <c r="A472" s="10"/>
      <c r="B472" s="124" t="s">
        <v>208</v>
      </c>
      <c r="C472" s="273">
        <f t="shared" ref="C472:W472" si="113">SUM(C467:C471)</f>
        <v>12665848.91</v>
      </c>
      <c r="D472" s="273">
        <f t="shared" si="113"/>
        <v>0</v>
      </c>
      <c r="E472" s="273">
        <f t="shared" si="113"/>
        <v>0</v>
      </c>
      <c r="F472" s="273">
        <f t="shared" si="113"/>
        <v>0</v>
      </c>
      <c r="G472" s="273">
        <f t="shared" si="113"/>
        <v>0</v>
      </c>
      <c r="H472" s="273">
        <f t="shared" si="113"/>
        <v>0</v>
      </c>
      <c r="I472" s="273">
        <f t="shared" si="113"/>
        <v>0</v>
      </c>
      <c r="J472" s="273">
        <f t="shared" si="113"/>
        <v>0</v>
      </c>
      <c r="K472" s="273">
        <f t="shared" si="113"/>
        <v>0</v>
      </c>
      <c r="L472" s="273">
        <f t="shared" si="113"/>
        <v>0</v>
      </c>
      <c r="M472" s="273">
        <f t="shared" si="113"/>
        <v>0</v>
      </c>
      <c r="N472" s="273">
        <f t="shared" si="113"/>
        <v>0</v>
      </c>
      <c r="O472" s="273">
        <f t="shared" si="113"/>
        <v>0</v>
      </c>
      <c r="P472" s="273">
        <f t="shared" si="113"/>
        <v>0</v>
      </c>
      <c r="Q472" s="273">
        <f t="shared" si="113"/>
        <v>0</v>
      </c>
      <c r="R472" s="273">
        <f t="shared" si="113"/>
        <v>0</v>
      </c>
      <c r="S472" s="273">
        <f t="shared" si="113"/>
        <v>0</v>
      </c>
      <c r="T472" s="273">
        <f t="shared" si="113"/>
        <v>11509.199999999999</v>
      </c>
      <c r="U472" s="273">
        <f t="shared" si="113"/>
        <v>12167634</v>
      </c>
      <c r="V472" s="273">
        <f t="shared" si="113"/>
        <v>0</v>
      </c>
      <c r="W472" s="273">
        <f t="shared" si="113"/>
        <v>498214.91000000003</v>
      </c>
      <c r="X472" s="19"/>
      <c r="Y472" s="19"/>
      <c r="Z472" s="19"/>
      <c r="AA472" s="19"/>
      <c r="AB472" s="19"/>
      <c r="AC472" s="19"/>
      <c r="AD472" s="19"/>
      <c r="AE472" s="15"/>
      <c r="AF472" s="15"/>
    </row>
    <row r="473" spans="1:32" ht="33" customHeight="1" x14ac:dyDescent="0.3">
      <c r="A473" s="374" t="s">
        <v>645</v>
      </c>
      <c r="B473" s="375"/>
      <c r="C473" s="273"/>
      <c r="D473" s="273"/>
      <c r="E473" s="273"/>
      <c r="F473" s="273"/>
      <c r="G473" s="273"/>
      <c r="H473" s="273"/>
      <c r="I473" s="273"/>
      <c r="J473" s="273"/>
      <c r="K473" s="273"/>
      <c r="L473" s="273"/>
      <c r="M473" s="273"/>
      <c r="N473" s="273"/>
      <c r="O473" s="273"/>
      <c r="P473" s="273"/>
      <c r="Q473" s="273"/>
      <c r="R473" s="273"/>
      <c r="S473" s="273"/>
      <c r="T473" s="273"/>
      <c r="U473" s="273"/>
      <c r="V473" s="273"/>
      <c r="W473" s="273"/>
      <c r="X473" s="19"/>
      <c r="Y473" s="19"/>
      <c r="Z473" s="19"/>
      <c r="AA473" s="19"/>
      <c r="AB473" s="19"/>
      <c r="AC473" s="19"/>
      <c r="AD473" s="19"/>
      <c r="AE473" s="15"/>
      <c r="AF473" s="15"/>
    </row>
    <row r="474" spans="1:32" x14ac:dyDescent="0.3">
      <c r="A474" s="10">
        <f>A471+1</f>
        <v>403</v>
      </c>
      <c r="B474" s="124" t="s">
        <v>646</v>
      </c>
      <c r="C474" s="273">
        <f t="shared" ref="C474:C505" si="114">D474+K474+L474+N474+R474+S474+U474+V474+W474</f>
        <v>309764.81</v>
      </c>
      <c r="D474" s="273">
        <f t="shared" ref="D474:D505" si="115">E474+F474+G474+H474+I474</f>
        <v>0</v>
      </c>
      <c r="E474" s="273"/>
      <c r="F474" s="273"/>
      <c r="G474" s="273"/>
      <c r="H474" s="273"/>
      <c r="I474" s="273"/>
      <c r="J474" s="273"/>
      <c r="K474" s="273"/>
      <c r="L474" s="273"/>
      <c r="M474" s="273"/>
      <c r="N474" s="273"/>
      <c r="O474" s="273"/>
      <c r="P474" s="273"/>
      <c r="Q474" s="273"/>
      <c r="R474" s="273"/>
      <c r="S474" s="273"/>
      <c r="T474" s="273"/>
      <c r="U474" s="273"/>
      <c r="V474" s="273"/>
      <c r="W474" s="273">
        <f t="shared" ref="W474:W505" si="116">SUM(Y474:AE474)</f>
        <v>309764.81</v>
      </c>
      <c r="X474" s="279"/>
      <c r="Y474" s="279"/>
      <c r="Z474" s="275"/>
      <c r="AC474" s="37">
        <v>95393.35</v>
      </c>
      <c r="AD474" s="279"/>
      <c r="AE474" s="279">
        <v>214371.46</v>
      </c>
      <c r="AF474" s="15"/>
    </row>
    <row r="475" spans="1:32" x14ac:dyDescent="0.3">
      <c r="A475" s="10">
        <f t="shared" ref="A475:A506" si="117">A474+1</f>
        <v>404</v>
      </c>
      <c r="B475" s="124" t="s">
        <v>647</v>
      </c>
      <c r="C475" s="273">
        <f t="shared" si="114"/>
        <v>177068.92</v>
      </c>
      <c r="D475" s="273">
        <f t="shared" si="115"/>
        <v>0</v>
      </c>
      <c r="E475" s="273"/>
      <c r="F475" s="273"/>
      <c r="G475" s="273"/>
      <c r="H475" s="273"/>
      <c r="I475" s="273"/>
      <c r="J475" s="273"/>
      <c r="K475" s="273"/>
      <c r="L475" s="273"/>
      <c r="M475" s="273"/>
      <c r="N475" s="273"/>
      <c r="O475" s="273"/>
      <c r="P475" s="273"/>
      <c r="Q475" s="273"/>
      <c r="R475" s="273"/>
      <c r="S475" s="273"/>
      <c r="T475" s="273"/>
      <c r="U475" s="273"/>
      <c r="V475" s="273"/>
      <c r="W475" s="273">
        <f t="shared" si="116"/>
        <v>177068.92</v>
      </c>
      <c r="X475" s="279"/>
      <c r="Y475" s="279"/>
      <c r="Z475" s="251"/>
      <c r="AC475" s="37"/>
      <c r="AD475" s="279"/>
      <c r="AE475" s="279">
        <v>177068.92</v>
      </c>
      <c r="AF475" s="15"/>
    </row>
    <row r="476" spans="1:32" x14ac:dyDescent="0.3">
      <c r="A476" s="10">
        <f t="shared" si="117"/>
        <v>405</v>
      </c>
      <c r="B476" s="124" t="s">
        <v>648</v>
      </c>
      <c r="C476" s="273">
        <f t="shared" si="114"/>
        <v>925396.91999999993</v>
      </c>
      <c r="D476" s="273">
        <f t="shared" si="115"/>
        <v>0</v>
      </c>
      <c r="E476" s="273"/>
      <c r="F476" s="273"/>
      <c r="G476" s="273"/>
      <c r="H476" s="273"/>
      <c r="I476" s="273"/>
      <c r="J476" s="273"/>
      <c r="K476" s="273"/>
      <c r="L476" s="273"/>
      <c r="M476" s="273"/>
      <c r="N476" s="273"/>
      <c r="O476" s="273"/>
      <c r="P476" s="273"/>
      <c r="Q476" s="273"/>
      <c r="R476" s="273"/>
      <c r="S476" s="273"/>
      <c r="T476" s="273"/>
      <c r="U476" s="273"/>
      <c r="V476" s="273"/>
      <c r="W476" s="273">
        <f t="shared" si="116"/>
        <v>925396.91999999993</v>
      </c>
      <c r="X476" s="279"/>
      <c r="Y476" s="279"/>
      <c r="Z476" s="251"/>
      <c r="AC476" s="37">
        <v>332918.23</v>
      </c>
      <c r="AD476" s="279"/>
      <c r="AE476" s="279">
        <v>592478.68999999994</v>
      </c>
      <c r="AF476" s="15"/>
    </row>
    <row r="477" spans="1:32" x14ac:dyDescent="0.3">
      <c r="A477" s="10">
        <f t="shared" si="117"/>
        <v>406</v>
      </c>
      <c r="B477" s="124" t="s">
        <v>649</v>
      </c>
      <c r="C477" s="273">
        <f t="shared" si="114"/>
        <v>937478.53</v>
      </c>
      <c r="D477" s="273">
        <f t="shared" si="115"/>
        <v>0</v>
      </c>
      <c r="E477" s="273"/>
      <c r="F477" s="273"/>
      <c r="G477" s="273"/>
      <c r="H477" s="273"/>
      <c r="I477" s="273"/>
      <c r="J477" s="273"/>
      <c r="K477" s="273"/>
      <c r="L477" s="273"/>
      <c r="M477" s="273"/>
      <c r="N477" s="273"/>
      <c r="O477" s="273"/>
      <c r="P477" s="273"/>
      <c r="Q477" s="273"/>
      <c r="R477" s="273"/>
      <c r="S477" s="273"/>
      <c r="T477" s="273"/>
      <c r="U477" s="273"/>
      <c r="V477" s="273"/>
      <c r="W477" s="273">
        <f t="shared" si="116"/>
        <v>937478.53</v>
      </c>
      <c r="X477" s="279"/>
      <c r="Y477" s="279"/>
      <c r="Z477" s="251"/>
      <c r="AC477" s="37">
        <v>343487.41</v>
      </c>
      <c r="AD477" s="279"/>
      <c r="AE477" s="279">
        <v>593991.12</v>
      </c>
      <c r="AF477" s="15"/>
    </row>
    <row r="478" spans="1:32" x14ac:dyDescent="0.3">
      <c r="A478" s="10">
        <f t="shared" si="117"/>
        <v>407</v>
      </c>
      <c r="B478" s="124" t="s">
        <v>650</v>
      </c>
      <c r="C478" s="273">
        <f t="shared" si="114"/>
        <v>370834.36</v>
      </c>
      <c r="D478" s="273">
        <f t="shared" si="115"/>
        <v>0</v>
      </c>
      <c r="E478" s="273"/>
      <c r="F478" s="273"/>
      <c r="G478" s="273"/>
      <c r="H478" s="273"/>
      <c r="I478" s="273"/>
      <c r="J478" s="273"/>
      <c r="K478" s="273"/>
      <c r="L478" s="273"/>
      <c r="M478" s="273"/>
      <c r="N478" s="273"/>
      <c r="O478" s="273"/>
      <c r="P478" s="273"/>
      <c r="Q478" s="273"/>
      <c r="R478" s="273"/>
      <c r="S478" s="273"/>
      <c r="T478" s="273"/>
      <c r="U478" s="273"/>
      <c r="V478" s="273"/>
      <c r="W478" s="273">
        <f t="shared" si="116"/>
        <v>370834.36</v>
      </c>
      <c r="X478" s="279"/>
      <c r="Y478" s="279"/>
      <c r="Z478" s="251"/>
      <c r="AC478" s="37">
        <v>121987.74</v>
      </c>
      <c r="AD478" s="279"/>
      <c r="AE478" s="279">
        <v>248846.62</v>
      </c>
      <c r="AF478" s="15"/>
    </row>
    <row r="479" spans="1:32" x14ac:dyDescent="0.3">
      <c r="A479" s="10">
        <f t="shared" si="117"/>
        <v>408</v>
      </c>
      <c r="B479" s="124" t="s">
        <v>651</v>
      </c>
      <c r="C479" s="273">
        <f t="shared" si="114"/>
        <v>397015.91</v>
      </c>
      <c r="D479" s="273">
        <f t="shared" si="115"/>
        <v>0</v>
      </c>
      <c r="E479" s="273"/>
      <c r="F479" s="273"/>
      <c r="G479" s="273"/>
      <c r="H479" s="273"/>
      <c r="I479" s="273"/>
      <c r="J479" s="273"/>
      <c r="K479" s="273"/>
      <c r="L479" s="273"/>
      <c r="M479" s="273"/>
      <c r="N479" s="273"/>
      <c r="O479" s="273"/>
      <c r="P479" s="273"/>
      <c r="Q479" s="273"/>
      <c r="R479" s="273"/>
      <c r="S479" s="273"/>
      <c r="T479" s="273"/>
      <c r="U479" s="273"/>
      <c r="V479" s="273"/>
      <c r="W479" s="273">
        <f t="shared" si="116"/>
        <v>397015.91</v>
      </c>
      <c r="X479" s="279"/>
      <c r="Y479" s="279"/>
      <c r="Z479" s="251"/>
      <c r="AC479" s="37">
        <v>130724.92</v>
      </c>
      <c r="AD479" s="279"/>
      <c r="AE479" s="279">
        <v>266290.99</v>
      </c>
      <c r="AF479" s="15"/>
    </row>
    <row r="480" spans="1:32" x14ac:dyDescent="0.3">
      <c r="A480" s="10">
        <f t="shared" si="117"/>
        <v>409</v>
      </c>
      <c r="B480" s="124" t="s">
        <v>652</v>
      </c>
      <c r="C480" s="273">
        <f t="shared" si="114"/>
        <v>586429.75</v>
      </c>
      <c r="D480" s="273">
        <f t="shared" si="115"/>
        <v>0</v>
      </c>
      <c r="E480" s="273"/>
      <c r="F480" s="273"/>
      <c r="G480" s="273"/>
      <c r="H480" s="273"/>
      <c r="I480" s="273"/>
      <c r="J480" s="273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>
        <f t="shared" si="116"/>
        <v>586429.75</v>
      </c>
      <c r="X480" s="279"/>
      <c r="Y480" s="279"/>
      <c r="Z480" s="251"/>
      <c r="AC480" s="37">
        <v>208262.27</v>
      </c>
      <c r="AD480" s="279"/>
      <c r="AE480" s="279">
        <v>378167.48</v>
      </c>
      <c r="AF480" s="15"/>
    </row>
    <row r="481" spans="1:32" x14ac:dyDescent="0.3">
      <c r="A481" s="10">
        <f t="shared" si="117"/>
        <v>410</v>
      </c>
      <c r="B481" s="124" t="s">
        <v>653</v>
      </c>
      <c r="C481" s="273">
        <f t="shared" si="114"/>
        <v>448732.87</v>
      </c>
      <c r="D481" s="273">
        <f t="shared" si="115"/>
        <v>0</v>
      </c>
      <c r="E481" s="273"/>
      <c r="F481" s="273"/>
      <c r="G481" s="273"/>
      <c r="H481" s="273"/>
      <c r="I481" s="273"/>
      <c r="J481" s="273"/>
      <c r="K481" s="273"/>
      <c r="L481" s="273"/>
      <c r="M481" s="273"/>
      <c r="N481" s="273"/>
      <c r="O481" s="273"/>
      <c r="P481" s="273"/>
      <c r="Q481" s="273"/>
      <c r="R481" s="273"/>
      <c r="S481" s="273"/>
      <c r="T481" s="273"/>
      <c r="U481" s="273"/>
      <c r="V481" s="273"/>
      <c r="W481" s="273">
        <f t="shared" si="116"/>
        <v>448732.87</v>
      </c>
      <c r="X481" s="279"/>
      <c r="Y481" s="279"/>
      <c r="Z481" s="251"/>
      <c r="AC481" s="37"/>
      <c r="AD481" s="279"/>
      <c r="AE481" s="279">
        <v>448732.87</v>
      </c>
      <c r="AF481" s="15"/>
    </row>
    <row r="482" spans="1:32" x14ac:dyDescent="0.3">
      <c r="A482" s="10">
        <f t="shared" si="117"/>
        <v>411</v>
      </c>
      <c r="B482" s="124" t="s">
        <v>654</v>
      </c>
      <c r="C482" s="273">
        <f t="shared" si="114"/>
        <v>798929.5</v>
      </c>
      <c r="D482" s="273">
        <f t="shared" si="115"/>
        <v>0</v>
      </c>
      <c r="E482" s="273"/>
      <c r="F482" s="273"/>
      <c r="G482" s="273"/>
      <c r="H482" s="273"/>
      <c r="I482" s="273"/>
      <c r="J482" s="273"/>
      <c r="K482" s="273"/>
      <c r="L482" s="273"/>
      <c r="M482" s="273"/>
      <c r="N482" s="273"/>
      <c r="O482" s="273"/>
      <c r="P482" s="273"/>
      <c r="Q482" s="273"/>
      <c r="R482" s="273"/>
      <c r="S482" s="273"/>
      <c r="T482" s="273"/>
      <c r="U482" s="273"/>
      <c r="V482" s="273"/>
      <c r="W482" s="273">
        <f t="shared" si="116"/>
        <v>798929.5</v>
      </c>
      <c r="X482" s="279"/>
      <c r="Y482" s="279"/>
      <c r="Z482" s="251"/>
      <c r="AC482" s="37">
        <v>285298.78999999998</v>
      </c>
      <c r="AD482" s="279"/>
      <c r="AE482" s="279">
        <v>513630.71</v>
      </c>
      <c r="AF482" s="15"/>
    </row>
    <row r="483" spans="1:32" x14ac:dyDescent="0.3">
      <c r="A483" s="10">
        <f t="shared" si="117"/>
        <v>412</v>
      </c>
      <c r="B483" s="124" t="s">
        <v>655</v>
      </c>
      <c r="C483" s="273">
        <f t="shared" si="114"/>
        <v>211566.49</v>
      </c>
      <c r="D483" s="273">
        <f t="shared" si="115"/>
        <v>0</v>
      </c>
      <c r="E483" s="273"/>
      <c r="F483" s="273"/>
      <c r="G483" s="273"/>
      <c r="H483" s="273"/>
      <c r="I483" s="273"/>
      <c r="J483" s="273"/>
      <c r="K483" s="273"/>
      <c r="L483" s="273"/>
      <c r="M483" s="273"/>
      <c r="N483" s="273"/>
      <c r="O483" s="273"/>
      <c r="P483" s="273"/>
      <c r="Q483" s="273"/>
      <c r="R483" s="273"/>
      <c r="S483" s="273"/>
      <c r="T483" s="273"/>
      <c r="U483" s="273"/>
      <c r="V483" s="273"/>
      <c r="W483" s="273">
        <f t="shared" si="116"/>
        <v>211566.49</v>
      </c>
      <c r="X483" s="279"/>
      <c r="Y483" s="279"/>
      <c r="Z483" s="251"/>
      <c r="AC483" s="37">
        <v>211566.49</v>
      </c>
      <c r="AD483" s="279"/>
      <c r="AE483" s="279"/>
      <c r="AF483" s="15"/>
    </row>
    <row r="484" spans="1:32" x14ac:dyDescent="0.3">
      <c r="A484" s="10">
        <f t="shared" si="117"/>
        <v>413</v>
      </c>
      <c r="B484" s="124" t="s">
        <v>656</v>
      </c>
      <c r="C484" s="273">
        <f t="shared" si="114"/>
        <v>492621.74</v>
      </c>
      <c r="D484" s="273">
        <f t="shared" si="115"/>
        <v>0</v>
      </c>
      <c r="E484" s="273"/>
      <c r="F484" s="273"/>
      <c r="G484" s="273"/>
      <c r="H484" s="273"/>
      <c r="I484" s="273"/>
      <c r="J484" s="273"/>
      <c r="K484" s="273"/>
      <c r="L484" s="273"/>
      <c r="M484" s="273"/>
      <c r="N484" s="273"/>
      <c r="O484" s="273"/>
      <c r="P484" s="273"/>
      <c r="Q484" s="273"/>
      <c r="R484" s="273"/>
      <c r="S484" s="273"/>
      <c r="T484" s="273"/>
      <c r="U484" s="273"/>
      <c r="V484" s="273"/>
      <c r="W484" s="273">
        <f t="shared" si="116"/>
        <v>492621.74</v>
      </c>
      <c r="X484" s="279"/>
      <c r="Y484" s="279"/>
      <c r="Z484" s="251"/>
      <c r="AC484" s="37">
        <v>169923.94</v>
      </c>
      <c r="AD484" s="279"/>
      <c r="AE484" s="279">
        <v>322697.8</v>
      </c>
      <c r="AF484" s="15"/>
    </row>
    <row r="485" spans="1:32" x14ac:dyDescent="0.3">
      <c r="A485" s="10">
        <f t="shared" si="117"/>
        <v>414</v>
      </c>
      <c r="B485" s="124" t="s">
        <v>657</v>
      </c>
      <c r="C485" s="273">
        <f t="shared" si="114"/>
        <v>170083.96</v>
      </c>
      <c r="D485" s="273">
        <f t="shared" si="115"/>
        <v>0</v>
      </c>
      <c r="E485" s="273"/>
      <c r="F485" s="273"/>
      <c r="G485" s="273"/>
      <c r="H485" s="273"/>
      <c r="I485" s="273"/>
      <c r="J485" s="273"/>
      <c r="K485" s="273"/>
      <c r="L485" s="273"/>
      <c r="M485" s="273"/>
      <c r="N485" s="273"/>
      <c r="O485" s="273"/>
      <c r="P485" s="273"/>
      <c r="Q485" s="273"/>
      <c r="R485" s="273"/>
      <c r="S485" s="273"/>
      <c r="T485" s="273"/>
      <c r="U485" s="273"/>
      <c r="V485" s="273"/>
      <c r="W485" s="273">
        <f t="shared" si="116"/>
        <v>170083.96</v>
      </c>
      <c r="X485" s="279"/>
      <c r="Y485" s="279"/>
      <c r="Z485" s="251"/>
      <c r="AC485" s="37">
        <v>170083.96</v>
      </c>
      <c r="AD485" s="279"/>
      <c r="AE485" s="279"/>
      <c r="AF485" s="15"/>
    </row>
    <row r="486" spans="1:32" x14ac:dyDescent="0.3">
      <c r="A486" s="10">
        <f t="shared" si="117"/>
        <v>415</v>
      </c>
      <c r="B486" s="124" t="s">
        <v>658</v>
      </c>
      <c r="C486" s="273">
        <f t="shared" si="114"/>
        <v>289142.48</v>
      </c>
      <c r="D486" s="273">
        <f t="shared" si="115"/>
        <v>0</v>
      </c>
      <c r="E486" s="273"/>
      <c r="F486" s="273"/>
      <c r="G486" s="273"/>
      <c r="H486" s="273"/>
      <c r="I486" s="273"/>
      <c r="J486" s="273"/>
      <c r="K486" s="273"/>
      <c r="L486" s="273"/>
      <c r="M486" s="273"/>
      <c r="N486" s="273"/>
      <c r="O486" s="273"/>
      <c r="P486" s="273"/>
      <c r="Q486" s="273"/>
      <c r="R486" s="273"/>
      <c r="S486" s="273"/>
      <c r="T486" s="273"/>
      <c r="U486" s="273"/>
      <c r="V486" s="273"/>
      <c r="W486" s="273">
        <f t="shared" si="116"/>
        <v>289142.48</v>
      </c>
      <c r="X486" s="279"/>
      <c r="Y486" s="279"/>
      <c r="Z486" s="251"/>
      <c r="AC486" s="37">
        <v>289142.48</v>
      </c>
      <c r="AD486" s="279"/>
      <c r="AE486" s="279"/>
      <c r="AF486" s="15"/>
    </row>
    <row r="487" spans="1:32" x14ac:dyDescent="0.3">
      <c r="A487" s="10">
        <f t="shared" si="117"/>
        <v>416</v>
      </c>
      <c r="B487" s="124" t="s">
        <v>659</v>
      </c>
      <c r="C487" s="273">
        <f t="shared" si="114"/>
        <v>194211.59</v>
      </c>
      <c r="D487" s="273">
        <f t="shared" si="115"/>
        <v>0</v>
      </c>
      <c r="E487" s="273"/>
      <c r="F487" s="273"/>
      <c r="G487" s="273"/>
      <c r="H487" s="273"/>
      <c r="I487" s="273"/>
      <c r="J487" s="273"/>
      <c r="K487" s="273"/>
      <c r="L487" s="273"/>
      <c r="M487" s="273"/>
      <c r="N487" s="273"/>
      <c r="O487" s="273"/>
      <c r="P487" s="273"/>
      <c r="Q487" s="273"/>
      <c r="R487" s="273"/>
      <c r="S487" s="273"/>
      <c r="T487" s="273"/>
      <c r="U487" s="273"/>
      <c r="V487" s="273"/>
      <c r="W487" s="273">
        <f t="shared" si="116"/>
        <v>194211.59</v>
      </c>
      <c r="X487" s="279"/>
      <c r="Y487" s="279"/>
      <c r="Z487" s="251"/>
      <c r="AC487" s="37">
        <v>194211.59</v>
      </c>
      <c r="AD487" s="279"/>
      <c r="AE487" s="279"/>
      <c r="AF487" s="15"/>
    </row>
    <row r="488" spans="1:32" x14ac:dyDescent="0.3">
      <c r="A488" s="10">
        <f t="shared" si="117"/>
        <v>417</v>
      </c>
      <c r="B488" s="124" t="s">
        <v>660</v>
      </c>
      <c r="C488" s="273">
        <f t="shared" si="114"/>
        <v>578747.56000000006</v>
      </c>
      <c r="D488" s="273">
        <f t="shared" si="115"/>
        <v>0</v>
      </c>
      <c r="E488" s="273"/>
      <c r="F488" s="273"/>
      <c r="G488" s="273"/>
      <c r="H488" s="273"/>
      <c r="I488" s="273"/>
      <c r="J488" s="273"/>
      <c r="K488" s="273"/>
      <c r="L488" s="273"/>
      <c r="M488" s="273"/>
      <c r="N488" s="273"/>
      <c r="O488" s="273"/>
      <c r="P488" s="273"/>
      <c r="Q488" s="273"/>
      <c r="R488" s="273"/>
      <c r="S488" s="273"/>
      <c r="T488" s="273"/>
      <c r="U488" s="273"/>
      <c r="V488" s="273"/>
      <c r="W488" s="273">
        <f t="shared" si="116"/>
        <v>578747.56000000006</v>
      </c>
      <c r="X488" s="279"/>
      <c r="Y488" s="279"/>
      <c r="Z488" s="251"/>
      <c r="AC488" s="37">
        <v>198797.8</v>
      </c>
      <c r="AD488" s="279"/>
      <c r="AE488" s="279">
        <v>379949.76</v>
      </c>
      <c r="AF488" s="15"/>
    </row>
    <row r="489" spans="1:32" x14ac:dyDescent="0.3">
      <c r="A489" s="10">
        <f t="shared" si="117"/>
        <v>418</v>
      </c>
      <c r="B489" s="124" t="s">
        <v>661</v>
      </c>
      <c r="C489" s="273">
        <f t="shared" si="114"/>
        <v>1012985.14</v>
      </c>
      <c r="D489" s="273">
        <f t="shared" si="115"/>
        <v>0</v>
      </c>
      <c r="E489" s="273"/>
      <c r="F489" s="273"/>
      <c r="G489" s="273"/>
      <c r="H489" s="273"/>
      <c r="I489" s="273"/>
      <c r="J489" s="273"/>
      <c r="K489" s="273"/>
      <c r="L489" s="273"/>
      <c r="M489" s="273"/>
      <c r="N489" s="273"/>
      <c r="O489" s="273"/>
      <c r="P489" s="273"/>
      <c r="Q489" s="273"/>
      <c r="R489" s="273"/>
      <c r="S489" s="273"/>
      <c r="T489" s="273"/>
      <c r="U489" s="273"/>
      <c r="V489" s="273"/>
      <c r="W489" s="273">
        <f t="shared" si="116"/>
        <v>1012985.14</v>
      </c>
      <c r="X489" s="279"/>
      <c r="Y489" s="279"/>
      <c r="Z489" s="251"/>
      <c r="AC489" s="37">
        <v>390640.01</v>
      </c>
      <c r="AD489" s="279"/>
      <c r="AE489" s="279">
        <v>622345.13</v>
      </c>
      <c r="AF489" s="15"/>
    </row>
    <row r="490" spans="1:32" x14ac:dyDescent="0.3">
      <c r="A490" s="10">
        <f t="shared" si="117"/>
        <v>419</v>
      </c>
      <c r="B490" s="124" t="s">
        <v>662</v>
      </c>
      <c r="C490" s="273">
        <f t="shared" si="114"/>
        <v>925396.91999999993</v>
      </c>
      <c r="D490" s="273">
        <f t="shared" si="115"/>
        <v>0</v>
      </c>
      <c r="E490" s="273"/>
      <c r="F490" s="273"/>
      <c r="G490" s="273"/>
      <c r="H490" s="273"/>
      <c r="I490" s="273"/>
      <c r="J490" s="273"/>
      <c r="K490" s="273"/>
      <c r="L490" s="273"/>
      <c r="M490" s="273"/>
      <c r="N490" s="273"/>
      <c r="O490" s="273"/>
      <c r="P490" s="273"/>
      <c r="Q490" s="273"/>
      <c r="R490" s="273"/>
      <c r="S490" s="273"/>
      <c r="T490" s="273"/>
      <c r="U490" s="273"/>
      <c r="V490" s="273"/>
      <c r="W490" s="273">
        <f t="shared" si="116"/>
        <v>925396.91999999993</v>
      </c>
      <c r="X490" s="279"/>
      <c r="Y490" s="279"/>
      <c r="Z490" s="251"/>
      <c r="AC490" s="37">
        <v>332918.23</v>
      </c>
      <c r="AD490" s="279"/>
      <c r="AE490" s="279">
        <v>592478.68999999994</v>
      </c>
      <c r="AF490" s="15"/>
    </row>
    <row r="491" spans="1:32" x14ac:dyDescent="0.3">
      <c r="A491" s="10">
        <f t="shared" si="117"/>
        <v>420</v>
      </c>
      <c r="B491" s="124" t="s">
        <v>663</v>
      </c>
      <c r="C491" s="273">
        <f t="shared" si="114"/>
        <v>900163.65</v>
      </c>
      <c r="D491" s="273">
        <f t="shared" si="115"/>
        <v>0</v>
      </c>
      <c r="E491" s="273"/>
      <c r="F491" s="273"/>
      <c r="G491" s="273"/>
      <c r="H491" s="273"/>
      <c r="I491" s="273"/>
      <c r="J491" s="273"/>
      <c r="K491" s="273"/>
      <c r="L491" s="273"/>
      <c r="M491" s="273"/>
      <c r="N491" s="273"/>
      <c r="O491" s="273"/>
      <c r="P491" s="273"/>
      <c r="Q491" s="273"/>
      <c r="R491" s="273"/>
      <c r="S491" s="273"/>
      <c r="T491" s="273"/>
      <c r="U491" s="273"/>
      <c r="V491" s="273"/>
      <c r="W491" s="273">
        <f t="shared" si="116"/>
        <v>900163.65</v>
      </c>
      <c r="X491" s="279"/>
      <c r="Y491" s="279"/>
      <c r="Z491" s="251"/>
      <c r="AC491" s="37">
        <v>323476.40000000002</v>
      </c>
      <c r="AD491" s="279"/>
      <c r="AE491" s="279">
        <v>576687.25</v>
      </c>
      <c r="AF491" s="15"/>
    </row>
    <row r="492" spans="1:32" x14ac:dyDescent="0.3">
      <c r="A492" s="10">
        <f t="shared" si="117"/>
        <v>421</v>
      </c>
      <c r="B492" s="124" t="s">
        <v>664</v>
      </c>
      <c r="C492" s="273">
        <f t="shared" si="114"/>
        <v>433490.76</v>
      </c>
      <c r="D492" s="273">
        <f t="shared" si="115"/>
        <v>0</v>
      </c>
      <c r="E492" s="273"/>
      <c r="F492" s="273"/>
      <c r="G492" s="273"/>
      <c r="H492" s="273"/>
      <c r="I492" s="273"/>
      <c r="J492" s="273"/>
      <c r="K492" s="273"/>
      <c r="L492" s="273"/>
      <c r="M492" s="273"/>
      <c r="N492" s="273"/>
      <c r="O492" s="273"/>
      <c r="P492" s="273"/>
      <c r="Q492" s="273"/>
      <c r="R492" s="273"/>
      <c r="S492" s="273"/>
      <c r="T492" s="273"/>
      <c r="U492" s="273"/>
      <c r="V492" s="273"/>
      <c r="W492" s="273">
        <f t="shared" si="116"/>
        <v>433490.76</v>
      </c>
      <c r="X492" s="279"/>
      <c r="Y492" s="279"/>
      <c r="Z492" s="251"/>
      <c r="AC492" s="37">
        <v>146140.04</v>
      </c>
      <c r="AD492" s="279"/>
      <c r="AE492" s="279">
        <v>287350.71999999997</v>
      </c>
      <c r="AF492" s="15"/>
    </row>
    <row r="493" spans="1:32" x14ac:dyDescent="0.3">
      <c r="A493" s="10">
        <f t="shared" si="117"/>
        <v>422</v>
      </c>
      <c r="B493" s="124" t="s">
        <v>665</v>
      </c>
      <c r="C493" s="273">
        <f t="shared" si="114"/>
        <v>327255.52</v>
      </c>
      <c r="D493" s="273">
        <f t="shared" si="115"/>
        <v>0</v>
      </c>
      <c r="E493" s="273"/>
      <c r="F493" s="273"/>
      <c r="G493" s="273"/>
      <c r="H493" s="273"/>
      <c r="I493" s="273"/>
      <c r="J493" s="273"/>
      <c r="K493" s="273"/>
      <c r="L493" s="273"/>
      <c r="M493" s="273"/>
      <c r="N493" s="273"/>
      <c r="O493" s="273"/>
      <c r="P493" s="273"/>
      <c r="Q493" s="273"/>
      <c r="R493" s="273"/>
      <c r="S493" s="273"/>
      <c r="T493" s="273"/>
      <c r="U493" s="273"/>
      <c r="V493" s="273"/>
      <c r="W493" s="273">
        <f t="shared" si="116"/>
        <v>327255.52</v>
      </c>
      <c r="X493" s="279"/>
      <c r="Y493" s="279"/>
      <c r="Z493" s="251"/>
      <c r="AC493" s="37">
        <v>106596.14</v>
      </c>
      <c r="AD493" s="279"/>
      <c r="AE493" s="279">
        <v>220659.38</v>
      </c>
      <c r="AF493" s="15"/>
    </row>
    <row r="494" spans="1:32" x14ac:dyDescent="0.3">
      <c r="A494" s="10">
        <f t="shared" si="117"/>
        <v>423</v>
      </c>
      <c r="B494" s="124" t="s">
        <v>666</v>
      </c>
      <c r="C494" s="273">
        <f t="shared" si="114"/>
        <v>104588.14</v>
      </c>
      <c r="D494" s="273">
        <f t="shared" si="115"/>
        <v>0</v>
      </c>
      <c r="E494" s="273"/>
      <c r="F494" s="273"/>
      <c r="G494" s="273"/>
      <c r="H494" s="273"/>
      <c r="I494" s="273"/>
      <c r="J494" s="273"/>
      <c r="K494" s="273"/>
      <c r="L494" s="273"/>
      <c r="M494" s="273"/>
      <c r="N494" s="273"/>
      <c r="O494" s="273"/>
      <c r="P494" s="273"/>
      <c r="Q494" s="273"/>
      <c r="R494" s="273"/>
      <c r="S494" s="273"/>
      <c r="T494" s="273"/>
      <c r="U494" s="273"/>
      <c r="V494" s="273"/>
      <c r="W494" s="273">
        <f t="shared" si="116"/>
        <v>104588.14</v>
      </c>
      <c r="X494" s="279"/>
      <c r="Y494" s="279"/>
      <c r="Z494" s="251"/>
      <c r="AC494" s="37">
        <v>104588.14</v>
      </c>
      <c r="AD494" s="279"/>
      <c r="AE494" s="279"/>
      <c r="AF494" s="15"/>
    </row>
    <row r="495" spans="1:32" x14ac:dyDescent="0.3">
      <c r="A495" s="10">
        <f t="shared" si="117"/>
        <v>424</v>
      </c>
      <c r="B495" s="124" t="s">
        <v>667</v>
      </c>
      <c r="C495" s="273">
        <f t="shared" si="114"/>
        <v>303294.8</v>
      </c>
      <c r="D495" s="273">
        <f t="shared" si="115"/>
        <v>0</v>
      </c>
      <c r="E495" s="273"/>
      <c r="F495" s="273"/>
      <c r="G495" s="273"/>
      <c r="H495" s="273"/>
      <c r="I495" s="273"/>
      <c r="J495" s="273"/>
      <c r="K495" s="273"/>
      <c r="L495" s="273"/>
      <c r="M495" s="273"/>
      <c r="N495" s="273"/>
      <c r="O495" s="273"/>
      <c r="P495" s="273"/>
      <c r="Q495" s="273"/>
      <c r="R495" s="273"/>
      <c r="S495" s="273"/>
      <c r="T495" s="273"/>
      <c r="U495" s="273"/>
      <c r="V495" s="273"/>
      <c r="W495" s="273">
        <f t="shared" si="116"/>
        <v>303294.8</v>
      </c>
      <c r="X495" s="279"/>
      <c r="Y495" s="279"/>
      <c r="Z495" s="251"/>
      <c r="AC495" s="37">
        <v>106041.24</v>
      </c>
      <c r="AD495" s="279"/>
      <c r="AE495" s="279">
        <v>197253.56</v>
      </c>
      <c r="AF495" s="15"/>
    </row>
    <row r="496" spans="1:32" x14ac:dyDescent="0.3">
      <c r="A496" s="10">
        <f t="shared" si="117"/>
        <v>425</v>
      </c>
      <c r="B496" s="124" t="s">
        <v>668</v>
      </c>
      <c r="C496" s="273">
        <f t="shared" si="114"/>
        <v>305472.25</v>
      </c>
      <c r="D496" s="273">
        <f t="shared" si="115"/>
        <v>0</v>
      </c>
      <c r="E496" s="273"/>
      <c r="F496" s="273"/>
      <c r="G496" s="273"/>
      <c r="H496" s="273"/>
      <c r="I496" s="273"/>
      <c r="J496" s="273"/>
      <c r="K496" s="273"/>
      <c r="L496" s="273"/>
      <c r="M496" s="273"/>
      <c r="N496" s="273"/>
      <c r="O496" s="273"/>
      <c r="P496" s="273"/>
      <c r="Q496" s="273"/>
      <c r="R496" s="273"/>
      <c r="S496" s="273"/>
      <c r="T496" s="273"/>
      <c r="U496" s="273"/>
      <c r="V496" s="273"/>
      <c r="W496" s="273">
        <f t="shared" si="116"/>
        <v>305472.25</v>
      </c>
      <c r="X496" s="279"/>
      <c r="Y496" s="279"/>
      <c r="Z496" s="251"/>
      <c r="AC496" s="37">
        <v>106887</v>
      </c>
      <c r="AD496" s="279"/>
      <c r="AE496" s="279">
        <v>198585.25</v>
      </c>
      <c r="AF496" s="15"/>
    </row>
    <row r="497" spans="1:32" x14ac:dyDescent="0.3">
      <c r="A497" s="10">
        <f t="shared" si="117"/>
        <v>426</v>
      </c>
      <c r="B497" s="124" t="s">
        <v>669</v>
      </c>
      <c r="C497" s="273">
        <f t="shared" si="114"/>
        <v>351731.98</v>
      </c>
      <c r="D497" s="273">
        <f t="shared" si="115"/>
        <v>0</v>
      </c>
      <c r="E497" s="273"/>
      <c r="F497" s="273"/>
      <c r="G497" s="273"/>
      <c r="H497" s="273"/>
      <c r="I497" s="273"/>
      <c r="J497" s="273"/>
      <c r="K497" s="273"/>
      <c r="L497" s="273"/>
      <c r="M497" s="273"/>
      <c r="N497" s="273"/>
      <c r="O497" s="273"/>
      <c r="P497" s="273"/>
      <c r="Q497" s="273"/>
      <c r="R497" s="273"/>
      <c r="S497" s="273"/>
      <c r="T497" s="273"/>
      <c r="U497" s="273"/>
      <c r="V497" s="273"/>
      <c r="W497" s="273">
        <f t="shared" si="116"/>
        <v>351731.98</v>
      </c>
      <c r="X497" s="279"/>
      <c r="Y497" s="279"/>
      <c r="Z497" s="251"/>
      <c r="AC497" s="37">
        <v>117234.64</v>
      </c>
      <c r="AD497" s="279"/>
      <c r="AE497" s="279">
        <v>234497.34</v>
      </c>
      <c r="AF497" s="15"/>
    </row>
    <row r="498" spans="1:32" x14ac:dyDescent="0.3">
      <c r="A498" s="10">
        <f t="shared" si="117"/>
        <v>427</v>
      </c>
      <c r="B498" s="124" t="s">
        <v>670</v>
      </c>
      <c r="C498" s="273">
        <f t="shared" si="114"/>
        <v>367212.67000000004</v>
      </c>
      <c r="D498" s="273">
        <f t="shared" si="115"/>
        <v>0</v>
      </c>
      <c r="E498" s="273"/>
      <c r="F498" s="273"/>
      <c r="G498" s="273"/>
      <c r="H498" s="273"/>
      <c r="I498" s="273"/>
      <c r="J498" s="273"/>
      <c r="K498" s="273"/>
      <c r="L498" s="273"/>
      <c r="M498" s="273"/>
      <c r="N498" s="273"/>
      <c r="O498" s="273"/>
      <c r="P498" s="273"/>
      <c r="Q498" s="273"/>
      <c r="R498" s="273"/>
      <c r="S498" s="273"/>
      <c r="T498" s="273"/>
      <c r="U498" s="273"/>
      <c r="V498" s="273"/>
      <c r="W498" s="273">
        <f t="shared" si="116"/>
        <v>367212.67000000004</v>
      </c>
      <c r="X498" s="279"/>
      <c r="Y498" s="279"/>
      <c r="Z498" s="251"/>
      <c r="AC498" s="37">
        <v>128457.13</v>
      </c>
      <c r="AD498" s="279"/>
      <c r="AE498" s="279">
        <v>238755.54</v>
      </c>
      <c r="AF498" s="15"/>
    </row>
    <row r="499" spans="1:32" x14ac:dyDescent="0.3">
      <c r="A499" s="10">
        <f t="shared" si="117"/>
        <v>428</v>
      </c>
      <c r="B499" s="124" t="s">
        <v>672</v>
      </c>
      <c r="C499" s="273">
        <f t="shared" si="114"/>
        <v>746384.31</v>
      </c>
      <c r="D499" s="273">
        <f t="shared" si="115"/>
        <v>0</v>
      </c>
      <c r="E499" s="273"/>
      <c r="F499" s="273"/>
      <c r="G499" s="273"/>
      <c r="H499" s="273"/>
      <c r="I499" s="273"/>
      <c r="J499" s="273"/>
      <c r="K499" s="273"/>
      <c r="L499" s="273"/>
      <c r="M499" s="273"/>
      <c r="N499" s="273"/>
      <c r="O499" s="273"/>
      <c r="P499" s="273"/>
      <c r="Q499" s="273"/>
      <c r="R499" s="273"/>
      <c r="S499" s="273"/>
      <c r="T499" s="273"/>
      <c r="U499" s="273"/>
      <c r="V499" s="273"/>
      <c r="W499" s="273">
        <f t="shared" si="116"/>
        <v>746384.31</v>
      </c>
      <c r="X499" s="279"/>
      <c r="Y499" s="279"/>
      <c r="Z499" s="251"/>
      <c r="AC499" s="37">
        <v>261105.68</v>
      </c>
      <c r="AD499" s="279"/>
      <c r="AE499" s="279">
        <v>485278.63</v>
      </c>
      <c r="AF499" s="15"/>
    </row>
    <row r="500" spans="1:32" x14ac:dyDescent="0.3">
      <c r="A500" s="10">
        <f t="shared" si="117"/>
        <v>429</v>
      </c>
      <c r="B500" s="124" t="s">
        <v>673</v>
      </c>
      <c r="C500" s="273">
        <f t="shared" si="114"/>
        <v>313139.75</v>
      </c>
      <c r="D500" s="273">
        <f t="shared" si="115"/>
        <v>0</v>
      </c>
      <c r="E500" s="273"/>
      <c r="F500" s="273"/>
      <c r="G500" s="273"/>
      <c r="H500" s="273"/>
      <c r="I500" s="273"/>
      <c r="J500" s="273"/>
      <c r="K500" s="273"/>
      <c r="L500" s="273"/>
      <c r="M500" s="273"/>
      <c r="N500" s="273"/>
      <c r="O500" s="273"/>
      <c r="P500" s="273"/>
      <c r="Q500" s="273"/>
      <c r="R500" s="273"/>
      <c r="S500" s="273"/>
      <c r="T500" s="273"/>
      <c r="U500" s="273"/>
      <c r="V500" s="273"/>
      <c r="W500" s="273">
        <f t="shared" si="116"/>
        <v>313139.75</v>
      </c>
      <c r="X500" s="279"/>
      <c r="Y500" s="279"/>
      <c r="Z500" s="251"/>
      <c r="AC500" s="37">
        <v>108872.83</v>
      </c>
      <c r="AD500" s="279"/>
      <c r="AE500" s="279">
        <v>204266.92</v>
      </c>
      <c r="AF500" s="15"/>
    </row>
    <row r="501" spans="1:32" x14ac:dyDescent="0.3">
      <c r="A501" s="10">
        <f t="shared" si="117"/>
        <v>430</v>
      </c>
      <c r="B501" s="124" t="s">
        <v>674</v>
      </c>
      <c r="C501" s="273">
        <f t="shared" si="114"/>
        <v>476374.98</v>
      </c>
      <c r="D501" s="273">
        <f t="shared" si="115"/>
        <v>0</v>
      </c>
      <c r="E501" s="273"/>
      <c r="F501" s="273"/>
      <c r="G501" s="273"/>
      <c r="H501" s="273"/>
      <c r="I501" s="273"/>
      <c r="J501" s="273"/>
      <c r="K501" s="273"/>
      <c r="L501" s="273"/>
      <c r="M501" s="273"/>
      <c r="N501" s="273"/>
      <c r="O501" s="273"/>
      <c r="P501" s="273"/>
      <c r="Q501" s="273"/>
      <c r="R501" s="273"/>
      <c r="S501" s="273"/>
      <c r="T501" s="273"/>
      <c r="U501" s="273"/>
      <c r="V501" s="273"/>
      <c r="W501" s="273">
        <f t="shared" si="116"/>
        <v>476374.98</v>
      </c>
      <c r="X501" s="279"/>
      <c r="Y501" s="279"/>
      <c r="Z501" s="251"/>
      <c r="AC501" s="37">
        <v>161977.85</v>
      </c>
      <c r="AD501" s="279"/>
      <c r="AE501" s="279">
        <v>314397.13</v>
      </c>
      <c r="AF501" s="15"/>
    </row>
    <row r="502" spans="1:32" x14ac:dyDescent="0.3">
      <c r="A502" s="10">
        <f t="shared" si="117"/>
        <v>431</v>
      </c>
      <c r="B502" s="124" t="s">
        <v>675</v>
      </c>
      <c r="C502" s="273">
        <f t="shared" si="114"/>
        <v>298440.21999999997</v>
      </c>
      <c r="D502" s="273">
        <f t="shared" si="115"/>
        <v>0</v>
      </c>
      <c r="E502" s="273"/>
      <c r="F502" s="273"/>
      <c r="G502" s="273"/>
      <c r="H502" s="273"/>
      <c r="I502" s="273"/>
      <c r="J502" s="273"/>
      <c r="K502" s="273"/>
      <c r="L502" s="273"/>
      <c r="M502" s="273"/>
      <c r="N502" s="273"/>
      <c r="O502" s="273"/>
      <c r="P502" s="273"/>
      <c r="Q502" s="273"/>
      <c r="R502" s="273"/>
      <c r="S502" s="273"/>
      <c r="T502" s="273"/>
      <c r="U502" s="273"/>
      <c r="V502" s="273"/>
      <c r="W502" s="273">
        <f t="shared" si="116"/>
        <v>298440.21999999997</v>
      </c>
      <c r="X502" s="279"/>
      <c r="Y502" s="279"/>
      <c r="Z502" s="251"/>
      <c r="AC502" s="37">
        <v>105036.65</v>
      </c>
      <c r="AD502" s="279"/>
      <c r="AE502" s="279">
        <v>193403.57</v>
      </c>
      <c r="AF502" s="15"/>
    </row>
    <row r="503" spans="1:32" x14ac:dyDescent="0.3">
      <c r="A503" s="10">
        <f t="shared" si="117"/>
        <v>432</v>
      </c>
      <c r="B503" s="124" t="s">
        <v>676</v>
      </c>
      <c r="C503" s="273">
        <f t="shared" si="114"/>
        <v>108215.28</v>
      </c>
      <c r="D503" s="273">
        <f t="shared" si="115"/>
        <v>0</v>
      </c>
      <c r="E503" s="273"/>
      <c r="F503" s="273"/>
      <c r="G503" s="273"/>
      <c r="H503" s="273"/>
      <c r="I503" s="273"/>
      <c r="J503" s="273"/>
      <c r="K503" s="273"/>
      <c r="L503" s="273"/>
      <c r="M503" s="273"/>
      <c r="N503" s="273"/>
      <c r="O503" s="273"/>
      <c r="P503" s="273"/>
      <c r="Q503" s="273"/>
      <c r="R503" s="273"/>
      <c r="S503" s="273"/>
      <c r="T503" s="273"/>
      <c r="U503" s="273"/>
      <c r="V503" s="273"/>
      <c r="W503" s="273">
        <f t="shared" si="116"/>
        <v>108215.28</v>
      </c>
      <c r="X503" s="279"/>
      <c r="Y503" s="279"/>
      <c r="Z503" s="251"/>
      <c r="AC503" s="37">
        <v>108215.28</v>
      </c>
      <c r="AD503" s="279"/>
      <c r="AE503" s="279"/>
      <c r="AF503" s="15"/>
    </row>
    <row r="504" spans="1:32" x14ac:dyDescent="0.3">
      <c r="A504" s="10">
        <f t="shared" si="117"/>
        <v>433</v>
      </c>
      <c r="B504" s="124" t="s">
        <v>677</v>
      </c>
      <c r="C504" s="273">
        <f t="shared" si="114"/>
        <v>544506.9</v>
      </c>
      <c r="D504" s="273">
        <f t="shared" si="115"/>
        <v>0</v>
      </c>
      <c r="E504" s="273"/>
      <c r="F504" s="273"/>
      <c r="G504" s="273"/>
      <c r="H504" s="273"/>
      <c r="I504" s="273"/>
      <c r="J504" s="273"/>
      <c r="K504" s="273"/>
      <c r="L504" s="273"/>
      <c r="M504" s="273"/>
      <c r="N504" s="273"/>
      <c r="O504" s="273"/>
      <c r="P504" s="273"/>
      <c r="Q504" s="273"/>
      <c r="R504" s="273"/>
      <c r="S504" s="273"/>
      <c r="T504" s="273"/>
      <c r="U504" s="273"/>
      <c r="V504" s="273"/>
      <c r="W504" s="273">
        <f t="shared" si="116"/>
        <v>544506.9</v>
      </c>
      <c r="X504" s="279"/>
      <c r="Y504" s="279"/>
      <c r="Z504" s="251"/>
      <c r="AC504" s="37">
        <v>188593.08</v>
      </c>
      <c r="AD504" s="279"/>
      <c r="AE504" s="279">
        <v>355913.82</v>
      </c>
      <c r="AF504" s="15"/>
    </row>
    <row r="505" spans="1:32" x14ac:dyDescent="0.3">
      <c r="A505" s="10">
        <f t="shared" si="117"/>
        <v>434</v>
      </c>
      <c r="B505" s="124" t="s">
        <v>678</v>
      </c>
      <c r="C505" s="273">
        <f t="shared" si="114"/>
        <v>185283.35</v>
      </c>
      <c r="D505" s="273">
        <f t="shared" si="115"/>
        <v>0</v>
      </c>
      <c r="E505" s="273"/>
      <c r="F505" s="273"/>
      <c r="G505" s="273"/>
      <c r="H505" s="273"/>
      <c r="I505" s="273"/>
      <c r="J505" s="273"/>
      <c r="K505" s="273"/>
      <c r="L505" s="273"/>
      <c r="M505" s="273"/>
      <c r="N505" s="273"/>
      <c r="O505" s="273"/>
      <c r="P505" s="273"/>
      <c r="Q505" s="273"/>
      <c r="R505" s="273"/>
      <c r="S505" s="273"/>
      <c r="T505" s="273"/>
      <c r="U505" s="273"/>
      <c r="V505" s="273"/>
      <c r="W505" s="273">
        <f t="shared" si="116"/>
        <v>185283.35</v>
      </c>
      <c r="X505" s="279"/>
      <c r="Y505" s="279"/>
      <c r="Z505" s="251"/>
      <c r="AC505" s="37">
        <v>185283.35</v>
      </c>
      <c r="AD505" s="279"/>
      <c r="AE505" s="279"/>
      <c r="AF505" s="15"/>
    </row>
    <row r="506" spans="1:32" x14ac:dyDescent="0.3">
      <c r="A506" s="10">
        <f t="shared" si="117"/>
        <v>435</v>
      </c>
      <c r="B506" s="124" t="s">
        <v>679</v>
      </c>
      <c r="C506" s="273">
        <f t="shared" ref="C506:C533" si="118">D506+K506+L506+N506+R506+S506+U506+V506+W506</f>
        <v>107909.1</v>
      </c>
      <c r="D506" s="273">
        <f t="shared" ref="D506:D533" si="119">E506+F506+G506+H506+I506</f>
        <v>0</v>
      </c>
      <c r="E506" s="273"/>
      <c r="F506" s="273"/>
      <c r="G506" s="273"/>
      <c r="H506" s="273"/>
      <c r="I506" s="273"/>
      <c r="J506" s="273"/>
      <c r="K506" s="273"/>
      <c r="L506" s="273"/>
      <c r="M506" s="273"/>
      <c r="N506" s="273"/>
      <c r="O506" s="273"/>
      <c r="P506" s="273"/>
      <c r="Q506" s="273"/>
      <c r="R506" s="273"/>
      <c r="S506" s="273"/>
      <c r="T506" s="273"/>
      <c r="U506" s="273"/>
      <c r="V506" s="273"/>
      <c r="W506" s="273">
        <f t="shared" ref="W506:W533" si="120">SUM(Y506:AE506)</f>
        <v>107909.1</v>
      </c>
      <c r="X506" s="279"/>
      <c r="Y506" s="279"/>
      <c r="Z506" s="251"/>
      <c r="AC506" s="37">
        <v>107909.1</v>
      </c>
      <c r="AD506" s="279"/>
      <c r="AE506" s="279"/>
      <c r="AF506" s="15"/>
    </row>
    <row r="507" spans="1:32" x14ac:dyDescent="0.3">
      <c r="A507" s="10">
        <f t="shared" ref="A507:A533" si="121">A506+1</f>
        <v>436</v>
      </c>
      <c r="B507" s="124" t="s">
        <v>680</v>
      </c>
      <c r="C507" s="273">
        <f t="shared" si="118"/>
        <v>249612.83</v>
      </c>
      <c r="D507" s="273">
        <f t="shared" si="119"/>
        <v>0</v>
      </c>
      <c r="E507" s="273"/>
      <c r="F507" s="273"/>
      <c r="G507" s="273"/>
      <c r="H507" s="273"/>
      <c r="I507" s="273"/>
      <c r="J507" s="273"/>
      <c r="K507" s="273"/>
      <c r="L507" s="273"/>
      <c r="M507" s="273"/>
      <c r="N507" s="273"/>
      <c r="O507" s="273"/>
      <c r="P507" s="273"/>
      <c r="Q507" s="273"/>
      <c r="R507" s="273"/>
      <c r="S507" s="273"/>
      <c r="T507" s="273"/>
      <c r="U507" s="273"/>
      <c r="V507" s="273"/>
      <c r="W507" s="273">
        <f t="shared" si="120"/>
        <v>249612.83</v>
      </c>
      <c r="X507" s="279"/>
      <c r="Y507" s="279"/>
      <c r="Z507" s="251"/>
      <c r="AC507" s="37">
        <v>249612.83</v>
      </c>
      <c r="AD507" s="279"/>
      <c r="AE507" s="279"/>
      <c r="AF507" s="15"/>
    </row>
    <row r="508" spans="1:32" x14ac:dyDescent="0.3">
      <c r="A508" s="10">
        <f t="shared" si="121"/>
        <v>437</v>
      </c>
      <c r="B508" s="124" t="s">
        <v>681</v>
      </c>
      <c r="C508" s="273">
        <f t="shared" si="118"/>
        <v>578177.17999999993</v>
      </c>
      <c r="D508" s="273">
        <f t="shared" si="119"/>
        <v>0</v>
      </c>
      <c r="E508" s="273"/>
      <c r="F508" s="273"/>
      <c r="G508" s="273"/>
      <c r="H508" s="273"/>
      <c r="I508" s="273"/>
      <c r="J508" s="273"/>
      <c r="K508" s="273"/>
      <c r="L508" s="273"/>
      <c r="M508" s="273"/>
      <c r="N508" s="273"/>
      <c r="O508" s="273"/>
      <c r="P508" s="273"/>
      <c r="Q508" s="273"/>
      <c r="R508" s="273"/>
      <c r="S508" s="273"/>
      <c r="T508" s="273"/>
      <c r="U508" s="273"/>
      <c r="V508" s="273"/>
      <c r="W508" s="273">
        <f t="shared" si="120"/>
        <v>578177.17999999993</v>
      </c>
      <c r="X508" s="279"/>
      <c r="Y508" s="279"/>
      <c r="Z508" s="251"/>
      <c r="AC508" s="37">
        <v>208179.68</v>
      </c>
      <c r="AD508" s="279"/>
      <c r="AE508" s="279">
        <v>369997.5</v>
      </c>
      <c r="AF508" s="15"/>
    </row>
    <row r="509" spans="1:32" x14ac:dyDescent="0.3">
      <c r="A509" s="10">
        <f t="shared" si="121"/>
        <v>438</v>
      </c>
      <c r="B509" s="124" t="s">
        <v>682</v>
      </c>
      <c r="C509" s="273">
        <f t="shared" si="118"/>
        <v>771206.26</v>
      </c>
      <c r="D509" s="273">
        <f t="shared" si="119"/>
        <v>0</v>
      </c>
      <c r="E509" s="273"/>
      <c r="F509" s="273"/>
      <c r="G509" s="273"/>
      <c r="H509" s="273"/>
      <c r="I509" s="273"/>
      <c r="J509" s="273"/>
      <c r="K509" s="273"/>
      <c r="L509" s="273"/>
      <c r="M509" s="273"/>
      <c r="N509" s="273"/>
      <c r="O509" s="273"/>
      <c r="P509" s="273"/>
      <c r="Q509" s="273"/>
      <c r="R509" s="273"/>
      <c r="S509" s="273"/>
      <c r="T509" s="273"/>
      <c r="U509" s="273"/>
      <c r="V509" s="273"/>
      <c r="W509" s="273">
        <f t="shared" si="120"/>
        <v>771206.26</v>
      </c>
      <c r="X509" s="279"/>
      <c r="Y509" s="279"/>
      <c r="Z509" s="251"/>
      <c r="AC509" s="37">
        <v>280921.73</v>
      </c>
      <c r="AD509" s="279"/>
      <c r="AE509" s="279">
        <v>490284.53</v>
      </c>
      <c r="AF509" s="15"/>
    </row>
    <row r="510" spans="1:32" x14ac:dyDescent="0.3">
      <c r="A510" s="10">
        <f t="shared" si="121"/>
        <v>439</v>
      </c>
      <c r="B510" s="124" t="s">
        <v>683</v>
      </c>
      <c r="C510" s="273">
        <f t="shared" si="118"/>
        <v>249149.12</v>
      </c>
      <c r="D510" s="273">
        <f t="shared" si="119"/>
        <v>0</v>
      </c>
      <c r="E510" s="273"/>
      <c r="F510" s="273"/>
      <c r="G510" s="273"/>
      <c r="H510" s="273"/>
      <c r="I510" s="273"/>
      <c r="J510" s="273"/>
      <c r="K510" s="273"/>
      <c r="L510" s="273"/>
      <c r="M510" s="273"/>
      <c r="N510" s="273"/>
      <c r="O510" s="273"/>
      <c r="P510" s="273"/>
      <c r="Q510" s="273"/>
      <c r="R510" s="273"/>
      <c r="S510" s="273"/>
      <c r="T510" s="273"/>
      <c r="U510" s="273"/>
      <c r="V510" s="273"/>
      <c r="W510" s="273">
        <f t="shared" si="120"/>
        <v>249149.12</v>
      </c>
      <c r="X510" s="279"/>
      <c r="Y510" s="279"/>
      <c r="Z510" s="251"/>
      <c r="AC510" s="37">
        <v>249149.12</v>
      </c>
      <c r="AD510" s="279"/>
      <c r="AE510" s="279"/>
      <c r="AF510" s="15"/>
    </row>
    <row r="511" spans="1:32" x14ac:dyDescent="0.3">
      <c r="A511" s="10">
        <f t="shared" si="121"/>
        <v>440</v>
      </c>
      <c r="B511" s="124" t="s">
        <v>684</v>
      </c>
      <c r="C511" s="273">
        <f t="shared" si="118"/>
        <v>422436.68</v>
      </c>
      <c r="D511" s="273">
        <f t="shared" si="119"/>
        <v>0</v>
      </c>
      <c r="E511" s="273"/>
      <c r="F511" s="273"/>
      <c r="G511" s="273"/>
      <c r="H511" s="273"/>
      <c r="I511" s="273"/>
      <c r="J511" s="273"/>
      <c r="K511" s="273"/>
      <c r="L511" s="273"/>
      <c r="M511" s="273"/>
      <c r="N511" s="273"/>
      <c r="O511" s="273"/>
      <c r="P511" s="273"/>
      <c r="Q511" s="273"/>
      <c r="R511" s="273"/>
      <c r="S511" s="273"/>
      <c r="T511" s="273"/>
      <c r="U511" s="273"/>
      <c r="V511" s="273"/>
      <c r="W511" s="273">
        <f t="shared" si="120"/>
        <v>422436.68</v>
      </c>
      <c r="X511" s="279"/>
      <c r="Y511" s="279"/>
      <c r="Z511" s="251"/>
      <c r="AC511" s="37"/>
      <c r="AD511" s="279"/>
      <c r="AE511" s="279">
        <v>422436.68</v>
      </c>
      <c r="AF511" s="15"/>
    </row>
    <row r="512" spans="1:32" x14ac:dyDescent="0.3">
      <c r="A512" s="10">
        <f t="shared" si="121"/>
        <v>441</v>
      </c>
      <c r="B512" s="124" t="s">
        <v>685</v>
      </c>
      <c r="C512" s="273">
        <f t="shared" si="118"/>
        <v>446213.26</v>
      </c>
      <c r="D512" s="273">
        <f t="shared" si="119"/>
        <v>0</v>
      </c>
      <c r="E512" s="273"/>
      <c r="F512" s="273"/>
      <c r="G512" s="273"/>
      <c r="H512" s="273"/>
      <c r="I512" s="273"/>
      <c r="J512" s="273"/>
      <c r="K512" s="273"/>
      <c r="L512" s="273"/>
      <c r="M512" s="273"/>
      <c r="N512" s="273"/>
      <c r="O512" s="273"/>
      <c r="P512" s="273"/>
      <c r="Q512" s="273"/>
      <c r="R512" s="273"/>
      <c r="S512" s="273"/>
      <c r="T512" s="273"/>
      <c r="U512" s="273"/>
      <c r="V512" s="273"/>
      <c r="W512" s="273">
        <f t="shared" si="120"/>
        <v>446213.26</v>
      </c>
      <c r="X512" s="279"/>
      <c r="Y512" s="279"/>
      <c r="Z512" s="251"/>
      <c r="AC512" s="37">
        <v>152489.32999999999</v>
      </c>
      <c r="AD512" s="279"/>
      <c r="AE512" s="279">
        <v>293723.93</v>
      </c>
      <c r="AF512" s="15"/>
    </row>
    <row r="513" spans="1:32" x14ac:dyDescent="0.3">
      <c r="A513" s="10">
        <f t="shared" si="121"/>
        <v>442</v>
      </c>
      <c r="B513" s="124" t="s">
        <v>686</v>
      </c>
      <c r="C513" s="273">
        <f t="shared" si="118"/>
        <v>444531.80000000005</v>
      </c>
      <c r="D513" s="273">
        <f t="shared" si="119"/>
        <v>0</v>
      </c>
      <c r="E513" s="273"/>
      <c r="F513" s="273"/>
      <c r="G513" s="273"/>
      <c r="H513" s="273"/>
      <c r="I513" s="273"/>
      <c r="J513" s="273"/>
      <c r="K513" s="273"/>
      <c r="L513" s="273"/>
      <c r="M513" s="273"/>
      <c r="N513" s="273"/>
      <c r="O513" s="273"/>
      <c r="P513" s="273"/>
      <c r="Q513" s="273"/>
      <c r="R513" s="273"/>
      <c r="S513" s="273"/>
      <c r="T513" s="273"/>
      <c r="U513" s="273"/>
      <c r="V513" s="273"/>
      <c r="W513" s="273">
        <f t="shared" si="120"/>
        <v>444531.80000000005</v>
      </c>
      <c r="X513" s="279"/>
      <c r="Y513" s="279"/>
      <c r="Z513" s="251"/>
      <c r="AC513" s="37">
        <v>151856.47</v>
      </c>
      <c r="AD513" s="279"/>
      <c r="AE513" s="279">
        <v>292675.33</v>
      </c>
      <c r="AF513" s="15"/>
    </row>
    <row r="514" spans="1:32" x14ac:dyDescent="0.3">
      <c r="A514" s="10">
        <f t="shared" si="121"/>
        <v>443</v>
      </c>
      <c r="B514" s="124" t="s">
        <v>687</v>
      </c>
      <c r="C514" s="273">
        <f t="shared" si="118"/>
        <v>548883.78</v>
      </c>
      <c r="D514" s="273">
        <f t="shared" si="119"/>
        <v>0</v>
      </c>
      <c r="E514" s="273"/>
      <c r="F514" s="273"/>
      <c r="G514" s="273"/>
      <c r="H514" s="273"/>
      <c r="I514" s="273"/>
      <c r="J514" s="273"/>
      <c r="K514" s="273"/>
      <c r="L514" s="273"/>
      <c r="M514" s="273"/>
      <c r="N514" s="273"/>
      <c r="O514" s="273"/>
      <c r="P514" s="273"/>
      <c r="Q514" s="273"/>
      <c r="R514" s="273"/>
      <c r="S514" s="273"/>
      <c r="T514" s="273"/>
      <c r="U514" s="273"/>
      <c r="V514" s="273"/>
      <c r="W514" s="273">
        <f t="shared" si="120"/>
        <v>548883.78</v>
      </c>
      <c r="X514" s="279"/>
      <c r="Y514" s="279"/>
      <c r="Z514" s="251"/>
      <c r="AC514" s="37">
        <v>186416.83</v>
      </c>
      <c r="AD514" s="279"/>
      <c r="AE514" s="279">
        <v>362466.95</v>
      </c>
      <c r="AF514" s="15"/>
    </row>
    <row r="515" spans="1:32" x14ac:dyDescent="0.3">
      <c r="A515" s="10">
        <f t="shared" si="121"/>
        <v>444</v>
      </c>
      <c r="B515" s="124" t="s">
        <v>688</v>
      </c>
      <c r="C515" s="273">
        <f t="shared" si="118"/>
        <v>494687.83</v>
      </c>
      <c r="D515" s="273">
        <f t="shared" si="119"/>
        <v>0</v>
      </c>
      <c r="E515" s="273"/>
      <c r="F515" s="273"/>
      <c r="G515" s="273"/>
      <c r="H515" s="273"/>
      <c r="I515" s="273"/>
      <c r="J515" s="273"/>
      <c r="K515" s="273"/>
      <c r="L515" s="273"/>
      <c r="M515" s="273"/>
      <c r="N515" s="273"/>
      <c r="O515" s="273"/>
      <c r="P515" s="273"/>
      <c r="Q515" s="273"/>
      <c r="R515" s="273"/>
      <c r="S515" s="273"/>
      <c r="T515" s="273"/>
      <c r="U515" s="273"/>
      <c r="V515" s="273"/>
      <c r="W515" s="273">
        <f t="shared" si="120"/>
        <v>494687.83</v>
      </c>
      <c r="X515" s="279"/>
      <c r="Y515" s="279"/>
      <c r="Z515" s="251"/>
      <c r="AC515" s="37">
        <v>170741.7</v>
      </c>
      <c r="AD515" s="279"/>
      <c r="AE515" s="279">
        <v>323946.13</v>
      </c>
      <c r="AF515" s="15"/>
    </row>
    <row r="516" spans="1:32" x14ac:dyDescent="0.3">
      <c r="A516" s="10">
        <f t="shared" si="121"/>
        <v>445</v>
      </c>
      <c r="B516" s="124" t="s">
        <v>689</v>
      </c>
      <c r="C516" s="273">
        <f t="shared" si="118"/>
        <v>946734.12</v>
      </c>
      <c r="D516" s="273">
        <f t="shared" si="119"/>
        <v>0</v>
      </c>
      <c r="E516" s="273"/>
      <c r="F516" s="273"/>
      <c r="G516" s="273"/>
      <c r="H516" s="273"/>
      <c r="I516" s="273"/>
      <c r="J516" s="273"/>
      <c r="K516" s="273"/>
      <c r="L516" s="273"/>
      <c r="M516" s="273"/>
      <c r="N516" s="273"/>
      <c r="O516" s="273"/>
      <c r="P516" s="273"/>
      <c r="Q516" s="273"/>
      <c r="R516" s="273"/>
      <c r="S516" s="273"/>
      <c r="T516" s="273"/>
      <c r="U516" s="273"/>
      <c r="V516" s="273"/>
      <c r="W516" s="273">
        <f t="shared" si="120"/>
        <v>946734.12</v>
      </c>
      <c r="X516" s="279"/>
      <c r="Y516" s="279"/>
      <c r="Z516" s="251"/>
      <c r="AC516" s="37">
        <v>340789</v>
      </c>
      <c r="AD516" s="279"/>
      <c r="AE516" s="279">
        <v>605945.12</v>
      </c>
      <c r="AF516" s="15"/>
    </row>
    <row r="517" spans="1:32" x14ac:dyDescent="0.3">
      <c r="A517" s="10">
        <f t="shared" si="121"/>
        <v>446</v>
      </c>
      <c r="B517" s="124" t="s">
        <v>690</v>
      </c>
      <c r="C517" s="273">
        <f t="shared" si="118"/>
        <v>340306.03</v>
      </c>
      <c r="D517" s="273">
        <f t="shared" si="119"/>
        <v>0</v>
      </c>
      <c r="E517" s="273"/>
      <c r="F517" s="273"/>
      <c r="G517" s="273"/>
      <c r="H517" s="273"/>
      <c r="I517" s="273"/>
      <c r="J517" s="273"/>
      <c r="K517" s="273"/>
      <c r="L517" s="273"/>
      <c r="M517" s="273"/>
      <c r="N517" s="273"/>
      <c r="O517" s="273"/>
      <c r="P517" s="273"/>
      <c r="Q517" s="273"/>
      <c r="R517" s="273"/>
      <c r="S517" s="273"/>
      <c r="T517" s="273"/>
      <c r="U517" s="273"/>
      <c r="V517" s="273"/>
      <c r="W517" s="273">
        <f t="shared" si="120"/>
        <v>340306.03</v>
      </c>
      <c r="X517" s="279"/>
      <c r="Y517" s="279"/>
      <c r="Z517" s="251"/>
      <c r="AC517" s="37">
        <v>119646.65</v>
      </c>
      <c r="AD517" s="279"/>
      <c r="AE517" s="279">
        <v>220659.38</v>
      </c>
      <c r="AF517" s="15"/>
    </row>
    <row r="518" spans="1:32" x14ac:dyDescent="0.3">
      <c r="A518" s="10">
        <f t="shared" si="121"/>
        <v>447</v>
      </c>
      <c r="B518" s="124" t="s">
        <v>691</v>
      </c>
      <c r="C518" s="273">
        <f t="shared" si="118"/>
        <v>731524.58</v>
      </c>
      <c r="D518" s="273">
        <f t="shared" si="119"/>
        <v>0</v>
      </c>
      <c r="E518" s="273"/>
      <c r="F518" s="273"/>
      <c r="G518" s="273"/>
      <c r="H518" s="273"/>
      <c r="I518" s="273"/>
      <c r="J518" s="273"/>
      <c r="K518" s="273"/>
      <c r="L518" s="273"/>
      <c r="M518" s="273"/>
      <c r="N518" s="273"/>
      <c r="O518" s="273"/>
      <c r="P518" s="273"/>
      <c r="Q518" s="273"/>
      <c r="R518" s="273"/>
      <c r="S518" s="273"/>
      <c r="T518" s="273"/>
      <c r="U518" s="273"/>
      <c r="V518" s="273"/>
      <c r="W518" s="273">
        <f t="shared" si="120"/>
        <v>731524.58</v>
      </c>
      <c r="X518" s="279"/>
      <c r="Y518" s="279"/>
      <c r="Z518" s="251"/>
      <c r="AC518" s="37">
        <v>260009.60000000001</v>
      </c>
      <c r="AD518" s="279"/>
      <c r="AE518" s="279">
        <v>471514.98</v>
      </c>
      <c r="AF518" s="15"/>
    </row>
    <row r="519" spans="1:32" x14ac:dyDescent="0.3">
      <c r="A519" s="10">
        <f t="shared" si="121"/>
        <v>448</v>
      </c>
      <c r="B519" s="124" t="s">
        <v>692</v>
      </c>
      <c r="C519" s="273">
        <f t="shared" si="118"/>
        <v>377070.72</v>
      </c>
      <c r="D519" s="273">
        <f t="shared" si="119"/>
        <v>0</v>
      </c>
      <c r="E519" s="273"/>
      <c r="F519" s="273"/>
      <c r="G519" s="273"/>
      <c r="H519" s="273"/>
      <c r="I519" s="273"/>
      <c r="J519" s="273"/>
      <c r="K519" s="273"/>
      <c r="L519" s="273"/>
      <c r="M519" s="273"/>
      <c r="N519" s="273"/>
      <c r="O519" s="273"/>
      <c r="P519" s="273"/>
      <c r="Q519" s="273"/>
      <c r="R519" s="273"/>
      <c r="S519" s="273"/>
      <c r="T519" s="273"/>
      <c r="U519" s="273"/>
      <c r="V519" s="273"/>
      <c r="W519" s="273">
        <f t="shared" si="120"/>
        <v>377070.72</v>
      </c>
      <c r="X519" s="279"/>
      <c r="Y519" s="279"/>
      <c r="Z519" s="251"/>
      <c r="AC519" s="37">
        <v>123375.85</v>
      </c>
      <c r="AD519" s="279"/>
      <c r="AE519" s="279">
        <v>253694.87</v>
      </c>
      <c r="AF519" s="15"/>
    </row>
    <row r="520" spans="1:32" x14ac:dyDescent="0.3">
      <c r="A520" s="10">
        <f t="shared" si="121"/>
        <v>449</v>
      </c>
      <c r="B520" s="124" t="s">
        <v>693</v>
      </c>
      <c r="C520" s="273">
        <f t="shared" si="118"/>
        <v>333544.79000000004</v>
      </c>
      <c r="D520" s="273">
        <f t="shared" si="119"/>
        <v>0</v>
      </c>
      <c r="E520" s="273"/>
      <c r="F520" s="273"/>
      <c r="G520" s="273"/>
      <c r="H520" s="273"/>
      <c r="I520" s="273"/>
      <c r="J520" s="273"/>
      <c r="K520" s="273"/>
      <c r="L520" s="273"/>
      <c r="M520" s="273"/>
      <c r="N520" s="273"/>
      <c r="O520" s="273"/>
      <c r="P520" s="273"/>
      <c r="Q520" s="273"/>
      <c r="R520" s="273"/>
      <c r="S520" s="273"/>
      <c r="T520" s="273"/>
      <c r="U520" s="273"/>
      <c r="V520" s="273"/>
      <c r="W520" s="273">
        <f t="shared" si="120"/>
        <v>333544.79000000004</v>
      </c>
      <c r="X520" s="279"/>
      <c r="Y520" s="279"/>
      <c r="Z520" s="251"/>
      <c r="AC520" s="37">
        <v>109712.75</v>
      </c>
      <c r="AD520" s="279"/>
      <c r="AE520" s="279">
        <v>223832.04</v>
      </c>
      <c r="AF520" s="15"/>
    </row>
    <row r="521" spans="1:32" x14ac:dyDescent="0.3">
      <c r="A521" s="10">
        <f t="shared" si="121"/>
        <v>450</v>
      </c>
      <c r="B521" s="124" t="s">
        <v>694</v>
      </c>
      <c r="C521" s="273">
        <f t="shared" si="118"/>
        <v>136084.57</v>
      </c>
      <c r="D521" s="273">
        <f t="shared" si="119"/>
        <v>0</v>
      </c>
      <c r="E521" s="273"/>
      <c r="F521" s="273"/>
      <c r="G521" s="273"/>
      <c r="H521" s="273"/>
      <c r="I521" s="273"/>
      <c r="J521" s="273"/>
      <c r="K521" s="273"/>
      <c r="L521" s="273"/>
      <c r="M521" s="273"/>
      <c r="N521" s="273"/>
      <c r="O521" s="273"/>
      <c r="P521" s="273"/>
      <c r="Q521" s="273"/>
      <c r="R521" s="273"/>
      <c r="S521" s="273"/>
      <c r="T521" s="273"/>
      <c r="U521" s="273"/>
      <c r="V521" s="273"/>
      <c r="W521" s="273">
        <f t="shared" si="120"/>
        <v>136084.57</v>
      </c>
      <c r="X521" s="279"/>
      <c r="Y521" s="279"/>
      <c r="Z521" s="251"/>
      <c r="AC521" s="37">
        <v>136084.57</v>
      </c>
      <c r="AD521" s="279"/>
      <c r="AE521" s="279"/>
      <c r="AF521" s="15"/>
    </row>
    <row r="522" spans="1:32" x14ac:dyDescent="0.3">
      <c r="A522" s="10">
        <f t="shared" si="121"/>
        <v>451</v>
      </c>
      <c r="B522" s="124" t="s">
        <v>695</v>
      </c>
      <c r="C522" s="273">
        <f t="shared" si="118"/>
        <v>281075.28000000003</v>
      </c>
      <c r="D522" s="273">
        <f t="shared" si="119"/>
        <v>0</v>
      </c>
      <c r="E522" s="273"/>
      <c r="F522" s="273"/>
      <c r="G522" s="273"/>
      <c r="H522" s="273"/>
      <c r="I522" s="273"/>
      <c r="J522" s="273"/>
      <c r="K522" s="273"/>
      <c r="L522" s="273"/>
      <c r="M522" s="273"/>
      <c r="N522" s="273"/>
      <c r="O522" s="273"/>
      <c r="P522" s="273"/>
      <c r="Q522" s="273"/>
      <c r="R522" s="273"/>
      <c r="S522" s="273"/>
      <c r="T522" s="273"/>
      <c r="U522" s="273"/>
      <c r="V522" s="273"/>
      <c r="W522" s="273">
        <f t="shared" si="120"/>
        <v>281075.28000000003</v>
      </c>
      <c r="X522" s="279"/>
      <c r="Y522" s="279"/>
      <c r="Z522" s="251"/>
      <c r="AC522" s="37">
        <v>98319.61</v>
      </c>
      <c r="AD522" s="279"/>
      <c r="AE522" s="279">
        <v>182755.67</v>
      </c>
      <c r="AF522" s="15"/>
    </row>
    <row r="523" spans="1:32" x14ac:dyDescent="0.3">
      <c r="A523" s="10">
        <f t="shared" si="121"/>
        <v>452</v>
      </c>
      <c r="B523" s="124" t="s">
        <v>697</v>
      </c>
      <c r="C523" s="273">
        <f t="shared" si="118"/>
        <v>127835.78</v>
      </c>
      <c r="D523" s="273">
        <f t="shared" si="119"/>
        <v>0</v>
      </c>
      <c r="E523" s="273"/>
      <c r="F523" s="273"/>
      <c r="G523" s="273"/>
      <c r="H523" s="273"/>
      <c r="I523" s="273"/>
      <c r="J523" s="273"/>
      <c r="K523" s="273"/>
      <c r="L523" s="273"/>
      <c r="M523" s="273"/>
      <c r="N523" s="273"/>
      <c r="O523" s="273"/>
      <c r="P523" s="273"/>
      <c r="Q523" s="273"/>
      <c r="R523" s="273"/>
      <c r="S523" s="273"/>
      <c r="T523" s="273"/>
      <c r="U523" s="273"/>
      <c r="V523" s="273"/>
      <c r="W523" s="273">
        <f t="shared" si="120"/>
        <v>127835.78</v>
      </c>
      <c r="X523" s="279"/>
      <c r="Y523" s="279"/>
      <c r="Z523" s="251"/>
      <c r="AC523" s="37">
        <v>127835.78</v>
      </c>
      <c r="AD523" s="279"/>
      <c r="AE523" s="279"/>
      <c r="AF523" s="15"/>
    </row>
    <row r="524" spans="1:32" x14ac:dyDescent="0.3">
      <c r="A524" s="10">
        <f t="shared" si="121"/>
        <v>453</v>
      </c>
      <c r="B524" s="124" t="s">
        <v>698</v>
      </c>
      <c r="C524" s="273">
        <f t="shared" si="118"/>
        <v>707397.57000000007</v>
      </c>
      <c r="D524" s="273">
        <f t="shared" si="119"/>
        <v>0</v>
      </c>
      <c r="E524" s="273"/>
      <c r="F524" s="273"/>
      <c r="G524" s="273"/>
      <c r="H524" s="273"/>
      <c r="I524" s="273"/>
      <c r="J524" s="273"/>
      <c r="K524" s="273"/>
      <c r="L524" s="273"/>
      <c r="M524" s="273"/>
      <c r="N524" s="273"/>
      <c r="O524" s="273"/>
      <c r="P524" s="273"/>
      <c r="Q524" s="273"/>
      <c r="R524" s="273"/>
      <c r="S524" s="273"/>
      <c r="T524" s="273"/>
      <c r="U524" s="273"/>
      <c r="V524" s="273"/>
      <c r="W524" s="273">
        <f t="shared" si="120"/>
        <v>707397.57000000007</v>
      </c>
      <c r="X524" s="279"/>
      <c r="Y524" s="279"/>
      <c r="Z524" s="251"/>
      <c r="AC524" s="37">
        <v>259044.94</v>
      </c>
      <c r="AD524" s="279"/>
      <c r="AE524" s="279">
        <v>448352.63</v>
      </c>
      <c r="AF524" s="15"/>
    </row>
    <row r="525" spans="1:32" x14ac:dyDescent="0.3">
      <c r="A525" s="10">
        <f t="shared" si="121"/>
        <v>454</v>
      </c>
      <c r="B525" s="124" t="s">
        <v>699</v>
      </c>
      <c r="C525" s="273">
        <f t="shared" si="118"/>
        <v>235453.45</v>
      </c>
      <c r="D525" s="273">
        <f t="shared" si="119"/>
        <v>0</v>
      </c>
      <c r="E525" s="273"/>
      <c r="F525" s="273"/>
      <c r="G525" s="273"/>
      <c r="H525" s="273"/>
      <c r="I525" s="273"/>
      <c r="J525" s="273"/>
      <c r="K525" s="273"/>
      <c r="L525" s="273"/>
      <c r="M525" s="273"/>
      <c r="N525" s="273"/>
      <c r="O525" s="273"/>
      <c r="P525" s="273"/>
      <c r="Q525" s="273"/>
      <c r="R525" s="273"/>
      <c r="S525" s="273"/>
      <c r="T525" s="273"/>
      <c r="U525" s="273"/>
      <c r="V525" s="273"/>
      <c r="W525" s="273">
        <f t="shared" si="120"/>
        <v>235453.45</v>
      </c>
      <c r="X525" s="279"/>
      <c r="Y525" s="279"/>
      <c r="Z525" s="251"/>
      <c r="AC525" s="37">
        <v>235453.45</v>
      </c>
      <c r="AD525" s="279"/>
      <c r="AE525" s="279"/>
      <c r="AF525" s="15"/>
    </row>
    <row r="526" spans="1:32" x14ac:dyDescent="0.3">
      <c r="A526" s="10">
        <f t="shared" si="121"/>
        <v>455</v>
      </c>
      <c r="B526" s="124" t="s">
        <v>700</v>
      </c>
      <c r="C526" s="273">
        <f t="shared" si="118"/>
        <v>640339.35</v>
      </c>
      <c r="D526" s="273">
        <f t="shared" si="119"/>
        <v>0</v>
      </c>
      <c r="E526" s="273"/>
      <c r="F526" s="273"/>
      <c r="G526" s="273"/>
      <c r="H526" s="273"/>
      <c r="I526" s="273"/>
      <c r="J526" s="273"/>
      <c r="K526" s="273"/>
      <c r="L526" s="273"/>
      <c r="M526" s="273"/>
      <c r="N526" s="273"/>
      <c r="O526" s="273"/>
      <c r="P526" s="273"/>
      <c r="Q526" s="273"/>
      <c r="R526" s="273"/>
      <c r="S526" s="273"/>
      <c r="T526" s="273"/>
      <c r="U526" s="273"/>
      <c r="V526" s="273"/>
      <c r="W526" s="273">
        <f t="shared" si="120"/>
        <v>640339.35</v>
      </c>
      <c r="X526" s="279"/>
      <c r="Y526" s="279"/>
      <c r="Z526" s="251"/>
      <c r="AC526" s="37">
        <v>232699.51999999999</v>
      </c>
      <c r="AD526" s="279"/>
      <c r="AE526" s="279">
        <v>407639.83</v>
      </c>
      <c r="AF526" s="15"/>
    </row>
    <row r="527" spans="1:32" x14ac:dyDescent="0.3">
      <c r="A527" s="10">
        <f t="shared" si="121"/>
        <v>456</v>
      </c>
      <c r="B527" s="124" t="s">
        <v>701</v>
      </c>
      <c r="C527" s="273">
        <f t="shared" si="118"/>
        <v>211014.26</v>
      </c>
      <c r="D527" s="273">
        <f t="shared" si="119"/>
        <v>0</v>
      </c>
      <c r="E527" s="273"/>
      <c r="F527" s="273"/>
      <c r="G527" s="273"/>
      <c r="H527" s="273"/>
      <c r="I527" s="273"/>
      <c r="J527" s="273"/>
      <c r="K527" s="273"/>
      <c r="L527" s="273"/>
      <c r="M527" s="273"/>
      <c r="N527" s="273"/>
      <c r="O527" s="273"/>
      <c r="P527" s="273"/>
      <c r="Q527" s="273"/>
      <c r="R527" s="273"/>
      <c r="S527" s="273"/>
      <c r="T527" s="273"/>
      <c r="U527" s="273"/>
      <c r="V527" s="273"/>
      <c r="W527" s="273">
        <f t="shared" si="120"/>
        <v>211014.26</v>
      </c>
      <c r="X527" s="279"/>
      <c r="Y527" s="279"/>
      <c r="Z527" s="251"/>
      <c r="AC527" s="37">
        <v>211014.26</v>
      </c>
      <c r="AD527" s="279"/>
      <c r="AE527" s="279"/>
      <c r="AF527" s="15"/>
    </row>
    <row r="528" spans="1:32" x14ac:dyDescent="0.3">
      <c r="A528" s="10">
        <f t="shared" si="121"/>
        <v>457</v>
      </c>
      <c r="B528" s="124" t="s">
        <v>702</v>
      </c>
      <c r="C528" s="273">
        <f t="shared" si="118"/>
        <v>593695.43999999994</v>
      </c>
      <c r="D528" s="273">
        <f t="shared" si="119"/>
        <v>0</v>
      </c>
      <c r="E528" s="273"/>
      <c r="F528" s="273"/>
      <c r="G528" s="273"/>
      <c r="H528" s="273"/>
      <c r="I528" s="273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3"/>
      <c r="W528" s="273">
        <f t="shared" si="120"/>
        <v>593695.43999999994</v>
      </c>
      <c r="X528" s="279"/>
      <c r="Y528" s="279"/>
      <c r="Z528" s="251"/>
      <c r="AC528" s="37">
        <v>211102.96</v>
      </c>
      <c r="AD528" s="279"/>
      <c r="AE528" s="279">
        <v>382592.48</v>
      </c>
      <c r="AF528" s="15"/>
    </row>
    <row r="529" spans="1:33" x14ac:dyDescent="0.3">
      <c r="A529" s="10">
        <f t="shared" si="121"/>
        <v>458</v>
      </c>
      <c r="B529" s="124" t="s">
        <v>703</v>
      </c>
      <c r="C529" s="273">
        <f t="shared" si="118"/>
        <v>696878.44</v>
      </c>
      <c r="D529" s="273">
        <f t="shared" si="119"/>
        <v>0</v>
      </c>
      <c r="E529" s="273"/>
      <c r="F529" s="273"/>
      <c r="G529" s="273"/>
      <c r="H529" s="273"/>
      <c r="I529" s="273"/>
      <c r="J529" s="273"/>
      <c r="K529" s="273"/>
      <c r="L529" s="273"/>
      <c r="M529" s="273"/>
      <c r="N529" s="273"/>
      <c r="O529" s="273"/>
      <c r="P529" s="273"/>
      <c r="Q529" s="273"/>
      <c r="R529" s="273"/>
      <c r="S529" s="273"/>
      <c r="T529" s="273"/>
      <c r="U529" s="273"/>
      <c r="V529" s="273"/>
      <c r="W529" s="273">
        <f t="shared" si="120"/>
        <v>696878.44</v>
      </c>
      <c r="X529" s="279"/>
      <c r="Y529" s="279"/>
      <c r="Z529" s="251"/>
      <c r="AC529" s="37">
        <v>246958.07999999999</v>
      </c>
      <c r="AD529" s="279"/>
      <c r="AE529" s="279">
        <v>449920.36</v>
      </c>
      <c r="AF529" s="15"/>
    </row>
    <row r="530" spans="1:33" x14ac:dyDescent="0.3">
      <c r="A530" s="10">
        <f t="shared" si="121"/>
        <v>459</v>
      </c>
      <c r="B530" s="124" t="s">
        <v>704</v>
      </c>
      <c r="C530" s="273">
        <f t="shared" si="118"/>
        <v>550660.47</v>
      </c>
      <c r="D530" s="273">
        <f t="shared" si="119"/>
        <v>0</v>
      </c>
      <c r="E530" s="273"/>
      <c r="F530" s="273"/>
      <c r="G530" s="273"/>
      <c r="H530" s="273"/>
      <c r="I530" s="273"/>
      <c r="J530" s="273"/>
      <c r="K530" s="273"/>
      <c r="L530" s="273"/>
      <c r="M530" s="273"/>
      <c r="N530" s="273"/>
      <c r="O530" s="273"/>
      <c r="P530" s="273"/>
      <c r="Q530" s="273"/>
      <c r="R530" s="273"/>
      <c r="S530" s="273"/>
      <c r="T530" s="273"/>
      <c r="U530" s="273"/>
      <c r="V530" s="273"/>
      <c r="W530" s="273">
        <f t="shared" si="120"/>
        <v>550660.47</v>
      </c>
      <c r="X530" s="279"/>
      <c r="Y530" s="279"/>
      <c r="Z530" s="251"/>
      <c r="AC530" s="37">
        <v>191807.75</v>
      </c>
      <c r="AD530" s="279"/>
      <c r="AE530" s="279">
        <v>358852.72</v>
      </c>
      <c r="AF530" s="15"/>
    </row>
    <row r="531" spans="1:33" x14ac:dyDescent="0.3">
      <c r="A531" s="10">
        <f t="shared" si="121"/>
        <v>460</v>
      </c>
      <c r="B531" s="124" t="s">
        <v>705</v>
      </c>
      <c r="C531" s="273">
        <f t="shared" si="118"/>
        <v>652560.24</v>
      </c>
      <c r="D531" s="273">
        <f t="shared" si="119"/>
        <v>0</v>
      </c>
      <c r="E531" s="273"/>
      <c r="F531" s="273"/>
      <c r="G531" s="273"/>
      <c r="H531" s="273"/>
      <c r="I531" s="273"/>
      <c r="J531" s="273"/>
      <c r="K531" s="273"/>
      <c r="L531" s="273"/>
      <c r="M531" s="273"/>
      <c r="N531" s="273"/>
      <c r="O531" s="273"/>
      <c r="P531" s="273"/>
      <c r="Q531" s="273"/>
      <c r="R531" s="273"/>
      <c r="S531" s="273"/>
      <c r="T531" s="273"/>
      <c r="U531" s="273"/>
      <c r="V531" s="273"/>
      <c r="W531" s="273">
        <f t="shared" si="120"/>
        <v>652560.24</v>
      </c>
      <c r="X531" s="279"/>
      <c r="Y531" s="279"/>
      <c r="Z531" s="251"/>
      <c r="AC531" s="37">
        <v>230136.04</v>
      </c>
      <c r="AD531" s="279"/>
      <c r="AE531" s="279">
        <v>422424.2</v>
      </c>
      <c r="AF531" s="15"/>
    </row>
    <row r="532" spans="1:33" x14ac:dyDescent="0.3">
      <c r="A532" s="10">
        <f t="shared" si="121"/>
        <v>461</v>
      </c>
      <c r="B532" s="124" t="s">
        <v>706</v>
      </c>
      <c r="C532" s="273">
        <f t="shared" si="118"/>
        <v>115260.12</v>
      </c>
      <c r="D532" s="273">
        <f t="shared" si="119"/>
        <v>0</v>
      </c>
      <c r="E532" s="273"/>
      <c r="F532" s="273"/>
      <c r="G532" s="273"/>
      <c r="H532" s="273"/>
      <c r="I532" s="273"/>
      <c r="J532" s="273"/>
      <c r="K532" s="273"/>
      <c r="L532" s="273"/>
      <c r="M532" s="273"/>
      <c r="N532" s="273"/>
      <c r="O532" s="273"/>
      <c r="P532" s="273"/>
      <c r="Q532" s="273"/>
      <c r="R532" s="273"/>
      <c r="S532" s="273"/>
      <c r="T532" s="273"/>
      <c r="U532" s="273"/>
      <c r="V532" s="273"/>
      <c r="W532" s="273">
        <f t="shared" si="120"/>
        <v>115260.12</v>
      </c>
      <c r="X532" s="279"/>
      <c r="Y532" s="279"/>
      <c r="Z532" s="251"/>
      <c r="AC532" s="37">
        <v>115260.12</v>
      </c>
      <c r="AD532" s="279"/>
      <c r="AE532" s="279"/>
      <c r="AF532" s="15"/>
    </row>
    <row r="533" spans="1:33" x14ac:dyDescent="0.3">
      <c r="A533" s="10">
        <f t="shared" si="121"/>
        <v>462</v>
      </c>
      <c r="B533" s="124" t="s">
        <v>707</v>
      </c>
      <c r="C533" s="273">
        <f t="shared" si="118"/>
        <v>547351.04000000004</v>
      </c>
      <c r="D533" s="273">
        <f t="shared" si="119"/>
        <v>0</v>
      </c>
      <c r="E533" s="273"/>
      <c r="F533" s="273"/>
      <c r="G533" s="273"/>
      <c r="H533" s="273"/>
      <c r="I533" s="273"/>
      <c r="J533" s="273"/>
      <c r="K533" s="273"/>
      <c r="L533" s="273"/>
      <c r="M533" s="273"/>
      <c r="N533" s="273"/>
      <c r="O533" s="273"/>
      <c r="P533" s="273"/>
      <c r="Q533" s="273"/>
      <c r="R533" s="273"/>
      <c r="S533" s="273"/>
      <c r="T533" s="273"/>
      <c r="U533" s="273"/>
      <c r="V533" s="273"/>
      <c r="W533" s="273">
        <f t="shared" si="120"/>
        <v>547351.04000000004</v>
      </c>
      <c r="X533" s="279"/>
      <c r="Y533" s="279"/>
      <c r="Z533" s="251"/>
      <c r="AC533" s="37">
        <v>194202.6</v>
      </c>
      <c r="AD533" s="279"/>
      <c r="AE533" s="279">
        <v>353148.44</v>
      </c>
      <c r="AF533" s="15"/>
    </row>
    <row r="534" spans="1:33" x14ac:dyDescent="0.3">
      <c r="A534" s="10"/>
      <c r="B534" s="124" t="s">
        <v>208</v>
      </c>
      <c r="C534" s="273">
        <f t="shared" ref="C534:W534" si="122">SUM(C474:C533)</f>
        <v>27129556.100000005</v>
      </c>
      <c r="D534" s="273">
        <f t="shared" si="122"/>
        <v>0</v>
      </c>
      <c r="E534" s="273">
        <f t="shared" si="122"/>
        <v>0</v>
      </c>
      <c r="F534" s="273">
        <f t="shared" si="122"/>
        <v>0</v>
      </c>
      <c r="G534" s="273">
        <f t="shared" si="122"/>
        <v>0</v>
      </c>
      <c r="H534" s="273">
        <f t="shared" si="122"/>
        <v>0</v>
      </c>
      <c r="I534" s="273">
        <f t="shared" si="122"/>
        <v>0</v>
      </c>
      <c r="J534" s="273">
        <f t="shared" si="122"/>
        <v>0</v>
      </c>
      <c r="K534" s="273">
        <f t="shared" si="122"/>
        <v>0</v>
      </c>
      <c r="L534" s="273">
        <f t="shared" si="122"/>
        <v>0</v>
      </c>
      <c r="M534" s="273">
        <f t="shared" si="122"/>
        <v>0</v>
      </c>
      <c r="N534" s="273">
        <f t="shared" si="122"/>
        <v>0</v>
      </c>
      <c r="O534" s="273">
        <f t="shared" si="122"/>
        <v>0</v>
      </c>
      <c r="P534" s="273">
        <f t="shared" si="122"/>
        <v>0</v>
      </c>
      <c r="Q534" s="273">
        <f t="shared" si="122"/>
        <v>0</v>
      </c>
      <c r="R534" s="273">
        <f t="shared" si="122"/>
        <v>0</v>
      </c>
      <c r="S534" s="273">
        <f t="shared" si="122"/>
        <v>0</v>
      </c>
      <c r="T534" s="273">
        <f t="shared" si="122"/>
        <v>0</v>
      </c>
      <c r="U534" s="273">
        <f t="shared" si="122"/>
        <v>0</v>
      </c>
      <c r="V534" s="273">
        <f t="shared" si="122"/>
        <v>0</v>
      </c>
      <c r="W534" s="273">
        <f t="shared" si="122"/>
        <v>27129556.100000005</v>
      </c>
      <c r="X534" s="279"/>
      <c r="Y534" s="251"/>
      <c r="Z534" s="278"/>
      <c r="AA534" s="279"/>
      <c r="AB534" s="279"/>
      <c r="AC534" s="279"/>
      <c r="AD534" s="279"/>
      <c r="AE534" s="279"/>
      <c r="AF534" s="15"/>
    </row>
    <row r="535" spans="1:33" s="40" customFormat="1" x14ac:dyDescent="0.3">
      <c r="A535" s="188" t="s">
        <v>3544</v>
      </c>
      <c r="B535" s="145"/>
      <c r="C535" s="273"/>
      <c r="D535" s="273"/>
      <c r="E535" s="273"/>
      <c r="F535" s="273"/>
      <c r="G535" s="273"/>
      <c r="H535" s="273"/>
      <c r="I535" s="273"/>
      <c r="J535" s="273"/>
      <c r="K535" s="273"/>
      <c r="L535" s="273"/>
      <c r="M535" s="273"/>
      <c r="N535" s="273"/>
      <c r="O535" s="273"/>
      <c r="P535" s="273"/>
      <c r="Q535" s="273"/>
      <c r="R535" s="273"/>
      <c r="S535" s="273"/>
      <c r="T535" s="273"/>
      <c r="U535" s="273"/>
      <c r="V535" s="273"/>
      <c r="W535" s="273"/>
      <c r="X535" s="19"/>
      <c r="Y535" s="19"/>
      <c r="Z535" s="19"/>
      <c r="AA535" s="19"/>
      <c r="AB535" s="15"/>
      <c r="AC535" s="15"/>
    </row>
    <row r="536" spans="1:33" s="40" customFormat="1" x14ac:dyDescent="0.3">
      <c r="A536" s="10">
        <f>A533+1</f>
        <v>463</v>
      </c>
      <c r="B536" s="145" t="s">
        <v>3545</v>
      </c>
      <c r="C536" s="273">
        <f>D536+K536+L536+N536+R536+S536+U536+V536+W536</f>
        <v>1092584.77</v>
      </c>
      <c r="D536" s="273">
        <f>E536+F536+G536+H536+I536</f>
        <v>0</v>
      </c>
      <c r="E536" s="273"/>
      <c r="F536" s="273"/>
      <c r="G536" s="273"/>
      <c r="H536" s="273"/>
      <c r="I536" s="273"/>
      <c r="J536" s="273"/>
      <c r="K536" s="273"/>
      <c r="L536" s="273"/>
      <c r="M536" s="273"/>
      <c r="N536" s="273"/>
      <c r="O536" s="273"/>
      <c r="P536" s="273"/>
      <c r="Q536" s="273"/>
      <c r="R536" s="273"/>
      <c r="S536" s="273"/>
      <c r="T536" s="273"/>
      <c r="U536" s="273"/>
      <c r="V536" s="273"/>
      <c r="W536" s="273">
        <v>1092584.77</v>
      </c>
      <c r="X536" s="19"/>
      <c r="Y536" s="19"/>
      <c r="Z536" s="19"/>
      <c r="AA536" s="19"/>
      <c r="AB536" s="15"/>
      <c r="AC536" s="15"/>
      <c r="AG536" s="273">
        <v>1092584.77</v>
      </c>
    </row>
    <row r="537" spans="1:33" s="40" customFormat="1" x14ac:dyDescent="0.3">
      <c r="A537" s="259"/>
      <c r="B537" s="20" t="s">
        <v>208</v>
      </c>
      <c r="C537" s="273">
        <f t="shared" ref="C537:W537" si="123">SUM(C536)</f>
        <v>1092584.77</v>
      </c>
      <c r="D537" s="273">
        <f t="shared" si="123"/>
        <v>0</v>
      </c>
      <c r="E537" s="273">
        <f t="shared" si="123"/>
        <v>0</v>
      </c>
      <c r="F537" s="273">
        <f t="shared" si="123"/>
        <v>0</v>
      </c>
      <c r="G537" s="273">
        <f t="shared" si="123"/>
        <v>0</v>
      </c>
      <c r="H537" s="273">
        <f t="shared" si="123"/>
        <v>0</v>
      </c>
      <c r="I537" s="273">
        <f t="shared" si="123"/>
        <v>0</v>
      </c>
      <c r="J537" s="273">
        <f t="shared" si="123"/>
        <v>0</v>
      </c>
      <c r="K537" s="273">
        <f t="shared" si="123"/>
        <v>0</v>
      </c>
      <c r="L537" s="273">
        <f t="shared" si="123"/>
        <v>0</v>
      </c>
      <c r="M537" s="273">
        <f t="shared" si="123"/>
        <v>0</v>
      </c>
      <c r="N537" s="273">
        <f t="shared" si="123"/>
        <v>0</v>
      </c>
      <c r="O537" s="273">
        <f t="shared" si="123"/>
        <v>0</v>
      </c>
      <c r="P537" s="273">
        <f t="shared" si="123"/>
        <v>0</v>
      </c>
      <c r="Q537" s="273">
        <f t="shared" si="123"/>
        <v>0</v>
      </c>
      <c r="R537" s="273">
        <f t="shared" si="123"/>
        <v>0</v>
      </c>
      <c r="S537" s="273">
        <f t="shared" si="123"/>
        <v>0</v>
      </c>
      <c r="T537" s="273">
        <f t="shared" si="123"/>
        <v>0</v>
      </c>
      <c r="U537" s="273">
        <f t="shared" si="123"/>
        <v>0</v>
      </c>
      <c r="V537" s="273">
        <f t="shared" si="123"/>
        <v>0</v>
      </c>
      <c r="W537" s="273">
        <f t="shared" si="123"/>
        <v>1092584.77</v>
      </c>
      <c r="X537" s="19"/>
      <c r="Y537" s="19"/>
      <c r="Z537" s="19"/>
      <c r="AA537" s="19"/>
      <c r="AB537" s="15"/>
      <c r="AC537" s="15"/>
    </row>
    <row r="538" spans="1:33" ht="32.25" customHeight="1" x14ac:dyDescent="0.3">
      <c r="A538" s="374" t="s">
        <v>708</v>
      </c>
      <c r="B538" s="375"/>
      <c r="C538" s="273"/>
      <c r="D538" s="273"/>
      <c r="E538" s="273"/>
      <c r="F538" s="273"/>
      <c r="G538" s="273"/>
      <c r="H538" s="273"/>
      <c r="I538" s="273"/>
      <c r="J538" s="273"/>
      <c r="K538" s="273"/>
      <c r="L538" s="273"/>
      <c r="M538" s="273"/>
      <c r="N538" s="273"/>
      <c r="O538" s="273"/>
      <c r="P538" s="273"/>
      <c r="Q538" s="273"/>
      <c r="R538" s="273"/>
      <c r="S538" s="273"/>
      <c r="T538" s="273"/>
      <c r="U538" s="273"/>
      <c r="V538" s="273"/>
      <c r="W538" s="273"/>
      <c r="X538" s="279"/>
      <c r="Y538" s="251"/>
      <c r="Z538" s="278"/>
      <c r="AA538" s="279"/>
      <c r="AB538" s="279"/>
      <c r="AC538" s="279"/>
      <c r="AD538" s="279"/>
      <c r="AE538" s="279"/>
      <c r="AF538" s="15"/>
    </row>
    <row r="539" spans="1:33" x14ac:dyDescent="0.3">
      <c r="A539" s="10">
        <f>A536+1</f>
        <v>464</v>
      </c>
      <c r="B539" s="124" t="s">
        <v>710</v>
      </c>
      <c r="C539" s="273">
        <f>D539+K539+L539+N539+R539+S539+U539+V539+W539</f>
        <v>4105213.2</v>
      </c>
      <c r="D539" s="273">
        <f>E539+F539+G539+H539+I539</f>
        <v>0</v>
      </c>
      <c r="E539" s="273"/>
      <c r="F539" s="273"/>
      <c r="G539" s="273"/>
      <c r="H539" s="273"/>
      <c r="I539" s="273"/>
      <c r="J539" s="273"/>
      <c r="K539" s="273"/>
      <c r="L539" s="273"/>
      <c r="M539" s="273">
        <f>1814.8</f>
        <v>1814.8</v>
      </c>
      <c r="N539" s="273">
        <v>4105213.2</v>
      </c>
      <c r="O539" s="273"/>
      <c r="P539" s="273"/>
      <c r="Q539" s="273"/>
      <c r="R539" s="273"/>
      <c r="S539" s="273"/>
      <c r="T539" s="273"/>
      <c r="U539" s="273"/>
      <c r="V539" s="273"/>
      <c r="W539" s="273"/>
      <c r="X539" s="17"/>
      <c r="Y539" s="17"/>
      <c r="Z539" s="17"/>
      <c r="AA539" s="17"/>
      <c r="AB539" s="17"/>
      <c r="AC539" s="17"/>
      <c r="AD539" s="17"/>
      <c r="AE539" s="17"/>
      <c r="AF539" s="15"/>
    </row>
    <row r="540" spans="1:33" x14ac:dyDescent="0.3">
      <c r="A540" s="10"/>
      <c r="B540" s="124" t="s">
        <v>208</v>
      </c>
      <c r="C540" s="273">
        <f t="shared" ref="C540:W540" si="124">SUM(C539:C539)</f>
        <v>4105213.2</v>
      </c>
      <c r="D540" s="273">
        <f t="shared" si="124"/>
        <v>0</v>
      </c>
      <c r="E540" s="273">
        <f t="shared" si="124"/>
        <v>0</v>
      </c>
      <c r="F540" s="273">
        <f t="shared" si="124"/>
        <v>0</v>
      </c>
      <c r="G540" s="273">
        <f t="shared" si="124"/>
        <v>0</v>
      </c>
      <c r="H540" s="273">
        <f t="shared" si="124"/>
        <v>0</v>
      </c>
      <c r="I540" s="273">
        <f t="shared" si="124"/>
        <v>0</v>
      </c>
      <c r="J540" s="273">
        <f t="shared" si="124"/>
        <v>0</v>
      </c>
      <c r="K540" s="273">
        <f t="shared" si="124"/>
        <v>0</v>
      </c>
      <c r="L540" s="273">
        <f t="shared" si="124"/>
        <v>0</v>
      </c>
      <c r="M540" s="273">
        <f t="shared" si="124"/>
        <v>1814.8</v>
      </c>
      <c r="N540" s="273">
        <f t="shared" si="124"/>
        <v>4105213.2</v>
      </c>
      <c r="O540" s="273">
        <f t="shared" si="124"/>
        <v>0</v>
      </c>
      <c r="P540" s="273">
        <f t="shared" si="124"/>
        <v>0</v>
      </c>
      <c r="Q540" s="273">
        <f t="shared" si="124"/>
        <v>0</v>
      </c>
      <c r="R540" s="273">
        <f t="shared" si="124"/>
        <v>0</v>
      </c>
      <c r="S540" s="273">
        <f t="shared" si="124"/>
        <v>0</v>
      </c>
      <c r="T540" s="273">
        <f t="shared" si="124"/>
        <v>0</v>
      </c>
      <c r="U540" s="273">
        <f t="shared" si="124"/>
        <v>0</v>
      </c>
      <c r="V540" s="273">
        <f t="shared" si="124"/>
        <v>0</v>
      </c>
      <c r="W540" s="273">
        <f t="shared" si="124"/>
        <v>0</v>
      </c>
      <c r="X540" s="17"/>
      <c r="Y540" s="17"/>
      <c r="Z540" s="17"/>
      <c r="AA540" s="17"/>
      <c r="AB540" s="17"/>
      <c r="AC540" s="17"/>
      <c r="AD540" s="279"/>
      <c r="AE540" s="17"/>
      <c r="AF540" s="15"/>
    </row>
    <row r="541" spans="1:33" ht="30.75" customHeight="1" x14ac:dyDescent="0.3">
      <c r="A541" s="374" t="s">
        <v>712</v>
      </c>
      <c r="B541" s="375"/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17"/>
      <c r="Y541" s="17"/>
      <c r="Z541" s="17"/>
      <c r="AA541" s="17"/>
      <c r="AB541" s="17"/>
      <c r="AC541" s="17"/>
      <c r="AD541" s="279"/>
      <c r="AE541" s="17"/>
      <c r="AF541" s="15"/>
    </row>
    <row r="542" spans="1:33" x14ac:dyDescent="0.3">
      <c r="A542" s="10">
        <f>A539+1</f>
        <v>465</v>
      </c>
      <c r="B542" s="124" t="s">
        <v>713</v>
      </c>
      <c r="C542" s="273">
        <f>D542+K542+L542+N542+R542+S542+U542+V542+W542</f>
        <v>146491.6</v>
      </c>
      <c r="D542" s="273">
        <f>E542+F542+G542+H542+I542</f>
        <v>0</v>
      </c>
      <c r="E542" s="273"/>
      <c r="F542" s="273"/>
      <c r="G542" s="273"/>
      <c r="H542" s="273"/>
      <c r="I542" s="273"/>
      <c r="J542" s="273"/>
      <c r="K542" s="273"/>
      <c r="L542" s="273"/>
      <c r="M542" s="273"/>
      <c r="N542" s="273"/>
      <c r="O542" s="273"/>
      <c r="P542" s="273"/>
      <c r="Q542" s="273"/>
      <c r="R542" s="273"/>
      <c r="S542" s="273"/>
      <c r="T542" s="273"/>
      <c r="U542" s="273"/>
      <c r="V542" s="273">
        <v>16491.599999999999</v>
      </c>
      <c r="W542" s="273">
        <v>130000</v>
      </c>
      <c r="X542" s="15"/>
      <c r="Y542" s="15"/>
      <c r="Z542" s="15"/>
      <c r="AA542" s="15"/>
      <c r="AB542" s="15"/>
      <c r="AC542" s="15"/>
      <c r="AD542" s="15"/>
      <c r="AE542" s="15"/>
      <c r="AF542" s="15"/>
    </row>
    <row r="543" spans="1:33" x14ac:dyDescent="0.3">
      <c r="A543" s="10">
        <f>A542+1</f>
        <v>466</v>
      </c>
      <c r="B543" s="124" t="s">
        <v>714</v>
      </c>
      <c r="C543" s="273">
        <f>D543+K543+L543+N543+R543+S543+U543+V543+W543</f>
        <v>152584</v>
      </c>
      <c r="D543" s="273">
        <f>E543+F543+G543+H543+I543</f>
        <v>0</v>
      </c>
      <c r="E543" s="273"/>
      <c r="F543" s="273"/>
      <c r="G543" s="273"/>
      <c r="H543" s="273"/>
      <c r="I543" s="273"/>
      <c r="J543" s="273"/>
      <c r="K543" s="273"/>
      <c r="L543" s="273"/>
      <c r="M543" s="273"/>
      <c r="N543" s="273"/>
      <c r="O543" s="273"/>
      <c r="P543" s="273"/>
      <c r="Q543" s="273"/>
      <c r="R543" s="273"/>
      <c r="S543" s="273"/>
      <c r="T543" s="273"/>
      <c r="U543" s="273"/>
      <c r="V543" s="273">
        <v>22584</v>
      </c>
      <c r="W543" s="273">
        <v>130000</v>
      </c>
      <c r="X543" s="15"/>
      <c r="Y543" s="15"/>
      <c r="Z543" s="15"/>
      <c r="AA543" s="15"/>
      <c r="AB543" s="15"/>
      <c r="AC543" s="15"/>
      <c r="AD543" s="15"/>
      <c r="AE543" s="15"/>
      <c r="AF543" s="15"/>
    </row>
    <row r="544" spans="1:33" x14ac:dyDescent="0.3">
      <c r="A544" s="10">
        <f>A543+1</f>
        <v>467</v>
      </c>
      <c r="B544" s="124" t="s">
        <v>715</v>
      </c>
      <c r="C544" s="273">
        <f>D544+K544+L544+N544+R544+S544+U544+V544+W544</f>
        <v>167213.20000000001</v>
      </c>
      <c r="D544" s="273">
        <f>E544+F544+G544+H544+I544</f>
        <v>0</v>
      </c>
      <c r="E544" s="273"/>
      <c r="F544" s="273"/>
      <c r="G544" s="273"/>
      <c r="H544" s="273"/>
      <c r="I544" s="273"/>
      <c r="J544" s="273"/>
      <c r="K544" s="273"/>
      <c r="L544" s="273"/>
      <c r="M544" s="273"/>
      <c r="N544" s="273"/>
      <c r="O544" s="273"/>
      <c r="P544" s="273"/>
      <c r="Q544" s="273"/>
      <c r="R544" s="273"/>
      <c r="S544" s="273"/>
      <c r="T544" s="273"/>
      <c r="U544" s="273"/>
      <c r="V544" s="273">
        <v>37213.199999999997</v>
      </c>
      <c r="W544" s="273">
        <v>130000</v>
      </c>
      <c r="X544" s="15"/>
      <c r="Y544" s="15"/>
      <c r="Z544" s="15"/>
      <c r="AA544" s="15"/>
      <c r="AB544" s="15"/>
      <c r="AC544" s="15"/>
      <c r="AD544" s="15"/>
      <c r="AE544" s="15"/>
      <c r="AF544" s="15"/>
    </row>
    <row r="545" spans="1:34" x14ac:dyDescent="0.3">
      <c r="A545" s="10">
        <f>A544+1</f>
        <v>468</v>
      </c>
      <c r="B545" s="124" t="s">
        <v>716</v>
      </c>
      <c r="C545" s="273">
        <f>D545+K545+L545+N545+R545+S545+U545+V545+W545</f>
        <v>130000</v>
      </c>
      <c r="D545" s="273">
        <f>E545+F545+G545+H545+I545</f>
        <v>0</v>
      </c>
      <c r="E545" s="273"/>
      <c r="F545" s="273"/>
      <c r="G545" s="273"/>
      <c r="H545" s="273"/>
      <c r="I545" s="273"/>
      <c r="J545" s="273"/>
      <c r="K545" s="273"/>
      <c r="L545" s="273"/>
      <c r="M545" s="273"/>
      <c r="N545" s="273"/>
      <c r="O545" s="273"/>
      <c r="P545" s="273"/>
      <c r="Q545" s="273"/>
      <c r="R545" s="273"/>
      <c r="S545" s="273"/>
      <c r="T545" s="273"/>
      <c r="U545" s="273"/>
      <c r="V545" s="273">
        <v>0</v>
      </c>
      <c r="W545" s="273">
        <v>130000</v>
      </c>
      <c r="X545" s="15"/>
      <c r="Y545" s="15"/>
      <c r="Z545" s="15"/>
      <c r="AA545" s="15"/>
      <c r="AB545" s="15"/>
      <c r="AC545" s="15"/>
      <c r="AD545" s="15"/>
      <c r="AE545" s="15"/>
      <c r="AF545" s="15"/>
    </row>
    <row r="546" spans="1:34" x14ac:dyDescent="0.3">
      <c r="A546" s="10">
        <f>A545+1</f>
        <v>469</v>
      </c>
      <c r="B546" s="124" t="s">
        <v>717</v>
      </c>
      <c r="C546" s="273">
        <f>D546+K546+L546+N546+R546+S546+U546+V546+W546</f>
        <v>145532.79999999999</v>
      </c>
      <c r="D546" s="273">
        <f>E546+F546+G546+H546+I546</f>
        <v>0</v>
      </c>
      <c r="E546" s="273"/>
      <c r="F546" s="273"/>
      <c r="G546" s="273"/>
      <c r="H546" s="273"/>
      <c r="I546" s="273"/>
      <c r="J546" s="273"/>
      <c r="K546" s="273"/>
      <c r="L546" s="273"/>
      <c r="M546" s="273"/>
      <c r="N546" s="273"/>
      <c r="O546" s="273"/>
      <c r="P546" s="273"/>
      <c r="Q546" s="273"/>
      <c r="R546" s="273"/>
      <c r="S546" s="273"/>
      <c r="T546" s="273"/>
      <c r="U546" s="273"/>
      <c r="V546" s="273">
        <v>15532.8</v>
      </c>
      <c r="W546" s="273">
        <v>130000</v>
      </c>
      <c r="X546" s="15"/>
      <c r="Y546" s="15"/>
      <c r="Z546" s="15"/>
      <c r="AA546" s="15"/>
      <c r="AB546" s="15"/>
      <c r="AC546" s="15"/>
      <c r="AD546" s="15"/>
      <c r="AE546" s="15"/>
      <c r="AF546" s="15"/>
    </row>
    <row r="547" spans="1:34" x14ac:dyDescent="0.3">
      <c r="A547" s="10"/>
      <c r="B547" s="124" t="s">
        <v>208</v>
      </c>
      <c r="C547" s="273">
        <f t="shared" ref="C547:W547" si="125">SUM(C542:C546)</f>
        <v>741821.60000000009</v>
      </c>
      <c r="D547" s="273">
        <f t="shared" si="125"/>
        <v>0</v>
      </c>
      <c r="E547" s="273">
        <f t="shared" si="125"/>
        <v>0</v>
      </c>
      <c r="F547" s="273">
        <f t="shared" si="125"/>
        <v>0</v>
      </c>
      <c r="G547" s="273">
        <f t="shared" si="125"/>
        <v>0</v>
      </c>
      <c r="H547" s="273">
        <f t="shared" si="125"/>
        <v>0</v>
      </c>
      <c r="I547" s="273">
        <f t="shared" si="125"/>
        <v>0</v>
      </c>
      <c r="J547" s="273">
        <f t="shared" si="125"/>
        <v>0</v>
      </c>
      <c r="K547" s="273">
        <f t="shared" si="125"/>
        <v>0</v>
      </c>
      <c r="L547" s="273">
        <f t="shared" si="125"/>
        <v>0</v>
      </c>
      <c r="M547" s="273">
        <f t="shared" si="125"/>
        <v>0</v>
      </c>
      <c r="N547" s="273">
        <f t="shared" si="125"/>
        <v>0</v>
      </c>
      <c r="O547" s="273">
        <f t="shared" si="125"/>
        <v>0</v>
      </c>
      <c r="P547" s="273">
        <f t="shared" si="125"/>
        <v>0</v>
      </c>
      <c r="Q547" s="273">
        <f t="shared" si="125"/>
        <v>0</v>
      </c>
      <c r="R547" s="273">
        <f t="shared" si="125"/>
        <v>0</v>
      </c>
      <c r="S547" s="273">
        <f t="shared" si="125"/>
        <v>0</v>
      </c>
      <c r="T547" s="273">
        <f t="shared" si="125"/>
        <v>0</v>
      </c>
      <c r="U547" s="273">
        <f t="shared" si="125"/>
        <v>0</v>
      </c>
      <c r="V547" s="273">
        <f t="shared" si="125"/>
        <v>91821.599999999991</v>
      </c>
      <c r="W547" s="273">
        <f t="shared" si="125"/>
        <v>650000</v>
      </c>
      <c r="X547" s="15"/>
      <c r="Y547" s="15"/>
      <c r="Z547" s="15"/>
      <c r="AA547" s="15"/>
      <c r="AB547" s="15"/>
      <c r="AC547" s="15"/>
      <c r="AD547" s="15"/>
      <c r="AE547" s="15"/>
      <c r="AF547" s="15"/>
    </row>
    <row r="548" spans="1:34" ht="30.75" customHeight="1" x14ac:dyDescent="0.3">
      <c r="A548" s="374" t="s">
        <v>718</v>
      </c>
      <c r="B548" s="375"/>
      <c r="C548" s="273"/>
      <c r="D548" s="273"/>
      <c r="E548" s="273"/>
      <c r="F548" s="273"/>
      <c r="G548" s="273"/>
      <c r="H548" s="273"/>
      <c r="I548" s="273"/>
      <c r="J548" s="273"/>
      <c r="K548" s="273"/>
      <c r="L548" s="273"/>
      <c r="M548" s="273"/>
      <c r="N548" s="273"/>
      <c r="O548" s="273"/>
      <c r="P548" s="273"/>
      <c r="Q548" s="273"/>
      <c r="R548" s="273"/>
      <c r="S548" s="273"/>
      <c r="T548" s="273"/>
      <c r="U548" s="273"/>
      <c r="V548" s="273"/>
      <c r="W548" s="273"/>
      <c r="X548" s="15"/>
      <c r="Y548" s="15"/>
      <c r="Z548" s="15"/>
      <c r="AA548" s="15"/>
      <c r="AB548" s="15"/>
      <c r="AC548" s="15"/>
      <c r="AD548" s="15"/>
      <c r="AE548" s="15"/>
      <c r="AF548" s="15"/>
    </row>
    <row r="549" spans="1:34" x14ac:dyDescent="0.3">
      <c r="A549" s="10">
        <f>A546+1</f>
        <v>470</v>
      </c>
      <c r="B549" s="124" t="s">
        <v>720</v>
      </c>
      <c r="C549" s="273">
        <f t="shared" ref="C549:C570" si="126">D549+K549+L549+N549+R549+S549+U549+V549+W549</f>
        <v>127773.2</v>
      </c>
      <c r="D549" s="273">
        <f t="shared" ref="D549:D570" si="127">E549+F549+G549+H549+I549</f>
        <v>0</v>
      </c>
      <c r="E549" s="273"/>
      <c r="F549" s="273"/>
      <c r="G549" s="273"/>
      <c r="H549" s="273"/>
      <c r="I549" s="273"/>
      <c r="J549" s="273"/>
      <c r="K549" s="273"/>
      <c r="L549" s="273"/>
      <c r="M549" s="273"/>
      <c r="N549" s="273"/>
      <c r="O549" s="273"/>
      <c r="P549" s="273"/>
      <c r="Q549" s="273"/>
      <c r="R549" s="273"/>
      <c r="S549" s="273"/>
      <c r="T549" s="273"/>
      <c r="U549" s="273"/>
      <c r="V549" s="273"/>
      <c r="W549" s="273">
        <f t="shared" ref="W549:W558" si="128">SUM(X549:AG549)</f>
        <v>127773.2</v>
      </c>
      <c r="X549" s="17"/>
      <c r="Y549" s="17"/>
      <c r="Z549" s="17"/>
      <c r="AA549" s="17"/>
      <c r="AB549" s="17"/>
      <c r="AC549" s="37">
        <v>127773.2</v>
      </c>
      <c r="AD549" s="17"/>
      <c r="AE549" s="17"/>
      <c r="AF549" s="17"/>
    </row>
    <row r="550" spans="1:34" x14ac:dyDescent="0.3">
      <c r="A550" s="10">
        <f t="shared" ref="A550:A570" si="129">A549+1</f>
        <v>471</v>
      </c>
      <c r="B550" s="124" t="s">
        <v>721</v>
      </c>
      <c r="C550" s="273">
        <f t="shared" si="126"/>
        <v>344258.92000000004</v>
      </c>
      <c r="D550" s="273">
        <f t="shared" si="127"/>
        <v>0</v>
      </c>
      <c r="E550" s="273"/>
      <c r="F550" s="273"/>
      <c r="G550" s="273"/>
      <c r="H550" s="273"/>
      <c r="I550" s="273"/>
      <c r="J550" s="273"/>
      <c r="K550" s="273"/>
      <c r="L550" s="273"/>
      <c r="M550" s="273"/>
      <c r="N550" s="273"/>
      <c r="O550" s="273"/>
      <c r="P550" s="273"/>
      <c r="Q550" s="273"/>
      <c r="R550" s="273"/>
      <c r="S550" s="273"/>
      <c r="T550" s="273"/>
      <c r="U550" s="273"/>
      <c r="V550" s="273"/>
      <c r="W550" s="273">
        <f t="shared" si="128"/>
        <v>344258.92000000004</v>
      </c>
      <c r="X550" s="17"/>
      <c r="Y550" s="17"/>
      <c r="Z550" s="17"/>
      <c r="AA550" s="17"/>
      <c r="AC550" s="37">
        <v>123289.78</v>
      </c>
      <c r="AD550" s="279"/>
      <c r="AE550" s="279">
        <v>220969.14</v>
      </c>
      <c r="AF550" s="279"/>
    </row>
    <row r="551" spans="1:34" x14ac:dyDescent="0.3">
      <c r="A551" s="10">
        <f t="shared" si="129"/>
        <v>472</v>
      </c>
      <c r="B551" s="124" t="s">
        <v>722</v>
      </c>
      <c r="C551" s="273">
        <f t="shared" si="126"/>
        <v>216364.04</v>
      </c>
      <c r="D551" s="273">
        <f t="shared" si="127"/>
        <v>0</v>
      </c>
      <c r="E551" s="273"/>
      <c r="F551" s="273"/>
      <c r="G551" s="273"/>
      <c r="H551" s="273"/>
      <c r="I551" s="273"/>
      <c r="J551" s="273"/>
      <c r="K551" s="273"/>
      <c r="L551" s="273"/>
      <c r="M551" s="273"/>
      <c r="N551" s="273"/>
      <c r="O551" s="273"/>
      <c r="P551" s="273"/>
      <c r="Q551" s="273"/>
      <c r="R551" s="273"/>
      <c r="S551" s="273"/>
      <c r="T551" s="273"/>
      <c r="U551" s="273"/>
      <c r="V551" s="273"/>
      <c r="W551" s="273">
        <f t="shared" si="128"/>
        <v>216364.04</v>
      </c>
      <c r="X551" s="17"/>
      <c r="Y551" s="17"/>
      <c r="Z551" s="17"/>
      <c r="AA551" s="17"/>
      <c r="AC551" s="283"/>
      <c r="AD551" s="279"/>
      <c r="AE551" s="279">
        <v>216364.04</v>
      </c>
      <c r="AF551" s="279"/>
    </row>
    <row r="552" spans="1:34" x14ac:dyDescent="0.3">
      <c r="A552" s="10">
        <f t="shared" si="129"/>
        <v>473</v>
      </c>
      <c r="B552" s="124" t="s">
        <v>723</v>
      </c>
      <c r="C552" s="273">
        <f t="shared" si="126"/>
        <v>261346.7</v>
      </c>
      <c r="D552" s="273">
        <f t="shared" si="127"/>
        <v>0</v>
      </c>
      <c r="E552" s="273"/>
      <c r="F552" s="273"/>
      <c r="G552" s="273"/>
      <c r="H552" s="273"/>
      <c r="I552" s="273"/>
      <c r="J552" s="273"/>
      <c r="K552" s="273"/>
      <c r="L552" s="273"/>
      <c r="M552" s="273"/>
      <c r="N552" s="273"/>
      <c r="O552" s="273"/>
      <c r="P552" s="273"/>
      <c r="Q552" s="273"/>
      <c r="R552" s="273"/>
      <c r="S552" s="273"/>
      <c r="T552" s="273"/>
      <c r="U552" s="273"/>
      <c r="V552" s="273"/>
      <c r="W552" s="273">
        <f t="shared" si="128"/>
        <v>261346.7</v>
      </c>
      <c r="X552" s="17"/>
      <c r="Y552" s="17"/>
      <c r="Z552" s="17"/>
      <c r="AA552" s="17"/>
      <c r="AC552" s="283"/>
      <c r="AD552" s="17"/>
      <c r="AE552" s="17"/>
      <c r="AF552" s="279">
        <v>261346.7</v>
      </c>
    </row>
    <row r="553" spans="1:34" x14ac:dyDescent="0.3">
      <c r="A553" s="10">
        <f t="shared" si="129"/>
        <v>474</v>
      </c>
      <c r="B553" s="124" t="s">
        <v>724</v>
      </c>
      <c r="C553" s="273">
        <f t="shared" si="126"/>
        <v>211982.69</v>
      </c>
      <c r="D553" s="273">
        <f t="shared" si="127"/>
        <v>0</v>
      </c>
      <c r="E553" s="273"/>
      <c r="F553" s="273"/>
      <c r="G553" s="273"/>
      <c r="H553" s="273"/>
      <c r="I553" s="273"/>
      <c r="J553" s="273"/>
      <c r="K553" s="273"/>
      <c r="L553" s="273"/>
      <c r="M553" s="273"/>
      <c r="N553" s="273"/>
      <c r="O553" s="273"/>
      <c r="P553" s="273"/>
      <c r="Q553" s="273"/>
      <c r="R553" s="273"/>
      <c r="S553" s="273"/>
      <c r="T553" s="273"/>
      <c r="U553" s="273"/>
      <c r="V553" s="273"/>
      <c r="W553" s="273">
        <f t="shared" si="128"/>
        <v>211982.69</v>
      </c>
      <c r="X553" s="17"/>
      <c r="Y553" s="17"/>
      <c r="Z553" s="17"/>
      <c r="AA553" s="17"/>
      <c r="AC553" s="283"/>
      <c r="AD553" s="279"/>
      <c r="AE553" s="279">
        <v>211982.69</v>
      </c>
      <c r="AF553" s="279"/>
    </row>
    <row r="554" spans="1:34" x14ac:dyDescent="0.3">
      <c r="A554" s="10">
        <f t="shared" si="129"/>
        <v>475</v>
      </c>
      <c r="B554" s="124" t="s">
        <v>725</v>
      </c>
      <c r="C554" s="273">
        <f t="shared" si="126"/>
        <v>227138.35</v>
      </c>
      <c r="D554" s="273">
        <f t="shared" si="127"/>
        <v>0</v>
      </c>
      <c r="E554" s="273"/>
      <c r="F554" s="273"/>
      <c r="G554" s="273"/>
      <c r="H554" s="273"/>
      <c r="I554" s="273"/>
      <c r="J554" s="273"/>
      <c r="K554" s="273"/>
      <c r="L554" s="273"/>
      <c r="M554" s="273"/>
      <c r="N554" s="273"/>
      <c r="O554" s="273"/>
      <c r="P554" s="273"/>
      <c r="Q554" s="273"/>
      <c r="R554" s="273"/>
      <c r="S554" s="273"/>
      <c r="T554" s="273"/>
      <c r="U554" s="273"/>
      <c r="V554" s="273"/>
      <c r="W554" s="273">
        <f t="shared" si="128"/>
        <v>227138.35</v>
      </c>
      <c r="X554" s="17"/>
      <c r="Y554" s="17"/>
      <c r="Z554" s="17"/>
      <c r="AA554" s="17"/>
      <c r="AC554" s="283"/>
      <c r="AD554" s="17"/>
      <c r="AE554" s="17"/>
      <c r="AF554" s="279">
        <v>227138.35</v>
      </c>
    </row>
    <row r="555" spans="1:34" x14ac:dyDescent="0.3">
      <c r="A555" s="10">
        <f t="shared" si="129"/>
        <v>476</v>
      </c>
      <c r="B555" s="124" t="s">
        <v>726</v>
      </c>
      <c r="C555" s="273">
        <f t="shared" si="126"/>
        <v>98364.53</v>
      </c>
      <c r="D555" s="273">
        <f t="shared" si="127"/>
        <v>0</v>
      </c>
      <c r="E555" s="273"/>
      <c r="F555" s="273"/>
      <c r="G555" s="273"/>
      <c r="H555" s="273"/>
      <c r="I555" s="273"/>
      <c r="J555" s="273"/>
      <c r="K555" s="273"/>
      <c r="L555" s="273"/>
      <c r="M555" s="273"/>
      <c r="N555" s="273"/>
      <c r="O555" s="273"/>
      <c r="P555" s="273"/>
      <c r="Q555" s="273"/>
      <c r="R555" s="273"/>
      <c r="S555" s="273"/>
      <c r="T555" s="273"/>
      <c r="U555" s="273"/>
      <c r="V555" s="273"/>
      <c r="W555" s="273">
        <f t="shared" si="128"/>
        <v>98364.53</v>
      </c>
      <c r="X555" s="279"/>
      <c r="Y555" s="279"/>
      <c r="Z555" s="279"/>
      <c r="AA555" s="279"/>
      <c r="AC555" s="37">
        <v>98364.53</v>
      </c>
      <c r="AD555" s="17"/>
      <c r="AE555" s="279"/>
      <c r="AF555" s="279"/>
    </row>
    <row r="556" spans="1:34" x14ac:dyDescent="0.3">
      <c r="A556" s="10">
        <f t="shared" si="129"/>
        <v>477</v>
      </c>
      <c r="B556" s="124" t="s">
        <v>727</v>
      </c>
      <c r="C556" s="273">
        <f t="shared" si="126"/>
        <v>267110.64</v>
      </c>
      <c r="D556" s="273">
        <f t="shared" si="127"/>
        <v>0</v>
      </c>
      <c r="E556" s="273"/>
      <c r="F556" s="273"/>
      <c r="G556" s="273"/>
      <c r="H556" s="273"/>
      <c r="I556" s="273"/>
      <c r="J556" s="273"/>
      <c r="K556" s="273"/>
      <c r="L556" s="273"/>
      <c r="M556" s="273"/>
      <c r="N556" s="273"/>
      <c r="O556" s="273"/>
      <c r="P556" s="273"/>
      <c r="Q556" s="273"/>
      <c r="R556" s="273"/>
      <c r="S556" s="273"/>
      <c r="T556" s="273"/>
      <c r="U556" s="273"/>
      <c r="V556" s="273"/>
      <c r="W556" s="273">
        <f t="shared" si="128"/>
        <v>267110.64</v>
      </c>
      <c r="X556" s="279"/>
      <c r="Y556" s="279"/>
      <c r="Z556" s="279"/>
      <c r="AA556" s="279"/>
      <c r="AC556" s="37">
        <v>93302.21</v>
      </c>
      <c r="AD556" s="279"/>
      <c r="AE556" s="279">
        <v>173808.43</v>
      </c>
      <c r="AF556" s="279"/>
    </row>
    <row r="557" spans="1:34" x14ac:dyDescent="0.3">
      <c r="A557" s="10">
        <f t="shared" si="129"/>
        <v>478</v>
      </c>
      <c r="B557" s="124" t="s">
        <v>728</v>
      </c>
      <c r="C557" s="273">
        <f t="shared" si="126"/>
        <v>216674</v>
      </c>
      <c r="D557" s="273">
        <f t="shared" si="127"/>
        <v>0</v>
      </c>
      <c r="E557" s="273"/>
      <c r="F557" s="273"/>
      <c r="G557" s="273"/>
      <c r="H557" s="273"/>
      <c r="I557" s="273"/>
      <c r="J557" s="273"/>
      <c r="K557" s="273"/>
      <c r="L557" s="273"/>
      <c r="M557" s="273"/>
      <c r="N557" s="273"/>
      <c r="O557" s="273"/>
      <c r="P557" s="273"/>
      <c r="Q557" s="273"/>
      <c r="R557" s="273"/>
      <c r="S557" s="273"/>
      <c r="T557" s="273"/>
      <c r="U557" s="273"/>
      <c r="V557" s="273"/>
      <c r="W557" s="273">
        <f t="shared" si="128"/>
        <v>216674</v>
      </c>
      <c r="X557" s="17"/>
      <c r="Y557" s="17"/>
      <c r="Z557" s="17"/>
      <c r="AA557" s="17"/>
      <c r="AC557" s="283"/>
      <c r="AD557" s="279"/>
      <c r="AE557" s="279">
        <v>216674</v>
      </c>
      <c r="AF557" s="279"/>
    </row>
    <row r="558" spans="1:34" x14ac:dyDescent="0.3">
      <c r="A558" s="10">
        <f t="shared" si="129"/>
        <v>479</v>
      </c>
      <c r="B558" s="124" t="s">
        <v>729</v>
      </c>
      <c r="C558" s="273">
        <f t="shared" si="126"/>
        <v>212532.42</v>
      </c>
      <c r="D558" s="273">
        <f t="shared" si="127"/>
        <v>0</v>
      </c>
      <c r="E558" s="273"/>
      <c r="F558" s="273"/>
      <c r="G558" s="273"/>
      <c r="H558" s="273"/>
      <c r="I558" s="273"/>
      <c r="J558" s="273"/>
      <c r="K558" s="273"/>
      <c r="L558" s="273"/>
      <c r="M558" s="273"/>
      <c r="N558" s="273"/>
      <c r="O558" s="273"/>
      <c r="P558" s="273"/>
      <c r="Q558" s="273"/>
      <c r="R558" s="273"/>
      <c r="S558" s="273"/>
      <c r="T558" s="273"/>
      <c r="U558" s="273"/>
      <c r="V558" s="273"/>
      <c r="W558" s="273">
        <f t="shared" si="128"/>
        <v>212532.42</v>
      </c>
      <c r="X558" s="17"/>
      <c r="Y558" s="17"/>
      <c r="Z558" s="17"/>
      <c r="AA558" s="17"/>
      <c r="AC558" s="283"/>
      <c r="AD558" s="279"/>
      <c r="AE558" s="279">
        <v>212532.42</v>
      </c>
      <c r="AF558" s="279"/>
    </row>
    <row r="559" spans="1:34" x14ac:dyDescent="0.3">
      <c r="A559" s="10">
        <f t="shared" si="129"/>
        <v>480</v>
      </c>
      <c r="B559" s="124" t="s">
        <v>730</v>
      </c>
      <c r="C559" s="273">
        <f t="shared" si="126"/>
        <v>130000</v>
      </c>
      <c r="D559" s="273">
        <f t="shared" si="127"/>
        <v>0</v>
      </c>
      <c r="E559" s="273"/>
      <c r="F559" s="273"/>
      <c r="G559" s="273"/>
      <c r="H559" s="273"/>
      <c r="I559" s="273"/>
      <c r="J559" s="273"/>
      <c r="K559" s="273"/>
      <c r="L559" s="273"/>
      <c r="M559" s="273"/>
      <c r="N559" s="273"/>
      <c r="O559" s="273"/>
      <c r="P559" s="273"/>
      <c r="Q559" s="273"/>
      <c r="R559" s="273"/>
      <c r="S559" s="273"/>
      <c r="T559" s="273"/>
      <c r="U559" s="273"/>
      <c r="V559" s="273"/>
      <c r="W559" s="273">
        <v>130000</v>
      </c>
      <c r="X559" s="17"/>
      <c r="Y559" s="17"/>
      <c r="Z559" s="17"/>
      <c r="AA559" s="17"/>
      <c r="AC559" s="283"/>
      <c r="AD559" s="17"/>
      <c r="AE559" s="17"/>
      <c r="AF559" s="17"/>
      <c r="AH559" s="36">
        <v>130000</v>
      </c>
    </row>
    <row r="560" spans="1:34" x14ac:dyDescent="0.3">
      <c r="A560" s="10">
        <f t="shared" si="129"/>
        <v>481</v>
      </c>
      <c r="B560" s="124" t="s">
        <v>731</v>
      </c>
      <c r="C560" s="273">
        <f t="shared" si="126"/>
        <v>3867354.42</v>
      </c>
      <c r="D560" s="273">
        <f t="shared" si="127"/>
        <v>0</v>
      </c>
      <c r="E560" s="273"/>
      <c r="F560" s="273"/>
      <c r="G560" s="273"/>
      <c r="H560" s="273"/>
      <c r="I560" s="273"/>
      <c r="J560" s="273"/>
      <c r="K560" s="273"/>
      <c r="L560" s="273"/>
      <c r="M560" s="273"/>
      <c r="N560" s="273"/>
      <c r="O560" s="273"/>
      <c r="P560" s="273"/>
      <c r="Q560" s="273"/>
      <c r="R560" s="273">
        <v>3867354.42</v>
      </c>
      <c r="S560" s="273"/>
      <c r="T560" s="273"/>
      <c r="U560" s="273"/>
      <c r="V560" s="273"/>
      <c r="W560" s="273">
        <f t="shared" ref="W560:W570" si="130">SUM(X560:AG560)</f>
        <v>0</v>
      </c>
      <c r="X560" s="279"/>
      <c r="Y560" s="16"/>
      <c r="Z560" s="17"/>
      <c r="AC560" s="283"/>
      <c r="AD560" s="17"/>
      <c r="AE560" s="279"/>
      <c r="AF560" s="279"/>
    </row>
    <row r="561" spans="1:34" x14ac:dyDescent="0.3">
      <c r="A561" s="10">
        <f t="shared" si="129"/>
        <v>482</v>
      </c>
      <c r="B561" s="124" t="s">
        <v>732</v>
      </c>
      <c r="C561" s="273">
        <f t="shared" si="126"/>
        <v>239727.02000000002</v>
      </c>
      <c r="D561" s="273">
        <f t="shared" si="127"/>
        <v>0</v>
      </c>
      <c r="E561" s="273"/>
      <c r="F561" s="273"/>
      <c r="G561" s="273"/>
      <c r="H561" s="273"/>
      <c r="I561" s="273"/>
      <c r="J561" s="273"/>
      <c r="K561" s="273"/>
      <c r="L561" s="273"/>
      <c r="M561" s="273"/>
      <c r="N561" s="273"/>
      <c r="O561" s="273"/>
      <c r="P561" s="273"/>
      <c r="Q561" s="273"/>
      <c r="R561" s="273"/>
      <c r="S561" s="273"/>
      <c r="T561" s="273"/>
      <c r="U561" s="273"/>
      <c r="V561" s="273"/>
      <c r="W561" s="273">
        <f t="shared" si="130"/>
        <v>239727.02000000002</v>
      </c>
      <c r="Y561" s="251">
        <v>129926.95</v>
      </c>
      <c r="Z561" s="18">
        <v>109800.07</v>
      </c>
      <c r="AA561" s="17"/>
      <c r="AC561" s="283"/>
      <c r="AD561" s="17"/>
      <c r="AE561" s="17"/>
      <c r="AF561" s="17"/>
    </row>
    <row r="562" spans="1:34" x14ac:dyDescent="0.3">
      <c r="A562" s="10">
        <f t="shared" si="129"/>
        <v>483</v>
      </c>
      <c r="B562" s="124" t="s">
        <v>733</v>
      </c>
      <c r="C562" s="273">
        <f t="shared" si="126"/>
        <v>193844.71</v>
      </c>
      <c r="D562" s="273">
        <f t="shared" si="127"/>
        <v>0</v>
      </c>
      <c r="E562" s="273"/>
      <c r="F562" s="273"/>
      <c r="G562" s="273"/>
      <c r="H562" s="273"/>
      <c r="I562" s="273"/>
      <c r="J562" s="273"/>
      <c r="K562" s="273"/>
      <c r="L562" s="273"/>
      <c r="M562" s="273"/>
      <c r="N562" s="273"/>
      <c r="O562" s="273"/>
      <c r="P562" s="273"/>
      <c r="Q562" s="273"/>
      <c r="R562" s="273"/>
      <c r="S562" s="273"/>
      <c r="T562" s="273"/>
      <c r="U562" s="273"/>
      <c r="V562" s="273"/>
      <c r="W562" s="273">
        <f t="shared" si="130"/>
        <v>193844.71</v>
      </c>
      <c r="Y562" s="273"/>
      <c r="Z562" s="16"/>
      <c r="AA562" s="17"/>
      <c r="AC562" s="283"/>
      <c r="AD562" s="17"/>
      <c r="AE562" s="279">
        <v>193844.71</v>
      </c>
      <c r="AF562" s="279"/>
    </row>
    <row r="563" spans="1:34" x14ac:dyDescent="0.3">
      <c r="A563" s="10">
        <f t="shared" si="129"/>
        <v>484</v>
      </c>
      <c r="B563" s="124" t="s">
        <v>734</v>
      </c>
      <c r="C563" s="273">
        <f t="shared" si="126"/>
        <v>229577.5</v>
      </c>
      <c r="D563" s="273">
        <f t="shared" si="127"/>
        <v>0</v>
      </c>
      <c r="E563" s="273"/>
      <c r="F563" s="273"/>
      <c r="G563" s="273"/>
      <c r="H563" s="273"/>
      <c r="I563" s="273"/>
      <c r="J563" s="273"/>
      <c r="K563" s="273"/>
      <c r="L563" s="273"/>
      <c r="M563" s="273"/>
      <c r="N563" s="273"/>
      <c r="O563" s="273"/>
      <c r="P563" s="273"/>
      <c r="Q563" s="273"/>
      <c r="R563" s="273"/>
      <c r="S563" s="273"/>
      <c r="T563" s="273"/>
      <c r="U563" s="273"/>
      <c r="V563" s="273"/>
      <c r="W563" s="273">
        <f t="shared" si="130"/>
        <v>229577.5</v>
      </c>
      <c r="Y563" s="251"/>
      <c r="Z563" s="18"/>
      <c r="AA563" s="17"/>
      <c r="AC563" s="283"/>
      <c r="AD563" s="17"/>
      <c r="AE563" s="17"/>
      <c r="AF563" s="279">
        <v>229577.5</v>
      </c>
    </row>
    <row r="564" spans="1:34" x14ac:dyDescent="0.3">
      <c r="A564" s="10">
        <f t="shared" si="129"/>
        <v>485</v>
      </c>
      <c r="B564" s="124" t="s">
        <v>735</v>
      </c>
      <c r="C564" s="273">
        <f t="shared" si="126"/>
        <v>234479.44</v>
      </c>
      <c r="D564" s="273">
        <f t="shared" si="127"/>
        <v>0</v>
      </c>
      <c r="E564" s="273"/>
      <c r="F564" s="273"/>
      <c r="G564" s="273"/>
      <c r="H564" s="273"/>
      <c r="I564" s="273"/>
      <c r="J564" s="273"/>
      <c r="K564" s="273"/>
      <c r="L564" s="273"/>
      <c r="M564" s="273"/>
      <c r="N564" s="273"/>
      <c r="O564" s="273"/>
      <c r="P564" s="273"/>
      <c r="Q564" s="273"/>
      <c r="R564" s="273"/>
      <c r="S564" s="273"/>
      <c r="T564" s="273"/>
      <c r="U564" s="273"/>
      <c r="V564" s="273"/>
      <c r="W564" s="273">
        <f t="shared" si="130"/>
        <v>234479.44</v>
      </c>
      <c r="Y564" s="273"/>
      <c r="Z564" s="16"/>
      <c r="AA564" s="17"/>
      <c r="AC564" s="283"/>
      <c r="AD564" s="17"/>
      <c r="AE564" s="17"/>
      <c r="AF564" s="279">
        <v>234479.44</v>
      </c>
    </row>
    <row r="565" spans="1:34" x14ac:dyDescent="0.3">
      <c r="A565" s="10">
        <f t="shared" si="129"/>
        <v>486</v>
      </c>
      <c r="B565" s="124" t="s">
        <v>736</v>
      </c>
      <c r="C565" s="273">
        <f t="shared" si="126"/>
        <v>228780.97</v>
      </c>
      <c r="D565" s="273">
        <f t="shared" si="127"/>
        <v>0</v>
      </c>
      <c r="E565" s="273"/>
      <c r="F565" s="273"/>
      <c r="G565" s="273"/>
      <c r="H565" s="273"/>
      <c r="I565" s="273"/>
      <c r="J565" s="273"/>
      <c r="K565" s="273"/>
      <c r="L565" s="273"/>
      <c r="M565" s="273"/>
      <c r="N565" s="273"/>
      <c r="O565" s="273"/>
      <c r="P565" s="273"/>
      <c r="Q565" s="273"/>
      <c r="R565" s="273"/>
      <c r="S565" s="273"/>
      <c r="T565" s="273"/>
      <c r="U565" s="273"/>
      <c r="V565" s="273"/>
      <c r="W565" s="273">
        <f t="shared" si="130"/>
        <v>228780.97</v>
      </c>
      <c r="Y565" s="251"/>
      <c r="Z565" s="18"/>
      <c r="AA565" s="17"/>
      <c r="AC565" s="283"/>
      <c r="AD565" s="17"/>
      <c r="AE565" s="17"/>
      <c r="AF565" s="279">
        <v>228780.97</v>
      </c>
    </row>
    <row r="566" spans="1:34" x14ac:dyDescent="0.3">
      <c r="A566" s="10">
        <f t="shared" si="129"/>
        <v>487</v>
      </c>
      <c r="B566" s="124" t="s">
        <v>737</v>
      </c>
      <c r="C566" s="273">
        <f t="shared" si="126"/>
        <v>429586.52</v>
      </c>
      <c r="D566" s="273">
        <f t="shared" si="127"/>
        <v>0</v>
      </c>
      <c r="E566" s="273"/>
      <c r="F566" s="273"/>
      <c r="G566" s="273"/>
      <c r="H566" s="273"/>
      <c r="I566" s="273"/>
      <c r="J566" s="273"/>
      <c r="K566" s="273"/>
      <c r="L566" s="273"/>
      <c r="M566" s="273"/>
      <c r="N566" s="273"/>
      <c r="O566" s="273"/>
      <c r="P566" s="273"/>
      <c r="Q566" s="273"/>
      <c r="R566" s="273"/>
      <c r="S566" s="273"/>
      <c r="T566" s="273"/>
      <c r="U566" s="273"/>
      <c r="V566" s="273"/>
      <c r="W566" s="273">
        <f t="shared" si="130"/>
        <v>429586.52</v>
      </c>
      <c r="Y566" s="273"/>
      <c r="Z566" s="16"/>
      <c r="AA566" s="17"/>
      <c r="AC566" s="283"/>
      <c r="AD566" s="279"/>
      <c r="AE566" s="279">
        <v>429586.52</v>
      </c>
      <c r="AF566" s="279"/>
    </row>
    <row r="567" spans="1:34" x14ac:dyDescent="0.3">
      <c r="A567" s="10">
        <f t="shared" si="129"/>
        <v>488</v>
      </c>
      <c r="B567" s="124" t="s">
        <v>738</v>
      </c>
      <c r="C567" s="273">
        <f t="shared" si="126"/>
        <v>726376.61</v>
      </c>
      <c r="D567" s="273">
        <f t="shared" si="127"/>
        <v>0</v>
      </c>
      <c r="E567" s="273"/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>
        <f t="shared" si="130"/>
        <v>726376.61</v>
      </c>
      <c r="Y567" s="251">
        <v>296003.62</v>
      </c>
      <c r="Z567" s="18">
        <v>230779.58</v>
      </c>
      <c r="AA567" s="279"/>
      <c r="AC567" s="283"/>
      <c r="AD567" s="279"/>
      <c r="AE567" s="279"/>
      <c r="AF567" s="279">
        <v>199593.41</v>
      </c>
    </row>
    <row r="568" spans="1:34" x14ac:dyDescent="0.3">
      <c r="A568" s="10">
        <f t="shared" si="129"/>
        <v>489</v>
      </c>
      <c r="B568" s="124" t="s">
        <v>739</v>
      </c>
      <c r="C568" s="273">
        <f t="shared" si="126"/>
        <v>188970.86</v>
      </c>
      <c r="D568" s="273">
        <f t="shared" si="127"/>
        <v>0</v>
      </c>
      <c r="E568" s="273"/>
      <c r="F568" s="273"/>
      <c r="G568" s="273"/>
      <c r="H568" s="273"/>
      <c r="I568" s="273"/>
      <c r="J568" s="273"/>
      <c r="K568" s="273"/>
      <c r="L568" s="273"/>
      <c r="M568" s="273"/>
      <c r="N568" s="273"/>
      <c r="O568" s="273"/>
      <c r="P568" s="273"/>
      <c r="Q568" s="273"/>
      <c r="R568" s="273"/>
      <c r="S568" s="273"/>
      <c r="T568" s="273"/>
      <c r="U568" s="273"/>
      <c r="V568" s="273"/>
      <c r="W568" s="273">
        <f t="shared" si="130"/>
        <v>188970.86</v>
      </c>
      <c r="X568" s="273"/>
      <c r="Y568" s="16"/>
      <c r="Z568" s="17"/>
      <c r="AA568" s="17"/>
      <c r="AC568" s="283"/>
      <c r="AD568" s="279"/>
      <c r="AE568" s="17"/>
      <c r="AF568" s="279">
        <v>188970.86</v>
      </c>
    </row>
    <row r="569" spans="1:34" x14ac:dyDescent="0.3">
      <c r="A569" s="10">
        <f t="shared" si="129"/>
        <v>490</v>
      </c>
      <c r="B569" s="124" t="s">
        <v>740</v>
      </c>
      <c r="C569" s="273">
        <f t="shared" si="126"/>
        <v>398768.24</v>
      </c>
      <c r="D569" s="273">
        <f t="shared" si="127"/>
        <v>0</v>
      </c>
      <c r="E569" s="273"/>
      <c r="F569" s="273"/>
      <c r="G569" s="273"/>
      <c r="H569" s="273"/>
      <c r="I569" s="273"/>
      <c r="J569" s="273"/>
      <c r="K569" s="273"/>
      <c r="L569" s="273"/>
      <c r="M569" s="273"/>
      <c r="N569" s="273"/>
      <c r="O569" s="273"/>
      <c r="P569" s="273"/>
      <c r="Q569" s="273"/>
      <c r="R569" s="273"/>
      <c r="S569" s="273"/>
      <c r="T569" s="273"/>
      <c r="U569" s="273"/>
      <c r="V569" s="273"/>
      <c r="W569" s="273">
        <f t="shared" si="130"/>
        <v>398768.24</v>
      </c>
      <c r="X569" s="273"/>
      <c r="Y569" s="16"/>
      <c r="Z569" s="17"/>
      <c r="AA569" s="17"/>
      <c r="AC569" s="283"/>
      <c r="AD569" s="279"/>
      <c r="AE569" s="279">
        <v>398768.24</v>
      </c>
      <c r="AF569" s="279"/>
    </row>
    <row r="570" spans="1:34" x14ac:dyDescent="0.3">
      <c r="A570" s="10">
        <f t="shared" si="129"/>
        <v>491</v>
      </c>
      <c r="B570" s="124" t="s">
        <v>741</v>
      </c>
      <c r="C570" s="273">
        <f t="shared" si="126"/>
        <v>60536.86</v>
      </c>
      <c r="D570" s="273">
        <f t="shared" si="127"/>
        <v>0</v>
      </c>
      <c r="E570" s="273"/>
      <c r="F570" s="273"/>
      <c r="G570" s="273"/>
      <c r="H570" s="273"/>
      <c r="I570" s="273"/>
      <c r="J570" s="273"/>
      <c r="K570" s="273"/>
      <c r="L570" s="273"/>
      <c r="M570" s="273"/>
      <c r="N570" s="273"/>
      <c r="O570" s="273"/>
      <c r="P570" s="273"/>
      <c r="Q570" s="273"/>
      <c r="R570" s="273"/>
      <c r="S570" s="273"/>
      <c r="T570" s="273"/>
      <c r="U570" s="273"/>
      <c r="V570" s="273"/>
      <c r="W570" s="273">
        <f t="shared" si="130"/>
        <v>60536.86</v>
      </c>
      <c r="X570" s="273"/>
      <c r="Y570" s="16"/>
      <c r="Z570" s="17"/>
      <c r="AA570" s="17"/>
      <c r="AC570" s="37">
        <v>60536.86</v>
      </c>
      <c r="AD570" s="279"/>
      <c r="AE570" s="17"/>
      <c r="AF570" s="17"/>
    </row>
    <row r="571" spans="1:34" x14ac:dyDescent="0.3">
      <c r="A571" s="8"/>
      <c r="B571" s="124" t="s">
        <v>208</v>
      </c>
      <c r="C571" s="273">
        <f t="shared" ref="C571:W571" si="131">SUM(C549:C570)</f>
        <v>9111548.6399999987</v>
      </c>
      <c r="D571" s="273">
        <f t="shared" si="131"/>
        <v>0</v>
      </c>
      <c r="E571" s="273">
        <f t="shared" si="131"/>
        <v>0</v>
      </c>
      <c r="F571" s="273">
        <f t="shared" si="131"/>
        <v>0</v>
      </c>
      <c r="G571" s="273">
        <f t="shared" si="131"/>
        <v>0</v>
      </c>
      <c r="H571" s="273">
        <f t="shared" si="131"/>
        <v>0</v>
      </c>
      <c r="I571" s="273">
        <f t="shared" si="131"/>
        <v>0</v>
      </c>
      <c r="J571" s="273">
        <f t="shared" si="131"/>
        <v>0</v>
      </c>
      <c r="K571" s="273">
        <f t="shared" si="131"/>
        <v>0</v>
      </c>
      <c r="L571" s="273">
        <f t="shared" si="131"/>
        <v>0</v>
      </c>
      <c r="M571" s="273">
        <f t="shared" si="131"/>
        <v>0</v>
      </c>
      <c r="N571" s="273">
        <f t="shared" si="131"/>
        <v>0</v>
      </c>
      <c r="O571" s="273">
        <f t="shared" si="131"/>
        <v>0</v>
      </c>
      <c r="P571" s="273">
        <f t="shared" si="131"/>
        <v>0</v>
      </c>
      <c r="Q571" s="273">
        <f t="shared" si="131"/>
        <v>0</v>
      </c>
      <c r="R571" s="273">
        <f t="shared" si="131"/>
        <v>3867354.42</v>
      </c>
      <c r="S571" s="273">
        <f t="shared" si="131"/>
        <v>0</v>
      </c>
      <c r="T571" s="273">
        <f t="shared" si="131"/>
        <v>0</v>
      </c>
      <c r="U571" s="273">
        <f t="shared" si="131"/>
        <v>0</v>
      </c>
      <c r="V571" s="273">
        <f t="shared" si="131"/>
        <v>0</v>
      </c>
      <c r="W571" s="273">
        <f t="shared" si="131"/>
        <v>5244194.2200000016</v>
      </c>
      <c r="X571" s="269"/>
      <c r="Y571" s="7"/>
      <c r="Z571" s="13"/>
      <c r="AA571" s="13"/>
      <c r="AB571" s="13"/>
      <c r="AC571" s="13"/>
      <c r="AD571" s="13"/>
      <c r="AE571" s="13"/>
      <c r="AF571" s="13"/>
    </row>
    <row r="572" spans="1:34" x14ac:dyDescent="0.3">
      <c r="A572" s="392" t="s">
        <v>3149</v>
      </c>
      <c r="B572" s="393"/>
      <c r="C572" s="251">
        <f t="shared" ref="C572:W572" si="132">C571+C547+C540+C534+C472+C465+C461+C452+C442+C423+C394+C537</f>
        <v>183214002.35000002</v>
      </c>
      <c r="D572" s="251">
        <f t="shared" si="132"/>
        <v>9628597</v>
      </c>
      <c r="E572" s="251">
        <f t="shared" si="132"/>
        <v>0</v>
      </c>
      <c r="F572" s="251">
        <f t="shared" si="132"/>
        <v>6157206</v>
      </c>
      <c r="G572" s="251">
        <f t="shared" si="132"/>
        <v>2553607</v>
      </c>
      <c r="H572" s="251">
        <f t="shared" si="132"/>
        <v>0</v>
      </c>
      <c r="I572" s="251">
        <f t="shared" si="132"/>
        <v>917784</v>
      </c>
      <c r="J572" s="251">
        <f t="shared" si="132"/>
        <v>0</v>
      </c>
      <c r="K572" s="251">
        <f t="shared" si="132"/>
        <v>0</v>
      </c>
      <c r="L572" s="251">
        <f t="shared" si="132"/>
        <v>0</v>
      </c>
      <c r="M572" s="251">
        <f t="shared" si="132"/>
        <v>2533.8000000000002</v>
      </c>
      <c r="N572" s="251">
        <f t="shared" si="132"/>
        <v>9127428.1999999993</v>
      </c>
      <c r="O572" s="251">
        <f t="shared" si="132"/>
        <v>2365</v>
      </c>
      <c r="P572" s="251">
        <f t="shared" si="132"/>
        <v>12101007.6</v>
      </c>
      <c r="Q572" s="251">
        <f t="shared" si="132"/>
        <v>9236.0999999999985</v>
      </c>
      <c r="R572" s="251">
        <f t="shared" si="132"/>
        <v>69977696.050000012</v>
      </c>
      <c r="S572" s="251">
        <f t="shared" si="132"/>
        <v>0</v>
      </c>
      <c r="T572" s="251">
        <f t="shared" si="132"/>
        <v>19959.3</v>
      </c>
      <c r="U572" s="251">
        <f t="shared" si="132"/>
        <v>21655120.800000001</v>
      </c>
      <c r="V572" s="251">
        <f t="shared" si="132"/>
        <v>91821.599999999991</v>
      </c>
      <c r="W572" s="251">
        <f t="shared" si="132"/>
        <v>60632331.100000016</v>
      </c>
      <c r="X572" s="269"/>
      <c r="Y572" s="7"/>
      <c r="Z572" s="13"/>
      <c r="AA572" s="13"/>
      <c r="AB572" s="13"/>
      <c r="AC572" s="13"/>
      <c r="AD572" s="13"/>
      <c r="AE572" s="13"/>
      <c r="AF572" s="13"/>
    </row>
    <row r="573" spans="1:34" x14ac:dyDescent="0.3">
      <c r="A573" s="376" t="s">
        <v>742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  <c r="V573" s="377"/>
      <c r="W573" s="378"/>
      <c r="X573" s="90"/>
      <c r="Y573" s="90"/>
      <c r="Z573" s="90"/>
      <c r="AA573" s="90"/>
      <c r="AB573" s="251"/>
      <c r="AC573" s="251"/>
      <c r="AD573" s="251"/>
      <c r="AE573" s="91"/>
      <c r="AF573" s="13"/>
    </row>
    <row r="574" spans="1:34" x14ac:dyDescent="0.3">
      <c r="A574" s="408" t="s">
        <v>746</v>
      </c>
      <c r="B574" s="409"/>
      <c r="C574" s="273"/>
      <c r="D574" s="273"/>
      <c r="E574" s="273"/>
      <c r="F574" s="273"/>
      <c r="G574" s="273"/>
      <c r="H574" s="273"/>
      <c r="I574" s="273"/>
      <c r="J574" s="273"/>
      <c r="K574" s="273"/>
      <c r="L574" s="273"/>
      <c r="M574" s="273"/>
      <c r="N574" s="273"/>
      <c r="O574" s="273"/>
      <c r="P574" s="273"/>
      <c r="Q574" s="273"/>
      <c r="R574" s="273"/>
      <c r="S574" s="273"/>
      <c r="T574" s="273"/>
      <c r="U574" s="273"/>
      <c r="V574" s="273"/>
      <c r="W574" s="273"/>
      <c r="X574" s="271"/>
      <c r="Y574" s="271"/>
      <c r="Z574" s="271"/>
      <c r="AA574" s="271"/>
      <c r="AB574" s="269"/>
      <c r="AC574" s="84"/>
      <c r="AD574" s="82"/>
      <c r="AE574" s="82"/>
      <c r="AF574" s="13"/>
    </row>
    <row r="575" spans="1:34" x14ac:dyDescent="0.3">
      <c r="A575" s="10">
        <f>A570+1</f>
        <v>492</v>
      </c>
      <c r="B575" s="124" t="s">
        <v>747</v>
      </c>
      <c r="C575" s="273">
        <f t="shared" ref="C575:C606" si="133">D575+K575+L575+N575+P575+R575+S575+U575+W575+V575</f>
        <v>1604810.4</v>
      </c>
      <c r="D575" s="273">
        <f t="shared" ref="D575:D606" si="134">E575+F575+G575+H575+I575</f>
        <v>0</v>
      </c>
      <c r="E575" s="273"/>
      <c r="F575" s="273"/>
      <c r="G575" s="273"/>
      <c r="H575" s="273"/>
      <c r="I575" s="273"/>
      <c r="J575" s="273"/>
      <c r="K575" s="273"/>
      <c r="L575" s="273"/>
      <c r="M575" s="273"/>
      <c r="N575" s="273">
        <v>1604810.4</v>
      </c>
      <c r="O575" s="273"/>
      <c r="P575" s="273"/>
      <c r="Q575" s="273"/>
      <c r="R575" s="273"/>
      <c r="S575" s="273"/>
      <c r="T575" s="273"/>
      <c r="U575" s="273"/>
      <c r="V575" s="273"/>
      <c r="W575" s="273"/>
      <c r="X575" s="271"/>
      <c r="Y575" s="271"/>
      <c r="Z575" s="271"/>
      <c r="AA575" s="271"/>
      <c r="AE575" s="269">
        <v>397657.22</v>
      </c>
      <c r="AF575" s="84"/>
      <c r="AG575" s="82"/>
      <c r="AH575" s="82"/>
    </row>
    <row r="576" spans="1:34" x14ac:dyDescent="0.3">
      <c r="A576" s="10">
        <f t="shared" ref="A576:A607" si="135">A575+1</f>
        <v>493</v>
      </c>
      <c r="B576" s="124" t="s">
        <v>748</v>
      </c>
      <c r="C576" s="273">
        <f t="shared" si="133"/>
        <v>492747.46</v>
      </c>
      <c r="D576" s="273">
        <f t="shared" si="134"/>
        <v>0</v>
      </c>
      <c r="E576" s="273"/>
      <c r="F576" s="273"/>
      <c r="G576" s="273"/>
      <c r="H576" s="273"/>
      <c r="I576" s="273"/>
      <c r="J576" s="273"/>
      <c r="K576" s="273"/>
      <c r="L576" s="273"/>
      <c r="M576" s="273"/>
      <c r="N576" s="273"/>
      <c r="O576" s="273"/>
      <c r="P576" s="273"/>
      <c r="Q576" s="273"/>
      <c r="R576" s="273"/>
      <c r="S576" s="273"/>
      <c r="T576" s="273"/>
      <c r="U576" s="273"/>
      <c r="V576" s="273"/>
      <c r="W576" s="273">
        <f t="shared" ref="W576:W608" si="136">SUM(X576:AI576)</f>
        <v>492747.46</v>
      </c>
      <c r="X576" s="271"/>
      <c r="Y576" s="271"/>
      <c r="Z576" s="271"/>
      <c r="AC576" s="271"/>
      <c r="AE576" s="269">
        <v>492747.46</v>
      </c>
      <c r="AF576" s="84"/>
      <c r="AG576" s="82"/>
      <c r="AH576" s="82"/>
    </row>
    <row r="577" spans="1:34" x14ac:dyDescent="0.3">
      <c r="A577" s="10">
        <f t="shared" si="135"/>
        <v>494</v>
      </c>
      <c r="B577" s="124" t="s">
        <v>749</v>
      </c>
      <c r="C577" s="273">
        <f t="shared" si="133"/>
        <v>497519.98</v>
      </c>
      <c r="D577" s="273">
        <f t="shared" si="134"/>
        <v>0</v>
      </c>
      <c r="E577" s="273"/>
      <c r="F577" s="273"/>
      <c r="G577" s="273"/>
      <c r="H577" s="273"/>
      <c r="I577" s="273"/>
      <c r="J577" s="273"/>
      <c r="K577" s="273"/>
      <c r="L577" s="273"/>
      <c r="M577" s="273"/>
      <c r="N577" s="273"/>
      <c r="O577" s="273"/>
      <c r="P577" s="273"/>
      <c r="Q577" s="273"/>
      <c r="R577" s="273"/>
      <c r="S577" s="273"/>
      <c r="T577" s="273"/>
      <c r="U577" s="273"/>
      <c r="V577" s="273"/>
      <c r="W577" s="273">
        <f t="shared" si="136"/>
        <v>497519.98</v>
      </c>
      <c r="X577" s="271"/>
      <c r="Y577" s="271"/>
      <c r="Z577" s="271"/>
      <c r="AC577" s="271"/>
      <c r="AE577" s="269">
        <v>497519.98</v>
      </c>
      <c r="AF577" s="84"/>
      <c r="AG577" s="82"/>
      <c r="AH577" s="82"/>
    </row>
    <row r="578" spans="1:34" x14ac:dyDescent="0.3">
      <c r="A578" s="10">
        <f t="shared" si="135"/>
        <v>495</v>
      </c>
      <c r="B578" s="124" t="s">
        <v>750</v>
      </c>
      <c r="C578" s="273">
        <f t="shared" si="133"/>
        <v>478835.05</v>
      </c>
      <c r="D578" s="273">
        <f t="shared" si="134"/>
        <v>0</v>
      </c>
      <c r="E578" s="273"/>
      <c r="F578" s="273"/>
      <c r="G578" s="273"/>
      <c r="H578" s="273"/>
      <c r="I578" s="273"/>
      <c r="J578" s="273"/>
      <c r="K578" s="273"/>
      <c r="L578" s="273"/>
      <c r="M578" s="273"/>
      <c r="N578" s="273"/>
      <c r="O578" s="273"/>
      <c r="P578" s="273"/>
      <c r="Q578" s="273"/>
      <c r="R578" s="273"/>
      <c r="S578" s="273"/>
      <c r="T578" s="273"/>
      <c r="U578" s="273"/>
      <c r="V578" s="273"/>
      <c r="W578" s="273">
        <f t="shared" si="136"/>
        <v>478835.05</v>
      </c>
      <c r="X578" s="271"/>
      <c r="Y578" s="271"/>
      <c r="Z578" s="271"/>
      <c r="AC578" s="271"/>
      <c r="AE578" s="269">
        <v>478835.05</v>
      </c>
      <c r="AF578" s="84"/>
      <c r="AG578" s="82"/>
      <c r="AH578" s="82"/>
    </row>
    <row r="579" spans="1:34" x14ac:dyDescent="0.3">
      <c r="A579" s="10">
        <f t="shared" si="135"/>
        <v>496</v>
      </c>
      <c r="B579" s="124" t="s">
        <v>751</v>
      </c>
      <c r="C579" s="273">
        <f t="shared" si="133"/>
        <v>430403.78</v>
      </c>
      <c r="D579" s="273">
        <f t="shared" si="134"/>
        <v>0</v>
      </c>
      <c r="E579" s="273"/>
      <c r="F579" s="273"/>
      <c r="G579" s="273"/>
      <c r="H579" s="273"/>
      <c r="I579" s="273"/>
      <c r="J579" s="273"/>
      <c r="K579" s="273"/>
      <c r="L579" s="273"/>
      <c r="M579" s="273"/>
      <c r="N579" s="273"/>
      <c r="O579" s="273"/>
      <c r="P579" s="273"/>
      <c r="Q579" s="273"/>
      <c r="R579" s="273"/>
      <c r="S579" s="273"/>
      <c r="T579" s="273"/>
      <c r="U579" s="273"/>
      <c r="V579" s="273"/>
      <c r="W579" s="273">
        <f t="shared" si="136"/>
        <v>430403.78</v>
      </c>
      <c r="X579" s="271"/>
      <c r="Y579" s="271"/>
      <c r="Z579" s="271"/>
      <c r="AC579" s="271"/>
      <c r="AE579" s="269">
        <v>430403.78</v>
      </c>
      <c r="AF579" s="84"/>
      <c r="AG579" s="82"/>
      <c r="AH579" s="82"/>
    </row>
    <row r="580" spans="1:34" x14ac:dyDescent="0.3">
      <c r="A580" s="10">
        <f t="shared" si="135"/>
        <v>497</v>
      </c>
      <c r="B580" s="124" t="s">
        <v>752</v>
      </c>
      <c r="C580" s="273">
        <f t="shared" si="133"/>
        <v>7614764.4000000004</v>
      </c>
      <c r="D580" s="273">
        <f t="shared" si="134"/>
        <v>0</v>
      </c>
      <c r="E580" s="273"/>
      <c r="F580" s="273"/>
      <c r="G580" s="273"/>
      <c r="H580" s="273"/>
      <c r="I580" s="273"/>
      <c r="J580" s="273"/>
      <c r="K580" s="273"/>
      <c r="L580" s="273"/>
      <c r="M580" s="273">
        <v>1298.9100000000001</v>
      </c>
      <c r="N580" s="273">
        <v>7614764.4000000004</v>
      </c>
      <c r="O580" s="273"/>
      <c r="P580" s="273"/>
      <c r="Q580" s="273"/>
      <c r="R580" s="273"/>
      <c r="S580" s="273"/>
      <c r="T580" s="273"/>
      <c r="U580" s="273"/>
      <c r="V580" s="273"/>
      <c r="W580" s="273">
        <f t="shared" si="136"/>
        <v>0</v>
      </c>
      <c r="X580" s="271"/>
      <c r="Y580" s="271"/>
      <c r="Z580" s="271"/>
      <c r="AC580" s="271"/>
      <c r="AE580" s="269"/>
      <c r="AF580" s="84"/>
      <c r="AG580" s="82"/>
      <c r="AH580" s="82"/>
    </row>
    <row r="581" spans="1:34" x14ac:dyDescent="0.3">
      <c r="A581" s="10">
        <f t="shared" si="135"/>
        <v>498</v>
      </c>
      <c r="B581" s="124" t="s">
        <v>753</v>
      </c>
      <c r="C581" s="273">
        <f t="shared" si="133"/>
        <v>519235.66</v>
      </c>
      <c r="D581" s="273">
        <f t="shared" si="134"/>
        <v>0</v>
      </c>
      <c r="E581" s="273"/>
      <c r="F581" s="273"/>
      <c r="G581" s="273"/>
      <c r="H581" s="273"/>
      <c r="I581" s="273"/>
      <c r="J581" s="273"/>
      <c r="K581" s="273"/>
      <c r="L581" s="273"/>
      <c r="M581" s="273"/>
      <c r="N581" s="273"/>
      <c r="O581" s="273"/>
      <c r="P581" s="273"/>
      <c r="Q581" s="273"/>
      <c r="R581" s="273"/>
      <c r="S581" s="273"/>
      <c r="T581" s="273"/>
      <c r="U581" s="273"/>
      <c r="V581" s="273"/>
      <c r="W581" s="273">
        <f t="shared" si="136"/>
        <v>519235.66</v>
      </c>
      <c r="X581" s="271"/>
      <c r="Y581" s="271"/>
      <c r="Z581" s="271"/>
      <c r="AC581" s="271"/>
      <c r="AE581" s="269">
        <v>519235.66</v>
      </c>
      <c r="AF581" s="84"/>
      <c r="AG581" s="82"/>
      <c r="AH581" s="82"/>
    </row>
    <row r="582" spans="1:34" x14ac:dyDescent="0.3">
      <c r="A582" s="10">
        <f t="shared" si="135"/>
        <v>499</v>
      </c>
      <c r="B582" s="124" t="s">
        <v>754</v>
      </c>
      <c r="C582" s="273">
        <f t="shared" si="133"/>
        <v>501786.53</v>
      </c>
      <c r="D582" s="273">
        <f t="shared" si="134"/>
        <v>0</v>
      </c>
      <c r="E582" s="273"/>
      <c r="F582" s="273"/>
      <c r="G582" s="273"/>
      <c r="H582" s="273"/>
      <c r="I582" s="273"/>
      <c r="J582" s="273"/>
      <c r="K582" s="273"/>
      <c r="L582" s="273"/>
      <c r="M582" s="273"/>
      <c r="N582" s="273"/>
      <c r="O582" s="273"/>
      <c r="P582" s="273"/>
      <c r="Q582" s="273"/>
      <c r="R582" s="273"/>
      <c r="S582" s="273"/>
      <c r="T582" s="273"/>
      <c r="U582" s="273"/>
      <c r="V582" s="273"/>
      <c r="W582" s="273">
        <f t="shared" si="136"/>
        <v>501786.53</v>
      </c>
      <c r="X582" s="271"/>
      <c r="Y582" s="271"/>
      <c r="Z582" s="271"/>
      <c r="AC582" s="271"/>
      <c r="AE582" s="269">
        <v>501786.53</v>
      </c>
      <c r="AF582" s="84"/>
      <c r="AG582" s="82"/>
      <c r="AH582" s="82"/>
    </row>
    <row r="583" spans="1:34" x14ac:dyDescent="0.3">
      <c r="A583" s="10">
        <f t="shared" si="135"/>
        <v>500</v>
      </c>
      <c r="B583" s="124" t="s">
        <v>755</v>
      </c>
      <c r="C583" s="273">
        <f t="shared" si="133"/>
        <v>438567.67999999999</v>
      </c>
      <c r="D583" s="273">
        <f t="shared" si="134"/>
        <v>0</v>
      </c>
      <c r="E583" s="273"/>
      <c r="F583" s="273"/>
      <c r="G583" s="273"/>
      <c r="H583" s="273"/>
      <c r="I583" s="273"/>
      <c r="J583" s="273"/>
      <c r="K583" s="273"/>
      <c r="L583" s="273"/>
      <c r="M583" s="273"/>
      <c r="N583" s="273"/>
      <c r="O583" s="273"/>
      <c r="P583" s="273"/>
      <c r="Q583" s="273"/>
      <c r="R583" s="273"/>
      <c r="S583" s="273"/>
      <c r="T583" s="273"/>
      <c r="U583" s="273"/>
      <c r="V583" s="273"/>
      <c r="W583" s="273">
        <f t="shared" si="136"/>
        <v>438567.67999999999</v>
      </c>
      <c r="X583" s="271"/>
      <c r="Y583" s="271"/>
      <c r="Z583" s="271"/>
      <c r="AC583" s="271"/>
      <c r="AE583" s="269">
        <v>438567.67999999999</v>
      </c>
      <c r="AF583" s="84"/>
      <c r="AG583" s="82"/>
      <c r="AH583" s="82"/>
    </row>
    <row r="584" spans="1:34" x14ac:dyDescent="0.3">
      <c r="A584" s="10">
        <f t="shared" si="135"/>
        <v>501</v>
      </c>
      <c r="B584" s="124" t="s">
        <v>756</v>
      </c>
      <c r="C584" s="273">
        <f t="shared" si="133"/>
        <v>481891.94</v>
      </c>
      <c r="D584" s="273">
        <f t="shared" si="134"/>
        <v>0</v>
      </c>
      <c r="E584" s="273"/>
      <c r="F584" s="273"/>
      <c r="G584" s="273"/>
      <c r="H584" s="273"/>
      <c r="I584" s="273"/>
      <c r="J584" s="273"/>
      <c r="K584" s="273"/>
      <c r="L584" s="273"/>
      <c r="M584" s="273"/>
      <c r="N584" s="273"/>
      <c r="O584" s="273"/>
      <c r="P584" s="273"/>
      <c r="Q584" s="273"/>
      <c r="R584" s="273"/>
      <c r="S584" s="273"/>
      <c r="T584" s="273"/>
      <c r="U584" s="273"/>
      <c r="V584" s="273"/>
      <c r="W584" s="273">
        <f t="shared" si="136"/>
        <v>481891.94</v>
      </c>
      <c r="X584" s="271"/>
      <c r="Y584" s="271"/>
      <c r="Z584" s="271"/>
      <c r="AC584" s="271"/>
      <c r="AE584" s="269">
        <v>481891.94</v>
      </c>
      <c r="AF584" s="84"/>
      <c r="AG584" s="82"/>
      <c r="AH584" s="82"/>
    </row>
    <row r="585" spans="1:34" x14ac:dyDescent="0.3">
      <c r="A585" s="10">
        <f t="shared" si="135"/>
        <v>502</v>
      </c>
      <c r="B585" s="124" t="s">
        <v>757</v>
      </c>
      <c r="C585" s="273">
        <f t="shared" si="133"/>
        <v>164759.17000000001</v>
      </c>
      <c r="D585" s="273">
        <f t="shared" si="134"/>
        <v>0</v>
      </c>
      <c r="E585" s="273"/>
      <c r="F585" s="273"/>
      <c r="G585" s="273"/>
      <c r="H585" s="273"/>
      <c r="I585" s="273"/>
      <c r="J585" s="273"/>
      <c r="K585" s="273"/>
      <c r="L585" s="273"/>
      <c r="M585" s="273"/>
      <c r="N585" s="273"/>
      <c r="O585" s="273"/>
      <c r="P585" s="273"/>
      <c r="Q585" s="273"/>
      <c r="R585" s="273"/>
      <c r="S585" s="273"/>
      <c r="T585" s="273"/>
      <c r="U585" s="273"/>
      <c r="V585" s="273"/>
      <c r="W585" s="273">
        <f t="shared" si="136"/>
        <v>164759.17000000001</v>
      </c>
      <c r="X585" s="271"/>
      <c r="Y585" s="271"/>
      <c r="Z585" s="271"/>
      <c r="AC585" s="271"/>
      <c r="AE585" s="269">
        <v>164759.17000000001</v>
      </c>
      <c r="AF585" s="84"/>
      <c r="AG585" s="82"/>
      <c r="AH585" s="82"/>
    </row>
    <row r="586" spans="1:34" x14ac:dyDescent="0.3">
      <c r="A586" s="10">
        <f t="shared" si="135"/>
        <v>503</v>
      </c>
      <c r="B586" s="124" t="s">
        <v>758</v>
      </c>
      <c r="C586" s="273">
        <f t="shared" si="133"/>
        <v>172296.84</v>
      </c>
      <c r="D586" s="273">
        <f t="shared" si="134"/>
        <v>0</v>
      </c>
      <c r="E586" s="273"/>
      <c r="F586" s="273"/>
      <c r="G586" s="273"/>
      <c r="H586" s="273"/>
      <c r="I586" s="273"/>
      <c r="J586" s="273"/>
      <c r="K586" s="273"/>
      <c r="L586" s="273"/>
      <c r="M586" s="273"/>
      <c r="N586" s="273"/>
      <c r="O586" s="273"/>
      <c r="P586" s="273"/>
      <c r="Q586" s="273"/>
      <c r="R586" s="273"/>
      <c r="S586" s="273"/>
      <c r="T586" s="273"/>
      <c r="U586" s="273"/>
      <c r="V586" s="273"/>
      <c r="W586" s="273">
        <f t="shared" si="136"/>
        <v>172296.84</v>
      </c>
      <c r="X586" s="271"/>
      <c r="Y586" s="271"/>
      <c r="Z586" s="271"/>
      <c r="AC586" s="271"/>
      <c r="AE586" s="269">
        <v>172296.84</v>
      </c>
      <c r="AF586" s="84"/>
      <c r="AG586" s="82"/>
      <c r="AH586" s="82"/>
    </row>
    <row r="587" spans="1:34" x14ac:dyDescent="0.3">
      <c r="A587" s="10">
        <f t="shared" si="135"/>
        <v>504</v>
      </c>
      <c r="B587" s="124" t="s">
        <v>759</v>
      </c>
      <c r="C587" s="273">
        <f t="shared" si="133"/>
        <v>181308.13</v>
      </c>
      <c r="D587" s="273">
        <f t="shared" si="134"/>
        <v>0</v>
      </c>
      <c r="E587" s="273"/>
      <c r="F587" s="273"/>
      <c r="G587" s="273"/>
      <c r="H587" s="273"/>
      <c r="I587" s="273"/>
      <c r="J587" s="273"/>
      <c r="K587" s="273"/>
      <c r="L587" s="273"/>
      <c r="M587" s="273"/>
      <c r="N587" s="273"/>
      <c r="O587" s="273"/>
      <c r="P587" s="273"/>
      <c r="Q587" s="273"/>
      <c r="R587" s="273"/>
      <c r="S587" s="273"/>
      <c r="T587" s="273"/>
      <c r="U587" s="273"/>
      <c r="V587" s="273"/>
      <c r="W587" s="273">
        <f t="shared" si="136"/>
        <v>181308.13</v>
      </c>
      <c r="X587" s="271"/>
      <c r="Y587" s="271"/>
      <c r="Z587" s="271"/>
      <c r="AC587" s="271"/>
      <c r="AE587" s="269">
        <v>181308.13</v>
      </c>
      <c r="AF587" s="84"/>
      <c r="AG587" s="82"/>
      <c r="AH587" s="82"/>
    </row>
    <row r="588" spans="1:34" x14ac:dyDescent="0.3">
      <c r="A588" s="10">
        <f t="shared" si="135"/>
        <v>505</v>
      </c>
      <c r="B588" s="124" t="s">
        <v>761</v>
      </c>
      <c r="C588" s="273">
        <f t="shared" si="133"/>
        <v>183310.64</v>
      </c>
      <c r="D588" s="273">
        <f t="shared" si="134"/>
        <v>0</v>
      </c>
      <c r="E588" s="273"/>
      <c r="F588" s="273"/>
      <c r="G588" s="273"/>
      <c r="H588" s="273"/>
      <c r="I588" s="273"/>
      <c r="J588" s="273"/>
      <c r="K588" s="273"/>
      <c r="L588" s="273"/>
      <c r="M588" s="273"/>
      <c r="N588" s="273"/>
      <c r="O588" s="273"/>
      <c r="P588" s="273"/>
      <c r="Q588" s="273"/>
      <c r="R588" s="273"/>
      <c r="S588" s="273"/>
      <c r="T588" s="273"/>
      <c r="U588" s="273"/>
      <c r="V588" s="273"/>
      <c r="W588" s="273">
        <f t="shared" si="136"/>
        <v>183310.64</v>
      </c>
      <c r="X588" s="271"/>
      <c r="Y588" s="271"/>
      <c r="Z588" s="271"/>
      <c r="AC588" s="271"/>
      <c r="AE588" s="269">
        <v>183310.64</v>
      </c>
      <c r="AF588" s="84"/>
      <c r="AG588" s="82"/>
      <c r="AH588" s="82"/>
    </row>
    <row r="589" spans="1:34" x14ac:dyDescent="0.3">
      <c r="A589" s="10">
        <f t="shared" si="135"/>
        <v>506</v>
      </c>
      <c r="B589" s="124" t="s">
        <v>762</v>
      </c>
      <c r="C589" s="273">
        <f t="shared" si="133"/>
        <v>164980</v>
      </c>
      <c r="D589" s="273">
        <f t="shared" si="134"/>
        <v>0</v>
      </c>
      <c r="E589" s="273"/>
      <c r="F589" s="273"/>
      <c r="G589" s="273"/>
      <c r="H589" s="273"/>
      <c r="I589" s="273"/>
      <c r="J589" s="273"/>
      <c r="K589" s="273"/>
      <c r="L589" s="273"/>
      <c r="M589" s="273"/>
      <c r="N589" s="273"/>
      <c r="O589" s="273"/>
      <c r="P589" s="273"/>
      <c r="Q589" s="273"/>
      <c r="R589" s="273"/>
      <c r="S589" s="273"/>
      <c r="T589" s="273"/>
      <c r="U589" s="273"/>
      <c r="V589" s="273"/>
      <c r="W589" s="273">
        <f t="shared" si="136"/>
        <v>164980</v>
      </c>
      <c r="X589" s="271"/>
      <c r="Y589" s="271"/>
      <c r="Z589" s="271"/>
      <c r="AC589" s="271"/>
      <c r="AE589" s="269">
        <v>164980</v>
      </c>
      <c r="AF589" s="84"/>
      <c r="AG589" s="82"/>
      <c r="AH589" s="82"/>
    </row>
    <row r="590" spans="1:34" x14ac:dyDescent="0.3">
      <c r="A590" s="10">
        <f t="shared" si="135"/>
        <v>507</v>
      </c>
      <c r="B590" s="124" t="s">
        <v>763</v>
      </c>
      <c r="C590" s="273">
        <f t="shared" si="133"/>
        <v>143645.56</v>
      </c>
      <c r="D590" s="273">
        <f t="shared" si="134"/>
        <v>0</v>
      </c>
      <c r="E590" s="273"/>
      <c r="F590" s="273"/>
      <c r="G590" s="273"/>
      <c r="H590" s="273"/>
      <c r="I590" s="273"/>
      <c r="J590" s="273"/>
      <c r="K590" s="273"/>
      <c r="L590" s="273"/>
      <c r="M590" s="273"/>
      <c r="N590" s="273"/>
      <c r="O590" s="273"/>
      <c r="P590" s="273"/>
      <c r="Q590" s="273"/>
      <c r="R590" s="273"/>
      <c r="S590" s="273"/>
      <c r="T590" s="273"/>
      <c r="U590" s="273"/>
      <c r="V590" s="273"/>
      <c r="W590" s="273">
        <f t="shared" si="136"/>
        <v>143645.56</v>
      </c>
      <c r="X590" s="271"/>
      <c r="Y590" s="271"/>
      <c r="Z590" s="271"/>
      <c r="AC590" s="271"/>
      <c r="AE590" s="269">
        <v>143645.56</v>
      </c>
      <c r="AF590" s="84"/>
      <c r="AG590" s="82"/>
      <c r="AH590" s="82"/>
    </row>
    <row r="591" spans="1:34" x14ac:dyDescent="0.3">
      <c r="A591" s="10">
        <f t="shared" si="135"/>
        <v>508</v>
      </c>
      <c r="B591" s="124" t="s">
        <v>764</v>
      </c>
      <c r="C591" s="273">
        <f t="shared" si="133"/>
        <v>130410.67</v>
      </c>
      <c r="D591" s="273">
        <f t="shared" si="134"/>
        <v>0</v>
      </c>
      <c r="E591" s="273"/>
      <c r="F591" s="273"/>
      <c r="G591" s="273"/>
      <c r="H591" s="273"/>
      <c r="I591" s="273"/>
      <c r="J591" s="273"/>
      <c r="K591" s="273"/>
      <c r="L591" s="273"/>
      <c r="M591" s="273"/>
      <c r="N591" s="273"/>
      <c r="O591" s="273"/>
      <c r="P591" s="273"/>
      <c r="Q591" s="273"/>
      <c r="R591" s="273"/>
      <c r="S591" s="273"/>
      <c r="T591" s="273"/>
      <c r="U591" s="273"/>
      <c r="V591" s="273"/>
      <c r="W591" s="273">
        <f t="shared" si="136"/>
        <v>130410.67</v>
      </c>
      <c r="X591" s="271"/>
      <c r="Y591" s="271"/>
      <c r="Z591" s="271"/>
      <c r="AC591" s="271"/>
      <c r="AE591" s="269">
        <v>130410.67</v>
      </c>
      <c r="AF591" s="84"/>
      <c r="AG591" s="82"/>
      <c r="AH591" s="82"/>
    </row>
    <row r="592" spans="1:34" x14ac:dyDescent="0.3">
      <c r="A592" s="10">
        <f t="shared" si="135"/>
        <v>509</v>
      </c>
      <c r="B592" s="124" t="s">
        <v>3599</v>
      </c>
      <c r="C592" s="273">
        <f t="shared" si="133"/>
        <v>703397.08</v>
      </c>
      <c r="D592" s="273">
        <f t="shared" si="134"/>
        <v>0</v>
      </c>
      <c r="E592" s="273"/>
      <c r="F592" s="273"/>
      <c r="G592" s="273"/>
      <c r="H592" s="273"/>
      <c r="I592" s="273"/>
      <c r="J592" s="273"/>
      <c r="K592" s="273"/>
      <c r="L592" s="273"/>
      <c r="M592" s="273"/>
      <c r="N592" s="273"/>
      <c r="O592" s="273"/>
      <c r="P592" s="273"/>
      <c r="Q592" s="273"/>
      <c r="R592" s="273"/>
      <c r="S592" s="273"/>
      <c r="T592" s="273"/>
      <c r="U592" s="273"/>
      <c r="V592" s="273"/>
      <c r="W592" s="273">
        <f t="shared" si="136"/>
        <v>703397.08</v>
      </c>
      <c r="X592" s="271"/>
      <c r="Y592" s="271"/>
      <c r="Z592" s="271"/>
      <c r="AC592" s="271"/>
      <c r="AE592" s="269">
        <v>703397.08</v>
      </c>
      <c r="AF592" s="84"/>
      <c r="AG592" s="82"/>
      <c r="AH592" s="82"/>
    </row>
    <row r="593" spans="1:34" x14ac:dyDescent="0.3">
      <c r="A593" s="10">
        <f t="shared" si="135"/>
        <v>510</v>
      </c>
      <c r="B593" s="124" t="s">
        <v>3593</v>
      </c>
      <c r="C593" s="273">
        <f t="shared" si="133"/>
        <v>153982.31</v>
      </c>
      <c r="D593" s="273">
        <f t="shared" si="134"/>
        <v>0</v>
      </c>
      <c r="E593" s="273"/>
      <c r="F593" s="273"/>
      <c r="G593" s="273"/>
      <c r="H593" s="273"/>
      <c r="I593" s="273"/>
      <c r="J593" s="273"/>
      <c r="K593" s="273"/>
      <c r="L593" s="273"/>
      <c r="M593" s="273"/>
      <c r="N593" s="273"/>
      <c r="O593" s="273"/>
      <c r="P593" s="273"/>
      <c r="Q593" s="273"/>
      <c r="R593" s="273"/>
      <c r="S593" s="273"/>
      <c r="T593" s="273"/>
      <c r="U593" s="273"/>
      <c r="V593" s="273"/>
      <c r="W593" s="273">
        <f t="shared" si="136"/>
        <v>153982.31</v>
      </c>
      <c r="X593" s="271"/>
      <c r="Y593" s="271"/>
      <c r="Z593" s="271"/>
      <c r="AC593" s="271"/>
      <c r="AE593" s="269">
        <v>153982.31</v>
      </c>
      <c r="AF593" s="84"/>
      <c r="AG593" s="82"/>
      <c r="AH593" s="82"/>
    </row>
    <row r="594" spans="1:34" x14ac:dyDescent="0.3">
      <c r="A594" s="10">
        <f t="shared" si="135"/>
        <v>511</v>
      </c>
      <c r="B594" s="124" t="s">
        <v>765</v>
      </c>
      <c r="C594" s="273">
        <f t="shared" si="133"/>
        <v>783146.69</v>
      </c>
      <c r="D594" s="273">
        <f t="shared" si="134"/>
        <v>0</v>
      </c>
      <c r="E594" s="273"/>
      <c r="F594" s="273"/>
      <c r="G594" s="273"/>
      <c r="H594" s="273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>
        <f t="shared" si="136"/>
        <v>783146.69</v>
      </c>
      <c r="X594" s="271"/>
      <c r="Y594" s="271"/>
      <c r="Z594" s="271"/>
      <c r="AC594" s="271"/>
      <c r="AF594" s="84"/>
      <c r="AG594" s="82"/>
      <c r="AH594" s="269">
        <v>783146.69</v>
      </c>
    </row>
    <row r="595" spans="1:34" x14ac:dyDescent="0.3">
      <c r="A595" s="10">
        <f t="shared" si="135"/>
        <v>512</v>
      </c>
      <c r="B595" s="124" t="s">
        <v>766</v>
      </c>
      <c r="C595" s="273">
        <f t="shared" si="133"/>
        <v>398212.62</v>
      </c>
      <c r="D595" s="273">
        <f t="shared" si="134"/>
        <v>0</v>
      </c>
      <c r="E595" s="273"/>
      <c r="F595" s="273"/>
      <c r="G595" s="273"/>
      <c r="H595" s="273"/>
      <c r="I595" s="273"/>
      <c r="J595" s="273"/>
      <c r="K595" s="273"/>
      <c r="L595" s="273"/>
      <c r="M595" s="273"/>
      <c r="N595" s="273"/>
      <c r="O595" s="273"/>
      <c r="P595" s="273"/>
      <c r="Q595" s="273"/>
      <c r="R595" s="273"/>
      <c r="S595" s="273"/>
      <c r="T595" s="273"/>
      <c r="U595" s="273"/>
      <c r="V595" s="273"/>
      <c r="W595" s="273">
        <f t="shared" si="136"/>
        <v>398212.62</v>
      </c>
      <c r="X595" s="271"/>
      <c r="Y595" s="271"/>
      <c r="Z595" s="271"/>
      <c r="AC595" s="271"/>
      <c r="AE595" s="269">
        <v>398212.62</v>
      </c>
      <c r="AF595" s="84"/>
      <c r="AG595" s="82"/>
      <c r="AH595" s="82"/>
    </row>
    <row r="596" spans="1:34" x14ac:dyDescent="0.3">
      <c r="A596" s="10">
        <f t="shared" si="135"/>
        <v>513</v>
      </c>
      <c r="B596" s="124" t="s">
        <v>767</v>
      </c>
      <c r="C596" s="273">
        <f t="shared" si="133"/>
        <v>310992.12</v>
      </c>
      <c r="D596" s="273">
        <f t="shared" si="134"/>
        <v>0</v>
      </c>
      <c r="E596" s="273"/>
      <c r="F596" s="273"/>
      <c r="G596" s="273"/>
      <c r="H596" s="273"/>
      <c r="I596" s="273"/>
      <c r="J596" s="273"/>
      <c r="K596" s="273"/>
      <c r="L596" s="273"/>
      <c r="M596" s="273"/>
      <c r="N596" s="273"/>
      <c r="O596" s="273"/>
      <c r="P596" s="273"/>
      <c r="Q596" s="273"/>
      <c r="R596" s="273"/>
      <c r="S596" s="273"/>
      <c r="T596" s="273"/>
      <c r="U596" s="273"/>
      <c r="V596" s="273"/>
      <c r="W596" s="273">
        <f t="shared" si="136"/>
        <v>310992.12</v>
      </c>
      <c r="X596" s="271"/>
      <c r="Y596" s="271"/>
      <c r="Z596" s="271"/>
      <c r="AC596" s="271"/>
      <c r="AE596" s="269"/>
      <c r="AF596" s="84"/>
      <c r="AG596" s="82"/>
      <c r="AH596" s="82">
        <v>310992.12</v>
      </c>
    </row>
    <row r="597" spans="1:34" x14ac:dyDescent="0.3">
      <c r="A597" s="10">
        <f t="shared" si="135"/>
        <v>514</v>
      </c>
      <c r="B597" s="124" t="s">
        <v>768</v>
      </c>
      <c r="C597" s="273">
        <f t="shared" si="133"/>
        <v>405677.98</v>
      </c>
      <c r="D597" s="273">
        <f t="shared" si="134"/>
        <v>0</v>
      </c>
      <c r="E597" s="273"/>
      <c r="F597" s="273"/>
      <c r="G597" s="273"/>
      <c r="H597" s="273"/>
      <c r="I597" s="273"/>
      <c r="J597" s="273"/>
      <c r="K597" s="273"/>
      <c r="L597" s="273"/>
      <c r="M597" s="273"/>
      <c r="N597" s="273"/>
      <c r="O597" s="273"/>
      <c r="P597" s="273"/>
      <c r="Q597" s="273"/>
      <c r="R597" s="273"/>
      <c r="S597" s="273"/>
      <c r="T597" s="273"/>
      <c r="U597" s="273"/>
      <c r="V597" s="273"/>
      <c r="W597" s="273">
        <f t="shared" si="136"/>
        <v>405677.98</v>
      </c>
      <c r="X597" s="271"/>
      <c r="Y597" s="271"/>
      <c r="Z597" s="271"/>
      <c r="AC597" s="271"/>
      <c r="AE597" s="269">
        <v>405677.98</v>
      </c>
      <c r="AF597" s="84"/>
      <c r="AG597" s="82"/>
      <c r="AH597" s="82"/>
    </row>
    <row r="598" spans="1:34" x14ac:dyDescent="0.3">
      <c r="A598" s="10">
        <f t="shared" si="135"/>
        <v>515</v>
      </c>
      <c r="B598" s="124" t="s">
        <v>769</v>
      </c>
      <c r="C598" s="273">
        <f t="shared" si="133"/>
        <v>342376.06</v>
      </c>
      <c r="D598" s="273">
        <f t="shared" si="134"/>
        <v>0</v>
      </c>
      <c r="E598" s="273"/>
      <c r="F598" s="273"/>
      <c r="G598" s="273"/>
      <c r="H598" s="273"/>
      <c r="I598" s="273"/>
      <c r="J598" s="273"/>
      <c r="K598" s="273"/>
      <c r="L598" s="273"/>
      <c r="M598" s="273"/>
      <c r="N598" s="273"/>
      <c r="O598" s="273"/>
      <c r="P598" s="273"/>
      <c r="Q598" s="273"/>
      <c r="R598" s="273"/>
      <c r="S598" s="273"/>
      <c r="T598" s="273"/>
      <c r="U598" s="273"/>
      <c r="V598" s="273"/>
      <c r="W598" s="273">
        <f t="shared" si="136"/>
        <v>342376.06</v>
      </c>
      <c r="X598" s="271"/>
      <c r="Y598" s="271"/>
      <c r="Z598" s="271"/>
      <c r="AC598" s="271"/>
      <c r="AE598" s="269">
        <v>342376.06</v>
      </c>
      <c r="AF598" s="84"/>
      <c r="AG598" s="82"/>
      <c r="AH598" s="82"/>
    </row>
    <row r="599" spans="1:34" x14ac:dyDescent="0.3">
      <c r="A599" s="10">
        <f t="shared" si="135"/>
        <v>516</v>
      </c>
      <c r="B599" s="124" t="s">
        <v>770</v>
      </c>
      <c r="C599" s="273">
        <f t="shared" si="133"/>
        <v>568478.81000000006</v>
      </c>
      <c r="D599" s="273">
        <f t="shared" si="134"/>
        <v>0</v>
      </c>
      <c r="E599" s="273"/>
      <c r="F599" s="273"/>
      <c r="G599" s="273"/>
      <c r="H599" s="273"/>
      <c r="I599" s="273"/>
      <c r="J599" s="273"/>
      <c r="K599" s="413"/>
      <c r="L599" s="413"/>
      <c r="M599" s="273"/>
      <c r="N599" s="273"/>
      <c r="O599" s="273"/>
      <c r="P599" s="273"/>
      <c r="Q599" s="273"/>
      <c r="R599" s="273"/>
      <c r="S599" s="273"/>
      <c r="T599" s="273"/>
      <c r="U599" s="273"/>
      <c r="V599" s="273"/>
      <c r="W599" s="273">
        <f t="shared" si="136"/>
        <v>568478.81000000006</v>
      </c>
      <c r="X599" s="271"/>
      <c r="Y599" s="271"/>
      <c r="Z599" s="110"/>
      <c r="AC599" s="271"/>
      <c r="AE599" s="269">
        <v>568478.81000000006</v>
      </c>
      <c r="AF599" s="84"/>
      <c r="AG599" s="82"/>
      <c r="AH599" s="82"/>
    </row>
    <row r="600" spans="1:34" x14ac:dyDescent="0.3">
      <c r="A600" s="10">
        <f t="shared" si="135"/>
        <v>517</v>
      </c>
      <c r="B600" s="124" t="s">
        <v>771</v>
      </c>
      <c r="C600" s="273">
        <f t="shared" si="133"/>
        <v>456016.79</v>
      </c>
      <c r="D600" s="273">
        <f t="shared" si="134"/>
        <v>0</v>
      </c>
      <c r="E600" s="273"/>
      <c r="F600" s="273"/>
      <c r="G600" s="273"/>
      <c r="H600" s="273"/>
      <c r="I600" s="273"/>
      <c r="J600" s="273"/>
      <c r="K600" s="273"/>
      <c r="L600" s="273"/>
      <c r="M600" s="273"/>
      <c r="N600" s="273"/>
      <c r="O600" s="273"/>
      <c r="P600" s="273"/>
      <c r="Q600" s="273"/>
      <c r="R600" s="273"/>
      <c r="S600" s="273"/>
      <c r="T600" s="273"/>
      <c r="U600" s="273"/>
      <c r="V600" s="273"/>
      <c r="W600" s="273">
        <f t="shared" si="136"/>
        <v>456016.79</v>
      </c>
      <c r="X600" s="271"/>
      <c r="Y600" s="271"/>
      <c r="Z600" s="271"/>
      <c r="AC600" s="271"/>
      <c r="AE600" s="269">
        <v>456016.79</v>
      </c>
      <c r="AF600" s="84"/>
      <c r="AG600" s="82"/>
      <c r="AH600" s="82"/>
    </row>
    <row r="601" spans="1:34" x14ac:dyDescent="0.3">
      <c r="A601" s="10">
        <f t="shared" si="135"/>
        <v>518</v>
      </c>
      <c r="B601" s="124" t="s">
        <v>772</v>
      </c>
      <c r="C601" s="273">
        <f t="shared" si="133"/>
        <v>284237.08</v>
      </c>
      <c r="D601" s="273">
        <f t="shared" si="134"/>
        <v>0</v>
      </c>
      <c r="E601" s="273"/>
      <c r="F601" s="273"/>
      <c r="G601" s="273"/>
      <c r="H601" s="273"/>
      <c r="I601" s="273"/>
      <c r="J601" s="273"/>
      <c r="K601" s="273"/>
      <c r="L601" s="273"/>
      <c r="M601" s="273"/>
      <c r="N601" s="273"/>
      <c r="O601" s="273"/>
      <c r="P601" s="273"/>
      <c r="Q601" s="273"/>
      <c r="R601" s="273"/>
      <c r="S601" s="273"/>
      <c r="T601" s="273"/>
      <c r="U601" s="273"/>
      <c r="V601" s="273"/>
      <c r="W601" s="273">
        <f t="shared" si="136"/>
        <v>284237.08</v>
      </c>
      <c r="X601" s="271"/>
      <c r="Y601" s="271"/>
      <c r="Z601" s="271"/>
      <c r="AC601" s="271"/>
      <c r="AE601" s="269">
        <v>284237.08</v>
      </c>
      <c r="AF601" s="84"/>
      <c r="AG601" s="82"/>
      <c r="AH601" s="82"/>
    </row>
    <row r="602" spans="1:34" x14ac:dyDescent="0.3">
      <c r="A602" s="10">
        <f t="shared" si="135"/>
        <v>519</v>
      </c>
      <c r="B602" s="124" t="s">
        <v>773</v>
      </c>
      <c r="C602" s="273">
        <f t="shared" si="133"/>
        <v>228205.2</v>
      </c>
      <c r="D602" s="273">
        <f t="shared" si="134"/>
        <v>0</v>
      </c>
      <c r="E602" s="273"/>
      <c r="F602" s="273"/>
      <c r="G602" s="273"/>
      <c r="H602" s="273"/>
      <c r="I602" s="273"/>
      <c r="J602" s="273"/>
      <c r="K602" s="273"/>
      <c r="L602" s="273"/>
      <c r="M602" s="273"/>
      <c r="N602" s="273"/>
      <c r="O602" s="273"/>
      <c r="P602" s="273"/>
      <c r="Q602" s="273"/>
      <c r="R602" s="273"/>
      <c r="S602" s="273"/>
      <c r="T602" s="273"/>
      <c r="U602" s="273"/>
      <c r="V602" s="273"/>
      <c r="W602" s="273">
        <f t="shared" si="136"/>
        <v>228205.2</v>
      </c>
      <c r="X602" s="271"/>
      <c r="Y602" s="271"/>
      <c r="Z602" s="271"/>
      <c r="AC602" s="271"/>
      <c r="AE602" s="269"/>
      <c r="AF602" s="84">
        <v>228205.2</v>
      </c>
      <c r="AG602" s="82"/>
      <c r="AH602" s="82"/>
    </row>
    <row r="603" spans="1:34" x14ac:dyDescent="0.3">
      <c r="A603" s="10">
        <f t="shared" si="135"/>
        <v>520</v>
      </c>
      <c r="B603" s="124" t="s">
        <v>774</v>
      </c>
      <c r="C603" s="273">
        <f t="shared" si="133"/>
        <v>725843.96</v>
      </c>
      <c r="D603" s="273">
        <f t="shared" si="134"/>
        <v>0</v>
      </c>
      <c r="E603" s="273"/>
      <c r="F603" s="273"/>
      <c r="G603" s="273"/>
      <c r="H603" s="273"/>
      <c r="I603" s="273"/>
      <c r="J603" s="273"/>
      <c r="K603" s="273"/>
      <c r="L603" s="273"/>
      <c r="M603" s="273"/>
      <c r="N603" s="273"/>
      <c r="O603" s="273"/>
      <c r="P603" s="273"/>
      <c r="Q603" s="273"/>
      <c r="R603" s="273"/>
      <c r="S603" s="273"/>
      <c r="T603" s="273"/>
      <c r="U603" s="273"/>
      <c r="V603" s="273"/>
      <c r="W603" s="273">
        <f t="shared" si="136"/>
        <v>725843.96</v>
      </c>
      <c r="X603" s="271"/>
      <c r="Y603" s="271"/>
      <c r="Z603" s="271"/>
      <c r="AC603" s="92"/>
      <c r="AE603" s="269"/>
      <c r="AF603" s="84"/>
      <c r="AG603" s="82">
        <v>725843.96</v>
      </c>
      <c r="AH603" s="82"/>
    </row>
    <row r="604" spans="1:34" x14ac:dyDescent="0.3">
      <c r="A604" s="10">
        <f t="shared" si="135"/>
        <v>521</v>
      </c>
      <c r="B604" s="124" t="s">
        <v>775</v>
      </c>
      <c r="C604" s="273">
        <f t="shared" si="133"/>
        <v>78740.72</v>
      </c>
      <c r="D604" s="273">
        <f t="shared" si="134"/>
        <v>0</v>
      </c>
      <c r="E604" s="273"/>
      <c r="F604" s="273"/>
      <c r="G604" s="273"/>
      <c r="H604" s="273"/>
      <c r="I604" s="273"/>
      <c r="J604" s="273"/>
      <c r="K604" s="273"/>
      <c r="L604" s="273"/>
      <c r="M604" s="273"/>
      <c r="N604" s="273"/>
      <c r="O604" s="273"/>
      <c r="P604" s="273"/>
      <c r="Q604" s="273"/>
      <c r="R604" s="273"/>
      <c r="S604" s="273"/>
      <c r="T604" s="273"/>
      <c r="U604" s="273"/>
      <c r="V604" s="273"/>
      <c r="W604" s="273">
        <f t="shared" si="136"/>
        <v>78740.72</v>
      </c>
      <c r="X604" s="271"/>
      <c r="Y604" s="271"/>
      <c r="Z604" s="271"/>
      <c r="AC604" s="93"/>
      <c r="AE604" s="269">
        <v>78740.72</v>
      </c>
      <c r="AF604" s="7"/>
      <c r="AG604" s="82"/>
      <c r="AH604" s="82"/>
    </row>
    <row r="605" spans="1:34" x14ac:dyDescent="0.3">
      <c r="A605" s="10">
        <f t="shared" si="135"/>
        <v>522</v>
      </c>
      <c r="B605" s="124" t="s">
        <v>776</v>
      </c>
      <c r="C605" s="273">
        <f t="shared" si="133"/>
        <v>172952.18</v>
      </c>
      <c r="D605" s="273">
        <f t="shared" si="134"/>
        <v>0</v>
      </c>
      <c r="E605" s="273"/>
      <c r="F605" s="273"/>
      <c r="G605" s="273"/>
      <c r="H605" s="273"/>
      <c r="I605" s="273"/>
      <c r="J605" s="273"/>
      <c r="K605" s="273"/>
      <c r="L605" s="273"/>
      <c r="M605" s="273"/>
      <c r="N605" s="273"/>
      <c r="O605" s="273"/>
      <c r="P605" s="273"/>
      <c r="Q605" s="273"/>
      <c r="R605" s="273"/>
      <c r="S605" s="273"/>
      <c r="T605" s="273"/>
      <c r="U605" s="273"/>
      <c r="V605" s="273"/>
      <c r="W605" s="273">
        <f t="shared" si="136"/>
        <v>172952.18</v>
      </c>
      <c r="X605" s="271"/>
      <c r="Y605" s="271"/>
      <c r="Z605" s="271"/>
      <c r="AC605" s="92"/>
      <c r="AE605" s="269">
        <v>172952.18</v>
      </c>
      <c r="AF605" s="84"/>
      <c r="AG605" s="82"/>
      <c r="AH605" s="82"/>
    </row>
    <row r="606" spans="1:34" x14ac:dyDescent="0.3">
      <c r="A606" s="10">
        <f t="shared" si="135"/>
        <v>523</v>
      </c>
      <c r="B606" s="124" t="s">
        <v>777</v>
      </c>
      <c r="C606" s="273">
        <f t="shared" si="133"/>
        <v>159744.82999999999</v>
      </c>
      <c r="D606" s="273">
        <f t="shared" si="134"/>
        <v>0</v>
      </c>
      <c r="E606" s="273"/>
      <c r="F606" s="273"/>
      <c r="G606" s="273"/>
      <c r="H606" s="273"/>
      <c r="I606" s="273"/>
      <c r="J606" s="273"/>
      <c r="K606" s="273"/>
      <c r="L606" s="273"/>
      <c r="M606" s="273"/>
      <c r="N606" s="273"/>
      <c r="O606" s="273"/>
      <c r="P606" s="273"/>
      <c r="Q606" s="273"/>
      <c r="R606" s="273"/>
      <c r="S606" s="273"/>
      <c r="T606" s="273"/>
      <c r="U606" s="273"/>
      <c r="V606" s="273"/>
      <c r="W606" s="273">
        <f t="shared" si="136"/>
        <v>159744.82999999999</v>
      </c>
      <c r="X606" s="271"/>
      <c r="Y606" s="271"/>
      <c r="Z606" s="271"/>
      <c r="AC606" s="92"/>
      <c r="AE606" s="269">
        <v>159744.82999999999</v>
      </c>
      <c r="AF606" s="84"/>
      <c r="AG606" s="82"/>
      <c r="AH606" s="82"/>
    </row>
    <row r="607" spans="1:34" x14ac:dyDescent="0.3">
      <c r="A607" s="10">
        <f t="shared" si="135"/>
        <v>524</v>
      </c>
      <c r="B607" s="124" t="s">
        <v>778</v>
      </c>
      <c r="C607" s="273">
        <f t="shared" ref="C607:C638" si="137">D607+K607+L607+N607+P607+R607+S607+U607+W607+V607</f>
        <v>152979.44</v>
      </c>
      <c r="D607" s="273">
        <f t="shared" ref="D607:D638" si="138">E607+F607+G607+H607+I607</f>
        <v>0</v>
      </c>
      <c r="E607" s="273"/>
      <c r="F607" s="273"/>
      <c r="G607" s="273"/>
      <c r="H607" s="273"/>
      <c r="I607" s="273"/>
      <c r="J607" s="273"/>
      <c r="K607" s="273"/>
      <c r="L607" s="273"/>
      <c r="M607" s="273"/>
      <c r="N607" s="273"/>
      <c r="O607" s="273"/>
      <c r="P607" s="273"/>
      <c r="Q607" s="273"/>
      <c r="R607" s="273"/>
      <c r="S607" s="273"/>
      <c r="T607" s="273"/>
      <c r="U607" s="273"/>
      <c r="V607" s="273"/>
      <c r="W607" s="273">
        <f t="shared" si="136"/>
        <v>152979.44</v>
      </c>
      <c r="X607" s="271"/>
      <c r="Y607" s="271"/>
      <c r="Z607" s="271"/>
      <c r="AC607" s="92"/>
      <c r="AE607" s="269">
        <v>152979.44</v>
      </c>
      <c r="AF607" s="84"/>
      <c r="AG607" s="82"/>
      <c r="AH607" s="82"/>
    </row>
    <row r="608" spans="1:34" x14ac:dyDescent="0.3">
      <c r="A608" s="10">
        <f t="shared" ref="A608:A639" si="139">A607+1</f>
        <v>525</v>
      </c>
      <c r="B608" s="124" t="s">
        <v>779</v>
      </c>
      <c r="C608" s="273">
        <f t="shared" si="137"/>
        <v>297075.61</v>
      </c>
      <c r="D608" s="273">
        <f t="shared" si="138"/>
        <v>0</v>
      </c>
      <c r="E608" s="273"/>
      <c r="F608" s="273"/>
      <c r="G608" s="273"/>
      <c r="H608" s="273"/>
      <c r="I608" s="273"/>
      <c r="J608" s="273"/>
      <c r="K608" s="273"/>
      <c r="L608" s="273"/>
      <c r="M608" s="273"/>
      <c r="N608" s="273"/>
      <c r="O608" s="273"/>
      <c r="P608" s="273"/>
      <c r="Q608" s="273"/>
      <c r="R608" s="273"/>
      <c r="S608" s="273"/>
      <c r="T608" s="273"/>
      <c r="U608" s="273"/>
      <c r="V608" s="273"/>
      <c r="W608" s="273">
        <f t="shared" si="136"/>
        <v>297075.61</v>
      </c>
      <c r="X608" s="271"/>
      <c r="Y608" s="271"/>
      <c r="Z608" s="271"/>
      <c r="AC608" s="92"/>
      <c r="AE608" s="269">
        <v>297075.61</v>
      </c>
      <c r="AF608" s="84"/>
      <c r="AG608" s="82"/>
      <c r="AH608" s="82"/>
    </row>
    <row r="609" spans="1:34" x14ac:dyDescent="0.3">
      <c r="A609" s="10">
        <f t="shared" si="139"/>
        <v>526</v>
      </c>
      <c r="B609" s="124" t="s">
        <v>780</v>
      </c>
      <c r="C609" s="273">
        <f t="shared" si="137"/>
        <v>130000</v>
      </c>
      <c r="D609" s="273">
        <f t="shared" si="138"/>
        <v>0</v>
      </c>
      <c r="E609" s="273"/>
      <c r="F609" s="273"/>
      <c r="G609" s="273"/>
      <c r="H609" s="273"/>
      <c r="I609" s="273"/>
      <c r="J609" s="273"/>
      <c r="K609" s="273"/>
      <c r="L609" s="273"/>
      <c r="M609" s="273"/>
      <c r="N609" s="273"/>
      <c r="O609" s="273"/>
      <c r="P609" s="273"/>
      <c r="Q609" s="273"/>
      <c r="R609" s="273"/>
      <c r="S609" s="273"/>
      <c r="T609" s="273"/>
      <c r="U609" s="273"/>
      <c r="V609" s="273"/>
      <c r="W609" s="273">
        <v>130000</v>
      </c>
      <c r="X609" s="271"/>
      <c r="Y609" s="271"/>
      <c r="Z609" s="271"/>
      <c r="AC609" s="92">
        <v>130000</v>
      </c>
      <c r="AE609" s="269"/>
      <c r="AF609" s="84"/>
      <c r="AG609" s="82"/>
      <c r="AH609" s="82"/>
    </row>
    <row r="610" spans="1:34" x14ac:dyDescent="0.3">
      <c r="A610" s="10">
        <f t="shared" si="139"/>
        <v>527</v>
      </c>
      <c r="B610" s="124" t="s">
        <v>781</v>
      </c>
      <c r="C610" s="273">
        <f t="shared" si="137"/>
        <v>169216.38</v>
      </c>
      <c r="D610" s="273">
        <f t="shared" si="138"/>
        <v>0</v>
      </c>
      <c r="E610" s="273"/>
      <c r="F610" s="273"/>
      <c r="G610" s="273"/>
      <c r="H610" s="273"/>
      <c r="I610" s="273"/>
      <c r="J610" s="273"/>
      <c r="K610" s="273"/>
      <c r="L610" s="273"/>
      <c r="M610" s="273"/>
      <c r="N610" s="273"/>
      <c r="O610" s="273"/>
      <c r="P610" s="273"/>
      <c r="Q610" s="273"/>
      <c r="R610" s="273"/>
      <c r="S610" s="273"/>
      <c r="T610" s="273"/>
      <c r="U610" s="273"/>
      <c r="V610" s="273"/>
      <c r="W610" s="273">
        <f>SUM(X610:AI610)</f>
        <v>169216.38</v>
      </c>
      <c r="X610" s="271"/>
      <c r="Y610" s="271"/>
      <c r="Z610" s="271"/>
      <c r="AC610" s="92"/>
      <c r="AE610" s="269">
        <v>169216.38</v>
      </c>
      <c r="AF610" s="84"/>
      <c r="AG610" s="82"/>
      <c r="AH610" s="82"/>
    </row>
    <row r="611" spans="1:34" x14ac:dyDescent="0.3">
      <c r="A611" s="10">
        <f t="shared" si="139"/>
        <v>528</v>
      </c>
      <c r="B611" s="124" t="s">
        <v>782</v>
      </c>
      <c r="C611" s="273">
        <f t="shared" si="137"/>
        <v>130000</v>
      </c>
      <c r="D611" s="273">
        <f t="shared" si="138"/>
        <v>0</v>
      </c>
      <c r="E611" s="273"/>
      <c r="F611" s="273"/>
      <c r="G611" s="273"/>
      <c r="H611" s="273"/>
      <c r="I611" s="273"/>
      <c r="J611" s="273"/>
      <c r="K611" s="273"/>
      <c r="L611" s="273"/>
      <c r="M611" s="273"/>
      <c r="N611" s="273"/>
      <c r="O611" s="273"/>
      <c r="P611" s="273"/>
      <c r="Q611" s="273"/>
      <c r="R611" s="273"/>
      <c r="S611" s="273"/>
      <c r="T611" s="273"/>
      <c r="U611" s="273"/>
      <c r="V611" s="273"/>
      <c r="W611" s="273">
        <v>130000</v>
      </c>
      <c r="X611" s="271"/>
      <c r="Y611" s="269"/>
      <c r="Z611" s="271"/>
      <c r="AC611" s="271">
        <v>130000</v>
      </c>
      <c r="AE611" s="269"/>
      <c r="AF611" s="84"/>
      <c r="AG611" s="82"/>
      <c r="AH611" s="82"/>
    </row>
    <row r="612" spans="1:34" x14ac:dyDescent="0.3">
      <c r="A612" s="10">
        <f t="shared" si="139"/>
        <v>529</v>
      </c>
      <c r="B612" s="124" t="s">
        <v>783</v>
      </c>
      <c r="C612" s="273">
        <f t="shared" si="137"/>
        <v>130000</v>
      </c>
      <c r="D612" s="273">
        <f t="shared" si="138"/>
        <v>0</v>
      </c>
      <c r="E612" s="273"/>
      <c r="F612" s="273"/>
      <c r="G612" s="273"/>
      <c r="H612" s="273"/>
      <c r="I612" s="273"/>
      <c r="J612" s="273"/>
      <c r="K612" s="273"/>
      <c r="L612" s="273"/>
      <c r="M612" s="273"/>
      <c r="N612" s="273"/>
      <c r="O612" s="273"/>
      <c r="P612" s="273"/>
      <c r="Q612" s="273"/>
      <c r="R612" s="273"/>
      <c r="S612" s="273"/>
      <c r="T612" s="273"/>
      <c r="U612" s="273"/>
      <c r="V612" s="273"/>
      <c r="W612" s="273">
        <v>130000</v>
      </c>
      <c r="X612" s="271"/>
      <c r="Y612" s="271"/>
      <c r="Z612" s="271"/>
      <c r="AC612" s="271">
        <v>130000</v>
      </c>
      <c r="AE612" s="269"/>
      <c r="AF612" s="84"/>
      <c r="AG612" s="82"/>
      <c r="AH612" s="82"/>
    </row>
    <row r="613" spans="1:34" x14ac:dyDescent="0.3">
      <c r="A613" s="10">
        <f t="shared" si="139"/>
        <v>530</v>
      </c>
      <c r="B613" s="124" t="s">
        <v>784</v>
      </c>
      <c r="C613" s="273">
        <f t="shared" si="137"/>
        <v>130000</v>
      </c>
      <c r="D613" s="273">
        <f t="shared" si="138"/>
        <v>0</v>
      </c>
      <c r="E613" s="273"/>
      <c r="F613" s="273"/>
      <c r="G613" s="273"/>
      <c r="H613" s="273"/>
      <c r="I613" s="273"/>
      <c r="J613" s="273"/>
      <c r="K613" s="273"/>
      <c r="L613" s="273"/>
      <c r="M613" s="273"/>
      <c r="N613" s="273"/>
      <c r="O613" s="273"/>
      <c r="P613" s="273"/>
      <c r="Q613" s="273"/>
      <c r="R613" s="273"/>
      <c r="S613" s="273"/>
      <c r="T613" s="273"/>
      <c r="U613" s="273"/>
      <c r="V613" s="273"/>
      <c r="W613" s="273">
        <v>130000</v>
      </c>
      <c r="X613" s="271"/>
      <c r="Y613" s="271"/>
      <c r="Z613" s="271"/>
      <c r="AC613" s="271">
        <v>130000</v>
      </c>
      <c r="AE613" s="269"/>
      <c r="AF613" s="84"/>
      <c r="AG613" s="82"/>
      <c r="AH613" s="82"/>
    </row>
    <row r="614" spans="1:34" x14ac:dyDescent="0.3">
      <c r="A614" s="10">
        <f t="shared" si="139"/>
        <v>531</v>
      </c>
      <c r="B614" s="124" t="s">
        <v>786</v>
      </c>
      <c r="C614" s="273">
        <f t="shared" si="137"/>
        <v>205488.84</v>
      </c>
      <c r="D614" s="273">
        <f t="shared" si="138"/>
        <v>0</v>
      </c>
      <c r="E614" s="273"/>
      <c r="F614" s="273"/>
      <c r="G614" s="273"/>
      <c r="H614" s="273"/>
      <c r="I614" s="273"/>
      <c r="J614" s="273"/>
      <c r="K614" s="273"/>
      <c r="L614" s="273"/>
      <c r="M614" s="273"/>
      <c r="N614" s="273"/>
      <c r="O614" s="273"/>
      <c r="P614" s="273"/>
      <c r="Q614" s="273"/>
      <c r="R614" s="273"/>
      <c r="S614" s="273"/>
      <c r="T614" s="273"/>
      <c r="U614" s="273"/>
      <c r="V614" s="273"/>
      <c r="W614" s="273">
        <f t="shared" ref="W614:W620" si="140">SUM(X614:AI614)</f>
        <v>205488.84</v>
      </c>
      <c r="X614" s="271"/>
      <c r="Y614" s="271"/>
      <c r="Z614" s="271"/>
      <c r="AC614" s="271"/>
      <c r="AE614" s="269">
        <v>205488.84</v>
      </c>
      <c r="AF614" s="84"/>
      <c r="AG614" s="82"/>
      <c r="AH614" s="82"/>
    </row>
    <row r="615" spans="1:34" x14ac:dyDescent="0.3">
      <c r="A615" s="10">
        <f t="shared" si="139"/>
        <v>532</v>
      </c>
      <c r="B615" s="124" t="s">
        <v>787</v>
      </c>
      <c r="C615" s="273">
        <f t="shared" si="137"/>
        <v>403956.01</v>
      </c>
      <c r="D615" s="273">
        <f t="shared" si="138"/>
        <v>0</v>
      </c>
      <c r="E615" s="273"/>
      <c r="F615" s="273"/>
      <c r="G615" s="273"/>
      <c r="H615" s="273"/>
      <c r="I615" s="273"/>
      <c r="J615" s="273"/>
      <c r="K615" s="273"/>
      <c r="L615" s="273"/>
      <c r="M615" s="273"/>
      <c r="N615" s="273"/>
      <c r="O615" s="273"/>
      <c r="P615" s="273"/>
      <c r="Q615" s="273"/>
      <c r="R615" s="273"/>
      <c r="S615" s="273"/>
      <c r="T615" s="273"/>
      <c r="U615" s="273"/>
      <c r="V615" s="273"/>
      <c r="W615" s="273">
        <f t="shared" si="140"/>
        <v>403956.01</v>
      </c>
      <c r="X615" s="271"/>
      <c r="Y615" s="271"/>
      <c r="Z615" s="271"/>
      <c r="AC615" s="271"/>
      <c r="AE615" s="269">
        <v>403956.01</v>
      </c>
      <c r="AF615" s="84"/>
      <c r="AG615" s="82"/>
      <c r="AH615" s="82"/>
    </row>
    <row r="616" spans="1:34" x14ac:dyDescent="0.3">
      <c r="A616" s="10">
        <f t="shared" si="139"/>
        <v>533</v>
      </c>
      <c r="B616" s="124" t="s">
        <v>788</v>
      </c>
      <c r="C616" s="273">
        <f t="shared" si="137"/>
        <v>148574.82</v>
      </c>
      <c r="D616" s="273">
        <f t="shared" si="138"/>
        <v>0</v>
      </c>
      <c r="E616" s="273"/>
      <c r="F616" s="273"/>
      <c r="G616" s="273"/>
      <c r="H616" s="273"/>
      <c r="I616" s="273"/>
      <c r="J616" s="273"/>
      <c r="K616" s="273"/>
      <c r="L616" s="273"/>
      <c r="M616" s="273"/>
      <c r="N616" s="273"/>
      <c r="O616" s="273"/>
      <c r="P616" s="273"/>
      <c r="Q616" s="273"/>
      <c r="R616" s="273"/>
      <c r="S616" s="273"/>
      <c r="T616" s="273"/>
      <c r="U616" s="273"/>
      <c r="V616" s="273"/>
      <c r="W616" s="273">
        <f t="shared" si="140"/>
        <v>148574.82</v>
      </c>
      <c r="X616" s="271"/>
      <c r="Y616" s="271"/>
      <c r="Z616" s="271"/>
      <c r="AC616" s="271"/>
      <c r="AE616" s="269">
        <v>148574.82</v>
      </c>
      <c r="AF616" s="92"/>
      <c r="AG616" s="82"/>
      <c r="AH616" s="82"/>
    </row>
    <row r="617" spans="1:34" x14ac:dyDescent="0.3">
      <c r="A617" s="10">
        <f t="shared" si="139"/>
        <v>534</v>
      </c>
      <c r="B617" s="124" t="s">
        <v>789</v>
      </c>
      <c r="C617" s="273">
        <f t="shared" si="137"/>
        <v>181693.25</v>
      </c>
      <c r="D617" s="273">
        <f t="shared" si="138"/>
        <v>0</v>
      </c>
      <c r="E617" s="273"/>
      <c r="F617" s="273"/>
      <c r="G617" s="273"/>
      <c r="H617" s="273"/>
      <c r="I617" s="273"/>
      <c r="J617" s="273"/>
      <c r="K617" s="273"/>
      <c r="L617" s="273"/>
      <c r="M617" s="273"/>
      <c r="N617" s="273"/>
      <c r="O617" s="273"/>
      <c r="P617" s="273"/>
      <c r="Q617" s="273"/>
      <c r="R617" s="273"/>
      <c r="S617" s="273"/>
      <c r="T617" s="273"/>
      <c r="U617" s="273"/>
      <c r="V617" s="273"/>
      <c r="W617" s="273">
        <f t="shared" si="140"/>
        <v>181693.25</v>
      </c>
      <c r="X617" s="271"/>
      <c r="Y617" s="271"/>
      <c r="Z617" s="271"/>
      <c r="AC617" s="271"/>
      <c r="AE617" s="269">
        <v>181693.25</v>
      </c>
      <c r="AF617" s="84"/>
      <c r="AG617" s="82"/>
      <c r="AH617" s="82"/>
    </row>
    <row r="618" spans="1:34" x14ac:dyDescent="0.3">
      <c r="A618" s="10">
        <f t="shared" si="139"/>
        <v>535</v>
      </c>
      <c r="B618" s="124" t="s">
        <v>790</v>
      </c>
      <c r="C618" s="273">
        <f t="shared" si="137"/>
        <v>167942.89</v>
      </c>
      <c r="D618" s="273">
        <f t="shared" si="138"/>
        <v>0</v>
      </c>
      <c r="E618" s="273"/>
      <c r="F618" s="273"/>
      <c r="G618" s="273"/>
      <c r="H618" s="273"/>
      <c r="I618" s="273"/>
      <c r="J618" s="273"/>
      <c r="K618" s="273"/>
      <c r="L618" s="273"/>
      <c r="M618" s="273"/>
      <c r="N618" s="273"/>
      <c r="O618" s="273"/>
      <c r="P618" s="273"/>
      <c r="Q618" s="273"/>
      <c r="R618" s="273"/>
      <c r="S618" s="273"/>
      <c r="T618" s="273"/>
      <c r="U618" s="273"/>
      <c r="V618" s="273"/>
      <c r="W618" s="273">
        <f t="shared" si="140"/>
        <v>167942.89</v>
      </c>
      <c r="X618" s="271"/>
      <c r="Y618" s="271"/>
      <c r="Z618" s="271"/>
      <c r="AC618" s="271"/>
      <c r="AE618" s="269">
        <v>167942.89</v>
      </c>
      <c r="AF618" s="84"/>
      <c r="AG618" s="82"/>
      <c r="AH618" s="82"/>
    </row>
    <row r="619" spans="1:34" x14ac:dyDescent="0.3">
      <c r="A619" s="10">
        <f t="shared" si="139"/>
        <v>536</v>
      </c>
      <c r="B619" s="124" t="s">
        <v>791</v>
      </c>
      <c r="C619" s="273">
        <f t="shared" si="137"/>
        <v>154491.70000000001</v>
      </c>
      <c r="D619" s="273">
        <f t="shared" si="138"/>
        <v>0</v>
      </c>
      <c r="E619" s="273"/>
      <c r="F619" s="273"/>
      <c r="G619" s="273"/>
      <c r="H619" s="273"/>
      <c r="I619" s="273"/>
      <c r="J619" s="273"/>
      <c r="K619" s="273"/>
      <c r="L619" s="273"/>
      <c r="M619" s="273"/>
      <c r="N619" s="273"/>
      <c r="O619" s="273"/>
      <c r="P619" s="273"/>
      <c r="Q619" s="273"/>
      <c r="R619" s="273"/>
      <c r="S619" s="273"/>
      <c r="T619" s="273"/>
      <c r="U619" s="273"/>
      <c r="V619" s="273"/>
      <c r="W619" s="273">
        <f t="shared" si="140"/>
        <v>154491.70000000001</v>
      </c>
      <c r="X619" s="271"/>
      <c r="Y619" s="271"/>
      <c r="Z619" s="271"/>
      <c r="AC619" s="271"/>
      <c r="AE619" s="269">
        <v>154491.70000000001</v>
      </c>
      <c r="AF619" s="84"/>
      <c r="AG619" s="82"/>
      <c r="AH619" s="82"/>
    </row>
    <row r="620" spans="1:34" x14ac:dyDescent="0.3">
      <c r="A620" s="10">
        <f t="shared" si="139"/>
        <v>537</v>
      </c>
      <c r="B620" s="124" t="s">
        <v>792</v>
      </c>
      <c r="C620" s="273">
        <f t="shared" si="137"/>
        <v>154600.62</v>
      </c>
      <c r="D620" s="273">
        <f t="shared" si="138"/>
        <v>0</v>
      </c>
      <c r="E620" s="273"/>
      <c r="F620" s="273"/>
      <c r="G620" s="273"/>
      <c r="H620" s="273"/>
      <c r="I620" s="273"/>
      <c r="J620" s="273"/>
      <c r="K620" s="273"/>
      <c r="L620" s="273"/>
      <c r="M620" s="273"/>
      <c r="N620" s="273"/>
      <c r="O620" s="273"/>
      <c r="P620" s="273"/>
      <c r="Q620" s="273"/>
      <c r="R620" s="273"/>
      <c r="S620" s="273"/>
      <c r="T620" s="273"/>
      <c r="U620" s="273"/>
      <c r="V620" s="273"/>
      <c r="W620" s="273">
        <f t="shared" si="140"/>
        <v>154600.62</v>
      </c>
      <c r="X620" s="271"/>
      <c r="Y620" s="271"/>
      <c r="Z620" s="271"/>
      <c r="AC620" s="271"/>
      <c r="AE620" s="269">
        <v>154600.62</v>
      </c>
      <c r="AF620" s="84"/>
      <c r="AG620" s="82"/>
      <c r="AH620" s="82"/>
    </row>
    <row r="621" spans="1:34" x14ac:dyDescent="0.3">
      <c r="A621" s="10">
        <f t="shared" si="139"/>
        <v>538</v>
      </c>
      <c r="B621" s="124" t="s">
        <v>793</v>
      </c>
      <c r="C621" s="273">
        <f t="shared" si="137"/>
        <v>130000</v>
      </c>
      <c r="D621" s="273">
        <f t="shared" si="138"/>
        <v>0</v>
      </c>
      <c r="E621" s="273"/>
      <c r="F621" s="273"/>
      <c r="G621" s="273"/>
      <c r="H621" s="273"/>
      <c r="I621" s="273"/>
      <c r="J621" s="273"/>
      <c r="K621" s="273"/>
      <c r="L621" s="273"/>
      <c r="M621" s="273"/>
      <c r="N621" s="273"/>
      <c r="O621" s="273"/>
      <c r="P621" s="273"/>
      <c r="Q621" s="273"/>
      <c r="R621" s="273"/>
      <c r="S621" s="273"/>
      <c r="T621" s="273"/>
      <c r="U621" s="273"/>
      <c r="V621" s="273"/>
      <c r="W621" s="273">
        <v>130000</v>
      </c>
      <c r="X621" s="271"/>
      <c r="Y621" s="271"/>
      <c r="Z621" s="271"/>
      <c r="AC621" s="271"/>
      <c r="AE621" s="269"/>
      <c r="AF621" s="84"/>
      <c r="AG621" s="82"/>
      <c r="AH621" s="82"/>
    </row>
    <row r="622" spans="1:34" x14ac:dyDescent="0.3">
      <c r="A622" s="10">
        <f t="shared" si="139"/>
        <v>539</v>
      </c>
      <c r="B622" s="124" t="s">
        <v>794</v>
      </c>
      <c r="C622" s="273">
        <f t="shared" si="137"/>
        <v>113468.8</v>
      </c>
      <c r="D622" s="273">
        <f t="shared" si="138"/>
        <v>0</v>
      </c>
      <c r="E622" s="273"/>
      <c r="F622" s="273"/>
      <c r="G622" s="273"/>
      <c r="H622" s="273"/>
      <c r="I622" s="273"/>
      <c r="J622" s="273"/>
      <c r="K622" s="273"/>
      <c r="L622" s="273"/>
      <c r="M622" s="273"/>
      <c r="N622" s="273"/>
      <c r="O622" s="273"/>
      <c r="P622" s="273"/>
      <c r="Q622" s="273"/>
      <c r="R622" s="273"/>
      <c r="S622" s="273"/>
      <c r="T622" s="273"/>
      <c r="U622" s="273"/>
      <c r="V622" s="273"/>
      <c r="W622" s="273">
        <f t="shared" ref="W622:W629" si="141">SUM(X622:AI622)</f>
        <v>113468.8</v>
      </c>
      <c r="X622" s="271"/>
      <c r="Y622" s="271"/>
      <c r="Z622" s="271"/>
      <c r="AC622" s="271">
        <v>113468.8</v>
      </c>
      <c r="AE622" s="269"/>
      <c r="AF622" s="84"/>
      <c r="AG622" s="82"/>
      <c r="AH622" s="82"/>
    </row>
    <row r="623" spans="1:34" x14ac:dyDescent="0.3">
      <c r="A623" s="10">
        <f t="shared" si="139"/>
        <v>540</v>
      </c>
      <c r="B623" s="124" t="s">
        <v>795</v>
      </c>
      <c r="C623" s="273">
        <f t="shared" si="137"/>
        <v>6605808.0999999996</v>
      </c>
      <c r="D623" s="273">
        <f t="shared" si="138"/>
        <v>0</v>
      </c>
      <c r="E623" s="273"/>
      <c r="F623" s="273"/>
      <c r="G623" s="273"/>
      <c r="H623" s="273"/>
      <c r="I623" s="273"/>
      <c r="J623" s="273"/>
      <c r="K623" s="273"/>
      <c r="L623" s="273"/>
      <c r="M623" s="273">
        <v>1110</v>
      </c>
      <c r="N623" s="273">
        <v>6189022.7999999998</v>
      </c>
      <c r="O623" s="273"/>
      <c r="P623" s="273"/>
      <c r="Q623" s="273"/>
      <c r="R623" s="273"/>
      <c r="S623" s="273"/>
      <c r="T623" s="273"/>
      <c r="U623" s="273"/>
      <c r="V623" s="273"/>
      <c r="W623" s="273">
        <f t="shared" si="141"/>
        <v>416785.3</v>
      </c>
      <c r="X623" s="271"/>
      <c r="Y623" s="271"/>
      <c r="Z623" s="271"/>
      <c r="AC623" s="269">
        <v>416785.3</v>
      </c>
      <c r="AF623" s="84"/>
      <c r="AG623" s="82"/>
      <c r="AH623" s="82"/>
    </row>
    <row r="624" spans="1:34" x14ac:dyDescent="0.3">
      <c r="A624" s="10">
        <f t="shared" si="139"/>
        <v>541</v>
      </c>
      <c r="B624" s="124" t="s">
        <v>796</v>
      </c>
      <c r="C624" s="273">
        <f t="shared" si="137"/>
        <v>4719641.3</v>
      </c>
      <c r="D624" s="273">
        <f t="shared" si="138"/>
        <v>0</v>
      </c>
      <c r="E624" s="273"/>
      <c r="F624" s="273"/>
      <c r="G624" s="273"/>
      <c r="H624" s="273"/>
      <c r="I624" s="273"/>
      <c r="J624" s="273"/>
      <c r="K624" s="273"/>
      <c r="L624" s="273"/>
      <c r="M624" s="273">
        <v>701.2</v>
      </c>
      <c r="N624" s="273">
        <v>4490677.2</v>
      </c>
      <c r="O624" s="273"/>
      <c r="P624" s="273"/>
      <c r="Q624" s="273"/>
      <c r="R624" s="273"/>
      <c r="S624" s="273"/>
      <c r="T624" s="273"/>
      <c r="U624" s="273"/>
      <c r="V624" s="273"/>
      <c r="W624" s="273">
        <f t="shared" si="141"/>
        <v>228964.1</v>
      </c>
      <c r="X624" s="271"/>
      <c r="Y624" s="271"/>
      <c r="Z624" s="271"/>
      <c r="AC624" s="269">
        <v>228964.1</v>
      </c>
      <c r="AF624" s="84"/>
      <c r="AG624" s="82"/>
      <c r="AH624" s="82"/>
    </row>
    <row r="625" spans="1:34" x14ac:dyDescent="0.3">
      <c r="A625" s="10">
        <f t="shared" si="139"/>
        <v>542</v>
      </c>
      <c r="B625" s="124" t="s">
        <v>797</v>
      </c>
      <c r="C625" s="273">
        <f t="shared" si="137"/>
        <v>76812.47</v>
      </c>
      <c r="D625" s="273">
        <f t="shared" si="138"/>
        <v>0</v>
      </c>
      <c r="E625" s="273"/>
      <c r="F625" s="273"/>
      <c r="G625" s="273"/>
      <c r="H625" s="273"/>
      <c r="I625" s="273"/>
      <c r="J625" s="273"/>
      <c r="K625" s="273"/>
      <c r="L625" s="273"/>
      <c r="M625" s="273"/>
      <c r="N625" s="273"/>
      <c r="O625" s="273"/>
      <c r="P625" s="273"/>
      <c r="Q625" s="273"/>
      <c r="R625" s="273"/>
      <c r="S625" s="273"/>
      <c r="T625" s="273"/>
      <c r="U625" s="273"/>
      <c r="V625" s="273"/>
      <c r="W625" s="273">
        <f t="shared" si="141"/>
        <v>76812.47</v>
      </c>
      <c r="X625" s="271"/>
      <c r="Y625" s="271"/>
      <c r="Z625" s="271"/>
      <c r="AC625" s="271">
        <v>76812.47</v>
      </c>
      <c r="AE625" s="269"/>
      <c r="AF625" s="84"/>
      <c r="AG625" s="82"/>
      <c r="AH625" s="82"/>
    </row>
    <row r="626" spans="1:34" x14ac:dyDescent="0.3">
      <c r="A626" s="10">
        <f t="shared" si="139"/>
        <v>543</v>
      </c>
      <c r="B626" s="124" t="s">
        <v>798</v>
      </c>
      <c r="C626" s="273">
        <f t="shared" si="137"/>
        <v>110047.36</v>
      </c>
      <c r="D626" s="273">
        <f t="shared" si="138"/>
        <v>0</v>
      </c>
      <c r="E626" s="273"/>
      <c r="F626" s="273"/>
      <c r="G626" s="273"/>
      <c r="H626" s="273"/>
      <c r="I626" s="273"/>
      <c r="J626" s="273"/>
      <c r="K626" s="273"/>
      <c r="L626" s="273"/>
      <c r="M626" s="273"/>
      <c r="N626" s="273"/>
      <c r="O626" s="273"/>
      <c r="P626" s="273"/>
      <c r="Q626" s="273"/>
      <c r="R626" s="273"/>
      <c r="S626" s="273"/>
      <c r="T626" s="273"/>
      <c r="U626" s="273"/>
      <c r="V626" s="273"/>
      <c r="W626" s="273">
        <f t="shared" si="141"/>
        <v>110047.36</v>
      </c>
      <c r="X626" s="271"/>
      <c r="Y626" s="271"/>
      <c r="Z626" s="271"/>
      <c r="AC626" s="271">
        <v>110047.36</v>
      </c>
      <c r="AE626" s="269"/>
      <c r="AF626" s="84"/>
      <c r="AG626" s="82"/>
      <c r="AH626" s="82"/>
    </row>
    <row r="627" spans="1:34" x14ac:dyDescent="0.3">
      <c r="A627" s="10">
        <f t="shared" si="139"/>
        <v>544</v>
      </c>
      <c r="B627" s="124" t="s">
        <v>799</v>
      </c>
      <c r="C627" s="273">
        <f t="shared" si="137"/>
        <v>4311278.4000000004</v>
      </c>
      <c r="D627" s="273">
        <f t="shared" si="138"/>
        <v>0</v>
      </c>
      <c r="E627" s="273"/>
      <c r="F627" s="273"/>
      <c r="G627" s="273"/>
      <c r="H627" s="273"/>
      <c r="I627" s="273"/>
      <c r="J627" s="273"/>
      <c r="K627" s="273"/>
      <c r="L627" s="273"/>
      <c r="M627" s="273">
        <v>941.3</v>
      </c>
      <c r="N627" s="273">
        <v>4311278.4000000004</v>
      </c>
      <c r="O627" s="273"/>
      <c r="P627" s="273"/>
      <c r="Q627" s="273"/>
      <c r="R627" s="273"/>
      <c r="S627" s="273"/>
      <c r="T627" s="273"/>
      <c r="U627" s="273"/>
      <c r="V627" s="273"/>
      <c r="W627" s="273">
        <f t="shared" si="141"/>
        <v>0</v>
      </c>
      <c r="X627" s="271"/>
      <c r="Y627" s="271"/>
      <c r="Z627" s="110"/>
      <c r="AC627" s="271"/>
      <c r="AE627" s="269"/>
      <c r="AF627" s="84"/>
      <c r="AG627" s="82"/>
      <c r="AH627" s="82"/>
    </row>
    <row r="628" spans="1:34" x14ac:dyDescent="0.3">
      <c r="A628" s="10">
        <f t="shared" si="139"/>
        <v>545</v>
      </c>
      <c r="B628" s="124" t="s">
        <v>800</v>
      </c>
      <c r="C628" s="273">
        <f t="shared" si="137"/>
        <v>107983.61</v>
      </c>
      <c r="D628" s="273">
        <f t="shared" si="138"/>
        <v>0</v>
      </c>
      <c r="E628" s="273"/>
      <c r="F628" s="273"/>
      <c r="G628" s="273"/>
      <c r="H628" s="273"/>
      <c r="I628" s="273"/>
      <c r="J628" s="273"/>
      <c r="K628" s="273"/>
      <c r="L628" s="273"/>
      <c r="M628" s="273"/>
      <c r="N628" s="273"/>
      <c r="O628" s="273"/>
      <c r="P628" s="273"/>
      <c r="Q628" s="273"/>
      <c r="R628" s="273"/>
      <c r="S628" s="273"/>
      <c r="T628" s="273"/>
      <c r="U628" s="273"/>
      <c r="V628" s="273"/>
      <c r="W628" s="273">
        <f t="shared" si="141"/>
        <v>107983.61</v>
      </c>
      <c r="X628" s="271"/>
      <c r="Y628" s="271"/>
      <c r="Z628" s="271"/>
      <c r="AC628" s="271">
        <v>107983.61</v>
      </c>
      <c r="AE628" s="269"/>
      <c r="AF628" s="84"/>
      <c r="AG628" s="82"/>
      <c r="AH628" s="82"/>
    </row>
    <row r="629" spans="1:34" x14ac:dyDescent="0.3">
      <c r="A629" s="10">
        <f t="shared" si="139"/>
        <v>546</v>
      </c>
      <c r="B629" s="124" t="s">
        <v>801</v>
      </c>
      <c r="C629" s="273">
        <f t="shared" si="137"/>
        <v>100910.21</v>
      </c>
      <c r="D629" s="273">
        <f t="shared" si="138"/>
        <v>0</v>
      </c>
      <c r="E629" s="273"/>
      <c r="F629" s="273"/>
      <c r="G629" s="273"/>
      <c r="H629" s="273"/>
      <c r="I629" s="273"/>
      <c r="J629" s="273"/>
      <c r="K629" s="273"/>
      <c r="L629" s="273"/>
      <c r="M629" s="273"/>
      <c r="N629" s="273"/>
      <c r="O629" s="273"/>
      <c r="P629" s="273"/>
      <c r="Q629" s="273"/>
      <c r="R629" s="273"/>
      <c r="S629" s="273"/>
      <c r="T629" s="273"/>
      <c r="U629" s="273"/>
      <c r="V629" s="273"/>
      <c r="W629" s="273">
        <f t="shared" si="141"/>
        <v>100910.21</v>
      </c>
      <c r="X629" s="271"/>
      <c r="Y629" s="271"/>
      <c r="Z629" s="271"/>
      <c r="AC629" s="271">
        <v>100910.21</v>
      </c>
      <c r="AE629" s="269"/>
      <c r="AF629" s="84"/>
      <c r="AG629" s="82"/>
      <c r="AH629" s="82"/>
    </row>
    <row r="630" spans="1:34" x14ac:dyDescent="0.3">
      <c r="A630" s="10">
        <f t="shared" si="139"/>
        <v>547</v>
      </c>
      <c r="B630" s="124" t="s">
        <v>802</v>
      </c>
      <c r="C630" s="273">
        <f t="shared" si="137"/>
        <v>130000</v>
      </c>
      <c r="D630" s="273">
        <f t="shared" si="138"/>
        <v>0</v>
      </c>
      <c r="E630" s="273"/>
      <c r="F630" s="273"/>
      <c r="G630" s="273"/>
      <c r="H630" s="273"/>
      <c r="I630" s="273"/>
      <c r="J630" s="273"/>
      <c r="K630" s="273"/>
      <c r="L630" s="273"/>
      <c r="M630" s="273"/>
      <c r="N630" s="273"/>
      <c r="O630" s="273"/>
      <c r="P630" s="273"/>
      <c r="Q630" s="273"/>
      <c r="R630" s="273"/>
      <c r="S630" s="273"/>
      <c r="T630" s="273"/>
      <c r="U630" s="273"/>
      <c r="V630" s="273"/>
      <c r="W630" s="273">
        <v>130000</v>
      </c>
      <c r="X630" s="271"/>
      <c r="Y630" s="271"/>
      <c r="Z630" s="271"/>
      <c r="AC630" s="271"/>
      <c r="AE630" s="269"/>
      <c r="AF630" s="84"/>
      <c r="AG630" s="82"/>
      <c r="AH630" s="82"/>
    </row>
    <row r="631" spans="1:34" x14ac:dyDescent="0.3">
      <c r="A631" s="10">
        <f t="shared" si="139"/>
        <v>548</v>
      </c>
      <c r="B631" s="124" t="s">
        <v>803</v>
      </c>
      <c r="C631" s="273">
        <f t="shared" si="137"/>
        <v>130000</v>
      </c>
      <c r="D631" s="273">
        <f t="shared" si="138"/>
        <v>0</v>
      </c>
      <c r="E631" s="273"/>
      <c r="F631" s="273"/>
      <c r="G631" s="273"/>
      <c r="H631" s="273"/>
      <c r="I631" s="273"/>
      <c r="J631" s="273"/>
      <c r="K631" s="273"/>
      <c r="L631" s="273"/>
      <c r="M631" s="273"/>
      <c r="N631" s="273"/>
      <c r="O631" s="273"/>
      <c r="P631" s="273"/>
      <c r="Q631" s="273"/>
      <c r="R631" s="273"/>
      <c r="S631" s="273"/>
      <c r="T631" s="273"/>
      <c r="U631" s="273"/>
      <c r="V631" s="273"/>
      <c r="W631" s="273">
        <v>130000</v>
      </c>
      <c r="X631" s="271"/>
      <c r="Y631" s="271"/>
      <c r="Z631" s="271"/>
      <c r="AC631" s="271"/>
      <c r="AE631" s="269"/>
      <c r="AF631" s="84"/>
      <c r="AG631" s="82"/>
      <c r="AH631" s="82"/>
    </row>
    <row r="632" spans="1:34" x14ac:dyDescent="0.3">
      <c r="A632" s="10">
        <f t="shared" si="139"/>
        <v>549</v>
      </c>
      <c r="B632" s="124" t="s">
        <v>804</v>
      </c>
      <c r="C632" s="273">
        <f t="shared" si="137"/>
        <v>81632.899999999994</v>
      </c>
      <c r="D632" s="273">
        <f t="shared" si="138"/>
        <v>0</v>
      </c>
      <c r="E632" s="273"/>
      <c r="F632" s="273"/>
      <c r="G632" s="273"/>
      <c r="H632" s="273"/>
      <c r="I632" s="273"/>
      <c r="J632" s="273"/>
      <c r="K632" s="273"/>
      <c r="L632" s="273"/>
      <c r="M632" s="273"/>
      <c r="N632" s="273"/>
      <c r="O632" s="273"/>
      <c r="P632" s="273"/>
      <c r="Q632" s="273"/>
      <c r="R632" s="273"/>
      <c r="S632" s="273"/>
      <c r="T632" s="273"/>
      <c r="U632" s="273"/>
      <c r="V632" s="273"/>
      <c r="W632" s="273">
        <f t="shared" ref="W632:W643" si="142">SUM(X632:AI632)</f>
        <v>81632.899999999994</v>
      </c>
      <c r="X632" s="271"/>
      <c r="Y632" s="271"/>
      <c r="Z632" s="271"/>
      <c r="AC632" s="271">
        <v>81632.899999999994</v>
      </c>
      <c r="AE632" s="269"/>
      <c r="AF632" s="84"/>
      <c r="AG632" s="82"/>
      <c r="AH632" s="82"/>
    </row>
    <row r="633" spans="1:34" x14ac:dyDescent="0.3">
      <c r="A633" s="10">
        <f t="shared" si="139"/>
        <v>550</v>
      </c>
      <c r="B633" s="124" t="s">
        <v>805</v>
      </c>
      <c r="C633" s="273">
        <f t="shared" si="137"/>
        <v>100927.58</v>
      </c>
      <c r="D633" s="273">
        <f t="shared" si="138"/>
        <v>0</v>
      </c>
      <c r="E633" s="273"/>
      <c r="F633" s="273"/>
      <c r="G633" s="273"/>
      <c r="H633" s="273"/>
      <c r="I633" s="273"/>
      <c r="J633" s="273"/>
      <c r="K633" s="273"/>
      <c r="L633" s="273"/>
      <c r="M633" s="273"/>
      <c r="N633" s="273"/>
      <c r="O633" s="273"/>
      <c r="P633" s="273"/>
      <c r="Q633" s="273"/>
      <c r="R633" s="273"/>
      <c r="S633" s="273"/>
      <c r="T633" s="273"/>
      <c r="U633" s="273"/>
      <c r="V633" s="273"/>
      <c r="W633" s="273">
        <f t="shared" si="142"/>
        <v>100927.58</v>
      </c>
      <c r="X633" s="271"/>
      <c r="Y633" s="271"/>
      <c r="Z633" s="271"/>
      <c r="AC633" s="271">
        <v>100927.58</v>
      </c>
      <c r="AE633" s="269"/>
      <c r="AF633" s="84"/>
      <c r="AG633" s="82"/>
      <c r="AH633" s="82"/>
    </row>
    <row r="634" spans="1:34" x14ac:dyDescent="0.3">
      <c r="A634" s="10">
        <f t="shared" si="139"/>
        <v>551</v>
      </c>
      <c r="B634" s="124" t="s">
        <v>806</v>
      </c>
      <c r="C634" s="273">
        <f t="shared" si="137"/>
        <v>166741.09</v>
      </c>
      <c r="D634" s="273">
        <f t="shared" si="138"/>
        <v>0</v>
      </c>
      <c r="E634" s="273"/>
      <c r="F634" s="273"/>
      <c r="G634" s="273"/>
      <c r="H634" s="273"/>
      <c r="I634" s="273"/>
      <c r="J634" s="273"/>
      <c r="K634" s="273"/>
      <c r="L634" s="273"/>
      <c r="M634" s="273"/>
      <c r="N634" s="273"/>
      <c r="O634" s="273"/>
      <c r="P634" s="273"/>
      <c r="Q634" s="273"/>
      <c r="R634" s="273"/>
      <c r="S634" s="273"/>
      <c r="T634" s="273"/>
      <c r="U634" s="273"/>
      <c r="V634" s="273"/>
      <c r="W634" s="273">
        <f t="shared" si="142"/>
        <v>166741.09</v>
      </c>
      <c r="X634" s="271"/>
      <c r="Y634" s="271"/>
      <c r="Z634" s="271"/>
      <c r="AC634" s="271">
        <v>166741.09</v>
      </c>
      <c r="AE634" s="269"/>
      <c r="AF634" s="84"/>
      <c r="AG634" s="82"/>
      <c r="AH634" s="82"/>
    </row>
    <row r="635" spans="1:34" x14ac:dyDescent="0.3">
      <c r="A635" s="10">
        <f t="shared" si="139"/>
        <v>552</v>
      </c>
      <c r="B635" s="124" t="s">
        <v>807</v>
      </c>
      <c r="C635" s="273">
        <f t="shared" si="137"/>
        <v>175221.14</v>
      </c>
      <c r="D635" s="273">
        <f t="shared" si="138"/>
        <v>0</v>
      </c>
      <c r="E635" s="273"/>
      <c r="F635" s="273"/>
      <c r="G635" s="273"/>
      <c r="H635" s="273"/>
      <c r="I635" s="273"/>
      <c r="J635" s="273"/>
      <c r="K635" s="273"/>
      <c r="L635" s="273"/>
      <c r="M635" s="273"/>
      <c r="N635" s="273"/>
      <c r="O635" s="273"/>
      <c r="P635" s="273"/>
      <c r="Q635" s="273"/>
      <c r="R635" s="273"/>
      <c r="S635" s="273"/>
      <c r="T635" s="273"/>
      <c r="U635" s="273"/>
      <c r="V635" s="273"/>
      <c r="W635" s="273">
        <f t="shared" si="142"/>
        <v>175221.14</v>
      </c>
      <c r="X635" s="271"/>
      <c r="Y635" s="271"/>
      <c r="Z635" s="271"/>
      <c r="AC635" s="271">
        <v>175221.14</v>
      </c>
      <c r="AE635" s="269"/>
      <c r="AF635" s="84"/>
      <c r="AG635" s="82"/>
      <c r="AH635" s="82"/>
    </row>
    <row r="636" spans="1:34" x14ac:dyDescent="0.3">
      <c r="A636" s="10">
        <f t="shared" si="139"/>
        <v>553</v>
      </c>
      <c r="B636" s="124" t="s">
        <v>808</v>
      </c>
      <c r="C636" s="273">
        <f t="shared" si="137"/>
        <v>93497.78</v>
      </c>
      <c r="D636" s="273">
        <f t="shared" si="138"/>
        <v>0</v>
      </c>
      <c r="E636" s="273"/>
      <c r="F636" s="273"/>
      <c r="G636" s="273"/>
      <c r="H636" s="273"/>
      <c r="I636" s="273"/>
      <c r="J636" s="273"/>
      <c r="K636" s="273"/>
      <c r="L636" s="273"/>
      <c r="M636" s="273"/>
      <c r="N636" s="273"/>
      <c r="O636" s="273"/>
      <c r="P636" s="273"/>
      <c r="Q636" s="273"/>
      <c r="R636" s="273"/>
      <c r="S636" s="273"/>
      <c r="T636" s="273"/>
      <c r="U636" s="273"/>
      <c r="V636" s="273"/>
      <c r="W636" s="273">
        <f t="shared" si="142"/>
        <v>93497.78</v>
      </c>
      <c r="X636" s="271"/>
      <c r="Y636" s="271"/>
      <c r="Z636" s="110"/>
      <c r="AC636" s="271">
        <v>93497.78</v>
      </c>
      <c r="AE636" s="269"/>
      <c r="AF636" s="84"/>
      <c r="AG636" s="82"/>
      <c r="AH636" s="82"/>
    </row>
    <row r="637" spans="1:34" x14ac:dyDescent="0.3">
      <c r="A637" s="10">
        <f t="shared" si="139"/>
        <v>554</v>
      </c>
      <c r="B637" s="124" t="s">
        <v>809</v>
      </c>
      <c r="C637" s="273">
        <f t="shared" si="137"/>
        <v>48345.36</v>
      </c>
      <c r="D637" s="273">
        <f t="shared" si="138"/>
        <v>0</v>
      </c>
      <c r="E637" s="273"/>
      <c r="F637" s="273"/>
      <c r="G637" s="273"/>
      <c r="H637" s="273"/>
      <c r="I637" s="273"/>
      <c r="J637" s="273"/>
      <c r="K637" s="273"/>
      <c r="L637" s="273"/>
      <c r="M637" s="273"/>
      <c r="N637" s="273"/>
      <c r="O637" s="273"/>
      <c r="P637" s="273"/>
      <c r="Q637" s="273"/>
      <c r="R637" s="273"/>
      <c r="S637" s="273"/>
      <c r="T637" s="273"/>
      <c r="U637" s="273"/>
      <c r="V637" s="273"/>
      <c r="W637" s="273">
        <f t="shared" si="142"/>
        <v>48345.36</v>
      </c>
      <c r="X637" s="271"/>
      <c r="Y637" s="271"/>
      <c r="Z637" s="271"/>
      <c r="AC637" s="271">
        <v>48345.36</v>
      </c>
      <c r="AE637" s="269"/>
      <c r="AF637" s="84"/>
      <c r="AG637" s="82"/>
      <c r="AH637" s="82"/>
    </row>
    <row r="638" spans="1:34" x14ac:dyDescent="0.3">
      <c r="A638" s="10">
        <f t="shared" si="139"/>
        <v>555</v>
      </c>
      <c r="B638" s="124" t="s">
        <v>810</v>
      </c>
      <c r="C638" s="273">
        <f t="shared" si="137"/>
        <v>119167.85</v>
      </c>
      <c r="D638" s="273">
        <f t="shared" si="138"/>
        <v>0</v>
      </c>
      <c r="E638" s="273"/>
      <c r="F638" s="273"/>
      <c r="G638" s="273"/>
      <c r="H638" s="273"/>
      <c r="I638" s="273"/>
      <c r="J638" s="273"/>
      <c r="K638" s="273"/>
      <c r="L638" s="273"/>
      <c r="M638" s="273"/>
      <c r="N638" s="273"/>
      <c r="O638" s="273"/>
      <c r="P638" s="273"/>
      <c r="Q638" s="273"/>
      <c r="R638" s="273"/>
      <c r="S638" s="273"/>
      <c r="T638" s="273"/>
      <c r="U638" s="273"/>
      <c r="V638" s="273"/>
      <c r="W638" s="273">
        <f t="shared" si="142"/>
        <v>119167.85</v>
      </c>
      <c r="X638" s="271"/>
      <c r="Y638" s="271"/>
      <c r="Z638" s="271"/>
      <c r="AC638" s="271">
        <v>119167.85</v>
      </c>
      <c r="AE638" s="269"/>
      <c r="AF638" s="84"/>
      <c r="AG638" s="82"/>
      <c r="AH638" s="82"/>
    </row>
    <row r="639" spans="1:34" x14ac:dyDescent="0.3">
      <c r="A639" s="10">
        <f t="shared" si="139"/>
        <v>556</v>
      </c>
      <c r="B639" s="124" t="s">
        <v>811</v>
      </c>
      <c r="C639" s="273">
        <f t="shared" ref="C639:C670" si="143">D639+K639+L639+N639+P639+R639+S639+U639+W639+V639</f>
        <v>176200.09</v>
      </c>
      <c r="D639" s="273">
        <f t="shared" ref="D639:D670" si="144">E639+F639+G639+H639+I639</f>
        <v>0</v>
      </c>
      <c r="E639" s="273"/>
      <c r="F639" s="273"/>
      <c r="G639" s="273"/>
      <c r="H639" s="273"/>
      <c r="I639" s="273"/>
      <c r="J639" s="273"/>
      <c r="K639" s="273"/>
      <c r="L639" s="273"/>
      <c r="M639" s="273"/>
      <c r="N639" s="273"/>
      <c r="O639" s="273"/>
      <c r="P639" s="273"/>
      <c r="Q639" s="273"/>
      <c r="R639" s="273"/>
      <c r="S639" s="273"/>
      <c r="T639" s="273"/>
      <c r="U639" s="273"/>
      <c r="V639" s="273"/>
      <c r="W639" s="273">
        <f t="shared" si="142"/>
        <v>176200.09</v>
      </c>
      <c r="X639" s="271"/>
      <c r="Y639" s="271"/>
      <c r="Z639" s="271"/>
      <c r="AC639" s="271">
        <v>176200.09</v>
      </c>
      <c r="AE639" s="269"/>
      <c r="AF639" s="84"/>
      <c r="AG639" s="82"/>
      <c r="AH639" s="82"/>
    </row>
    <row r="640" spans="1:34" x14ac:dyDescent="0.3">
      <c r="A640" s="10">
        <f t="shared" ref="A640:A671" si="145">A639+1</f>
        <v>557</v>
      </c>
      <c r="B640" s="124" t="s">
        <v>812</v>
      </c>
      <c r="C640" s="273">
        <f t="shared" si="143"/>
        <v>171625.34</v>
      </c>
      <c r="D640" s="273">
        <f t="shared" si="144"/>
        <v>0</v>
      </c>
      <c r="E640" s="273"/>
      <c r="F640" s="273"/>
      <c r="G640" s="273"/>
      <c r="H640" s="273"/>
      <c r="I640" s="273"/>
      <c r="J640" s="273"/>
      <c r="K640" s="273"/>
      <c r="L640" s="273"/>
      <c r="M640" s="273"/>
      <c r="N640" s="273"/>
      <c r="O640" s="273"/>
      <c r="P640" s="273"/>
      <c r="Q640" s="273"/>
      <c r="R640" s="273"/>
      <c r="S640" s="273"/>
      <c r="T640" s="273"/>
      <c r="U640" s="273"/>
      <c r="V640" s="273"/>
      <c r="W640" s="273">
        <f t="shared" si="142"/>
        <v>171625.34</v>
      </c>
      <c r="X640" s="271"/>
      <c r="Y640" s="271"/>
      <c r="Z640" s="271"/>
      <c r="AC640" s="271">
        <v>171625.34</v>
      </c>
      <c r="AE640" s="269"/>
      <c r="AF640" s="84"/>
      <c r="AG640" s="82"/>
      <c r="AH640" s="82"/>
    </row>
    <row r="641" spans="1:34" x14ac:dyDescent="0.3">
      <c r="A641" s="10">
        <f t="shared" si="145"/>
        <v>558</v>
      </c>
      <c r="B641" s="124" t="s">
        <v>813</v>
      </c>
      <c r="C641" s="273">
        <f t="shared" si="143"/>
        <v>146486.51999999999</v>
      </c>
      <c r="D641" s="273">
        <f t="shared" si="144"/>
        <v>0</v>
      </c>
      <c r="E641" s="273"/>
      <c r="F641" s="273"/>
      <c r="G641" s="273"/>
      <c r="H641" s="273"/>
      <c r="I641" s="273"/>
      <c r="J641" s="273"/>
      <c r="K641" s="273"/>
      <c r="L641" s="273"/>
      <c r="M641" s="273"/>
      <c r="N641" s="273"/>
      <c r="O641" s="273"/>
      <c r="P641" s="273"/>
      <c r="Q641" s="273"/>
      <c r="R641" s="273"/>
      <c r="S641" s="273"/>
      <c r="T641" s="273"/>
      <c r="U641" s="273"/>
      <c r="V641" s="273"/>
      <c r="W641" s="273">
        <f t="shared" si="142"/>
        <v>146486.51999999999</v>
      </c>
      <c r="X641" s="271"/>
      <c r="Y641" s="271"/>
      <c r="Z641" s="271"/>
      <c r="AC641" s="271">
        <v>146486.51999999999</v>
      </c>
      <c r="AE641" s="269"/>
      <c r="AF641" s="84"/>
      <c r="AG641" s="82"/>
      <c r="AH641" s="82"/>
    </row>
    <row r="642" spans="1:34" x14ac:dyDescent="0.3">
      <c r="A642" s="10">
        <f t="shared" si="145"/>
        <v>559</v>
      </c>
      <c r="B642" s="124" t="s">
        <v>814</v>
      </c>
      <c r="C642" s="273">
        <f t="shared" si="143"/>
        <v>214412.2</v>
      </c>
      <c r="D642" s="273">
        <f t="shared" si="144"/>
        <v>0</v>
      </c>
      <c r="E642" s="273"/>
      <c r="F642" s="273"/>
      <c r="G642" s="273"/>
      <c r="H642" s="273"/>
      <c r="I642" s="273"/>
      <c r="J642" s="273"/>
      <c r="K642" s="273"/>
      <c r="L642" s="273"/>
      <c r="M642" s="273"/>
      <c r="N642" s="273"/>
      <c r="O642" s="273"/>
      <c r="P642" s="273"/>
      <c r="Q642" s="273"/>
      <c r="R642" s="273"/>
      <c r="S642" s="273"/>
      <c r="T642" s="273"/>
      <c r="U642" s="273"/>
      <c r="V642" s="273"/>
      <c r="W642" s="273">
        <f t="shared" si="142"/>
        <v>214412.2</v>
      </c>
      <c r="X642" s="271"/>
      <c r="Y642" s="271"/>
      <c r="Z642" s="271"/>
      <c r="AC642" s="271">
        <v>214412.2</v>
      </c>
      <c r="AE642" s="269"/>
      <c r="AF642" s="84"/>
      <c r="AG642" s="82"/>
      <c r="AH642" s="82"/>
    </row>
    <row r="643" spans="1:34" x14ac:dyDescent="0.3">
      <c r="A643" s="10">
        <f t="shared" si="145"/>
        <v>560</v>
      </c>
      <c r="B643" s="124" t="s">
        <v>815</v>
      </c>
      <c r="C643" s="273">
        <f t="shared" si="143"/>
        <v>615186.98</v>
      </c>
      <c r="D643" s="273">
        <f t="shared" si="144"/>
        <v>0</v>
      </c>
      <c r="E643" s="273"/>
      <c r="F643" s="273"/>
      <c r="G643" s="273"/>
      <c r="H643" s="273"/>
      <c r="I643" s="273"/>
      <c r="J643" s="273"/>
      <c r="K643" s="273"/>
      <c r="L643" s="273"/>
      <c r="M643" s="273"/>
      <c r="N643" s="273"/>
      <c r="O643" s="273"/>
      <c r="P643" s="273"/>
      <c r="Q643" s="273"/>
      <c r="R643" s="273"/>
      <c r="S643" s="273"/>
      <c r="T643" s="273"/>
      <c r="U643" s="273"/>
      <c r="V643" s="273"/>
      <c r="W643" s="273">
        <f t="shared" si="142"/>
        <v>615186.98</v>
      </c>
      <c r="X643" s="271"/>
      <c r="Y643" s="271"/>
      <c r="Z643" s="271"/>
      <c r="AC643" s="271"/>
      <c r="AE643" s="269">
        <v>615186.98</v>
      </c>
      <c r="AF643" s="84"/>
      <c r="AG643" s="82"/>
      <c r="AH643" s="82"/>
    </row>
    <row r="644" spans="1:34" x14ac:dyDescent="0.3">
      <c r="A644" s="10">
        <f t="shared" si="145"/>
        <v>561</v>
      </c>
      <c r="B644" s="124" t="s">
        <v>816</v>
      </c>
      <c r="C644" s="273">
        <f t="shared" si="143"/>
        <v>130000</v>
      </c>
      <c r="D644" s="273">
        <f t="shared" si="144"/>
        <v>0</v>
      </c>
      <c r="E644" s="273"/>
      <c r="F644" s="273"/>
      <c r="G644" s="273"/>
      <c r="H644" s="273"/>
      <c r="I644" s="273"/>
      <c r="J644" s="273"/>
      <c r="K644" s="273"/>
      <c r="L644" s="273"/>
      <c r="M644" s="273"/>
      <c r="N644" s="273"/>
      <c r="O644" s="273"/>
      <c r="P644" s="273"/>
      <c r="Q644" s="273"/>
      <c r="R644" s="273"/>
      <c r="S644" s="273"/>
      <c r="T644" s="273"/>
      <c r="U644" s="273"/>
      <c r="V644" s="273"/>
      <c r="W644" s="273">
        <v>130000</v>
      </c>
      <c r="X644" s="271"/>
      <c r="Y644" s="271"/>
      <c r="Z644" s="271"/>
      <c r="AC644" s="271"/>
      <c r="AE644" s="269"/>
      <c r="AF644" s="84"/>
      <c r="AG644" s="82"/>
      <c r="AH644" s="82"/>
    </row>
    <row r="645" spans="1:34" x14ac:dyDescent="0.3">
      <c r="A645" s="10">
        <f t="shared" si="145"/>
        <v>562</v>
      </c>
      <c r="B645" s="124" t="s">
        <v>817</v>
      </c>
      <c r="C645" s="273">
        <f t="shared" si="143"/>
        <v>2902809</v>
      </c>
      <c r="D645" s="273">
        <f t="shared" si="144"/>
        <v>2902809</v>
      </c>
      <c r="E645" s="273">
        <v>2902809</v>
      </c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273"/>
      <c r="W645" s="273">
        <f t="shared" ref="W645:W652" si="146">SUM(X645:AI645)</f>
        <v>0</v>
      </c>
      <c r="X645" s="271"/>
      <c r="Y645" s="271"/>
      <c r="Z645" s="271"/>
      <c r="AC645" s="271"/>
      <c r="AE645" s="269"/>
      <c r="AF645" s="84"/>
      <c r="AG645" s="82"/>
      <c r="AH645" s="82"/>
    </row>
    <row r="646" spans="1:34" x14ac:dyDescent="0.3">
      <c r="A646" s="10">
        <f t="shared" si="145"/>
        <v>563</v>
      </c>
      <c r="B646" s="124" t="s">
        <v>818</v>
      </c>
      <c r="C646" s="273">
        <f t="shared" si="143"/>
        <v>116485.19</v>
      </c>
      <c r="D646" s="273">
        <f t="shared" si="144"/>
        <v>0</v>
      </c>
      <c r="E646" s="273"/>
      <c r="F646" s="273"/>
      <c r="G646" s="273"/>
      <c r="H646" s="273"/>
      <c r="I646" s="273"/>
      <c r="J646" s="273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>
        <f t="shared" si="146"/>
        <v>116485.19</v>
      </c>
      <c r="X646" s="271"/>
      <c r="Y646" s="271"/>
      <c r="Z646" s="271"/>
      <c r="AC646" s="271">
        <v>116485.19</v>
      </c>
      <c r="AE646" s="269"/>
      <c r="AF646" s="84"/>
      <c r="AG646" s="82"/>
      <c r="AH646" s="82"/>
    </row>
    <row r="647" spans="1:34" x14ac:dyDescent="0.3">
      <c r="A647" s="10">
        <f t="shared" si="145"/>
        <v>564</v>
      </c>
      <c r="B647" s="124" t="s">
        <v>819</v>
      </c>
      <c r="C647" s="273">
        <f t="shared" si="143"/>
        <v>158281.03</v>
      </c>
      <c r="D647" s="273">
        <f t="shared" si="144"/>
        <v>0</v>
      </c>
      <c r="E647" s="273"/>
      <c r="F647" s="273"/>
      <c r="G647" s="273"/>
      <c r="H647" s="273"/>
      <c r="I647" s="273"/>
      <c r="J647" s="273"/>
      <c r="K647" s="273"/>
      <c r="L647" s="273"/>
      <c r="M647" s="273"/>
      <c r="N647" s="273"/>
      <c r="O647" s="273"/>
      <c r="P647" s="273"/>
      <c r="Q647" s="273"/>
      <c r="R647" s="273"/>
      <c r="S647" s="273"/>
      <c r="T647" s="273"/>
      <c r="U647" s="273"/>
      <c r="V647" s="273"/>
      <c r="W647" s="273">
        <f t="shared" si="146"/>
        <v>158281.03</v>
      </c>
      <c r="X647" s="271"/>
      <c r="Y647" s="271"/>
      <c r="Z647" s="110"/>
      <c r="AC647" s="271">
        <v>158281.03</v>
      </c>
      <c r="AE647" s="269"/>
      <c r="AF647" s="84"/>
      <c r="AG647" s="82"/>
      <c r="AH647" s="82"/>
    </row>
    <row r="648" spans="1:34" x14ac:dyDescent="0.3">
      <c r="A648" s="10">
        <f t="shared" si="145"/>
        <v>565</v>
      </c>
      <c r="B648" s="124" t="s">
        <v>820</v>
      </c>
      <c r="C648" s="273">
        <f t="shared" si="143"/>
        <v>1983168</v>
      </c>
      <c r="D648" s="273">
        <f t="shared" si="144"/>
        <v>0</v>
      </c>
      <c r="E648" s="273"/>
      <c r="F648" s="273"/>
      <c r="G648" s="273"/>
      <c r="H648" s="273"/>
      <c r="I648" s="273"/>
      <c r="J648" s="273"/>
      <c r="K648" s="273"/>
      <c r="L648" s="273"/>
      <c r="M648" s="273"/>
      <c r="N648" s="273"/>
      <c r="O648" s="273">
        <v>239.7</v>
      </c>
      <c r="P648" s="273">
        <v>1866992.4</v>
      </c>
      <c r="Q648" s="273"/>
      <c r="R648" s="273"/>
      <c r="S648" s="273"/>
      <c r="T648" s="273"/>
      <c r="U648" s="273"/>
      <c r="V648" s="273">
        <v>116175.6</v>
      </c>
      <c r="W648" s="273">
        <f t="shared" si="146"/>
        <v>0</v>
      </c>
      <c r="X648" s="271"/>
      <c r="Y648" s="271"/>
      <c r="Z648" s="271"/>
      <c r="AC648" s="271"/>
      <c r="AE648" s="269"/>
      <c r="AF648" s="84"/>
      <c r="AG648" s="82"/>
      <c r="AH648" s="82"/>
    </row>
    <row r="649" spans="1:34" x14ac:dyDescent="0.3">
      <c r="A649" s="10">
        <f t="shared" si="145"/>
        <v>566</v>
      </c>
      <c r="B649" s="124" t="s">
        <v>821</v>
      </c>
      <c r="C649" s="273">
        <f t="shared" si="143"/>
        <v>59114.239999999998</v>
      </c>
      <c r="D649" s="273">
        <f t="shared" si="144"/>
        <v>0</v>
      </c>
      <c r="E649" s="273"/>
      <c r="F649" s="273"/>
      <c r="G649" s="273"/>
      <c r="H649" s="273"/>
      <c r="I649" s="273"/>
      <c r="J649" s="273"/>
      <c r="K649" s="273"/>
      <c r="L649" s="273"/>
      <c r="M649" s="273"/>
      <c r="N649" s="273"/>
      <c r="O649" s="273"/>
      <c r="P649" s="273"/>
      <c r="Q649" s="273"/>
      <c r="R649" s="273"/>
      <c r="S649" s="273"/>
      <c r="T649" s="273"/>
      <c r="U649" s="273"/>
      <c r="V649" s="273"/>
      <c r="W649" s="273">
        <f t="shared" si="146"/>
        <v>59114.239999999998</v>
      </c>
      <c r="X649" s="271"/>
      <c r="Y649" s="271"/>
      <c r="Z649" s="271"/>
      <c r="AC649" s="271">
        <v>59114.239999999998</v>
      </c>
      <c r="AE649" s="269"/>
      <c r="AF649" s="84"/>
      <c r="AG649" s="82"/>
      <c r="AH649" s="82"/>
    </row>
    <row r="650" spans="1:34" x14ac:dyDescent="0.3">
      <c r="A650" s="10">
        <f t="shared" si="145"/>
        <v>567</v>
      </c>
      <c r="B650" s="124" t="s">
        <v>822</v>
      </c>
      <c r="C650" s="273">
        <f t="shared" si="143"/>
        <v>312388.46000000002</v>
      </c>
      <c r="D650" s="273">
        <f t="shared" si="144"/>
        <v>0</v>
      </c>
      <c r="E650" s="273"/>
      <c r="F650" s="273"/>
      <c r="G650" s="273"/>
      <c r="H650" s="273"/>
      <c r="I650" s="273"/>
      <c r="J650" s="273"/>
      <c r="K650" s="273"/>
      <c r="L650" s="273"/>
      <c r="M650" s="273"/>
      <c r="N650" s="273"/>
      <c r="O650" s="273"/>
      <c r="P650" s="273"/>
      <c r="Q650" s="273"/>
      <c r="R650" s="273"/>
      <c r="S650" s="273"/>
      <c r="T650" s="273"/>
      <c r="U650" s="273"/>
      <c r="V650" s="273"/>
      <c r="W650" s="273">
        <f t="shared" si="146"/>
        <v>312388.46000000002</v>
      </c>
      <c r="X650" s="271"/>
      <c r="Y650" s="271"/>
      <c r="Z650" s="271"/>
      <c r="AC650" s="271">
        <v>312388.46000000002</v>
      </c>
      <c r="AE650" s="269"/>
      <c r="AF650" s="84"/>
      <c r="AG650" s="82"/>
      <c r="AH650" s="82"/>
    </row>
    <row r="651" spans="1:34" x14ac:dyDescent="0.3">
      <c r="A651" s="10">
        <f t="shared" si="145"/>
        <v>568</v>
      </c>
      <c r="B651" s="124" t="s">
        <v>823</v>
      </c>
      <c r="C651" s="273">
        <f t="shared" si="143"/>
        <v>18558117</v>
      </c>
      <c r="D651" s="273">
        <f t="shared" si="144"/>
        <v>0</v>
      </c>
      <c r="E651" s="273"/>
      <c r="F651" s="273"/>
      <c r="G651" s="273"/>
      <c r="H651" s="273"/>
      <c r="I651" s="273"/>
      <c r="J651" s="273"/>
      <c r="K651" s="273"/>
      <c r="L651" s="273"/>
      <c r="M651" s="273">
        <v>305</v>
      </c>
      <c r="N651" s="273">
        <v>2468670</v>
      </c>
      <c r="O651" s="273"/>
      <c r="P651" s="273"/>
      <c r="Q651" s="273">
        <v>1149</v>
      </c>
      <c r="R651" s="273">
        <v>16089447</v>
      </c>
      <c r="S651" s="273"/>
      <c r="T651" s="273"/>
      <c r="U651" s="273"/>
      <c r="V651" s="273"/>
      <c r="W651" s="273">
        <f t="shared" si="146"/>
        <v>0</v>
      </c>
      <c r="X651" s="271"/>
      <c r="Y651" s="271"/>
      <c r="Z651" s="271"/>
      <c r="AC651" s="271"/>
      <c r="AE651" s="269"/>
      <c r="AF651" s="84"/>
      <c r="AG651" s="82"/>
      <c r="AH651" s="82"/>
    </row>
    <row r="652" spans="1:34" x14ac:dyDescent="0.3">
      <c r="A652" s="10">
        <f t="shared" si="145"/>
        <v>569</v>
      </c>
      <c r="B652" s="124" t="s">
        <v>824</v>
      </c>
      <c r="C652" s="273">
        <f t="shared" si="143"/>
        <v>130161.61</v>
      </c>
      <c r="D652" s="273">
        <f t="shared" si="144"/>
        <v>0</v>
      </c>
      <c r="E652" s="273"/>
      <c r="F652" s="273"/>
      <c r="G652" s="273"/>
      <c r="H652" s="273"/>
      <c r="I652" s="273"/>
      <c r="J652" s="273"/>
      <c r="K652" s="273"/>
      <c r="L652" s="273"/>
      <c r="M652" s="273"/>
      <c r="N652" s="273"/>
      <c r="O652" s="273"/>
      <c r="P652" s="273"/>
      <c r="Q652" s="273"/>
      <c r="R652" s="273"/>
      <c r="S652" s="273"/>
      <c r="T652" s="273"/>
      <c r="U652" s="273"/>
      <c r="V652" s="273"/>
      <c r="W652" s="273">
        <f t="shared" si="146"/>
        <v>130161.61</v>
      </c>
      <c r="X652" s="271"/>
      <c r="Y652" s="271"/>
      <c r="Z652" s="271"/>
      <c r="AC652" s="271">
        <v>130161.61</v>
      </c>
      <c r="AE652" s="269"/>
      <c r="AF652" s="84"/>
      <c r="AG652" s="82"/>
      <c r="AH652" s="82"/>
    </row>
    <row r="653" spans="1:34" x14ac:dyDescent="0.3">
      <c r="A653" s="10">
        <f t="shared" si="145"/>
        <v>570</v>
      </c>
      <c r="B653" s="124" t="s">
        <v>827</v>
      </c>
      <c r="C653" s="273">
        <f t="shared" si="143"/>
        <v>130000</v>
      </c>
      <c r="D653" s="273">
        <f t="shared" si="144"/>
        <v>0</v>
      </c>
      <c r="E653" s="273"/>
      <c r="F653" s="273"/>
      <c r="G653" s="273"/>
      <c r="H653" s="273"/>
      <c r="I653" s="273"/>
      <c r="J653" s="273"/>
      <c r="K653" s="273"/>
      <c r="L653" s="273"/>
      <c r="M653" s="273"/>
      <c r="N653" s="273"/>
      <c r="O653" s="273"/>
      <c r="P653" s="273"/>
      <c r="Q653" s="273"/>
      <c r="R653" s="273"/>
      <c r="S653" s="273"/>
      <c r="T653" s="273"/>
      <c r="U653" s="273"/>
      <c r="V653" s="273"/>
      <c r="W653" s="273">
        <v>130000</v>
      </c>
      <c r="X653" s="271"/>
      <c r="Y653" s="271"/>
      <c r="Z653" s="271"/>
      <c r="AC653" s="271">
        <v>130000</v>
      </c>
      <c r="AE653" s="269"/>
      <c r="AF653" s="84"/>
      <c r="AG653" s="82"/>
      <c r="AH653" s="82"/>
    </row>
    <row r="654" spans="1:34" x14ac:dyDescent="0.3">
      <c r="A654" s="10">
        <f t="shared" si="145"/>
        <v>571</v>
      </c>
      <c r="B654" s="124" t="s">
        <v>828</v>
      </c>
      <c r="C654" s="273">
        <f t="shared" si="143"/>
        <v>130000</v>
      </c>
      <c r="D654" s="273">
        <f t="shared" si="144"/>
        <v>0</v>
      </c>
      <c r="E654" s="273"/>
      <c r="F654" s="273"/>
      <c r="G654" s="273"/>
      <c r="H654" s="273"/>
      <c r="I654" s="273"/>
      <c r="J654" s="273"/>
      <c r="K654" s="273"/>
      <c r="L654" s="273"/>
      <c r="M654" s="273"/>
      <c r="N654" s="273"/>
      <c r="O654" s="273"/>
      <c r="P654" s="273"/>
      <c r="Q654" s="273"/>
      <c r="R654" s="273"/>
      <c r="S654" s="273"/>
      <c r="T654" s="273"/>
      <c r="U654" s="273"/>
      <c r="V654" s="273"/>
      <c r="W654" s="273">
        <v>130000</v>
      </c>
      <c r="X654" s="271"/>
      <c r="Y654" s="271"/>
      <c r="Z654" s="271"/>
      <c r="AC654" s="271">
        <v>130000</v>
      </c>
      <c r="AE654" s="269"/>
      <c r="AF654" s="84"/>
      <c r="AG654" s="82"/>
      <c r="AH654" s="82"/>
    </row>
    <row r="655" spans="1:34" x14ac:dyDescent="0.3">
      <c r="A655" s="10">
        <f t="shared" si="145"/>
        <v>572</v>
      </c>
      <c r="B655" s="124" t="s">
        <v>829</v>
      </c>
      <c r="C655" s="273">
        <f t="shared" si="143"/>
        <v>99427.48</v>
      </c>
      <c r="D655" s="273">
        <f t="shared" si="144"/>
        <v>0</v>
      </c>
      <c r="E655" s="273"/>
      <c r="F655" s="273"/>
      <c r="G655" s="273"/>
      <c r="H655" s="273"/>
      <c r="I655" s="273"/>
      <c r="J655" s="273"/>
      <c r="K655" s="273"/>
      <c r="L655" s="273"/>
      <c r="M655" s="273"/>
      <c r="N655" s="273"/>
      <c r="O655" s="273"/>
      <c r="P655" s="273"/>
      <c r="Q655" s="273"/>
      <c r="R655" s="273"/>
      <c r="S655" s="273"/>
      <c r="T655" s="273"/>
      <c r="U655" s="273"/>
      <c r="V655" s="273"/>
      <c r="W655" s="273">
        <f t="shared" ref="W655:W666" si="147">SUM(X655:AI655)</f>
        <v>99427.48</v>
      </c>
      <c r="X655" s="271"/>
      <c r="Y655" s="271"/>
      <c r="Z655" s="271"/>
      <c r="AC655" s="271">
        <v>99427.48</v>
      </c>
      <c r="AE655" s="269"/>
      <c r="AF655" s="84"/>
      <c r="AG655" s="82"/>
      <c r="AH655" s="82"/>
    </row>
    <row r="656" spans="1:34" x14ac:dyDescent="0.3">
      <c r="A656" s="10">
        <f t="shared" si="145"/>
        <v>573</v>
      </c>
      <c r="B656" s="124" t="s">
        <v>830</v>
      </c>
      <c r="C656" s="273">
        <f t="shared" si="143"/>
        <v>116511.55</v>
      </c>
      <c r="D656" s="273">
        <f t="shared" si="144"/>
        <v>0</v>
      </c>
      <c r="E656" s="273"/>
      <c r="F656" s="273"/>
      <c r="G656" s="273"/>
      <c r="H656" s="273"/>
      <c r="I656" s="273"/>
      <c r="J656" s="273"/>
      <c r="K656" s="273"/>
      <c r="L656" s="273"/>
      <c r="M656" s="273"/>
      <c r="N656" s="273"/>
      <c r="O656" s="273"/>
      <c r="P656" s="273"/>
      <c r="Q656" s="273"/>
      <c r="R656" s="273"/>
      <c r="S656" s="273"/>
      <c r="T656" s="273"/>
      <c r="U656" s="273"/>
      <c r="V656" s="273"/>
      <c r="W656" s="273">
        <f t="shared" si="147"/>
        <v>116511.55</v>
      </c>
      <c r="X656" s="271"/>
      <c r="Y656" s="271"/>
      <c r="Z656" s="271"/>
      <c r="AC656" s="271">
        <v>116511.55</v>
      </c>
      <c r="AE656" s="269"/>
      <c r="AF656" s="84"/>
      <c r="AG656" s="82"/>
      <c r="AH656" s="82"/>
    </row>
    <row r="657" spans="1:34" x14ac:dyDescent="0.3">
      <c r="A657" s="10">
        <f t="shared" si="145"/>
        <v>574</v>
      </c>
      <c r="B657" s="124" t="s">
        <v>831</v>
      </c>
      <c r="C657" s="273">
        <f t="shared" si="143"/>
        <v>52464.55</v>
      </c>
      <c r="D657" s="273">
        <f t="shared" si="144"/>
        <v>0</v>
      </c>
      <c r="E657" s="273"/>
      <c r="F657" s="273"/>
      <c r="G657" s="273"/>
      <c r="H657" s="273"/>
      <c r="I657" s="273"/>
      <c r="J657" s="273"/>
      <c r="K657" s="273"/>
      <c r="L657" s="273"/>
      <c r="M657" s="273"/>
      <c r="N657" s="273"/>
      <c r="O657" s="273"/>
      <c r="P657" s="273"/>
      <c r="Q657" s="273"/>
      <c r="R657" s="273"/>
      <c r="S657" s="273"/>
      <c r="T657" s="273"/>
      <c r="U657" s="273"/>
      <c r="V657" s="273"/>
      <c r="W657" s="273">
        <f t="shared" si="147"/>
        <v>52464.55</v>
      </c>
      <c r="X657" s="271"/>
      <c r="Y657" s="271"/>
      <c r="Z657" s="271"/>
      <c r="AC657" s="271">
        <v>52464.55</v>
      </c>
      <c r="AE657" s="269"/>
      <c r="AF657" s="84"/>
      <c r="AG657" s="82"/>
      <c r="AH657" s="82"/>
    </row>
    <row r="658" spans="1:34" x14ac:dyDescent="0.3">
      <c r="A658" s="10">
        <f t="shared" si="145"/>
        <v>575</v>
      </c>
      <c r="B658" s="124" t="s">
        <v>832</v>
      </c>
      <c r="C658" s="273">
        <f t="shared" si="143"/>
        <v>85705.63</v>
      </c>
      <c r="D658" s="273">
        <f t="shared" si="144"/>
        <v>0</v>
      </c>
      <c r="E658" s="273"/>
      <c r="F658" s="273"/>
      <c r="G658" s="273"/>
      <c r="H658" s="273"/>
      <c r="I658" s="273"/>
      <c r="J658" s="273"/>
      <c r="K658" s="273"/>
      <c r="L658" s="273"/>
      <c r="M658" s="273"/>
      <c r="N658" s="273"/>
      <c r="O658" s="273"/>
      <c r="P658" s="273"/>
      <c r="Q658" s="273"/>
      <c r="R658" s="273"/>
      <c r="S658" s="273"/>
      <c r="T658" s="273"/>
      <c r="U658" s="273"/>
      <c r="V658" s="273"/>
      <c r="W658" s="273">
        <f t="shared" si="147"/>
        <v>85705.63</v>
      </c>
      <c r="X658" s="271"/>
      <c r="Y658" s="271"/>
      <c r="Z658" s="271"/>
      <c r="AC658" s="271">
        <v>85705.63</v>
      </c>
      <c r="AE658" s="269"/>
      <c r="AF658" s="84"/>
      <c r="AG658" s="82"/>
      <c r="AH658" s="82"/>
    </row>
    <row r="659" spans="1:34" x14ac:dyDescent="0.3">
      <c r="A659" s="10">
        <f t="shared" si="145"/>
        <v>576</v>
      </c>
      <c r="B659" s="124" t="s">
        <v>833</v>
      </c>
      <c r="C659" s="273">
        <f t="shared" si="143"/>
        <v>82825.2</v>
      </c>
      <c r="D659" s="273">
        <f t="shared" si="144"/>
        <v>0</v>
      </c>
      <c r="E659" s="273"/>
      <c r="F659" s="273"/>
      <c r="G659" s="273"/>
      <c r="H659" s="273"/>
      <c r="I659" s="273"/>
      <c r="J659" s="273"/>
      <c r="K659" s="273"/>
      <c r="L659" s="273"/>
      <c r="M659" s="273"/>
      <c r="N659" s="273"/>
      <c r="O659" s="273"/>
      <c r="P659" s="273"/>
      <c r="Q659" s="273"/>
      <c r="R659" s="273"/>
      <c r="S659" s="273"/>
      <c r="T659" s="273"/>
      <c r="U659" s="273"/>
      <c r="V659" s="273"/>
      <c r="W659" s="273">
        <f t="shared" si="147"/>
        <v>82825.2</v>
      </c>
      <c r="X659" s="271"/>
      <c r="Y659" s="271"/>
      <c r="Z659" s="271"/>
      <c r="AC659" s="271">
        <v>82825.2</v>
      </c>
      <c r="AE659" s="269"/>
      <c r="AF659" s="84"/>
      <c r="AG659" s="82"/>
      <c r="AH659" s="82"/>
    </row>
    <row r="660" spans="1:34" x14ac:dyDescent="0.3">
      <c r="A660" s="10">
        <f t="shared" si="145"/>
        <v>577</v>
      </c>
      <c r="B660" s="124" t="s">
        <v>834</v>
      </c>
      <c r="C660" s="273">
        <f t="shared" si="143"/>
        <v>97401.600000000006</v>
      </c>
      <c r="D660" s="273">
        <f t="shared" si="144"/>
        <v>0</v>
      </c>
      <c r="E660" s="273"/>
      <c r="F660" s="273"/>
      <c r="G660" s="273"/>
      <c r="H660" s="273"/>
      <c r="I660" s="273"/>
      <c r="J660" s="273"/>
      <c r="K660" s="273"/>
      <c r="L660" s="273"/>
      <c r="M660" s="273"/>
      <c r="N660" s="273"/>
      <c r="O660" s="273"/>
      <c r="P660" s="273"/>
      <c r="Q660" s="273"/>
      <c r="R660" s="273"/>
      <c r="S660" s="273"/>
      <c r="T660" s="273"/>
      <c r="U660" s="273"/>
      <c r="V660" s="273"/>
      <c r="W660" s="273">
        <f t="shared" si="147"/>
        <v>97401.600000000006</v>
      </c>
      <c r="X660" s="271"/>
      <c r="Y660" s="271"/>
      <c r="Z660" s="271"/>
      <c r="AC660" s="271">
        <v>97401.600000000006</v>
      </c>
      <c r="AE660" s="269"/>
      <c r="AF660" s="84"/>
      <c r="AG660" s="82"/>
      <c r="AH660" s="82"/>
    </row>
    <row r="661" spans="1:34" x14ac:dyDescent="0.3">
      <c r="A661" s="10">
        <f t="shared" si="145"/>
        <v>578</v>
      </c>
      <c r="B661" s="124" t="s">
        <v>835</v>
      </c>
      <c r="C661" s="273">
        <f t="shared" si="143"/>
        <v>73577.66</v>
      </c>
      <c r="D661" s="273">
        <f t="shared" si="144"/>
        <v>0</v>
      </c>
      <c r="E661" s="273"/>
      <c r="F661" s="273"/>
      <c r="G661" s="273"/>
      <c r="H661" s="273"/>
      <c r="I661" s="273"/>
      <c r="J661" s="273"/>
      <c r="K661" s="273"/>
      <c r="L661" s="273"/>
      <c r="M661" s="273"/>
      <c r="N661" s="273"/>
      <c r="O661" s="273"/>
      <c r="P661" s="273"/>
      <c r="Q661" s="273"/>
      <c r="R661" s="273"/>
      <c r="S661" s="273"/>
      <c r="T661" s="273"/>
      <c r="U661" s="273"/>
      <c r="V661" s="273"/>
      <c r="W661" s="273">
        <f t="shared" si="147"/>
        <v>73577.66</v>
      </c>
      <c r="X661" s="271"/>
      <c r="Y661" s="271"/>
      <c r="Z661" s="271"/>
      <c r="AC661" s="271">
        <v>73577.66</v>
      </c>
      <c r="AE661" s="269"/>
      <c r="AF661" s="84"/>
      <c r="AG661" s="82"/>
      <c r="AH661" s="82"/>
    </row>
    <row r="662" spans="1:34" x14ac:dyDescent="0.3">
      <c r="A662" s="10">
        <f t="shared" si="145"/>
        <v>579</v>
      </c>
      <c r="B662" s="124" t="s">
        <v>836</v>
      </c>
      <c r="C662" s="273">
        <f t="shared" si="143"/>
        <v>43976.52</v>
      </c>
      <c r="D662" s="273">
        <f t="shared" si="144"/>
        <v>0</v>
      </c>
      <c r="E662" s="273"/>
      <c r="F662" s="273"/>
      <c r="G662" s="273"/>
      <c r="H662" s="273"/>
      <c r="I662" s="273"/>
      <c r="J662" s="273"/>
      <c r="K662" s="273"/>
      <c r="L662" s="273"/>
      <c r="M662" s="273"/>
      <c r="N662" s="273"/>
      <c r="O662" s="273"/>
      <c r="P662" s="273"/>
      <c r="Q662" s="273"/>
      <c r="R662" s="273"/>
      <c r="S662" s="273"/>
      <c r="T662" s="273"/>
      <c r="U662" s="273"/>
      <c r="V662" s="273"/>
      <c r="W662" s="273">
        <f t="shared" si="147"/>
        <v>43976.52</v>
      </c>
      <c r="X662" s="271"/>
      <c r="Y662" s="271"/>
      <c r="Z662" s="271"/>
      <c r="AC662" s="271">
        <v>43976.52</v>
      </c>
      <c r="AE662" s="269"/>
      <c r="AF662" s="84"/>
      <c r="AG662" s="82"/>
      <c r="AH662" s="82"/>
    </row>
    <row r="663" spans="1:34" x14ac:dyDescent="0.3">
      <c r="A663" s="10">
        <f t="shared" si="145"/>
        <v>580</v>
      </c>
      <c r="B663" s="124" t="s">
        <v>837</v>
      </c>
      <c r="C663" s="273">
        <f t="shared" si="143"/>
        <v>108496.03</v>
      </c>
      <c r="D663" s="273">
        <f t="shared" si="144"/>
        <v>0</v>
      </c>
      <c r="E663" s="273"/>
      <c r="F663" s="273"/>
      <c r="G663" s="273"/>
      <c r="H663" s="273"/>
      <c r="I663" s="273"/>
      <c r="J663" s="273"/>
      <c r="K663" s="273"/>
      <c r="L663" s="273"/>
      <c r="M663" s="273"/>
      <c r="N663" s="273"/>
      <c r="O663" s="273"/>
      <c r="P663" s="273"/>
      <c r="Q663" s="273"/>
      <c r="R663" s="273"/>
      <c r="S663" s="273"/>
      <c r="T663" s="273"/>
      <c r="U663" s="273"/>
      <c r="V663" s="273"/>
      <c r="W663" s="273">
        <f t="shared" si="147"/>
        <v>108496.03</v>
      </c>
      <c r="X663" s="271"/>
      <c r="Y663" s="271"/>
      <c r="Z663" s="271"/>
      <c r="AC663" s="271">
        <v>108496.03</v>
      </c>
      <c r="AE663" s="269"/>
      <c r="AF663" s="84"/>
      <c r="AG663" s="82"/>
      <c r="AH663" s="82"/>
    </row>
    <row r="664" spans="1:34" x14ac:dyDescent="0.3">
      <c r="A664" s="10">
        <f t="shared" si="145"/>
        <v>581</v>
      </c>
      <c r="B664" s="124" t="s">
        <v>838</v>
      </c>
      <c r="C664" s="273">
        <f t="shared" si="143"/>
        <v>77405.53</v>
      </c>
      <c r="D664" s="273">
        <f t="shared" si="144"/>
        <v>0</v>
      </c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273">
        <f t="shared" si="147"/>
        <v>77405.53</v>
      </c>
      <c r="X664" s="271"/>
      <c r="Y664" s="271"/>
      <c r="Z664" s="271"/>
      <c r="AC664" s="271">
        <v>77405.53</v>
      </c>
      <c r="AE664" s="269"/>
      <c r="AF664" s="84"/>
      <c r="AG664" s="82"/>
      <c r="AH664" s="82"/>
    </row>
    <row r="665" spans="1:34" x14ac:dyDescent="0.3">
      <c r="A665" s="10">
        <f t="shared" si="145"/>
        <v>582</v>
      </c>
      <c r="B665" s="124" t="s">
        <v>839</v>
      </c>
      <c r="C665" s="273">
        <f t="shared" si="143"/>
        <v>91764.53</v>
      </c>
      <c r="D665" s="273">
        <f t="shared" si="144"/>
        <v>0</v>
      </c>
      <c r="E665" s="273"/>
      <c r="F665" s="273"/>
      <c r="G665" s="273"/>
      <c r="H665" s="273"/>
      <c r="I665" s="273"/>
      <c r="J665" s="273"/>
      <c r="K665" s="273"/>
      <c r="L665" s="273"/>
      <c r="M665" s="273"/>
      <c r="N665" s="273"/>
      <c r="O665" s="273"/>
      <c r="P665" s="273"/>
      <c r="Q665" s="273"/>
      <c r="R665" s="273"/>
      <c r="S665" s="273"/>
      <c r="T665" s="273"/>
      <c r="U665" s="273"/>
      <c r="V665" s="273"/>
      <c r="W665" s="273">
        <f t="shared" si="147"/>
        <v>91764.53</v>
      </c>
      <c r="X665" s="271"/>
      <c r="Y665" s="271"/>
      <c r="Z665" s="271"/>
      <c r="AC665" s="271">
        <v>91764.53</v>
      </c>
      <c r="AE665" s="269"/>
      <c r="AF665" s="84"/>
      <c r="AG665" s="82"/>
      <c r="AH665" s="82"/>
    </row>
    <row r="666" spans="1:34" x14ac:dyDescent="0.3">
      <c r="A666" s="10">
        <f t="shared" si="145"/>
        <v>583</v>
      </c>
      <c r="B666" s="124" t="s">
        <v>840</v>
      </c>
      <c r="C666" s="273">
        <f t="shared" si="143"/>
        <v>125364.76</v>
      </c>
      <c r="D666" s="273">
        <f t="shared" si="144"/>
        <v>0</v>
      </c>
      <c r="E666" s="273"/>
      <c r="F666" s="273"/>
      <c r="G666" s="273"/>
      <c r="H666" s="273"/>
      <c r="I666" s="273"/>
      <c r="J666" s="273"/>
      <c r="K666" s="273"/>
      <c r="L666" s="273"/>
      <c r="M666" s="273"/>
      <c r="N666" s="273"/>
      <c r="O666" s="273"/>
      <c r="P666" s="273"/>
      <c r="Q666" s="273"/>
      <c r="R666" s="273"/>
      <c r="S666" s="273"/>
      <c r="T666" s="273"/>
      <c r="U666" s="273"/>
      <c r="V666" s="273"/>
      <c r="W666" s="273">
        <f t="shared" si="147"/>
        <v>125364.76</v>
      </c>
      <c r="X666" s="271"/>
      <c r="Y666" s="271"/>
      <c r="Z666" s="271"/>
      <c r="AC666" s="271">
        <v>125364.76</v>
      </c>
      <c r="AE666" s="269"/>
      <c r="AF666" s="84"/>
      <c r="AG666" s="82"/>
      <c r="AH666" s="82"/>
    </row>
    <row r="667" spans="1:34" x14ac:dyDescent="0.3">
      <c r="A667" s="10">
        <f t="shared" si="145"/>
        <v>584</v>
      </c>
      <c r="B667" s="124" t="s">
        <v>841</v>
      </c>
      <c r="C667" s="273">
        <f t="shared" si="143"/>
        <v>130000</v>
      </c>
      <c r="D667" s="273">
        <f t="shared" si="144"/>
        <v>0</v>
      </c>
      <c r="E667" s="273"/>
      <c r="F667" s="273"/>
      <c r="G667" s="273"/>
      <c r="H667" s="273"/>
      <c r="I667" s="273"/>
      <c r="J667" s="273"/>
      <c r="K667" s="273"/>
      <c r="L667" s="273"/>
      <c r="M667" s="273"/>
      <c r="N667" s="273"/>
      <c r="O667" s="273"/>
      <c r="P667" s="273"/>
      <c r="Q667" s="273"/>
      <c r="R667" s="273"/>
      <c r="S667" s="273"/>
      <c r="T667" s="273"/>
      <c r="U667" s="273"/>
      <c r="V667" s="273"/>
      <c r="W667" s="273">
        <v>130000</v>
      </c>
      <c r="X667" s="271"/>
      <c r="Y667" s="271"/>
      <c r="Z667" s="271"/>
      <c r="AC667" s="271">
        <v>130000</v>
      </c>
      <c r="AE667" s="269"/>
      <c r="AF667" s="84"/>
      <c r="AG667" s="82"/>
      <c r="AH667" s="82"/>
    </row>
    <row r="668" spans="1:34" x14ac:dyDescent="0.3">
      <c r="A668" s="10">
        <f t="shared" si="145"/>
        <v>585</v>
      </c>
      <c r="B668" s="124" t="s">
        <v>842</v>
      </c>
      <c r="C668" s="273">
        <f t="shared" si="143"/>
        <v>109795.69</v>
      </c>
      <c r="D668" s="273">
        <f t="shared" si="144"/>
        <v>0</v>
      </c>
      <c r="E668" s="273"/>
      <c r="F668" s="273"/>
      <c r="G668" s="273"/>
      <c r="H668" s="273"/>
      <c r="I668" s="273"/>
      <c r="J668" s="273"/>
      <c r="K668" s="273"/>
      <c r="L668" s="273"/>
      <c r="M668" s="273"/>
      <c r="N668" s="273"/>
      <c r="O668" s="273"/>
      <c r="P668" s="273"/>
      <c r="Q668" s="273"/>
      <c r="R668" s="273"/>
      <c r="S668" s="273"/>
      <c r="T668" s="273"/>
      <c r="U668" s="273"/>
      <c r="V668" s="273"/>
      <c r="W668" s="273">
        <f>SUM(X668:AI668)</f>
        <v>109795.69</v>
      </c>
      <c r="X668" s="271"/>
      <c r="Y668" s="271"/>
      <c r="Z668" s="271"/>
      <c r="AC668" s="271">
        <v>109795.69</v>
      </c>
      <c r="AE668" s="269"/>
      <c r="AF668" s="84"/>
      <c r="AG668" s="82"/>
      <c r="AH668" s="82"/>
    </row>
    <row r="669" spans="1:34" x14ac:dyDescent="0.3">
      <c r="A669" s="10">
        <f t="shared" si="145"/>
        <v>586</v>
      </c>
      <c r="B669" s="124" t="s">
        <v>843</v>
      </c>
      <c r="C669" s="273">
        <f t="shared" si="143"/>
        <v>130000</v>
      </c>
      <c r="D669" s="273">
        <f t="shared" si="144"/>
        <v>0</v>
      </c>
      <c r="E669" s="273"/>
      <c r="F669" s="273"/>
      <c r="G669" s="273"/>
      <c r="H669" s="273"/>
      <c r="I669" s="273"/>
      <c r="J669" s="273"/>
      <c r="K669" s="273"/>
      <c r="L669" s="273"/>
      <c r="M669" s="273"/>
      <c r="N669" s="273"/>
      <c r="O669" s="273"/>
      <c r="P669" s="273"/>
      <c r="Q669" s="273"/>
      <c r="R669" s="273"/>
      <c r="S669" s="273"/>
      <c r="T669" s="273"/>
      <c r="U669" s="273"/>
      <c r="V669" s="273"/>
      <c r="W669" s="273">
        <v>130000</v>
      </c>
      <c r="X669" s="271"/>
      <c r="Y669" s="271"/>
      <c r="Z669" s="271"/>
      <c r="AC669" s="271">
        <v>130000</v>
      </c>
      <c r="AE669" s="269"/>
      <c r="AF669" s="84"/>
      <c r="AG669" s="82"/>
      <c r="AH669" s="82"/>
    </row>
    <row r="670" spans="1:34" x14ac:dyDescent="0.3">
      <c r="A670" s="10">
        <f t="shared" si="145"/>
        <v>587</v>
      </c>
      <c r="B670" s="124" t="s">
        <v>844</v>
      </c>
      <c r="C670" s="273">
        <f t="shared" si="143"/>
        <v>130000</v>
      </c>
      <c r="D670" s="273">
        <f t="shared" si="144"/>
        <v>0</v>
      </c>
      <c r="E670" s="273"/>
      <c r="F670" s="273"/>
      <c r="G670" s="273"/>
      <c r="H670" s="273"/>
      <c r="I670" s="273"/>
      <c r="J670" s="273"/>
      <c r="K670" s="273"/>
      <c r="L670" s="273"/>
      <c r="M670" s="273"/>
      <c r="N670" s="273"/>
      <c r="O670" s="273"/>
      <c r="P670" s="273"/>
      <c r="Q670" s="273"/>
      <c r="R670" s="273"/>
      <c r="S670" s="273"/>
      <c r="T670" s="273"/>
      <c r="U670" s="273"/>
      <c r="V670" s="273"/>
      <c r="W670" s="273">
        <v>130000</v>
      </c>
      <c r="X670" s="271"/>
      <c r="Y670" s="271"/>
      <c r="Z670" s="271"/>
      <c r="AC670" s="271">
        <v>130000</v>
      </c>
      <c r="AE670" s="269"/>
      <c r="AF670" s="84"/>
      <c r="AG670" s="82"/>
      <c r="AH670" s="82"/>
    </row>
    <row r="671" spans="1:34" x14ac:dyDescent="0.3">
      <c r="A671" s="10">
        <f t="shared" si="145"/>
        <v>588</v>
      </c>
      <c r="B671" s="124" t="s">
        <v>846</v>
      </c>
      <c r="C671" s="273">
        <f t="shared" ref="C671:C701" si="148">D671+K671+L671+N671+P671+R671+S671+U671+W671+V671</f>
        <v>130000</v>
      </c>
      <c r="D671" s="273">
        <f t="shared" ref="D671:D701" si="149">E671+F671+G671+H671+I671</f>
        <v>0</v>
      </c>
      <c r="E671" s="273"/>
      <c r="F671" s="273"/>
      <c r="G671" s="273"/>
      <c r="H671" s="273"/>
      <c r="I671" s="273"/>
      <c r="J671" s="273"/>
      <c r="K671" s="273"/>
      <c r="L671" s="273"/>
      <c r="M671" s="273"/>
      <c r="N671" s="273"/>
      <c r="O671" s="273"/>
      <c r="P671" s="273"/>
      <c r="Q671" s="273"/>
      <c r="R671" s="273"/>
      <c r="S671" s="273"/>
      <c r="T671" s="273"/>
      <c r="U671" s="273"/>
      <c r="V671" s="273"/>
      <c r="W671" s="273">
        <v>130000</v>
      </c>
      <c r="X671" s="271"/>
      <c r="Y671" s="271"/>
      <c r="Z671" s="271"/>
      <c r="AC671" s="271">
        <v>130000</v>
      </c>
      <c r="AE671" s="269"/>
      <c r="AF671" s="84"/>
      <c r="AG671" s="82"/>
      <c r="AH671" s="82"/>
    </row>
    <row r="672" spans="1:34" x14ac:dyDescent="0.3">
      <c r="A672" s="10">
        <f t="shared" ref="A672:A704" si="150">A671+1</f>
        <v>589</v>
      </c>
      <c r="B672" s="124" t="s">
        <v>847</v>
      </c>
      <c r="C672" s="273">
        <f t="shared" si="148"/>
        <v>9215652</v>
      </c>
      <c r="D672" s="273">
        <f t="shared" si="149"/>
        <v>0</v>
      </c>
      <c r="E672" s="273"/>
      <c r="F672" s="273"/>
      <c r="G672" s="273"/>
      <c r="H672" s="273"/>
      <c r="I672" s="273"/>
      <c r="J672" s="273"/>
      <c r="K672" s="273"/>
      <c r="L672" s="273"/>
      <c r="M672" s="273">
        <v>2021</v>
      </c>
      <c r="N672" s="273">
        <v>9215652</v>
      </c>
      <c r="O672" s="273"/>
      <c r="P672" s="273"/>
      <c r="Q672" s="273"/>
      <c r="R672" s="273"/>
      <c r="S672" s="273"/>
      <c r="T672" s="273"/>
      <c r="U672" s="273"/>
      <c r="V672" s="273"/>
      <c r="W672" s="273">
        <f t="shared" ref="W672:W684" si="151">SUM(X672:AI672)</f>
        <v>0</v>
      </c>
      <c r="X672" s="271"/>
      <c r="Y672" s="271"/>
      <c r="Z672" s="271"/>
      <c r="AC672" s="271"/>
      <c r="AE672" s="269"/>
      <c r="AF672" s="84"/>
      <c r="AG672" s="82"/>
      <c r="AH672" s="82"/>
    </row>
    <row r="673" spans="1:34" x14ac:dyDescent="0.3">
      <c r="A673" s="10">
        <f t="shared" si="150"/>
        <v>590</v>
      </c>
      <c r="B673" s="124" t="s">
        <v>848</v>
      </c>
      <c r="C673" s="273">
        <f t="shared" si="148"/>
        <v>518930.41000000003</v>
      </c>
      <c r="D673" s="273">
        <f t="shared" si="149"/>
        <v>0</v>
      </c>
      <c r="E673" s="273"/>
      <c r="F673" s="273"/>
      <c r="G673" s="273"/>
      <c r="H673" s="273"/>
      <c r="I673" s="273"/>
      <c r="J673" s="273"/>
      <c r="K673" s="273"/>
      <c r="L673" s="273"/>
      <c r="M673" s="273"/>
      <c r="N673" s="273"/>
      <c r="O673" s="273"/>
      <c r="P673" s="273"/>
      <c r="Q673" s="273"/>
      <c r="R673" s="273"/>
      <c r="S673" s="273"/>
      <c r="T673" s="273"/>
      <c r="U673" s="273"/>
      <c r="V673" s="273"/>
      <c r="W673" s="273">
        <f t="shared" si="151"/>
        <v>518930.41000000003</v>
      </c>
      <c r="X673" s="271"/>
      <c r="Y673" s="271"/>
      <c r="Z673" s="271"/>
      <c r="AC673" s="271">
        <v>129346.13</v>
      </c>
      <c r="AE673" s="269">
        <v>263530.52</v>
      </c>
      <c r="AF673" s="84">
        <v>126053.75999999999</v>
      </c>
      <c r="AG673" s="82"/>
      <c r="AH673" s="82"/>
    </row>
    <row r="674" spans="1:34" x14ac:dyDescent="0.3">
      <c r="A674" s="10">
        <f t="shared" si="150"/>
        <v>591</v>
      </c>
      <c r="B674" s="124" t="s">
        <v>849</v>
      </c>
      <c r="C674" s="273">
        <f t="shared" si="148"/>
        <v>179765.63</v>
      </c>
      <c r="D674" s="273">
        <f t="shared" si="149"/>
        <v>0</v>
      </c>
      <c r="E674" s="273"/>
      <c r="F674" s="273"/>
      <c r="G674" s="273"/>
      <c r="H674" s="273"/>
      <c r="I674" s="273"/>
      <c r="J674" s="273"/>
      <c r="K674" s="273"/>
      <c r="L674" s="273"/>
      <c r="M674" s="273"/>
      <c r="N674" s="273"/>
      <c r="O674" s="273"/>
      <c r="P674" s="273"/>
      <c r="Q674" s="273"/>
      <c r="R674" s="273"/>
      <c r="S674" s="273"/>
      <c r="T674" s="273"/>
      <c r="U674" s="273"/>
      <c r="V674" s="273"/>
      <c r="W674" s="273">
        <f t="shared" si="151"/>
        <v>179765.63</v>
      </c>
      <c r="X674" s="271"/>
      <c r="Y674" s="271"/>
      <c r="Z674" s="271"/>
      <c r="AC674" s="271">
        <v>179765.63</v>
      </c>
      <c r="AE674" s="269"/>
      <c r="AF674" s="84"/>
      <c r="AG674" s="82"/>
      <c r="AH674" s="82"/>
    </row>
    <row r="675" spans="1:34" x14ac:dyDescent="0.3">
      <c r="A675" s="10">
        <f t="shared" si="150"/>
        <v>592</v>
      </c>
      <c r="B675" s="124" t="s">
        <v>850</v>
      </c>
      <c r="C675" s="273">
        <f t="shared" si="148"/>
        <v>138322.04</v>
      </c>
      <c r="D675" s="273">
        <f t="shared" si="149"/>
        <v>0</v>
      </c>
      <c r="E675" s="273"/>
      <c r="F675" s="273"/>
      <c r="G675" s="273"/>
      <c r="H675" s="273"/>
      <c r="I675" s="273"/>
      <c r="J675" s="273"/>
      <c r="K675" s="273"/>
      <c r="L675" s="273"/>
      <c r="M675" s="273"/>
      <c r="N675" s="273"/>
      <c r="O675" s="273"/>
      <c r="P675" s="273"/>
      <c r="Q675" s="273"/>
      <c r="R675" s="273"/>
      <c r="S675" s="273"/>
      <c r="T675" s="273"/>
      <c r="U675" s="273"/>
      <c r="V675" s="273"/>
      <c r="W675" s="273">
        <f t="shared" si="151"/>
        <v>138322.04</v>
      </c>
      <c r="X675" s="271"/>
      <c r="Y675" s="271"/>
      <c r="Z675" s="82"/>
      <c r="AC675" s="271">
        <v>138322.04</v>
      </c>
      <c r="AE675" s="269"/>
      <c r="AF675" s="84"/>
      <c r="AG675" s="82"/>
      <c r="AH675" s="82"/>
    </row>
    <row r="676" spans="1:34" x14ac:dyDescent="0.3">
      <c r="A676" s="10">
        <f t="shared" si="150"/>
        <v>593</v>
      </c>
      <c r="B676" s="124" t="s">
        <v>851</v>
      </c>
      <c r="C676" s="273">
        <f t="shared" si="148"/>
        <v>5847162.6799999997</v>
      </c>
      <c r="D676" s="273">
        <f t="shared" si="149"/>
        <v>0</v>
      </c>
      <c r="E676" s="273"/>
      <c r="F676" s="273"/>
      <c r="G676" s="273"/>
      <c r="H676" s="273"/>
      <c r="I676" s="273"/>
      <c r="J676" s="273"/>
      <c r="K676" s="273"/>
      <c r="L676" s="273"/>
      <c r="M676" s="273">
        <v>1284.7</v>
      </c>
      <c r="N676" s="273">
        <v>5260614</v>
      </c>
      <c r="O676" s="273"/>
      <c r="P676" s="273"/>
      <c r="Q676" s="273"/>
      <c r="R676" s="273"/>
      <c r="S676" s="273"/>
      <c r="T676" s="273"/>
      <c r="U676" s="273"/>
      <c r="V676" s="273"/>
      <c r="W676" s="273">
        <f t="shared" si="151"/>
        <v>586548.68000000005</v>
      </c>
      <c r="X676" s="271"/>
      <c r="Y676" s="271"/>
      <c r="Z676" s="271"/>
      <c r="AC676" s="269">
        <v>586548.68000000005</v>
      </c>
      <c r="AF676" s="84"/>
      <c r="AG676" s="82"/>
      <c r="AH676" s="82"/>
    </row>
    <row r="677" spans="1:34" x14ac:dyDescent="0.3">
      <c r="A677" s="10">
        <f t="shared" si="150"/>
        <v>594</v>
      </c>
      <c r="B677" s="124" t="s">
        <v>852</v>
      </c>
      <c r="C677" s="273">
        <f t="shared" si="148"/>
        <v>3877013.02</v>
      </c>
      <c r="D677" s="273">
        <f t="shared" si="149"/>
        <v>3483318</v>
      </c>
      <c r="E677" s="273">
        <v>3483318</v>
      </c>
      <c r="F677" s="273"/>
      <c r="G677" s="273"/>
      <c r="H677" s="273"/>
      <c r="I677" s="273"/>
      <c r="J677" s="273"/>
      <c r="K677" s="273"/>
      <c r="L677" s="273"/>
      <c r="M677" s="273"/>
      <c r="N677" s="273"/>
      <c r="O677" s="273"/>
      <c r="P677" s="273"/>
      <c r="Q677" s="273"/>
      <c r="R677" s="273"/>
      <c r="S677" s="273"/>
      <c r="T677" s="273"/>
      <c r="U677" s="273"/>
      <c r="V677" s="273"/>
      <c r="W677" s="273">
        <f t="shared" si="151"/>
        <v>393695.02</v>
      </c>
      <c r="X677" s="271"/>
      <c r="Y677" s="271"/>
      <c r="Z677" s="110"/>
      <c r="AC677" s="271">
        <v>393695.02</v>
      </c>
      <c r="AE677" s="269"/>
      <c r="AF677" s="84"/>
      <c r="AG677" s="82"/>
      <c r="AH677" s="82"/>
    </row>
    <row r="678" spans="1:34" x14ac:dyDescent="0.3">
      <c r="A678" s="10">
        <f t="shared" si="150"/>
        <v>595</v>
      </c>
      <c r="B678" s="124" t="s">
        <v>853</v>
      </c>
      <c r="C678" s="273">
        <f t="shared" si="148"/>
        <v>46881187.339999996</v>
      </c>
      <c r="D678" s="273">
        <f t="shared" si="149"/>
        <v>10295251.300000001</v>
      </c>
      <c r="E678" s="273">
        <v>839216</v>
      </c>
      <c r="F678" s="284">
        <v>4127477.3</v>
      </c>
      <c r="G678" s="284">
        <v>1734491</v>
      </c>
      <c r="H678" s="284">
        <v>2336202</v>
      </c>
      <c r="I678" s="284">
        <v>1257865</v>
      </c>
      <c r="J678" s="273"/>
      <c r="K678" s="273"/>
      <c r="L678" s="273"/>
      <c r="M678" s="273"/>
      <c r="N678" s="273"/>
      <c r="O678" s="273"/>
      <c r="P678" s="273">
        <v>8269641.2400000002</v>
      </c>
      <c r="Q678" s="273"/>
      <c r="R678" s="273">
        <v>25757481</v>
      </c>
      <c r="S678" s="273"/>
      <c r="T678" s="273"/>
      <c r="U678" s="273"/>
      <c r="V678" s="273"/>
      <c r="W678" s="273">
        <f t="shared" si="151"/>
        <v>2558813.8000000003</v>
      </c>
      <c r="X678" s="271">
        <v>163075.28</v>
      </c>
      <c r="Y678" s="271">
        <v>254435.23</v>
      </c>
      <c r="Z678" s="110">
        <v>177463.57</v>
      </c>
      <c r="AC678" s="271">
        <v>179342.56</v>
      </c>
      <c r="AE678" s="269">
        <v>460844</v>
      </c>
      <c r="AF678" s="84">
        <v>104598.36</v>
      </c>
      <c r="AG678" s="82">
        <v>1219054.8</v>
      </c>
      <c r="AH678" s="82"/>
    </row>
    <row r="679" spans="1:34" x14ac:dyDescent="0.3">
      <c r="A679" s="10">
        <f t="shared" si="150"/>
        <v>596</v>
      </c>
      <c r="B679" s="124" t="s">
        <v>854</v>
      </c>
      <c r="C679" s="273">
        <f t="shared" si="148"/>
        <v>108536.82</v>
      </c>
      <c r="D679" s="273">
        <f t="shared" si="149"/>
        <v>0</v>
      </c>
      <c r="E679" s="273"/>
      <c r="F679" s="273"/>
      <c r="G679" s="273"/>
      <c r="H679" s="273"/>
      <c r="I679" s="273"/>
      <c r="J679" s="273"/>
      <c r="K679" s="273"/>
      <c r="L679" s="273"/>
      <c r="M679" s="273"/>
      <c r="N679" s="273"/>
      <c r="O679" s="273"/>
      <c r="P679" s="273"/>
      <c r="Q679" s="273"/>
      <c r="R679" s="273"/>
      <c r="S679" s="273"/>
      <c r="T679" s="273"/>
      <c r="U679" s="273"/>
      <c r="V679" s="273"/>
      <c r="W679" s="273">
        <f t="shared" si="151"/>
        <v>108536.82</v>
      </c>
      <c r="X679" s="271"/>
      <c r="Y679" s="271"/>
      <c r="Z679" s="271"/>
      <c r="AC679" s="271">
        <v>108536.82</v>
      </c>
      <c r="AE679" s="269"/>
      <c r="AF679" s="84"/>
      <c r="AG679" s="82"/>
      <c r="AH679" s="82"/>
    </row>
    <row r="680" spans="1:34" x14ac:dyDescent="0.3">
      <c r="A680" s="10">
        <f t="shared" si="150"/>
        <v>597</v>
      </c>
      <c r="B680" s="124" t="s">
        <v>855</v>
      </c>
      <c r="C680" s="273">
        <f t="shared" si="148"/>
        <v>150346.67000000001</v>
      </c>
      <c r="D680" s="273">
        <f t="shared" si="149"/>
        <v>0</v>
      </c>
      <c r="E680" s="273"/>
      <c r="F680" s="273"/>
      <c r="G680" s="273"/>
      <c r="H680" s="273"/>
      <c r="I680" s="273"/>
      <c r="J680" s="273"/>
      <c r="K680" s="273"/>
      <c r="L680" s="273"/>
      <c r="M680" s="273"/>
      <c r="N680" s="273"/>
      <c r="O680" s="273"/>
      <c r="P680" s="273"/>
      <c r="Q680" s="273"/>
      <c r="R680" s="273"/>
      <c r="S680" s="273"/>
      <c r="T680" s="273"/>
      <c r="U680" s="273"/>
      <c r="V680" s="273"/>
      <c r="W680" s="273">
        <f t="shared" si="151"/>
        <v>150346.67000000001</v>
      </c>
      <c r="X680" s="271"/>
      <c r="Y680" s="271"/>
      <c r="Z680" s="271"/>
      <c r="AC680" s="271">
        <v>150346.67000000001</v>
      </c>
      <c r="AE680" s="269"/>
      <c r="AF680" s="84"/>
      <c r="AG680" s="82"/>
      <c r="AH680" s="82"/>
    </row>
    <row r="681" spans="1:34" x14ac:dyDescent="0.3">
      <c r="A681" s="10">
        <f t="shared" si="150"/>
        <v>598</v>
      </c>
      <c r="B681" s="124" t="s">
        <v>856</v>
      </c>
      <c r="C681" s="273">
        <f t="shared" si="148"/>
        <v>117931.54</v>
      </c>
      <c r="D681" s="273">
        <f t="shared" si="149"/>
        <v>0</v>
      </c>
      <c r="E681" s="273"/>
      <c r="F681" s="273"/>
      <c r="G681" s="273"/>
      <c r="H681" s="273"/>
      <c r="I681" s="273"/>
      <c r="J681" s="273"/>
      <c r="K681" s="273"/>
      <c r="L681" s="273"/>
      <c r="M681" s="273"/>
      <c r="N681" s="273"/>
      <c r="O681" s="273"/>
      <c r="P681" s="273"/>
      <c r="Q681" s="273"/>
      <c r="R681" s="273"/>
      <c r="S681" s="273"/>
      <c r="T681" s="273"/>
      <c r="U681" s="273"/>
      <c r="V681" s="273"/>
      <c r="W681" s="273">
        <f t="shared" si="151"/>
        <v>117931.54</v>
      </c>
      <c r="X681" s="271"/>
      <c r="Y681" s="271"/>
      <c r="Z681" s="271"/>
      <c r="AC681" s="271">
        <v>117931.54</v>
      </c>
      <c r="AE681" s="269"/>
      <c r="AF681" s="84"/>
      <c r="AG681" s="82"/>
      <c r="AH681" s="82"/>
    </row>
    <row r="682" spans="1:34" x14ac:dyDescent="0.3">
      <c r="A682" s="10">
        <f t="shared" si="150"/>
        <v>599</v>
      </c>
      <c r="B682" s="124" t="s">
        <v>857</v>
      </c>
      <c r="C682" s="273">
        <f t="shared" si="148"/>
        <v>15514479</v>
      </c>
      <c r="D682" s="273">
        <f t="shared" si="149"/>
        <v>3583923</v>
      </c>
      <c r="E682" s="273">
        <v>3583923</v>
      </c>
      <c r="F682" s="273"/>
      <c r="G682" s="273"/>
      <c r="H682" s="273"/>
      <c r="I682" s="273"/>
      <c r="J682" s="273"/>
      <c r="K682" s="273"/>
      <c r="L682" s="273"/>
      <c r="M682" s="273">
        <v>1474</v>
      </c>
      <c r="N682" s="273">
        <v>11930556</v>
      </c>
      <c r="O682" s="273"/>
      <c r="P682" s="273"/>
      <c r="Q682" s="273"/>
      <c r="R682" s="273"/>
      <c r="S682" s="273"/>
      <c r="T682" s="273"/>
      <c r="U682" s="273"/>
      <c r="V682" s="273"/>
      <c r="W682" s="273">
        <f t="shared" si="151"/>
        <v>0</v>
      </c>
      <c r="X682" s="271"/>
      <c r="Y682" s="271"/>
      <c r="Z682" s="271"/>
      <c r="AC682" s="271"/>
      <c r="AE682" s="82"/>
      <c r="AF682" s="84"/>
      <c r="AH682" s="82"/>
    </row>
    <row r="683" spans="1:34" x14ac:dyDescent="0.3">
      <c r="A683" s="10">
        <f t="shared" si="150"/>
        <v>600</v>
      </c>
      <c r="B683" s="124" t="s">
        <v>858</v>
      </c>
      <c r="C683" s="273">
        <f t="shared" si="148"/>
        <v>99345.5</v>
      </c>
      <c r="D683" s="273">
        <f t="shared" si="149"/>
        <v>0</v>
      </c>
      <c r="E683" s="273"/>
      <c r="F683" s="273"/>
      <c r="G683" s="273"/>
      <c r="H683" s="273"/>
      <c r="I683" s="273"/>
      <c r="J683" s="273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>
        <f t="shared" si="151"/>
        <v>99345.5</v>
      </c>
      <c r="X683" s="271"/>
      <c r="Y683" s="271"/>
      <c r="Z683" s="271"/>
      <c r="AC683" s="271">
        <v>99345.5</v>
      </c>
      <c r="AE683" s="269"/>
      <c r="AF683" s="84"/>
      <c r="AG683" s="82"/>
      <c r="AH683" s="82"/>
    </row>
    <row r="684" spans="1:34" x14ac:dyDescent="0.3">
      <c r="A684" s="10">
        <f t="shared" si="150"/>
        <v>601</v>
      </c>
      <c r="B684" s="124" t="s">
        <v>859</v>
      </c>
      <c r="C684" s="273">
        <f t="shared" si="148"/>
        <v>72635.3</v>
      </c>
      <c r="D684" s="273">
        <f t="shared" si="149"/>
        <v>0</v>
      </c>
      <c r="E684" s="273"/>
      <c r="F684" s="273"/>
      <c r="G684" s="273"/>
      <c r="H684" s="273"/>
      <c r="I684" s="273"/>
      <c r="J684" s="273"/>
      <c r="K684" s="273"/>
      <c r="L684" s="273"/>
      <c r="M684" s="273"/>
      <c r="N684" s="273"/>
      <c r="O684" s="273"/>
      <c r="P684" s="273"/>
      <c r="Q684" s="273"/>
      <c r="R684" s="273"/>
      <c r="S684" s="273"/>
      <c r="T684" s="273"/>
      <c r="U684" s="273"/>
      <c r="V684" s="273"/>
      <c r="W684" s="273">
        <f t="shared" si="151"/>
        <v>72635.3</v>
      </c>
      <c r="X684" s="271"/>
      <c r="Y684" s="271"/>
      <c r="Z684" s="271"/>
      <c r="AC684" s="271">
        <v>72635.3</v>
      </c>
      <c r="AE684" s="269"/>
      <c r="AF684" s="84"/>
      <c r="AG684" s="82"/>
      <c r="AH684" s="82"/>
    </row>
    <row r="685" spans="1:34" x14ac:dyDescent="0.3">
      <c r="A685" s="10">
        <f t="shared" si="150"/>
        <v>602</v>
      </c>
      <c r="B685" s="124" t="s">
        <v>860</v>
      </c>
      <c r="C685" s="273">
        <f t="shared" si="148"/>
        <v>130000</v>
      </c>
      <c r="D685" s="273">
        <f t="shared" si="149"/>
        <v>0</v>
      </c>
      <c r="E685" s="273"/>
      <c r="F685" s="273"/>
      <c r="G685" s="273"/>
      <c r="H685" s="273"/>
      <c r="I685" s="273"/>
      <c r="J685" s="273"/>
      <c r="K685" s="273"/>
      <c r="L685" s="273"/>
      <c r="M685" s="273"/>
      <c r="N685" s="273"/>
      <c r="O685" s="273"/>
      <c r="P685" s="273"/>
      <c r="Q685" s="273"/>
      <c r="R685" s="273"/>
      <c r="S685" s="273"/>
      <c r="T685" s="273"/>
      <c r="U685" s="273"/>
      <c r="V685" s="273"/>
      <c r="W685" s="273">
        <v>130000</v>
      </c>
      <c r="X685" s="271"/>
      <c r="Y685" s="271"/>
      <c r="Z685" s="271"/>
      <c r="AC685" s="271">
        <v>130000</v>
      </c>
      <c r="AE685" s="269"/>
      <c r="AF685" s="84"/>
      <c r="AG685" s="82"/>
      <c r="AH685" s="82"/>
    </row>
    <row r="686" spans="1:34" x14ac:dyDescent="0.3">
      <c r="A686" s="10">
        <f t="shared" si="150"/>
        <v>603</v>
      </c>
      <c r="B686" s="124" t="s">
        <v>861</v>
      </c>
      <c r="C686" s="273">
        <f t="shared" si="148"/>
        <v>92631.44</v>
      </c>
      <c r="D686" s="273">
        <f t="shared" si="149"/>
        <v>0</v>
      </c>
      <c r="E686" s="273"/>
      <c r="F686" s="273"/>
      <c r="G686" s="273"/>
      <c r="H686" s="273"/>
      <c r="I686" s="273"/>
      <c r="J686" s="273"/>
      <c r="K686" s="273"/>
      <c r="L686" s="273"/>
      <c r="M686" s="273"/>
      <c r="N686" s="273"/>
      <c r="O686" s="273"/>
      <c r="P686" s="273"/>
      <c r="Q686" s="273"/>
      <c r="R686" s="273"/>
      <c r="S686" s="273"/>
      <c r="T686" s="273"/>
      <c r="U686" s="273"/>
      <c r="V686" s="273"/>
      <c r="W686" s="273">
        <f t="shared" ref="W686:W693" si="152">SUM(X686:AI686)</f>
        <v>92631.44</v>
      </c>
      <c r="X686" s="271"/>
      <c r="Y686" s="271"/>
      <c r="Z686" s="271"/>
      <c r="AC686" s="271">
        <v>92631.44</v>
      </c>
      <c r="AE686" s="269"/>
      <c r="AF686" s="84"/>
      <c r="AG686" s="82"/>
      <c r="AH686" s="82"/>
    </row>
    <row r="687" spans="1:34" x14ac:dyDescent="0.3">
      <c r="A687" s="10">
        <f t="shared" si="150"/>
        <v>604</v>
      </c>
      <c r="B687" s="124" t="s">
        <v>862</v>
      </c>
      <c r="C687" s="273">
        <f t="shared" si="148"/>
        <v>95868.479999999996</v>
      </c>
      <c r="D687" s="273">
        <f t="shared" si="149"/>
        <v>0</v>
      </c>
      <c r="E687" s="273"/>
      <c r="F687" s="273"/>
      <c r="G687" s="273"/>
      <c r="H687" s="273"/>
      <c r="I687" s="273"/>
      <c r="J687" s="273"/>
      <c r="K687" s="273"/>
      <c r="L687" s="273"/>
      <c r="M687" s="273"/>
      <c r="N687" s="273"/>
      <c r="O687" s="273"/>
      <c r="P687" s="273"/>
      <c r="Q687" s="273"/>
      <c r="R687" s="273"/>
      <c r="S687" s="273"/>
      <c r="T687" s="273"/>
      <c r="U687" s="273"/>
      <c r="V687" s="273"/>
      <c r="W687" s="273">
        <f t="shared" si="152"/>
        <v>95868.479999999996</v>
      </c>
      <c r="X687" s="271"/>
      <c r="Y687" s="271"/>
      <c r="Z687" s="271"/>
      <c r="AC687" s="271">
        <v>95868.479999999996</v>
      </c>
      <c r="AE687" s="269"/>
      <c r="AF687" s="84"/>
      <c r="AG687" s="82"/>
      <c r="AH687" s="82"/>
    </row>
    <row r="688" spans="1:34" x14ac:dyDescent="0.3">
      <c r="A688" s="10">
        <f t="shared" si="150"/>
        <v>605</v>
      </c>
      <c r="B688" s="124" t="s">
        <v>863</v>
      </c>
      <c r="C688" s="273">
        <f t="shared" si="148"/>
        <v>89757.37</v>
      </c>
      <c r="D688" s="273">
        <f t="shared" si="149"/>
        <v>0</v>
      </c>
      <c r="E688" s="273"/>
      <c r="F688" s="273"/>
      <c r="G688" s="273"/>
      <c r="H688" s="273"/>
      <c r="I688" s="273"/>
      <c r="J688" s="273"/>
      <c r="K688" s="273"/>
      <c r="L688" s="273"/>
      <c r="M688" s="273"/>
      <c r="N688" s="273"/>
      <c r="O688" s="273"/>
      <c r="P688" s="273"/>
      <c r="Q688" s="273"/>
      <c r="R688" s="273"/>
      <c r="S688" s="273"/>
      <c r="T688" s="273"/>
      <c r="U688" s="273"/>
      <c r="V688" s="273"/>
      <c r="W688" s="273">
        <f t="shared" si="152"/>
        <v>89757.37</v>
      </c>
      <c r="X688" s="271"/>
      <c r="Y688" s="271"/>
      <c r="Z688" s="271"/>
      <c r="AC688" s="271">
        <v>89757.37</v>
      </c>
      <c r="AE688" s="269"/>
      <c r="AF688" s="84"/>
      <c r="AG688" s="82"/>
      <c r="AH688" s="82"/>
    </row>
    <row r="689" spans="1:34" x14ac:dyDescent="0.3">
      <c r="A689" s="10">
        <f t="shared" si="150"/>
        <v>606</v>
      </c>
      <c r="B689" s="124" t="s">
        <v>864</v>
      </c>
      <c r="C689" s="273">
        <f t="shared" si="148"/>
        <v>85490.11</v>
      </c>
      <c r="D689" s="273">
        <f t="shared" si="149"/>
        <v>0</v>
      </c>
      <c r="E689" s="273"/>
      <c r="F689" s="273"/>
      <c r="G689" s="273"/>
      <c r="H689" s="273"/>
      <c r="I689" s="273"/>
      <c r="J689" s="273"/>
      <c r="K689" s="273"/>
      <c r="L689" s="273"/>
      <c r="M689" s="273"/>
      <c r="N689" s="273"/>
      <c r="O689" s="273"/>
      <c r="P689" s="273"/>
      <c r="Q689" s="273"/>
      <c r="R689" s="273"/>
      <c r="S689" s="273"/>
      <c r="T689" s="273"/>
      <c r="U689" s="273"/>
      <c r="V689" s="273"/>
      <c r="W689" s="273">
        <f t="shared" si="152"/>
        <v>85490.11</v>
      </c>
      <c r="X689" s="271"/>
      <c r="Y689" s="271"/>
      <c r="Z689" s="271"/>
      <c r="AC689" s="271">
        <v>85490.11</v>
      </c>
      <c r="AE689" s="269"/>
      <c r="AF689" s="84"/>
      <c r="AG689" s="82"/>
      <c r="AH689" s="82"/>
    </row>
    <row r="690" spans="1:34" x14ac:dyDescent="0.3">
      <c r="A690" s="10">
        <f t="shared" si="150"/>
        <v>607</v>
      </c>
      <c r="B690" s="124" t="s">
        <v>865</v>
      </c>
      <c r="C690" s="273">
        <f t="shared" si="148"/>
        <v>88492.99</v>
      </c>
      <c r="D690" s="273">
        <f t="shared" si="149"/>
        <v>0</v>
      </c>
      <c r="E690" s="273"/>
      <c r="F690" s="273"/>
      <c r="G690" s="273"/>
      <c r="H690" s="273"/>
      <c r="I690" s="273"/>
      <c r="J690" s="273"/>
      <c r="K690" s="273"/>
      <c r="L690" s="273"/>
      <c r="M690" s="273"/>
      <c r="N690" s="273"/>
      <c r="O690" s="273"/>
      <c r="P690" s="273"/>
      <c r="Q690" s="273"/>
      <c r="R690" s="273"/>
      <c r="S690" s="273"/>
      <c r="T690" s="273"/>
      <c r="U690" s="273"/>
      <c r="V690" s="273"/>
      <c r="W690" s="273">
        <f t="shared" si="152"/>
        <v>88492.99</v>
      </c>
      <c r="X690" s="271"/>
      <c r="Y690" s="271"/>
      <c r="Z690" s="271"/>
      <c r="AC690" s="271">
        <v>88492.99</v>
      </c>
      <c r="AE690" s="269"/>
      <c r="AF690" s="84"/>
      <c r="AG690" s="82"/>
      <c r="AH690" s="82"/>
    </row>
    <row r="691" spans="1:34" x14ac:dyDescent="0.3">
      <c r="A691" s="10">
        <f t="shared" si="150"/>
        <v>608</v>
      </c>
      <c r="B691" s="124" t="s">
        <v>866</v>
      </c>
      <c r="C691" s="273">
        <f t="shared" si="148"/>
        <v>119755.31</v>
      </c>
      <c r="D691" s="273">
        <f t="shared" si="149"/>
        <v>0</v>
      </c>
      <c r="E691" s="273"/>
      <c r="F691" s="273"/>
      <c r="G691" s="273"/>
      <c r="H691" s="273"/>
      <c r="I691" s="273"/>
      <c r="J691" s="273"/>
      <c r="K691" s="273"/>
      <c r="L691" s="273"/>
      <c r="M691" s="273"/>
      <c r="N691" s="273"/>
      <c r="O691" s="273"/>
      <c r="P691" s="273"/>
      <c r="Q691" s="273"/>
      <c r="R691" s="273"/>
      <c r="S691" s="273"/>
      <c r="T691" s="273"/>
      <c r="U691" s="273"/>
      <c r="V691" s="273"/>
      <c r="W691" s="273">
        <f t="shared" si="152"/>
        <v>119755.31</v>
      </c>
      <c r="X691" s="271"/>
      <c r="Y691" s="271"/>
      <c r="Z691" s="110"/>
      <c r="AC691" s="271">
        <v>119755.31</v>
      </c>
      <c r="AE691" s="269"/>
      <c r="AF691" s="84"/>
      <c r="AG691" s="82"/>
      <c r="AH691" s="82"/>
    </row>
    <row r="692" spans="1:34" x14ac:dyDescent="0.3">
      <c r="A692" s="10">
        <f t="shared" si="150"/>
        <v>609</v>
      </c>
      <c r="B692" s="124" t="s">
        <v>867</v>
      </c>
      <c r="C692" s="273">
        <f t="shared" si="148"/>
        <v>91498.61</v>
      </c>
      <c r="D692" s="273">
        <f t="shared" si="149"/>
        <v>0</v>
      </c>
      <c r="E692" s="273"/>
      <c r="F692" s="273"/>
      <c r="G692" s="273"/>
      <c r="H692" s="273"/>
      <c r="I692" s="273"/>
      <c r="J692" s="273"/>
      <c r="K692" s="273"/>
      <c r="L692" s="273"/>
      <c r="M692" s="273"/>
      <c r="N692" s="273"/>
      <c r="O692" s="273"/>
      <c r="P692" s="273"/>
      <c r="Q692" s="273"/>
      <c r="R692" s="273"/>
      <c r="S692" s="273"/>
      <c r="T692" s="273"/>
      <c r="U692" s="273"/>
      <c r="V692" s="273"/>
      <c r="W692" s="273">
        <f t="shared" si="152"/>
        <v>91498.61</v>
      </c>
      <c r="X692" s="271"/>
      <c r="Y692" s="271"/>
      <c r="Z692" s="271"/>
      <c r="AC692" s="271">
        <v>91498.61</v>
      </c>
      <c r="AE692" s="269"/>
      <c r="AF692" s="84"/>
      <c r="AG692" s="82"/>
      <c r="AH692" s="82"/>
    </row>
    <row r="693" spans="1:34" x14ac:dyDescent="0.3">
      <c r="A693" s="10">
        <f t="shared" si="150"/>
        <v>610</v>
      </c>
      <c r="B693" s="124" t="s">
        <v>868</v>
      </c>
      <c r="C693" s="273">
        <f t="shared" si="148"/>
        <v>119755.31</v>
      </c>
      <c r="D693" s="273">
        <f t="shared" si="149"/>
        <v>0</v>
      </c>
      <c r="E693" s="273"/>
      <c r="F693" s="273"/>
      <c r="G693" s="273"/>
      <c r="H693" s="273"/>
      <c r="I693" s="273"/>
      <c r="J693" s="273"/>
      <c r="K693" s="273"/>
      <c r="L693" s="273"/>
      <c r="M693" s="273"/>
      <c r="N693" s="273"/>
      <c r="O693" s="273"/>
      <c r="P693" s="273"/>
      <c r="Q693" s="273"/>
      <c r="R693" s="273"/>
      <c r="S693" s="273"/>
      <c r="T693" s="273"/>
      <c r="U693" s="273"/>
      <c r="V693" s="273"/>
      <c r="W693" s="273">
        <f t="shared" si="152"/>
        <v>119755.31</v>
      </c>
      <c r="X693" s="271"/>
      <c r="Y693" s="271"/>
      <c r="Z693" s="110"/>
      <c r="AC693" s="271">
        <v>119755.31</v>
      </c>
      <c r="AE693" s="269"/>
      <c r="AF693" s="84"/>
      <c r="AG693" s="82"/>
      <c r="AH693" s="82"/>
    </row>
    <row r="694" spans="1:34" x14ac:dyDescent="0.3">
      <c r="A694" s="10">
        <f t="shared" si="150"/>
        <v>611</v>
      </c>
      <c r="B694" s="124" t="s">
        <v>869</v>
      </c>
      <c r="C694" s="273">
        <f t="shared" si="148"/>
        <v>130000</v>
      </c>
      <c r="D694" s="273">
        <f t="shared" si="149"/>
        <v>0</v>
      </c>
      <c r="E694" s="273"/>
      <c r="F694" s="273"/>
      <c r="G694" s="273"/>
      <c r="H694" s="273"/>
      <c r="I694" s="273"/>
      <c r="J694" s="273"/>
      <c r="K694" s="273"/>
      <c r="L694" s="273"/>
      <c r="M694" s="273"/>
      <c r="N694" s="273"/>
      <c r="O694" s="273"/>
      <c r="P694" s="273"/>
      <c r="Q694" s="273"/>
      <c r="R694" s="273"/>
      <c r="S694" s="273"/>
      <c r="T694" s="273"/>
      <c r="U694" s="273"/>
      <c r="V694" s="273"/>
      <c r="W694" s="273">
        <v>130000</v>
      </c>
      <c r="X694" s="271"/>
      <c r="Y694" s="271"/>
      <c r="Z694" s="271"/>
      <c r="AC694" s="271">
        <v>130000</v>
      </c>
      <c r="AE694" s="269"/>
      <c r="AF694" s="84"/>
      <c r="AG694" s="82"/>
      <c r="AH694" s="82"/>
    </row>
    <row r="695" spans="1:34" x14ac:dyDescent="0.3">
      <c r="A695" s="10">
        <f t="shared" si="150"/>
        <v>612</v>
      </c>
      <c r="B695" s="124" t="s">
        <v>870</v>
      </c>
      <c r="C695" s="273">
        <f t="shared" si="148"/>
        <v>180691.98</v>
      </c>
      <c r="D695" s="273">
        <f t="shared" si="149"/>
        <v>0</v>
      </c>
      <c r="E695" s="273"/>
      <c r="F695" s="273"/>
      <c r="G695" s="273"/>
      <c r="H695" s="273"/>
      <c r="I695" s="273"/>
      <c r="J695" s="273"/>
      <c r="K695" s="273"/>
      <c r="L695" s="273"/>
      <c r="M695" s="273"/>
      <c r="N695" s="273"/>
      <c r="O695" s="273"/>
      <c r="P695" s="273"/>
      <c r="Q695" s="273"/>
      <c r="R695" s="273"/>
      <c r="S695" s="273"/>
      <c r="T695" s="273"/>
      <c r="U695" s="273"/>
      <c r="V695" s="273"/>
      <c r="W695" s="273">
        <f t="shared" ref="W695:W702" si="153">SUM(X695:AI695)</f>
        <v>180691.98</v>
      </c>
      <c r="X695" s="271"/>
      <c r="Y695" s="271"/>
      <c r="Z695" s="271"/>
      <c r="AC695" s="271"/>
      <c r="AE695" s="269">
        <v>180691.98</v>
      </c>
      <c r="AF695" s="84"/>
      <c r="AG695" s="82"/>
      <c r="AH695" s="82"/>
    </row>
    <row r="696" spans="1:34" x14ac:dyDescent="0.3">
      <c r="A696" s="10">
        <f t="shared" si="150"/>
        <v>613</v>
      </c>
      <c r="B696" s="124" t="s">
        <v>871</v>
      </c>
      <c r="C696" s="273">
        <f t="shared" si="148"/>
        <v>72334.16</v>
      </c>
      <c r="D696" s="273">
        <f t="shared" si="149"/>
        <v>0</v>
      </c>
      <c r="E696" s="273"/>
      <c r="F696" s="273"/>
      <c r="G696" s="273"/>
      <c r="H696" s="273"/>
      <c r="I696" s="273"/>
      <c r="J696" s="273"/>
      <c r="K696" s="273"/>
      <c r="L696" s="273"/>
      <c r="M696" s="273"/>
      <c r="N696" s="273"/>
      <c r="O696" s="273"/>
      <c r="P696" s="273"/>
      <c r="Q696" s="273"/>
      <c r="R696" s="273"/>
      <c r="S696" s="273"/>
      <c r="T696" s="273"/>
      <c r="U696" s="273"/>
      <c r="V696" s="273"/>
      <c r="W696" s="273">
        <f t="shared" si="153"/>
        <v>72334.16</v>
      </c>
      <c r="X696" s="271"/>
      <c r="Y696" s="271"/>
      <c r="Z696" s="271"/>
      <c r="AC696" s="271">
        <v>72334.16</v>
      </c>
      <c r="AE696" s="269"/>
      <c r="AF696" s="84"/>
      <c r="AG696" s="82"/>
      <c r="AH696" s="82"/>
    </row>
    <row r="697" spans="1:34" x14ac:dyDescent="0.3">
      <c r="A697" s="10">
        <f t="shared" si="150"/>
        <v>614</v>
      </c>
      <c r="B697" s="124" t="s">
        <v>872</v>
      </c>
      <c r="C697" s="273">
        <f t="shared" si="148"/>
        <v>116843.06</v>
      </c>
      <c r="D697" s="273">
        <f t="shared" si="149"/>
        <v>0</v>
      </c>
      <c r="E697" s="273"/>
      <c r="F697" s="273"/>
      <c r="G697" s="273"/>
      <c r="H697" s="273"/>
      <c r="I697" s="273"/>
      <c r="J697" s="273"/>
      <c r="K697" s="273"/>
      <c r="L697" s="273"/>
      <c r="M697" s="273"/>
      <c r="N697" s="273"/>
      <c r="O697" s="273"/>
      <c r="P697" s="273"/>
      <c r="Q697" s="273"/>
      <c r="R697" s="273"/>
      <c r="S697" s="273"/>
      <c r="T697" s="273"/>
      <c r="U697" s="273"/>
      <c r="V697" s="273"/>
      <c r="W697" s="273">
        <f t="shared" si="153"/>
        <v>116843.06</v>
      </c>
      <c r="X697" s="271"/>
      <c r="Y697" s="271"/>
      <c r="Z697" s="271"/>
      <c r="AC697" s="271">
        <v>116843.06</v>
      </c>
      <c r="AE697" s="269"/>
      <c r="AF697" s="84"/>
      <c r="AG697" s="82"/>
      <c r="AH697" s="82"/>
    </row>
    <row r="698" spans="1:34" x14ac:dyDescent="0.3">
      <c r="A698" s="10">
        <f t="shared" si="150"/>
        <v>615</v>
      </c>
      <c r="B698" s="124" t="s">
        <v>873</v>
      </c>
      <c r="C698" s="273">
        <f t="shared" si="148"/>
        <v>113056.87</v>
      </c>
      <c r="D698" s="273">
        <f t="shared" si="149"/>
        <v>0</v>
      </c>
      <c r="E698" s="273"/>
      <c r="F698" s="273"/>
      <c r="G698" s="273"/>
      <c r="H698" s="273"/>
      <c r="I698" s="273"/>
      <c r="J698" s="273"/>
      <c r="K698" s="273"/>
      <c r="L698" s="273"/>
      <c r="M698" s="273"/>
      <c r="N698" s="273"/>
      <c r="O698" s="273"/>
      <c r="P698" s="273"/>
      <c r="Q698" s="273"/>
      <c r="R698" s="273"/>
      <c r="S698" s="273"/>
      <c r="T698" s="273"/>
      <c r="U698" s="273"/>
      <c r="V698" s="273"/>
      <c r="W698" s="273">
        <f t="shared" si="153"/>
        <v>113056.87</v>
      </c>
      <c r="X698" s="271"/>
      <c r="Y698" s="271"/>
      <c r="Z698" s="271"/>
      <c r="AC698" s="271">
        <v>113056.87</v>
      </c>
      <c r="AE698" s="269"/>
      <c r="AF698" s="84"/>
      <c r="AG698" s="82"/>
      <c r="AH698" s="82"/>
    </row>
    <row r="699" spans="1:34" x14ac:dyDescent="0.3">
      <c r="A699" s="10">
        <f t="shared" si="150"/>
        <v>616</v>
      </c>
      <c r="B699" s="124" t="s">
        <v>874</v>
      </c>
      <c r="C699" s="273">
        <f t="shared" si="148"/>
        <v>74032.63</v>
      </c>
      <c r="D699" s="273">
        <f t="shared" si="149"/>
        <v>0</v>
      </c>
      <c r="E699" s="273"/>
      <c r="F699" s="273"/>
      <c r="G699" s="273"/>
      <c r="H699" s="273"/>
      <c r="I699" s="273"/>
      <c r="J699" s="273"/>
      <c r="K699" s="273"/>
      <c r="L699" s="273"/>
      <c r="M699" s="273"/>
      <c r="N699" s="273"/>
      <c r="O699" s="273"/>
      <c r="P699" s="273"/>
      <c r="Q699" s="273"/>
      <c r="R699" s="273"/>
      <c r="S699" s="273"/>
      <c r="T699" s="273"/>
      <c r="U699" s="273"/>
      <c r="V699" s="273"/>
      <c r="W699" s="273">
        <f t="shared" si="153"/>
        <v>74032.63</v>
      </c>
      <c r="X699" s="271"/>
      <c r="Y699" s="271"/>
      <c r="Z699" s="271"/>
      <c r="AC699" s="271">
        <v>74032.63</v>
      </c>
      <c r="AE699" s="269"/>
      <c r="AF699" s="84"/>
      <c r="AG699" s="82"/>
      <c r="AH699" s="82"/>
    </row>
    <row r="700" spans="1:34" x14ac:dyDescent="0.3">
      <c r="A700" s="10">
        <f t="shared" si="150"/>
        <v>617</v>
      </c>
      <c r="B700" s="124" t="s">
        <v>875</v>
      </c>
      <c r="C700" s="273">
        <f t="shared" si="148"/>
        <v>154311.97</v>
      </c>
      <c r="D700" s="273">
        <f t="shared" si="149"/>
        <v>0</v>
      </c>
      <c r="E700" s="273"/>
      <c r="F700" s="273"/>
      <c r="G700" s="273"/>
      <c r="H700" s="273"/>
      <c r="I700" s="273"/>
      <c r="J700" s="273"/>
      <c r="K700" s="273"/>
      <c r="L700" s="273"/>
      <c r="M700" s="273"/>
      <c r="N700" s="273"/>
      <c r="O700" s="273"/>
      <c r="P700" s="273"/>
      <c r="Q700" s="273"/>
      <c r="R700" s="273"/>
      <c r="S700" s="273"/>
      <c r="T700" s="273"/>
      <c r="U700" s="273"/>
      <c r="V700" s="273"/>
      <c r="W700" s="273">
        <f t="shared" si="153"/>
        <v>154311.97</v>
      </c>
      <c r="X700" s="271"/>
      <c r="Y700" s="271"/>
      <c r="Z700" s="271"/>
      <c r="AC700" s="271">
        <v>154311.97</v>
      </c>
      <c r="AE700" s="269"/>
      <c r="AF700" s="84"/>
      <c r="AG700" s="82"/>
      <c r="AH700" s="82"/>
    </row>
    <row r="701" spans="1:34" x14ac:dyDescent="0.3">
      <c r="A701" s="10">
        <f t="shared" si="150"/>
        <v>618</v>
      </c>
      <c r="B701" s="124" t="s">
        <v>876</v>
      </c>
      <c r="C701" s="273">
        <f t="shared" si="148"/>
        <v>118962.86</v>
      </c>
      <c r="D701" s="273">
        <f t="shared" si="149"/>
        <v>0</v>
      </c>
      <c r="E701" s="273"/>
      <c r="F701" s="273"/>
      <c r="G701" s="273"/>
      <c r="H701" s="273"/>
      <c r="I701" s="273"/>
      <c r="J701" s="273"/>
      <c r="K701" s="273"/>
      <c r="L701" s="273"/>
      <c r="M701" s="273"/>
      <c r="N701" s="273"/>
      <c r="O701" s="273"/>
      <c r="P701" s="273"/>
      <c r="Q701" s="273"/>
      <c r="R701" s="273"/>
      <c r="S701" s="273"/>
      <c r="T701" s="273"/>
      <c r="U701" s="273"/>
      <c r="V701" s="273"/>
      <c r="W701" s="273">
        <f t="shared" si="153"/>
        <v>118962.86</v>
      </c>
      <c r="X701" s="271"/>
      <c r="Y701" s="271"/>
      <c r="Z701" s="271"/>
      <c r="AC701" s="271">
        <v>118962.86</v>
      </c>
      <c r="AE701" s="269"/>
      <c r="AF701" s="84"/>
      <c r="AG701" s="82"/>
      <c r="AH701" s="82"/>
    </row>
    <row r="702" spans="1:34" x14ac:dyDescent="0.3">
      <c r="A702" s="10">
        <f t="shared" si="150"/>
        <v>619</v>
      </c>
      <c r="B702" s="124" t="s">
        <v>877</v>
      </c>
      <c r="C702" s="273">
        <f t="shared" ref="C702:C704" si="154">D702+K702+L702+N702+P702+R702+S702+U702+W702+V702</f>
        <v>145791.31</v>
      </c>
      <c r="D702" s="273">
        <f t="shared" ref="D702:D704" si="155">E702+F702+G702+H702+I702</f>
        <v>0</v>
      </c>
      <c r="E702" s="273"/>
      <c r="F702" s="273"/>
      <c r="G702" s="273"/>
      <c r="H702" s="273"/>
      <c r="I702" s="273"/>
      <c r="J702" s="273"/>
      <c r="K702" s="273"/>
      <c r="L702" s="273"/>
      <c r="M702" s="273"/>
      <c r="N702" s="273"/>
      <c r="O702" s="273"/>
      <c r="P702" s="273"/>
      <c r="Q702" s="273"/>
      <c r="R702" s="273"/>
      <c r="S702" s="273"/>
      <c r="T702" s="273"/>
      <c r="U702" s="273"/>
      <c r="V702" s="273"/>
      <c r="W702" s="273">
        <f t="shared" si="153"/>
        <v>145791.31</v>
      </c>
      <c r="X702" s="271"/>
      <c r="Y702" s="271"/>
      <c r="Z702" s="271"/>
      <c r="AC702" s="271">
        <v>145791.31</v>
      </c>
      <c r="AE702" s="269"/>
      <c r="AF702" s="84"/>
      <c r="AG702" s="82"/>
      <c r="AH702" s="82"/>
    </row>
    <row r="703" spans="1:34" x14ac:dyDescent="0.3">
      <c r="A703" s="10">
        <f t="shared" si="150"/>
        <v>620</v>
      </c>
      <c r="B703" s="124" t="s">
        <v>878</v>
      </c>
      <c r="C703" s="273">
        <f t="shared" si="154"/>
        <v>2404747.6</v>
      </c>
      <c r="D703" s="273">
        <f t="shared" si="155"/>
        <v>0</v>
      </c>
      <c r="E703" s="273"/>
      <c r="F703" s="273"/>
      <c r="G703" s="273"/>
      <c r="H703" s="273"/>
      <c r="I703" s="273"/>
      <c r="J703" s="273"/>
      <c r="K703" s="273"/>
      <c r="L703" s="273"/>
      <c r="M703" s="273">
        <v>267.39999999999998</v>
      </c>
      <c r="N703" s="273">
        <v>2274747.6</v>
      </c>
      <c r="O703" s="273"/>
      <c r="P703" s="273"/>
      <c r="Q703" s="273"/>
      <c r="R703" s="273"/>
      <c r="S703" s="273"/>
      <c r="T703" s="273"/>
      <c r="U703" s="273"/>
      <c r="V703" s="273"/>
      <c r="W703" s="273">
        <v>130000</v>
      </c>
      <c r="X703" s="271"/>
      <c r="Y703" s="271"/>
      <c r="Z703" s="271"/>
      <c r="AB703" s="269"/>
      <c r="AF703" s="84"/>
      <c r="AG703" s="82"/>
      <c r="AH703" s="82"/>
    </row>
    <row r="704" spans="1:34" x14ac:dyDescent="0.3">
      <c r="A704" s="10">
        <f t="shared" si="150"/>
        <v>621</v>
      </c>
      <c r="B704" s="124" t="s">
        <v>879</v>
      </c>
      <c r="C704" s="273">
        <f t="shared" si="154"/>
        <v>130000</v>
      </c>
      <c r="D704" s="273">
        <f t="shared" si="155"/>
        <v>0</v>
      </c>
      <c r="E704" s="273"/>
      <c r="F704" s="273"/>
      <c r="G704" s="273"/>
      <c r="H704" s="273"/>
      <c r="I704" s="273"/>
      <c r="J704" s="273"/>
      <c r="K704" s="273"/>
      <c r="L704" s="273"/>
      <c r="M704" s="273"/>
      <c r="N704" s="273"/>
      <c r="O704" s="273"/>
      <c r="P704" s="273"/>
      <c r="Q704" s="273"/>
      <c r="R704" s="273"/>
      <c r="S704" s="273"/>
      <c r="T704" s="273"/>
      <c r="U704" s="273"/>
      <c r="V704" s="273"/>
      <c r="W704" s="273">
        <v>130000</v>
      </c>
      <c r="X704" s="271"/>
      <c r="Y704" s="271"/>
      <c r="Z704" s="271"/>
      <c r="AB704" s="269"/>
      <c r="AF704" s="84"/>
      <c r="AG704" s="82"/>
      <c r="AH704" s="82"/>
    </row>
    <row r="705" spans="1:34" x14ac:dyDescent="0.3">
      <c r="A705" s="10"/>
      <c r="B705" s="124" t="s">
        <v>208</v>
      </c>
      <c r="C705" s="273">
        <f t="shared" ref="C705:W705" si="156">SUM(C575:C704)</f>
        <v>154745264.22999999</v>
      </c>
      <c r="D705" s="273">
        <f t="shared" si="156"/>
        <v>20265301.300000001</v>
      </c>
      <c r="E705" s="273">
        <f t="shared" si="156"/>
        <v>10809266</v>
      </c>
      <c r="F705" s="273">
        <f t="shared" si="156"/>
        <v>4127477.3</v>
      </c>
      <c r="G705" s="273">
        <f t="shared" si="156"/>
        <v>1734491</v>
      </c>
      <c r="H705" s="273">
        <f t="shared" si="156"/>
        <v>2336202</v>
      </c>
      <c r="I705" s="273">
        <f t="shared" si="156"/>
        <v>1257865</v>
      </c>
      <c r="J705" s="273">
        <f t="shared" si="156"/>
        <v>0</v>
      </c>
      <c r="K705" s="273">
        <f t="shared" si="156"/>
        <v>0</v>
      </c>
      <c r="L705" s="273">
        <f t="shared" si="156"/>
        <v>0</v>
      </c>
      <c r="M705" s="273">
        <f t="shared" si="156"/>
        <v>9403.51</v>
      </c>
      <c r="N705" s="273">
        <f t="shared" si="156"/>
        <v>55360792.800000004</v>
      </c>
      <c r="O705" s="273">
        <f t="shared" si="156"/>
        <v>239.7</v>
      </c>
      <c r="P705" s="273">
        <f t="shared" si="156"/>
        <v>10136633.640000001</v>
      </c>
      <c r="Q705" s="273">
        <f t="shared" si="156"/>
        <v>1149</v>
      </c>
      <c r="R705" s="273">
        <f t="shared" si="156"/>
        <v>41846928</v>
      </c>
      <c r="S705" s="273">
        <f t="shared" si="156"/>
        <v>0</v>
      </c>
      <c r="T705" s="273">
        <f t="shared" si="156"/>
        <v>0</v>
      </c>
      <c r="U705" s="273">
        <f t="shared" si="156"/>
        <v>0</v>
      </c>
      <c r="V705" s="273">
        <f t="shared" si="156"/>
        <v>116175.6</v>
      </c>
      <c r="W705" s="273">
        <f t="shared" si="156"/>
        <v>27019432.889999997</v>
      </c>
      <c r="Y705" s="271"/>
      <c r="Z705" s="271"/>
      <c r="AA705" s="271"/>
      <c r="AB705" s="269"/>
      <c r="AF705" s="84"/>
      <c r="AG705" s="82"/>
      <c r="AH705" s="82"/>
    </row>
    <row r="706" spans="1:34" ht="32.25" customHeight="1" x14ac:dyDescent="0.3">
      <c r="A706" s="374" t="s">
        <v>880</v>
      </c>
      <c r="B706" s="375"/>
      <c r="C706" s="273"/>
      <c r="D706" s="273"/>
      <c r="E706" s="273"/>
      <c r="F706" s="273"/>
      <c r="G706" s="273"/>
      <c r="H706" s="273"/>
      <c r="I706" s="273"/>
      <c r="J706" s="273"/>
      <c r="K706" s="273"/>
      <c r="L706" s="273"/>
      <c r="M706" s="273"/>
      <c r="N706" s="273"/>
      <c r="O706" s="273"/>
      <c r="P706" s="273"/>
      <c r="Q706" s="273"/>
      <c r="R706" s="273"/>
      <c r="S706" s="273"/>
      <c r="T706" s="273"/>
      <c r="U706" s="273"/>
      <c r="V706" s="273"/>
      <c r="W706" s="273"/>
      <c r="X706" s="271"/>
      <c r="Y706" s="271"/>
      <c r="Z706" s="271"/>
      <c r="AA706" s="271"/>
      <c r="AB706" s="269"/>
      <c r="AC706" s="84"/>
      <c r="AD706" s="82"/>
      <c r="AE706" s="82"/>
      <c r="AF706" s="13"/>
    </row>
    <row r="707" spans="1:34" x14ac:dyDescent="0.3">
      <c r="A707" s="10">
        <f>A704+1</f>
        <v>622</v>
      </c>
      <c r="B707" s="124" t="s">
        <v>881</v>
      </c>
      <c r="C707" s="273">
        <f t="shared" ref="C707:C744" si="157">D707+K707+L707+N707+P707+R707+S707+U707+W707</f>
        <v>127898.42</v>
      </c>
      <c r="D707" s="273">
        <f t="shared" ref="D707:D744" si="158">E707+F707+G707+H707+I707</f>
        <v>0</v>
      </c>
      <c r="E707" s="273"/>
      <c r="F707" s="273"/>
      <c r="G707" s="273"/>
      <c r="H707" s="273"/>
      <c r="I707" s="273"/>
      <c r="J707" s="273"/>
      <c r="K707" s="273"/>
      <c r="L707" s="273"/>
      <c r="M707" s="273"/>
      <c r="N707" s="273"/>
      <c r="O707" s="273"/>
      <c r="P707" s="273"/>
      <c r="Q707" s="273"/>
      <c r="R707" s="273"/>
      <c r="S707" s="273"/>
      <c r="T707" s="273"/>
      <c r="U707" s="273"/>
      <c r="V707" s="273"/>
      <c r="W707" s="273">
        <f t="shared" ref="W707:W729" si="159">SUM(X707:AH707)</f>
        <v>127898.42</v>
      </c>
      <c r="X707" s="269"/>
      <c r="Y707" s="271"/>
      <c r="Z707" s="271"/>
      <c r="AA707" s="271"/>
      <c r="AB707" s="269"/>
      <c r="AC707" s="271">
        <v>127898.42</v>
      </c>
      <c r="AE707" s="82"/>
      <c r="AF707" s="84"/>
      <c r="AG707" s="82"/>
    </row>
    <row r="708" spans="1:34" x14ac:dyDescent="0.3">
      <c r="A708" s="10">
        <f t="shared" ref="A708:A744" si="160">A707+1</f>
        <v>623</v>
      </c>
      <c r="B708" s="124" t="s">
        <v>884</v>
      </c>
      <c r="C708" s="273">
        <f t="shared" si="157"/>
        <v>307883</v>
      </c>
      <c r="D708" s="273">
        <f t="shared" si="158"/>
        <v>0</v>
      </c>
      <c r="E708" s="273"/>
      <c r="F708" s="273"/>
      <c r="G708" s="273"/>
      <c r="H708" s="273"/>
      <c r="I708" s="273"/>
      <c r="J708" s="273"/>
      <c r="K708" s="273"/>
      <c r="L708" s="273"/>
      <c r="M708" s="273"/>
      <c r="N708" s="273"/>
      <c r="O708" s="273"/>
      <c r="P708" s="273"/>
      <c r="Q708" s="273"/>
      <c r="R708" s="273"/>
      <c r="S708" s="273"/>
      <c r="T708" s="273"/>
      <c r="U708" s="273"/>
      <c r="V708" s="273"/>
      <c r="W708" s="273">
        <f t="shared" si="159"/>
        <v>307883</v>
      </c>
      <c r="X708" s="271"/>
      <c r="Y708" s="271"/>
      <c r="Z708" s="271"/>
      <c r="AA708" s="271"/>
      <c r="AC708" s="271"/>
      <c r="AE708" s="269"/>
      <c r="AF708" s="84">
        <v>307883</v>
      </c>
      <c r="AG708" s="82"/>
    </row>
    <row r="709" spans="1:34" x14ac:dyDescent="0.3">
      <c r="A709" s="10">
        <f t="shared" si="160"/>
        <v>624</v>
      </c>
      <c r="B709" s="124" t="s">
        <v>885</v>
      </c>
      <c r="C709" s="273">
        <f t="shared" si="157"/>
        <v>226163.15</v>
      </c>
      <c r="D709" s="273">
        <f t="shared" si="158"/>
        <v>0</v>
      </c>
      <c r="E709" s="273"/>
      <c r="F709" s="273"/>
      <c r="G709" s="273"/>
      <c r="H709" s="273"/>
      <c r="I709" s="273"/>
      <c r="J709" s="273"/>
      <c r="K709" s="273"/>
      <c r="L709" s="273"/>
      <c r="M709" s="273"/>
      <c r="N709" s="273"/>
      <c r="O709" s="273"/>
      <c r="P709" s="273"/>
      <c r="Q709" s="273"/>
      <c r="R709" s="273"/>
      <c r="S709" s="273"/>
      <c r="T709" s="273"/>
      <c r="U709" s="273"/>
      <c r="V709" s="273"/>
      <c r="W709" s="273">
        <f t="shared" si="159"/>
        <v>226163.15</v>
      </c>
      <c r="X709" s="271"/>
      <c r="Y709" s="271"/>
      <c r="Z709" s="271"/>
      <c r="AA709" s="271"/>
      <c r="AC709" s="271">
        <v>226163.15</v>
      </c>
      <c r="AE709" s="269"/>
      <c r="AF709" s="84"/>
      <c r="AG709" s="82"/>
    </row>
    <row r="710" spans="1:34" x14ac:dyDescent="0.3">
      <c r="A710" s="10">
        <f t="shared" si="160"/>
        <v>625</v>
      </c>
      <c r="B710" s="124" t="s">
        <v>887</v>
      </c>
      <c r="C710" s="273">
        <f t="shared" si="157"/>
        <v>326901.53000000003</v>
      </c>
      <c r="D710" s="273">
        <f t="shared" si="158"/>
        <v>0</v>
      </c>
      <c r="E710" s="273"/>
      <c r="F710" s="273"/>
      <c r="G710" s="273"/>
      <c r="H710" s="273"/>
      <c r="I710" s="273"/>
      <c r="J710" s="273"/>
      <c r="K710" s="273"/>
      <c r="L710" s="273"/>
      <c r="M710" s="273"/>
      <c r="N710" s="273"/>
      <c r="O710" s="273"/>
      <c r="P710" s="273"/>
      <c r="Q710" s="273"/>
      <c r="R710" s="273"/>
      <c r="S710" s="273"/>
      <c r="T710" s="273"/>
      <c r="U710" s="273"/>
      <c r="V710" s="273"/>
      <c r="W710" s="273">
        <f t="shared" si="159"/>
        <v>326901.53000000003</v>
      </c>
      <c r="X710" s="271"/>
      <c r="Y710" s="271"/>
      <c r="Z710" s="271"/>
      <c r="AA710" s="271"/>
      <c r="AC710" s="271"/>
      <c r="AE710" s="269"/>
      <c r="AF710" s="84"/>
      <c r="AG710" s="82">
        <v>326901.53000000003</v>
      </c>
    </row>
    <row r="711" spans="1:34" x14ac:dyDescent="0.3">
      <c r="A711" s="10">
        <f t="shared" si="160"/>
        <v>626</v>
      </c>
      <c r="B711" s="124" t="s">
        <v>890</v>
      </c>
      <c r="C711" s="273">
        <f t="shared" si="157"/>
        <v>445237.13</v>
      </c>
      <c r="D711" s="273">
        <f t="shared" si="158"/>
        <v>0</v>
      </c>
      <c r="E711" s="273"/>
      <c r="F711" s="273"/>
      <c r="G711" s="273"/>
      <c r="H711" s="273"/>
      <c r="I711" s="273"/>
      <c r="J711" s="273"/>
      <c r="K711" s="273"/>
      <c r="L711" s="273"/>
      <c r="M711" s="273"/>
      <c r="N711" s="273"/>
      <c r="O711" s="273"/>
      <c r="P711" s="273"/>
      <c r="Q711" s="273"/>
      <c r="R711" s="273"/>
      <c r="S711" s="273"/>
      <c r="T711" s="273"/>
      <c r="U711" s="273"/>
      <c r="V711" s="273"/>
      <c r="W711" s="273">
        <f t="shared" si="159"/>
        <v>445237.13</v>
      </c>
      <c r="X711" s="271"/>
      <c r="Y711" s="271"/>
      <c r="Z711" s="271"/>
      <c r="AA711" s="271"/>
      <c r="AC711" s="271"/>
      <c r="AE711" s="269">
        <v>177255.25</v>
      </c>
      <c r="AF711" s="84">
        <v>267981.88</v>
      </c>
      <c r="AG711" s="82"/>
    </row>
    <row r="712" spans="1:34" x14ac:dyDescent="0.3">
      <c r="A712" s="10">
        <f t="shared" si="160"/>
        <v>627</v>
      </c>
      <c r="B712" s="124" t="s">
        <v>891</v>
      </c>
      <c r="C712" s="273">
        <f t="shared" si="157"/>
        <v>470674.67</v>
      </c>
      <c r="D712" s="273">
        <f t="shared" si="158"/>
        <v>0</v>
      </c>
      <c r="E712" s="273"/>
      <c r="F712" s="273"/>
      <c r="G712" s="273"/>
      <c r="H712" s="273"/>
      <c r="I712" s="273"/>
      <c r="J712" s="273"/>
      <c r="K712" s="273"/>
      <c r="L712" s="273"/>
      <c r="M712" s="273"/>
      <c r="N712" s="273"/>
      <c r="O712" s="273"/>
      <c r="P712" s="273"/>
      <c r="Q712" s="273"/>
      <c r="R712" s="273"/>
      <c r="S712" s="273"/>
      <c r="T712" s="273"/>
      <c r="U712" s="273"/>
      <c r="V712" s="273"/>
      <c r="W712" s="273">
        <f t="shared" si="159"/>
        <v>470674.67</v>
      </c>
      <c r="X712" s="271"/>
      <c r="Y712" s="271"/>
      <c r="Z712" s="271"/>
      <c r="AA712" s="271"/>
      <c r="AC712" s="271"/>
      <c r="AE712" s="269"/>
      <c r="AF712" s="84"/>
      <c r="AG712" s="82">
        <v>470674.67</v>
      </c>
    </row>
    <row r="713" spans="1:34" x14ac:dyDescent="0.3">
      <c r="A713" s="10">
        <f t="shared" si="160"/>
        <v>628</v>
      </c>
      <c r="B713" s="124" t="s">
        <v>893</v>
      </c>
      <c r="C713" s="273">
        <f t="shared" si="157"/>
        <v>462201.64</v>
      </c>
      <c r="D713" s="273">
        <f t="shared" si="158"/>
        <v>0</v>
      </c>
      <c r="E713" s="273"/>
      <c r="F713" s="273"/>
      <c r="G713" s="273"/>
      <c r="H713" s="273"/>
      <c r="I713" s="273"/>
      <c r="J713" s="273"/>
      <c r="K713" s="273"/>
      <c r="L713" s="273"/>
      <c r="M713" s="273"/>
      <c r="N713" s="273"/>
      <c r="O713" s="273"/>
      <c r="P713" s="273"/>
      <c r="Q713" s="273"/>
      <c r="R713" s="273"/>
      <c r="S713" s="273"/>
      <c r="T713" s="273"/>
      <c r="U713" s="273"/>
      <c r="V713" s="273"/>
      <c r="W713" s="273">
        <f t="shared" si="159"/>
        <v>462201.64</v>
      </c>
      <c r="X713" s="271"/>
      <c r="Y713" s="271"/>
      <c r="Z713" s="271"/>
      <c r="AA713" s="271"/>
      <c r="AC713" s="271"/>
      <c r="AE713" s="269"/>
      <c r="AF713" s="84">
        <v>462201.64</v>
      </c>
      <c r="AG713" s="82"/>
    </row>
    <row r="714" spans="1:34" x14ac:dyDescent="0.3">
      <c r="A714" s="10">
        <f t="shared" si="160"/>
        <v>629</v>
      </c>
      <c r="B714" s="124" t="s">
        <v>894</v>
      </c>
      <c r="C714" s="273">
        <f t="shared" si="157"/>
        <v>39126.07</v>
      </c>
      <c r="D714" s="273">
        <f t="shared" si="158"/>
        <v>0</v>
      </c>
      <c r="E714" s="273"/>
      <c r="F714" s="273"/>
      <c r="G714" s="273"/>
      <c r="H714" s="273"/>
      <c r="I714" s="273"/>
      <c r="J714" s="273"/>
      <c r="K714" s="273"/>
      <c r="L714" s="273"/>
      <c r="M714" s="273"/>
      <c r="N714" s="273"/>
      <c r="O714" s="273"/>
      <c r="P714" s="273"/>
      <c r="Q714" s="273"/>
      <c r="R714" s="273"/>
      <c r="S714" s="273"/>
      <c r="T714" s="273"/>
      <c r="U714" s="273"/>
      <c r="V714" s="273"/>
      <c r="W714" s="273">
        <f t="shared" si="159"/>
        <v>39126.07</v>
      </c>
      <c r="X714" s="271"/>
      <c r="Y714" s="271"/>
      <c r="Z714" s="271"/>
      <c r="AA714" s="271"/>
      <c r="AC714" s="271"/>
      <c r="AE714" s="269"/>
      <c r="AF714" s="84">
        <v>39126.07</v>
      </c>
      <c r="AG714" s="82"/>
    </row>
    <row r="715" spans="1:34" x14ac:dyDescent="0.3">
      <c r="A715" s="10">
        <f t="shared" si="160"/>
        <v>630</v>
      </c>
      <c r="B715" s="124" t="s">
        <v>895</v>
      </c>
      <c r="C715" s="273">
        <f t="shared" si="157"/>
        <v>490987.91</v>
      </c>
      <c r="D715" s="273">
        <f t="shared" si="158"/>
        <v>0</v>
      </c>
      <c r="E715" s="273"/>
      <c r="F715" s="273"/>
      <c r="G715" s="273"/>
      <c r="H715" s="273"/>
      <c r="I715" s="273"/>
      <c r="J715" s="273"/>
      <c r="K715" s="273"/>
      <c r="L715" s="273"/>
      <c r="M715" s="273"/>
      <c r="N715" s="273"/>
      <c r="O715" s="273"/>
      <c r="P715" s="273"/>
      <c r="Q715" s="273"/>
      <c r="R715" s="273"/>
      <c r="S715" s="273"/>
      <c r="T715" s="273"/>
      <c r="U715" s="273"/>
      <c r="V715" s="273"/>
      <c r="W715" s="273">
        <f t="shared" si="159"/>
        <v>490987.91</v>
      </c>
      <c r="X715" s="271"/>
      <c r="Y715" s="271"/>
      <c r="Z715" s="271"/>
      <c r="AA715" s="271"/>
      <c r="AC715" s="271"/>
      <c r="AE715" s="269"/>
      <c r="AF715" s="84">
        <v>490987.91</v>
      </c>
      <c r="AG715" s="82"/>
    </row>
    <row r="716" spans="1:34" x14ac:dyDescent="0.3">
      <c r="A716" s="10">
        <f t="shared" si="160"/>
        <v>631</v>
      </c>
      <c r="B716" s="124" t="s">
        <v>896</v>
      </c>
      <c r="C716" s="273">
        <f t="shared" si="157"/>
        <v>403682.64</v>
      </c>
      <c r="D716" s="273">
        <f t="shared" si="158"/>
        <v>0</v>
      </c>
      <c r="E716" s="273"/>
      <c r="F716" s="273"/>
      <c r="G716" s="273"/>
      <c r="H716" s="273"/>
      <c r="I716" s="273"/>
      <c r="J716" s="273"/>
      <c r="K716" s="273"/>
      <c r="L716" s="273"/>
      <c r="M716" s="273"/>
      <c r="N716" s="273"/>
      <c r="O716" s="273"/>
      <c r="P716" s="273"/>
      <c r="Q716" s="273"/>
      <c r="R716" s="273"/>
      <c r="S716" s="273"/>
      <c r="T716" s="273"/>
      <c r="U716" s="273"/>
      <c r="V716" s="273"/>
      <c r="W716" s="273">
        <f t="shared" si="159"/>
        <v>403682.64</v>
      </c>
      <c r="X716" s="271"/>
      <c r="Y716" s="271"/>
      <c r="Z716" s="271"/>
      <c r="AA716" s="271"/>
      <c r="AC716" s="271"/>
      <c r="AE716" s="269">
        <v>403682.64</v>
      </c>
      <c r="AF716" s="7"/>
      <c r="AG716" s="82"/>
    </row>
    <row r="717" spans="1:34" x14ac:dyDescent="0.3">
      <c r="A717" s="10">
        <f t="shared" si="160"/>
        <v>632</v>
      </c>
      <c r="B717" s="124" t="s">
        <v>897</v>
      </c>
      <c r="C717" s="273">
        <f t="shared" si="157"/>
        <v>369814</v>
      </c>
      <c r="D717" s="273">
        <f t="shared" si="158"/>
        <v>0</v>
      </c>
      <c r="E717" s="273"/>
      <c r="F717" s="273"/>
      <c r="G717" s="273"/>
      <c r="H717" s="273"/>
      <c r="I717" s="273"/>
      <c r="J717" s="273"/>
      <c r="K717" s="273"/>
      <c r="L717" s="273"/>
      <c r="M717" s="273"/>
      <c r="N717" s="273"/>
      <c r="O717" s="273"/>
      <c r="P717" s="273"/>
      <c r="Q717" s="273"/>
      <c r="R717" s="273"/>
      <c r="S717" s="273"/>
      <c r="T717" s="273"/>
      <c r="U717" s="273"/>
      <c r="V717" s="273"/>
      <c r="W717" s="273">
        <f t="shared" si="159"/>
        <v>369814</v>
      </c>
      <c r="X717" s="271"/>
      <c r="Y717" s="271"/>
      <c r="Z717" s="271"/>
      <c r="AA717" s="271"/>
      <c r="AC717" s="271"/>
      <c r="AE717" s="269">
        <v>369814</v>
      </c>
      <c r="AF717" s="84"/>
      <c r="AG717" s="82"/>
    </row>
    <row r="718" spans="1:34" x14ac:dyDescent="0.3">
      <c r="A718" s="10">
        <f t="shared" si="160"/>
        <v>633</v>
      </c>
      <c r="B718" s="124" t="s">
        <v>898</v>
      </c>
      <c r="C718" s="273">
        <f t="shared" si="157"/>
        <v>202963.18</v>
      </c>
      <c r="D718" s="273">
        <f t="shared" si="158"/>
        <v>0</v>
      </c>
      <c r="E718" s="273"/>
      <c r="F718" s="273"/>
      <c r="G718" s="273"/>
      <c r="H718" s="273"/>
      <c r="I718" s="273"/>
      <c r="J718" s="273"/>
      <c r="K718" s="273"/>
      <c r="L718" s="273"/>
      <c r="M718" s="273"/>
      <c r="N718" s="273"/>
      <c r="O718" s="273"/>
      <c r="P718" s="273"/>
      <c r="Q718" s="273"/>
      <c r="R718" s="273"/>
      <c r="S718" s="273"/>
      <c r="T718" s="273"/>
      <c r="U718" s="273"/>
      <c r="V718" s="273"/>
      <c r="W718" s="273">
        <f t="shared" si="159"/>
        <v>202963.18</v>
      </c>
      <c r="X718" s="271"/>
      <c r="Y718" s="271"/>
      <c r="Z718" s="271"/>
      <c r="AA718" s="271"/>
      <c r="AC718" s="271">
        <v>202963.18</v>
      </c>
      <c r="AE718" s="269"/>
      <c r="AF718" s="84"/>
      <c r="AG718" s="82"/>
    </row>
    <row r="719" spans="1:34" x14ac:dyDescent="0.3">
      <c r="A719" s="10">
        <f t="shared" si="160"/>
        <v>634</v>
      </c>
      <c r="B719" s="124" t="s">
        <v>899</v>
      </c>
      <c r="C719" s="273">
        <f t="shared" si="157"/>
        <v>1430434.13</v>
      </c>
      <c r="D719" s="273">
        <f t="shared" si="158"/>
        <v>0</v>
      </c>
      <c r="E719" s="273"/>
      <c r="F719" s="273"/>
      <c r="G719" s="273"/>
      <c r="H719" s="273"/>
      <c r="I719" s="273"/>
      <c r="J719" s="273"/>
      <c r="K719" s="273"/>
      <c r="L719" s="273"/>
      <c r="M719" s="273"/>
      <c r="N719" s="273"/>
      <c r="O719" s="273"/>
      <c r="P719" s="273"/>
      <c r="Q719" s="273"/>
      <c r="R719" s="273"/>
      <c r="S719" s="273"/>
      <c r="T719" s="273"/>
      <c r="U719" s="273"/>
      <c r="V719" s="273"/>
      <c r="W719" s="273">
        <f t="shared" si="159"/>
        <v>1430434.13</v>
      </c>
      <c r="X719" s="271"/>
      <c r="Y719" s="271"/>
      <c r="Z719" s="271"/>
      <c r="AA719" s="271"/>
      <c r="AC719" s="271"/>
      <c r="AE719" s="269"/>
      <c r="AF719" s="84"/>
      <c r="AG719" s="82">
        <v>1430434.13</v>
      </c>
    </row>
    <row r="720" spans="1:34" s="40" customFormat="1" x14ac:dyDescent="0.3">
      <c r="A720" s="10">
        <f t="shared" si="160"/>
        <v>635</v>
      </c>
      <c r="B720" s="20" t="s">
        <v>900</v>
      </c>
      <c r="C720" s="273">
        <f t="shared" si="157"/>
        <v>1320294.96</v>
      </c>
      <c r="D720" s="273">
        <f t="shared" si="158"/>
        <v>0</v>
      </c>
      <c r="E720" s="273"/>
      <c r="F720" s="273"/>
      <c r="G720" s="273"/>
      <c r="H720" s="273"/>
      <c r="I720" s="273"/>
      <c r="J720" s="273"/>
      <c r="K720" s="273"/>
      <c r="L720" s="273"/>
      <c r="M720" s="273"/>
      <c r="N720" s="273"/>
      <c r="O720" s="273"/>
      <c r="P720" s="273"/>
      <c r="Q720" s="273">
        <v>13</v>
      </c>
      <c r="R720" s="82">
        <v>1320294.96</v>
      </c>
      <c r="S720" s="273"/>
      <c r="T720" s="273"/>
      <c r="U720" s="273"/>
      <c r="V720" s="273"/>
      <c r="W720" s="273">
        <f t="shared" si="159"/>
        <v>0</v>
      </c>
      <c r="X720" s="271"/>
      <c r="Y720" s="269"/>
      <c r="Z720" s="84"/>
      <c r="AA720" s="82"/>
      <c r="AC720" s="271"/>
      <c r="AE720" s="82"/>
    </row>
    <row r="721" spans="1:33" x14ac:dyDescent="0.3">
      <c r="A721" s="10">
        <f t="shared" si="160"/>
        <v>636</v>
      </c>
      <c r="B721" s="124" t="s">
        <v>901</v>
      </c>
      <c r="C721" s="273">
        <f t="shared" si="157"/>
        <v>450330.43</v>
      </c>
      <c r="D721" s="273">
        <f t="shared" si="158"/>
        <v>0</v>
      </c>
      <c r="E721" s="273"/>
      <c r="F721" s="273"/>
      <c r="G721" s="273"/>
      <c r="H721" s="273"/>
      <c r="I721" s="273"/>
      <c r="J721" s="273"/>
      <c r="K721" s="273"/>
      <c r="L721" s="273"/>
      <c r="M721" s="273"/>
      <c r="N721" s="273"/>
      <c r="O721" s="273"/>
      <c r="P721" s="273"/>
      <c r="Q721" s="273"/>
      <c r="R721" s="273"/>
      <c r="S721" s="273"/>
      <c r="T721" s="273"/>
      <c r="U721" s="273"/>
      <c r="V721" s="273"/>
      <c r="W721" s="273">
        <f t="shared" si="159"/>
        <v>450330.43</v>
      </c>
      <c r="X721" s="271"/>
      <c r="Y721" s="271"/>
      <c r="Z721" s="271"/>
      <c r="AA721" s="271"/>
      <c r="AC721" s="271"/>
      <c r="AE721" s="269">
        <v>450330.43</v>
      </c>
      <c r="AF721" s="84"/>
      <c r="AG721" s="82"/>
    </row>
    <row r="722" spans="1:33" x14ac:dyDescent="0.3">
      <c r="A722" s="10">
        <f t="shared" si="160"/>
        <v>637</v>
      </c>
      <c r="B722" s="124" t="s">
        <v>903</v>
      </c>
      <c r="C722" s="273">
        <f t="shared" si="157"/>
        <v>210297.7</v>
      </c>
      <c r="D722" s="273">
        <f t="shared" si="158"/>
        <v>0</v>
      </c>
      <c r="E722" s="273"/>
      <c r="F722" s="273"/>
      <c r="G722" s="273"/>
      <c r="H722" s="273"/>
      <c r="I722" s="273"/>
      <c r="J722" s="273"/>
      <c r="K722" s="273"/>
      <c r="L722" s="273"/>
      <c r="M722" s="273"/>
      <c r="N722" s="273"/>
      <c r="O722" s="273"/>
      <c r="P722" s="273"/>
      <c r="Q722" s="273"/>
      <c r="R722" s="273"/>
      <c r="S722" s="273"/>
      <c r="T722" s="273"/>
      <c r="U722" s="273"/>
      <c r="V722" s="273"/>
      <c r="W722" s="273">
        <f t="shared" si="159"/>
        <v>210297.7</v>
      </c>
      <c r="X722" s="271"/>
      <c r="Y722" s="271"/>
      <c r="Z722" s="271"/>
      <c r="AA722" s="271"/>
      <c r="AC722" s="271"/>
      <c r="AE722" s="269">
        <v>210297.7</v>
      </c>
      <c r="AF722" s="84"/>
      <c r="AG722" s="82"/>
    </row>
    <row r="723" spans="1:33" x14ac:dyDescent="0.3">
      <c r="A723" s="10">
        <f t="shared" si="160"/>
        <v>638</v>
      </c>
      <c r="B723" s="124" t="s">
        <v>904</v>
      </c>
      <c r="C723" s="273">
        <f t="shared" si="157"/>
        <v>116530.1</v>
      </c>
      <c r="D723" s="273">
        <f t="shared" si="158"/>
        <v>0</v>
      </c>
      <c r="E723" s="273"/>
      <c r="F723" s="273"/>
      <c r="G723" s="273"/>
      <c r="H723" s="273"/>
      <c r="I723" s="273"/>
      <c r="J723" s="273"/>
      <c r="K723" s="273"/>
      <c r="L723" s="273"/>
      <c r="M723" s="273"/>
      <c r="N723" s="273"/>
      <c r="O723" s="273"/>
      <c r="P723" s="273"/>
      <c r="Q723" s="273"/>
      <c r="R723" s="273"/>
      <c r="S723" s="273"/>
      <c r="T723" s="273"/>
      <c r="U723" s="273"/>
      <c r="V723" s="273"/>
      <c r="W723" s="273">
        <f t="shared" si="159"/>
        <v>116530.1</v>
      </c>
      <c r="X723" s="271"/>
      <c r="Y723" s="271"/>
      <c r="Z723" s="271"/>
      <c r="AA723" s="271"/>
      <c r="AC723" s="271">
        <v>116530.1</v>
      </c>
      <c r="AE723" s="269"/>
      <c r="AF723" s="84"/>
      <c r="AG723" s="82"/>
    </row>
    <row r="724" spans="1:33" x14ac:dyDescent="0.3">
      <c r="A724" s="10">
        <f t="shared" si="160"/>
        <v>639</v>
      </c>
      <c r="B724" s="124" t="s">
        <v>905</v>
      </c>
      <c r="C724" s="273">
        <f t="shared" si="157"/>
        <v>224911.79</v>
      </c>
      <c r="D724" s="273">
        <f t="shared" si="158"/>
        <v>0</v>
      </c>
      <c r="E724" s="273"/>
      <c r="F724" s="273"/>
      <c r="G724" s="273"/>
      <c r="H724" s="273"/>
      <c r="I724" s="273"/>
      <c r="J724" s="273"/>
      <c r="K724" s="273"/>
      <c r="L724" s="273"/>
      <c r="M724" s="273"/>
      <c r="N724" s="273"/>
      <c r="O724" s="273"/>
      <c r="P724" s="273"/>
      <c r="Q724" s="273"/>
      <c r="R724" s="273"/>
      <c r="S724" s="273"/>
      <c r="T724" s="273"/>
      <c r="U724" s="273"/>
      <c r="V724" s="273"/>
      <c r="W724" s="273">
        <f t="shared" si="159"/>
        <v>224911.79</v>
      </c>
      <c r="X724" s="271"/>
      <c r="Y724" s="271"/>
      <c r="Z724" s="271"/>
      <c r="AA724" s="271"/>
      <c r="AC724" s="271"/>
      <c r="AE724" s="269">
        <v>224911.79</v>
      </c>
      <c r="AF724" s="84"/>
      <c r="AG724" s="82"/>
    </row>
    <row r="725" spans="1:33" x14ac:dyDescent="0.3">
      <c r="A725" s="10">
        <f t="shared" si="160"/>
        <v>640</v>
      </c>
      <c r="B725" s="124" t="s">
        <v>906</v>
      </c>
      <c r="C725" s="273">
        <f t="shared" si="157"/>
        <v>613640.35</v>
      </c>
      <c r="D725" s="273">
        <f t="shared" si="158"/>
        <v>0</v>
      </c>
      <c r="E725" s="273"/>
      <c r="F725" s="273"/>
      <c r="G725" s="273"/>
      <c r="H725" s="273"/>
      <c r="I725" s="273"/>
      <c r="J725" s="273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>
        <f t="shared" si="159"/>
        <v>613640.35</v>
      </c>
      <c r="X725" s="271"/>
      <c r="Y725" s="271"/>
      <c r="Z725" s="271"/>
      <c r="AA725" s="271"/>
      <c r="AC725" s="271"/>
      <c r="AE725" s="269"/>
      <c r="AF725" s="84"/>
      <c r="AG725" s="82">
        <v>613640.35</v>
      </c>
    </row>
    <row r="726" spans="1:33" x14ac:dyDescent="0.3">
      <c r="A726" s="10">
        <f t="shared" si="160"/>
        <v>641</v>
      </c>
      <c r="B726" s="124" t="s">
        <v>907</v>
      </c>
      <c r="C726" s="273">
        <f t="shared" si="157"/>
        <v>87327.18</v>
      </c>
      <c r="D726" s="273">
        <f t="shared" si="158"/>
        <v>0</v>
      </c>
      <c r="E726" s="273"/>
      <c r="F726" s="273"/>
      <c r="G726" s="273"/>
      <c r="H726" s="273"/>
      <c r="I726" s="273"/>
      <c r="J726" s="273"/>
      <c r="K726" s="273"/>
      <c r="L726" s="273"/>
      <c r="M726" s="273"/>
      <c r="N726" s="273"/>
      <c r="O726" s="273"/>
      <c r="P726" s="273"/>
      <c r="Q726" s="273"/>
      <c r="R726" s="273"/>
      <c r="S726" s="273"/>
      <c r="T726" s="273"/>
      <c r="U726" s="273"/>
      <c r="V726" s="273"/>
      <c r="W726" s="273">
        <f t="shared" si="159"/>
        <v>87327.18</v>
      </c>
      <c r="X726" s="271"/>
      <c r="Y726" s="271"/>
      <c r="Z726" s="271"/>
      <c r="AA726" s="271"/>
      <c r="AC726" s="271">
        <v>87327.18</v>
      </c>
      <c r="AE726" s="269"/>
      <c r="AF726" s="84"/>
      <c r="AG726" s="82"/>
    </row>
    <row r="727" spans="1:33" x14ac:dyDescent="0.3">
      <c r="A727" s="10">
        <f t="shared" si="160"/>
        <v>642</v>
      </c>
      <c r="B727" s="124" t="s">
        <v>908</v>
      </c>
      <c r="C727" s="273">
        <f t="shared" si="157"/>
        <v>86339.46</v>
      </c>
      <c r="D727" s="273">
        <f t="shared" si="158"/>
        <v>0</v>
      </c>
      <c r="E727" s="273"/>
      <c r="F727" s="273"/>
      <c r="G727" s="273"/>
      <c r="H727" s="273"/>
      <c r="I727" s="273"/>
      <c r="J727" s="273"/>
      <c r="K727" s="273"/>
      <c r="L727" s="273"/>
      <c r="M727" s="273"/>
      <c r="N727" s="273"/>
      <c r="O727" s="273"/>
      <c r="P727" s="273"/>
      <c r="Q727" s="273"/>
      <c r="R727" s="273"/>
      <c r="S727" s="273"/>
      <c r="T727" s="273"/>
      <c r="U727" s="273"/>
      <c r="V727" s="273"/>
      <c r="W727" s="273">
        <f t="shared" si="159"/>
        <v>86339.46</v>
      </c>
      <c r="X727" s="271"/>
      <c r="Y727" s="271"/>
      <c r="Z727" s="271"/>
      <c r="AA727" s="271"/>
      <c r="AC727" s="271">
        <v>86339.46</v>
      </c>
      <c r="AE727" s="269"/>
      <c r="AF727" s="84"/>
      <c r="AG727" s="82"/>
    </row>
    <row r="728" spans="1:33" x14ac:dyDescent="0.3">
      <c r="A728" s="10">
        <f t="shared" si="160"/>
        <v>643</v>
      </c>
      <c r="B728" s="124" t="s">
        <v>909</v>
      </c>
      <c r="C728" s="273">
        <f t="shared" si="157"/>
        <v>315287.69</v>
      </c>
      <c r="D728" s="273">
        <f t="shared" si="158"/>
        <v>0</v>
      </c>
      <c r="E728" s="273"/>
      <c r="F728" s="273"/>
      <c r="G728" s="273"/>
      <c r="H728" s="273"/>
      <c r="I728" s="273"/>
      <c r="J728" s="273"/>
      <c r="K728" s="273"/>
      <c r="L728" s="273"/>
      <c r="M728" s="273"/>
      <c r="N728" s="273"/>
      <c r="O728" s="273"/>
      <c r="P728" s="273"/>
      <c r="Q728" s="273"/>
      <c r="R728" s="273"/>
      <c r="S728" s="273"/>
      <c r="T728" s="273"/>
      <c r="U728" s="273"/>
      <c r="V728" s="273"/>
      <c r="W728" s="273">
        <f t="shared" si="159"/>
        <v>315287.69</v>
      </c>
      <c r="X728" s="271"/>
      <c r="Y728" s="271"/>
      <c r="Z728" s="271"/>
      <c r="AA728" s="271"/>
      <c r="AC728" s="271"/>
      <c r="AE728" s="269"/>
      <c r="AF728" s="84">
        <v>315287.69</v>
      </c>
      <c r="AG728" s="82"/>
    </row>
    <row r="729" spans="1:33" x14ac:dyDescent="0.3">
      <c r="A729" s="10">
        <f t="shared" si="160"/>
        <v>644</v>
      </c>
      <c r="B729" s="124" t="s">
        <v>910</v>
      </c>
      <c r="C729" s="273">
        <f t="shared" si="157"/>
        <v>114509.46</v>
      </c>
      <c r="D729" s="273">
        <f t="shared" si="158"/>
        <v>0</v>
      </c>
      <c r="E729" s="273"/>
      <c r="F729" s="273"/>
      <c r="G729" s="273"/>
      <c r="H729" s="273"/>
      <c r="I729" s="273"/>
      <c r="J729" s="273"/>
      <c r="K729" s="273"/>
      <c r="L729" s="273"/>
      <c r="M729" s="273"/>
      <c r="N729" s="273"/>
      <c r="O729" s="273"/>
      <c r="P729" s="273"/>
      <c r="Q729" s="273"/>
      <c r="R729" s="273"/>
      <c r="S729" s="273"/>
      <c r="T729" s="273"/>
      <c r="U729" s="273"/>
      <c r="V729" s="273"/>
      <c r="W729" s="273">
        <f t="shared" si="159"/>
        <v>114509.46</v>
      </c>
      <c r="Y729" s="271"/>
      <c r="Z729" s="271"/>
      <c r="AA729" s="271"/>
      <c r="AC729" s="271">
        <v>114509.46</v>
      </c>
      <c r="AE729" s="269"/>
      <c r="AF729" s="84"/>
      <c r="AG729" s="82"/>
    </row>
    <row r="730" spans="1:33" x14ac:dyDescent="0.3">
      <c r="A730" s="10">
        <f t="shared" si="160"/>
        <v>645</v>
      </c>
      <c r="B730" s="124" t="s">
        <v>916</v>
      </c>
      <c r="C730" s="273">
        <f t="shared" si="157"/>
        <v>134041.62</v>
      </c>
      <c r="D730" s="273">
        <f t="shared" si="158"/>
        <v>0</v>
      </c>
      <c r="E730" s="273"/>
      <c r="F730" s="273"/>
      <c r="G730" s="273"/>
      <c r="H730" s="273"/>
      <c r="I730" s="273"/>
      <c r="J730" s="273"/>
      <c r="K730" s="273"/>
      <c r="L730" s="273"/>
      <c r="M730" s="273"/>
      <c r="N730" s="273"/>
      <c r="O730" s="273"/>
      <c r="P730" s="273"/>
      <c r="Q730" s="273"/>
      <c r="R730" s="273"/>
      <c r="S730" s="273"/>
      <c r="T730" s="273"/>
      <c r="U730" s="273"/>
      <c r="V730" s="273"/>
      <c r="W730" s="273">
        <f t="shared" ref="W730:W738" si="161">SUM(X730:AH730)</f>
        <v>134041.62</v>
      </c>
      <c r="Y730" s="271"/>
      <c r="Z730" s="271"/>
      <c r="AA730" s="271"/>
      <c r="AC730" s="271">
        <v>134041.62</v>
      </c>
      <c r="AE730" s="269"/>
      <c r="AF730" s="84"/>
      <c r="AG730" s="82"/>
    </row>
    <row r="731" spans="1:33" x14ac:dyDescent="0.3">
      <c r="A731" s="10">
        <f t="shared" si="160"/>
        <v>646</v>
      </c>
      <c r="B731" s="124" t="s">
        <v>917</v>
      </c>
      <c r="C731" s="273">
        <f t="shared" si="157"/>
        <v>236732.82</v>
      </c>
      <c r="D731" s="273">
        <f t="shared" si="158"/>
        <v>0</v>
      </c>
      <c r="E731" s="273"/>
      <c r="F731" s="273"/>
      <c r="G731" s="273"/>
      <c r="H731" s="273"/>
      <c r="I731" s="273"/>
      <c r="J731" s="273"/>
      <c r="K731" s="273"/>
      <c r="L731" s="273"/>
      <c r="M731" s="273"/>
      <c r="N731" s="273"/>
      <c r="O731" s="273"/>
      <c r="P731" s="273"/>
      <c r="Q731" s="273"/>
      <c r="R731" s="273"/>
      <c r="S731" s="273"/>
      <c r="T731" s="273"/>
      <c r="U731" s="273"/>
      <c r="V731" s="273"/>
      <c r="W731" s="273">
        <f t="shared" si="161"/>
        <v>236732.82</v>
      </c>
      <c r="Y731" s="271"/>
      <c r="Z731" s="271"/>
      <c r="AA731" s="271"/>
      <c r="AC731" s="271"/>
      <c r="AE731" s="269">
        <v>236732.82</v>
      </c>
      <c r="AF731" s="84"/>
      <c r="AG731" s="82"/>
    </row>
    <row r="732" spans="1:33" x14ac:dyDescent="0.3">
      <c r="A732" s="10">
        <f t="shared" si="160"/>
        <v>647</v>
      </c>
      <c r="B732" s="124" t="s">
        <v>918</v>
      </c>
      <c r="C732" s="273">
        <f t="shared" si="157"/>
        <v>1310370.46</v>
      </c>
      <c r="D732" s="273">
        <f t="shared" si="158"/>
        <v>0</v>
      </c>
      <c r="E732" s="273"/>
      <c r="F732" s="273"/>
      <c r="G732" s="273"/>
      <c r="H732" s="273"/>
      <c r="I732" s="273"/>
      <c r="J732" s="273"/>
      <c r="K732" s="273"/>
      <c r="L732" s="273"/>
      <c r="M732" s="273"/>
      <c r="N732" s="273"/>
      <c r="O732" s="273"/>
      <c r="P732" s="273"/>
      <c r="Q732" s="273"/>
      <c r="R732" s="273"/>
      <c r="S732" s="273"/>
      <c r="T732" s="273"/>
      <c r="U732" s="273"/>
      <c r="V732" s="273"/>
      <c r="W732" s="273">
        <f t="shared" si="161"/>
        <v>1310370.46</v>
      </c>
      <c r="Y732" s="271"/>
      <c r="Z732" s="271"/>
      <c r="AA732" s="271"/>
      <c r="AC732" s="271"/>
      <c r="AE732" s="269"/>
      <c r="AF732" s="84">
        <v>1310370.46</v>
      </c>
      <c r="AG732" s="82"/>
    </row>
    <row r="733" spans="1:33" x14ac:dyDescent="0.3">
      <c r="A733" s="10">
        <f t="shared" si="160"/>
        <v>648</v>
      </c>
      <c r="B733" s="124" t="s">
        <v>919</v>
      </c>
      <c r="C733" s="273">
        <f t="shared" si="157"/>
        <v>339117.91</v>
      </c>
      <c r="D733" s="273">
        <f t="shared" si="158"/>
        <v>0</v>
      </c>
      <c r="E733" s="273"/>
      <c r="F733" s="273"/>
      <c r="G733" s="273"/>
      <c r="H733" s="273"/>
      <c r="I733" s="273"/>
      <c r="J733" s="273"/>
      <c r="K733" s="273"/>
      <c r="L733" s="273"/>
      <c r="M733" s="273"/>
      <c r="N733" s="273"/>
      <c r="O733" s="273"/>
      <c r="P733" s="273"/>
      <c r="Q733" s="273"/>
      <c r="R733" s="273"/>
      <c r="S733" s="273"/>
      <c r="T733" s="273"/>
      <c r="U733" s="273"/>
      <c r="V733" s="273"/>
      <c r="W733" s="273">
        <f t="shared" si="161"/>
        <v>339117.91</v>
      </c>
      <c r="Y733" s="271"/>
      <c r="Z733" s="271"/>
      <c r="AA733" s="271"/>
      <c r="AC733" s="271"/>
      <c r="AE733" s="269">
        <v>339117.91</v>
      </c>
      <c r="AF733" s="84"/>
      <c r="AG733" s="82"/>
    </row>
    <row r="734" spans="1:33" x14ac:dyDescent="0.3">
      <c r="A734" s="10">
        <f t="shared" si="160"/>
        <v>649</v>
      </c>
      <c r="B734" s="124" t="s">
        <v>920</v>
      </c>
      <c r="C734" s="273">
        <f t="shared" si="157"/>
        <v>308826.86</v>
      </c>
      <c r="D734" s="273">
        <f t="shared" si="158"/>
        <v>0</v>
      </c>
      <c r="E734" s="273"/>
      <c r="F734" s="273"/>
      <c r="G734" s="273"/>
      <c r="H734" s="273"/>
      <c r="I734" s="273"/>
      <c r="J734" s="273"/>
      <c r="K734" s="273"/>
      <c r="L734" s="273"/>
      <c r="M734" s="273"/>
      <c r="N734" s="273"/>
      <c r="O734" s="273"/>
      <c r="P734" s="273"/>
      <c r="Q734" s="273"/>
      <c r="R734" s="273"/>
      <c r="S734" s="273"/>
      <c r="T734" s="273"/>
      <c r="U734" s="273"/>
      <c r="V734" s="273"/>
      <c r="W734" s="273">
        <f t="shared" si="161"/>
        <v>308826.86</v>
      </c>
      <c r="Y734" s="271"/>
      <c r="Z734" s="271"/>
      <c r="AA734" s="271"/>
      <c r="AC734" s="271"/>
      <c r="AE734" s="269">
        <v>308826.86</v>
      </c>
      <c r="AF734" s="84"/>
      <c r="AG734" s="82"/>
    </row>
    <row r="735" spans="1:33" x14ac:dyDescent="0.3">
      <c r="A735" s="10">
        <f t="shared" si="160"/>
        <v>650</v>
      </c>
      <c r="B735" s="124" t="s">
        <v>922</v>
      </c>
      <c r="C735" s="273">
        <f t="shared" si="157"/>
        <v>254667.82</v>
      </c>
      <c r="D735" s="273">
        <f t="shared" si="158"/>
        <v>0</v>
      </c>
      <c r="E735" s="273"/>
      <c r="F735" s="273"/>
      <c r="G735" s="273"/>
      <c r="H735" s="273"/>
      <c r="I735" s="273"/>
      <c r="J735" s="273"/>
      <c r="K735" s="273"/>
      <c r="L735" s="273"/>
      <c r="M735" s="273"/>
      <c r="N735" s="273"/>
      <c r="O735" s="273"/>
      <c r="P735" s="273"/>
      <c r="Q735" s="273"/>
      <c r="R735" s="273"/>
      <c r="S735" s="273"/>
      <c r="T735" s="273"/>
      <c r="U735" s="273"/>
      <c r="V735" s="273"/>
      <c r="W735" s="273">
        <f t="shared" si="161"/>
        <v>254667.82</v>
      </c>
      <c r="Y735" s="271"/>
      <c r="Z735" s="271"/>
      <c r="AA735" s="271"/>
      <c r="AC735" s="271"/>
      <c r="AE735" s="269"/>
      <c r="AF735" s="84">
        <v>254667.82</v>
      </c>
      <c r="AG735" s="82"/>
    </row>
    <row r="736" spans="1:33" x14ac:dyDescent="0.3">
      <c r="A736" s="10">
        <f t="shared" si="160"/>
        <v>651</v>
      </c>
      <c r="B736" s="124" t="s">
        <v>923</v>
      </c>
      <c r="C736" s="273">
        <f t="shared" si="157"/>
        <v>190088.74</v>
      </c>
      <c r="D736" s="273">
        <f t="shared" si="158"/>
        <v>0</v>
      </c>
      <c r="E736" s="273"/>
      <c r="F736" s="273"/>
      <c r="G736" s="273"/>
      <c r="H736" s="273"/>
      <c r="I736" s="273"/>
      <c r="J736" s="273"/>
      <c r="K736" s="273"/>
      <c r="L736" s="273"/>
      <c r="M736" s="273"/>
      <c r="N736" s="273"/>
      <c r="O736" s="273"/>
      <c r="P736" s="273"/>
      <c r="Q736" s="273"/>
      <c r="R736" s="273"/>
      <c r="S736" s="273"/>
      <c r="T736" s="273"/>
      <c r="U736" s="273"/>
      <c r="V736" s="273"/>
      <c r="W736" s="273">
        <f t="shared" si="161"/>
        <v>190088.74</v>
      </c>
      <c r="Y736" s="271"/>
      <c r="Z736" s="271"/>
      <c r="AA736" s="271"/>
      <c r="AC736" s="271"/>
      <c r="AE736" s="269">
        <v>190088.74</v>
      </c>
      <c r="AF736" s="84"/>
      <c r="AG736" s="82"/>
    </row>
    <row r="737" spans="1:34" x14ac:dyDescent="0.3">
      <c r="A737" s="10">
        <f t="shared" si="160"/>
        <v>652</v>
      </c>
      <c r="B737" s="124" t="s">
        <v>924</v>
      </c>
      <c r="C737" s="273">
        <f t="shared" si="157"/>
        <v>254667.82</v>
      </c>
      <c r="D737" s="273">
        <f t="shared" si="158"/>
        <v>0</v>
      </c>
      <c r="E737" s="273"/>
      <c r="F737" s="273"/>
      <c r="G737" s="273"/>
      <c r="H737" s="273"/>
      <c r="I737" s="273"/>
      <c r="J737" s="273"/>
      <c r="K737" s="273"/>
      <c r="L737" s="273"/>
      <c r="M737" s="273"/>
      <c r="N737" s="273"/>
      <c r="O737" s="273"/>
      <c r="P737" s="273"/>
      <c r="Q737" s="273"/>
      <c r="R737" s="273"/>
      <c r="S737" s="273"/>
      <c r="T737" s="273"/>
      <c r="U737" s="273"/>
      <c r="V737" s="273"/>
      <c r="W737" s="273">
        <f t="shared" si="161"/>
        <v>254667.82</v>
      </c>
      <c r="Y737" s="271"/>
      <c r="Z737" s="271"/>
      <c r="AA737" s="271"/>
      <c r="AC737" s="271"/>
      <c r="AE737" s="269"/>
      <c r="AF737" s="84">
        <v>254667.82</v>
      </c>
      <c r="AG737" s="82"/>
    </row>
    <row r="738" spans="1:34" x14ac:dyDescent="0.3">
      <c r="A738" s="10">
        <f t="shared" si="160"/>
        <v>653</v>
      </c>
      <c r="B738" s="124" t="s">
        <v>925</v>
      </c>
      <c r="C738" s="273">
        <f t="shared" si="157"/>
        <v>282419.57</v>
      </c>
      <c r="D738" s="273">
        <f t="shared" si="158"/>
        <v>0</v>
      </c>
      <c r="E738" s="273"/>
      <c r="F738" s="273"/>
      <c r="G738" s="273"/>
      <c r="H738" s="273"/>
      <c r="I738" s="273"/>
      <c r="J738" s="273"/>
      <c r="K738" s="273"/>
      <c r="L738" s="273"/>
      <c r="M738" s="273"/>
      <c r="N738" s="273"/>
      <c r="O738" s="273"/>
      <c r="P738" s="273"/>
      <c r="Q738" s="273"/>
      <c r="R738" s="273"/>
      <c r="S738" s="273"/>
      <c r="T738" s="273"/>
      <c r="U738" s="273"/>
      <c r="V738" s="273"/>
      <c r="W738" s="273">
        <f t="shared" si="161"/>
        <v>282419.57</v>
      </c>
      <c r="Y738" s="271"/>
      <c r="Z738" s="271"/>
      <c r="AA738" s="271"/>
      <c r="AC738" s="271"/>
      <c r="AE738" s="269"/>
      <c r="AF738" s="84">
        <v>282419.57</v>
      </c>
      <c r="AG738" s="82"/>
    </row>
    <row r="739" spans="1:34" x14ac:dyDescent="0.3">
      <c r="A739" s="10">
        <f t="shared" si="160"/>
        <v>654</v>
      </c>
      <c r="B739" s="124" t="s">
        <v>926</v>
      </c>
      <c r="C739" s="273">
        <f t="shared" si="157"/>
        <v>244141.63</v>
      </c>
      <c r="D739" s="273">
        <f t="shared" si="158"/>
        <v>0</v>
      </c>
      <c r="E739" s="273"/>
      <c r="F739" s="273"/>
      <c r="G739" s="273"/>
      <c r="H739" s="273"/>
      <c r="I739" s="273"/>
      <c r="J739" s="273"/>
      <c r="K739" s="273"/>
      <c r="L739" s="273"/>
      <c r="M739" s="273"/>
      <c r="N739" s="273"/>
      <c r="O739" s="273"/>
      <c r="P739" s="273"/>
      <c r="Q739" s="273"/>
      <c r="R739" s="273"/>
      <c r="S739" s="273"/>
      <c r="T739" s="273"/>
      <c r="U739" s="273"/>
      <c r="V739" s="273"/>
      <c r="W739" s="273">
        <f>SUM(Y739:AH739)</f>
        <v>244141.63</v>
      </c>
      <c r="Y739" s="271">
        <v>132420.96</v>
      </c>
      <c r="Z739" s="271">
        <v>111720.67</v>
      </c>
      <c r="AA739" s="271"/>
      <c r="AC739" s="271"/>
      <c r="AE739" s="269"/>
      <c r="AF739" s="84"/>
      <c r="AG739" s="82"/>
    </row>
    <row r="740" spans="1:34" x14ac:dyDescent="0.3">
      <c r="A740" s="10">
        <f t="shared" si="160"/>
        <v>655</v>
      </c>
      <c r="B740" s="124" t="s">
        <v>927</v>
      </c>
      <c r="C740" s="273">
        <f t="shared" si="157"/>
        <v>127057.42</v>
      </c>
      <c r="D740" s="273">
        <f t="shared" si="158"/>
        <v>0</v>
      </c>
      <c r="E740" s="273"/>
      <c r="F740" s="273"/>
      <c r="G740" s="273"/>
      <c r="H740" s="273"/>
      <c r="I740" s="273"/>
      <c r="J740" s="273"/>
      <c r="K740" s="273"/>
      <c r="L740" s="273"/>
      <c r="M740" s="273"/>
      <c r="N740" s="273"/>
      <c r="O740" s="273"/>
      <c r="P740" s="273"/>
      <c r="Q740" s="273"/>
      <c r="R740" s="273"/>
      <c r="S740" s="273"/>
      <c r="T740" s="273"/>
      <c r="U740" s="273"/>
      <c r="V740" s="273"/>
      <c r="W740" s="273">
        <f t="shared" ref="W740:W744" si="162">SUM(X740:AH740)</f>
        <v>127057.42</v>
      </c>
      <c r="X740" s="271"/>
      <c r="Y740" s="271"/>
      <c r="Z740" s="271"/>
      <c r="AA740" s="271"/>
      <c r="AC740" s="271">
        <v>127057.42</v>
      </c>
      <c r="AE740" s="269"/>
      <c r="AF740" s="84"/>
      <c r="AG740" s="82"/>
    </row>
    <row r="741" spans="1:34" x14ac:dyDescent="0.3">
      <c r="A741" s="10">
        <f t="shared" si="160"/>
        <v>656</v>
      </c>
      <c r="B741" s="124" t="s">
        <v>928</v>
      </c>
      <c r="C741" s="273">
        <f t="shared" si="157"/>
        <v>253716.44999999998</v>
      </c>
      <c r="D741" s="273">
        <f t="shared" si="158"/>
        <v>0</v>
      </c>
      <c r="E741" s="273"/>
      <c r="F741" s="273"/>
      <c r="G741" s="273"/>
      <c r="H741" s="273"/>
      <c r="I741" s="273"/>
      <c r="J741" s="273"/>
      <c r="K741" s="273"/>
      <c r="L741" s="273"/>
      <c r="M741" s="273"/>
      <c r="N741" s="273"/>
      <c r="O741" s="273"/>
      <c r="P741" s="273"/>
      <c r="Q741" s="273"/>
      <c r="R741" s="273"/>
      <c r="S741" s="273"/>
      <c r="T741" s="273"/>
      <c r="U741" s="273"/>
      <c r="V741" s="273"/>
      <c r="W741" s="273">
        <f t="shared" si="162"/>
        <v>253716.44999999998</v>
      </c>
      <c r="Y741" s="271">
        <v>139683.85999999999</v>
      </c>
      <c r="Z741" s="110">
        <v>114032.59</v>
      </c>
      <c r="AA741" s="271"/>
      <c r="AC741" s="271"/>
      <c r="AE741" s="269"/>
      <c r="AF741" s="84"/>
      <c r="AG741" s="82"/>
    </row>
    <row r="742" spans="1:34" x14ac:dyDescent="0.3">
      <c r="A742" s="10">
        <f t="shared" si="160"/>
        <v>657</v>
      </c>
      <c r="B742" s="124" t="s">
        <v>929</v>
      </c>
      <c r="C742" s="273">
        <f t="shared" si="157"/>
        <v>121203.6</v>
      </c>
      <c r="D742" s="273">
        <f t="shared" si="158"/>
        <v>0</v>
      </c>
      <c r="E742" s="273"/>
      <c r="F742" s="273"/>
      <c r="G742" s="273"/>
      <c r="H742" s="273"/>
      <c r="I742" s="273"/>
      <c r="J742" s="273"/>
      <c r="K742" s="273"/>
      <c r="L742" s="273"/>
      <c r="M742" s="273"/>
      <c r="N742" s="273"/>
      <c r="O742" s="273"/>
      <c r="P742" s="273"/>
      <c r="Q742" s="273"/>
      <c r="R742" s="273"/>
      <c r="S742" s="273"/>
      <c r="T742" s="273"/>
      <c r="U742" s="273"/>
      <c r="V742" s="273"/>
      <c r="W742" s="273">
        <f>SUM(X742:AH742)</f>
        <v>121203.6</v>
      </c>
      <c r="X742" s="271"/>
      <c r="Y742" s="271"/>
      <c r="Z742" s="271"/>
      <c r="AA742" s="271"/>
      <c r="AE742" s="269"/>
      <c r="AF742" s="84"/>
      <c r="AG742" s="82"/>
      <c r="AH742" s="248">
        <v>121203.6</v>
      </c>
    </row>
    <row r="743" spans="1:34" x14ac:dyDescent="0.3">
      <c r="A743" s="10">
        <f t="shared" si="160"/>
        <v>658</v>
      </c>
      <c r="B743" s="124" t="s">
        <v>932</v>
      </c>
      <c r="C743" s="273">
        <f t="shared" si="157"/>
        <v>127192.91</v>
      </c>
      <c r="D743" s="273">
        <f t="shared" si="158"/>
        <v>0</v>
      </c>
      <c r="E743" s="273"/>
      <c r="F743" s="273"/>
      <c r="G743" s="273"/>
      <c r="H743" s="273"/>
      <c r="I743" s="273"/>
      <c r="J743" s="273"/>
      <c r="K743" s="273"/>
      <c r="L743" s="273"/>
      <c r="M743" s="273"/>
      <c r="N743" s="273"/>
      <c r="O743" s="273"/>
      <c r="P743" s="273"/>
      <c r="Q743" s="273"/>
      <c r="R743" s="273"/>
      <c r="S743" s="273"/>
      <c r="T743" s="273"/>
      <c r="U743" s="273"/>
      <c r="V743" s="273"/>
      <c r="W743" s="273">
        <f t="shared" si="162"/>
        <v>127192.91</v>
      </c>
      <c r="X743" s="271"/>
      <c r="Y743" s="271"/>
      <c r="Z743" s="271"/>
      <c r="AA743" s="271"/>
      <c r="AC743" s="271">
        <v>127192.91</v>
      </c>
      <c r="AE743" s="269"/>
      <c r="AF743" s="84"/>
      <c r="AG743" s="82"/>
    </row>
    <row r="744" spans="1:34" x14ac:dyDescent="0.3">
      <c r="A744" s="10">
        <f t="shared" si="160"/>
        <v>659</v>
      </c>
      <c r="B744" s="124" t="s">
        <v>935</v>
      </c>
      <c r="C744" s="273">
        <f t="shared" si="157"/>
        <v>314556.10000000003</v>
      </c>
      <c r="D744" s="273">
        <f t="shared" si="158"/>
        <v>0</v>
      </c>
      <c r="E744" s="273"/>
      <c r="F744" s="273"/>
      <c r="G744" s="273"/>
      <c r="H744" s="273"/>
      <c r="I744" s="273"/>
      <c r="J744" s="273"/>
      <c r="K744" s="273"/>
      <c r="L744" s="273"/>
      <c r="M744" s="273"/>
      <c r="N744" s="273"/>
      <c r="O744" s="273"/>
      <c r="P744" s="273"/>
      <c r="Q744" s="273"/>
      <c r="R744" s="273"/>
      <c r="S744" s="273"/>
      <c r="T744" s="273"/>
      <c r="U744" s="273"/>
      <c r="V744" s="273"/>
      <c r="W744" s="273">
        <f t="shared" si="162"/>
        <v>314556.10000000003</v>
      </c>
      <c r="X744" s="271"/>
      <c r="Y744" s="271"/>
      <c r="Z744" s="271"/>
      <c r="AA744" s="271"/>
      <c r="AC744" s="271">
        <v>111360.96000000001</v>
      </c>
      <c r="AD744" s="82"/>
      <c r="AE744" s="269">
        <v>203195.14</v>
      </c>
      <c r="AF744" s="13"/>
    </row>
    <row r="745" spans="1:34" x14ac:dyDescent="0.3">
      <c r="A745" s="10"/>
      <c r="B745" s="124" t="s">
        <v>208</v>
      </c>
      <c r="C745" s="273">
        <f t="shared" ref="C745:W745" si="163">SUM(C707:C744)</f>
        <v>13342238.319999998</v>
      </c>
      <c r="D745" s="273">
        <f t="shared" si="163"/>
        <v>0</v>
      </c>
      <c r="E745" s="273">
        <f t="shared" si="163"/>
        <v>0</v>
      </c>
      <c r="F745" s="273">
        <f t="shared" si="163"/>
        <v>0</v>
      </c>
      <c r="G745" s="273">
        <f t="shared" si="163"/>
        <v>0</v>
      </c>
      <c r="H745" s="273">
        <f t="shared" si="163"/>
        <v>0</v>
      </c>
      <c r="I745" s="273">
        <f t="shared" si="163"/>
        <v>0</v>
      </c>
      <c r="J745" s="273">
        <f t="shared" si="163"/>
        <v>0</v>
      </c>
      <c r="K745" s="273">
        <f t="shared" si="163"/>
        <v>0</v>
      </c>
      <c r="L745" s="273">
        <f t="shared" si="163"/>
        <v>0</v>
      </c>
      <c r="M745" s="273">
        <f t="shared" si="163"/>
        <v>0</v>
      </c>
      <c r="N745" s="273">
        <f t="shared" si="163"/>
        <v>0</v>
      </c>
      <c r="O745" s="273">
        <f t="shared" si="163"/>
        <v>0</v>
      </c>
      <c r="P745" s="273">
        <f t="shared" si="163"/>
        <v>0</v>
      </c>
      <c r="Q745" s="273">
        <f t="shared" si="163"/>
        <v>13</v>
      </c>
      <c r="R745" s="273">
        <f t="shared" si="163"/>
        <v>1320294.96</v>
      </c>
      <c r="S745" s="273">
        <f t="shared" si="163"/>
        <v>0</v>
      </c>
      <c r="T745" s="273">
        <f t="shared" si="163"/>
        <v>0</v>
      </c>
      <c r="U745" s="273">
        <f t="shared" si="163"/>
        <v>0</v>
      </c>
      <c r="V745" s="273">
        <f t="shared" si="163"/>
        <v>0</v>
      </c>
      <c r="W745" s="273">
        <f t="shared" si="163"/>
        <v>12021943.360000001</v>
      </c>
      <c r="X745" s="271"/>
      <c r="Y745" s="271"/>
      <c r="Z745" s="271"/>
      <c r="AA745" s="271"/>
      <c r="AB745" s="269"/>
      <c r="AC745" s="84"/>
      <c r="AD745" s="82"/>
      <c r="AE745" s="82"/>
      <c r="AF745" s="13"/>
    </row>
    <row r="746" spans="1:34" ht="32.25" customHeight="1" x14ac:dyDescent="0.3">
      <c r="A746" s="374" t="s">
        <v>933</v>
      </c>
      <c r="B746" s="375"/>
      <c r="C746" s="273"/>
      <c r="D746" s="273"/>
      <c r="E746" s="273"/>
      <c r="F746" s="273"/>
      <c r="G746" s="273"/>
      <c r="H746" s="273"/>
      <c r="I746" s="273"/>
      <c r="J746" s="273"/>
      <c r="K746" s="273"/>
      <c r="L746" s="273"/>
      <c r="M746" s="273"/>
      <c r="N746" s="273"/>
      <c r="O746" s="273"/>
      <c r="P746" s="273"/>
      <c r="Q746" s="273"/>
      <c r="R746" s="273"/>
      <c r="S746" s="273"/>
      <c r="T746" s="273"/>
      <c r="U746" s="273"/>
      <c r="V746" s="273"/>
      <c r="W746" s="273"/>
      <c r="X746" s="271"/>
      <c r="Y746" s="271"/>
      <c r="Z746" s="271"/>
      <c r="AA746" s="271"/>
      <c r="AB746" s="269"/>
      <c r="AC746" s="84"/>
      <c r="AD746" s="82"/>
      <c r="AE746" s="82"/>
      <c r="AF746" s="13"/>
    </row>
    <row r="747" spans="1:34" x14ac:dyDescent="0.3">
      <c r="A747" s="10">
        <f>A744+1</f>
        <v>660</v>
      </c>
      <c r="B747" s="124" t="s">
        <v>937</v>
      </c>
      <c r="C747" s="273">
        <f t="shared" ref="C747:C767" si="164">D747+K747+L747+N747+P747+R747+S747+U747+W747</f>
        <v>155425.46</v>
      </c>
      <c r="D747" s="273">
        <f t="shared" ref="D747:D767" si="165">E747+F747+G747+H747+I747</f>
        <v>0</v>
      </c>
      <c r="E747" s="273"/>
      <c r="F747" s="273"/>
      <c r="G747" s="273"/>
      <c r="H747" s="273"/>
      <c r="I747" s="273"/>
      <c r="J747" s="273"/>
      <c r="K747" s="273"/>
      <c r="L747" s="273"/>
      <c r="M747" s="273"/>
      <c r="N747" s="273"/>
      <c r="O747" s="273"/>
      <c r="P747" s="273"/>
      <c r="Q747" s="273"/>
      <c r="R747" s="273"/>
      <c r="S747" s="273"/>
      <c r="T747" s="273"/>
      <c r="U747" s="273"/>
      <c r="V747" s="273"/>
      <c r="W747" s="273">
        <f t="shared" ref="W747:W752" si="166">SUM(X747:AG747)</f>
        <v>155425.46</v>
      </c>
      <c r="X747" s="271"/>
      <c r="Y747" s="271"/>
      <c r="Z747" s="271"/>
      <c r="AA747" s="271"/>
      <c r="AC747" s="271"/>
      <c r="AE747" s="269">
        <v>155425.46</v>
      </c>
      <c r="AF747" s="84"/>
      <c r="AG747" s="82"/>
    </row>
    <row r="748" spans="1:34" x14ac:dyDescent="0.3">
      <c r="A748" s="10">
        <f t="shared" ref="A748:A767" si="167">A747+1</f>
        <v>661</v>
      </c>
      <c r="B748" s="124" t="s">
        <v>938</v>
      </c>
      <c r="C748" s="273">
        <f t="shared" si="164"/>
        <v>148761.01</v>
      </c>
      <c r="D748" s="273">
        <f t="shared" si="165"/>
        <v>0</v>
      </c>
      <c r="E748" s="273"/>
      <c r="F748" s="273"/>
      <c r="G748" s="273"/>
      <c r="H748" s="273"/>
      <c r="I748" s="273"/>
      <c r="J748" s="273"/>
      <c r="K748" s="273"/>
      <c r="L748" s="273"/>
      <c r="M748" s="273"/>
      <c r="N748" s="273"/>
      <c r="O748" s="273"/>
      <c r="P748" s="273"/>
      <c r="Q748" s="273"/>
      <c r="R748" s="273"/>
      <c r="S748" s="273"/>
      <c r="T748" s="273"/>
      <c r="U748" s="273"/>
      <c r="V748" s="273"/>
      <c r="W748" s="273">
        <f t="shared" si="166"/>
        <v>148761.01</v>
      </c>
      <c r="X748" s="271"/>
      <c r="Y748" s="271"/>
      <c r="Z748" s="271"/>
      <c r="AA748" s="271"/>
      <c r="AC748" s="271"/>
      <c r="AE748" s="269">
        <v>148761.01</v>
      </c>
      <c r="AF748" s="84"/>
      <c r="AG748" s="82"/>
    </row>
    <row r="749" spans="1:34" x14ac:dyDescent="0.3">
      <c r="A749" s="10">
        <f t="shared" si="167"/>
        <v>662</v>
      </c>
      <c r="B749" s="124" t="s">
        <v>939</v>
      </c>
      <c r="C749" s="273">
        <f t="shared" si="164"/>
        <v>214255.88</v>
      </c>
      <c r="D749" s="273">
        <f t="shared" si="165"/>
        <v>0</v>
      </c>
      <c r="E749" s="273"/>
      <c r="F749" s="273"/>
      <c r="G749" s="273"/>
      <c r="H749" s="273"/>
      <c r="I749" s="273"/>
      <c r="J749" s="273"/>
      <c r="K749" s="273"/>
      <c r="L749" s="273"/>
      <c r="M749" s="273"/>
      <c r="N749" s="273"/>
      <c r="O749" s="273"/>
      <c r="P749" s="273"/>
      <c r="Q749" s="273"/>
      <c r="R749" s="273"/>
      <c r="S749" s="273"/>
      <c r="T749" s="273"/>
      <c r="U749" s="273"/>
      <c r="V749" s="273"/>
      <c r="W749" s="273">
        <f t="shared" si="166"/>
        <v>214255.88</v>
      </c>
      <c r="X749" s="271"/>
      <c r="Y749" s="271"/>
      <c r="Z749" s="271"/>
      <c r="AA749" s="271"/>
      <c r="AC749" s="271"/>
      <c r="AE749" s="269">
        <v>214255.88</v>
      </c>
      <c r="AF749" s="84"/>
      <c r="AG749" s="82"/>
    </row>
    <row r="750" spans="1:34" x14ac:dyDescent="0.3">
      <c r="A750" s="10">
        <f t="shared" si="167"/>
        <v>663</v>
      </c>
      <c r="B750" s="124" t="s">
        <v>940</v>
      </c>
      <c r="C750" s="273">
        <f t="shared" si="164"/>
        <v>143269.1</v>
      </c>
      <c r="D750" s="273">
        <f t="shared" si="165"/>
        <v>0</v>
      </c>
      <c r="E750" s="273"/>
      <c r="F750" s="273"/>
      <c r="G750" s="273"/>
      <c r="H750" s="273"/>
      <c r="I750" s="273"/>
      <c r="J750" s="273"/>
      <c r="K750" s="273"/>
      <c r="L750" s="273"/>
      <c r="M750" s="273"/>
      <c r="N750" s="273"/>
      <c r="O750" s="273"/>
      <c r="P750" s="273"/>
      <c r="Q750" s="273"/>
      <c r="R750" s="273"/>
      <c r="S750" s="273"/>
      <c r="T750" s="273"/>
      <c r="U750" s="273"/>
      <c r="V750" s="273"/>
      <c r="W750" s="273">
        <f t="shared" si="166"/>
        <v>143269.1</v>
      </c>
      <c r="X750" s="271"/>
      <c r="Y750" s="271"/>
      <c r="Z750" s="271"/>
      <c r="AA750" s="271"/>
      <c r="AC750" s="271"/>
      <c r="AE750" s="269">
        <v>143269.1</v>
      </c>
      <c r="AF750" s="84"/>
      <c r="AG750" s="82"/>
    </row>
    <row r="751" spans="1:34" x14ac:dyDescent="0.3">
      <c r="A751" s="10">
        <f t="shared" si="167"/>
        <v>664</v>
      </c>
      <c r="B751" s="124" t="s">
        <v>941</v>
      </c>
      <c r="C751" s="273">
        <f t="shared" si="164"/>
        <v>520906.25</v>
      </c>
      <c r="D751" s="273">
        <f t="shared" si="165"/>
        <v>0</v>
      </c>
      <c r="E751" s="273"/>
      <c r="F751" s="273"/>
      <c r="G751" s="273"/>
      <c r="H751" s="273"/>
      <c r="I751" s="273"/>
      <c r="J751" s="273"/>
      <c r="K751" s="273"/>
      <c r="L751" s="273"/>
      <c r="M751" s="273"/>
      <c r="N751" s="273"/>
      <c r="O751" s="273"/>
      <c r="P751" s="273"/>
      <c r="Q751" s="273"/>
      <c r="R751" s="273"/>
      <c r="S751" s="273"/>
      <c r="T751" s="273">
        <v>3676.3</v>
      </c>
      <c r="U751" s="273">
        <v>520906.25</v>
      </c>
      <c r="V751" s="273"/>
      <c r="W751" s="273">
        <f t="shared" si="166"/>
        <v>0</v>
      </c>
      <c r="X751" s="271"/>
      <c r="Y751" s="271"/>
      <c r="Z751" s="271"/>
      <c r="AA751" s="271"/>
      <c r="AC751" s="271"/>
      <c r="AE751" s="269"/>
      <c r="AF751" s="84"/>
      <c r="AG751" s="82"/>
      <c r="AH751" s="82">
        <v>330243.76</v>
      </c>
    </row>
    <row r="752" spans="1:34" x14ac:dyDescent="0.3">
      <c r="A752" s="10">
        <f t="shared" si="167"/>
        <v>665</v>
      </c>
      <c r="B752" s="124" t="s">
        <v>942</v>
      </c>
      <c r="C752" s="273">
        <f t="shared" si="164"/>
        <v>954129.86</v>
      </c>
      <c r="D752" s="273">
        <f t="shared" si="165"/>
        <v>0</v>
      </c>
      <c r="E752" s="273"/>
      <c r="F752" s="273"/>
      <c r="G752" s="273"/>
      <c r="H752" s="273"/>
      <c r="I752" s="273"/>
      <c r="J752" s="273"/>
      <c r="K752" s="273"/>
      <c r="L752" s="273"/>
      <c r="M752" s="273"/>
      <c r="N752" s="273"/>
      <c r="O752" s="273"/>
      <c r="P752" s="273"/>
      <c r="Q752" s="273"/>
      <c r="R752" s="273"/>
      <c r="S752" s="273"/>
      <c r="T752" s="273">
        <v>1268.0999999999999</v>
      </c>
      <c r="U752" s="273">
        <v>954129.86</v>
      </c>
      <c r="V752" s="273"/>
      <c r="W752" s="273">
        <f t="shared" si="166"/>
        <v>0</v>
      </c>
      <c r="X752" s="271"/>
      <c r="Y752" s="271"/>
      <c r="AA752" s="271"/>
      <c r="AC752" s="271"/>
      <c r="AE752" s="269"/>
      <c r="AF752" s="84"/>
      <c r="AG752" s="82"/>
      <c r="AH752" s="82">
        <v>226091.95</v>
      </c>
    </row>
    <row r="753" spans="1:33" x14ac:dyDescent="0.3">
      <c r="A753" s="10">
        <f t="shared" si="167"/>
        <v>666</v>
      </c>
      <c r="B753" s="124" t="s">
        <v>943</v>
      </c>
      <c r="C753" s="273">
        <f t="shared" si="164"/>
        <v>234881.66999999998</v>
      </c>
      <c r="D753" s="273">
        <f t="shared" si="165"/>
        <v>0</v>
      </c>
      <c r="E753" s="273"/>
      <c r="F753" s="273"/>
      <c r="G753" s="273"/>
      <c r="H753" s="273"/>
      <c r="I753" s="273"/>
      <c r="J753" s="273"/>
      <c r="K753" s="273"/>
      <c r="L753" s="273"/>
      <c r="M753" s="273"/>
      <c r="N753" s="273"/>
      <c r="O753" s="273"/>
      <c r="P753" s="273"/>
      <c r="Q753" s="273"/>
      <c r="R753" s="273"/>
      <c r="S753" s="273"/>
      <c r="T753" s="273"/>
      <c r="U753" s="273"/>
      <c r="V753" s="273"/>
      <c r="W753" s="273">
        <f>SUM(Y753:AG753)</f>
        <v>234881.66999999998</v>
      </c>
      <c r="X753" s="110"/>
      <c r="Y753" s="271"/>
      <c r="AA753" s="271"/>
      <c r="AC753" s="271">
        <v>79037.240000000005</v>
      </c>
      <c r="AE753" s="269">
        <v>155844.43</v>
      </c>
      <c r="AF753" s="84"/>
      <c r="AG753" s="82"/>
    </row>
    <row r="754" spans="1:33" x14ac:dyDescent="0.3">
      <c r="A754" s="10">
        <f t="shared" si="167"/>
        <v>667</v>
      </c>
      <c r="B754" s="124" t="s">
        <v>944</v>
      </c>
      <c r="C754" s="273">
        <f t="shared" si="164"/>
        <v>181842.25999999998</v>
      </c>
      <c r="D754" s="273">
        <f t="shared" si="165"/>
        <v>0</v>
      </c>
      <c r="E754" s="273"/>
      <c r="F754" s="273"/>
      <c r="G754" s="273"/>
      <c r="H754" s="273"/>
      <c r="I754" s="273"/>
      <c r="J754" s="273"/>
      <c r="K754" s="273"/>
      <c r="L754" s="273"/>
      <c r="M754" s="273"/>
      <c r="N754" s="273"/>
      <c r="O754" s="273"/>
      <c r="P754" s="273"/>
      <c r="Q754" s="273"/>
      <c r="R754" s="273"/>
      <c r="S754" s="273"/>
      <c r="T754" s="273"/>
      <c r="U754" s="273"/>
      <c r="V754" s="273"/>
      <c r="W754" s="273">
        <f>SUM(X754:AG754)</f>
        <v>181842.25999999998</v>
      </c>
      <c r="X754" s="110">
        <v>83959.7</v>
      </c>
      <c r="Z754" s="271">
        <f>97882.56/2</f>
        <v>48941.279999999999</v>
      </c>
      <c r="AA754" s="271">
        <f>97882.56/2</f>
        <v>48941.279999999999</v>
      </c>
      <c r="AC754" s="271"/>
      <c r="AE754" s="269"/>
      <c r="AF754" s="84"/>
      <c r="AG754" s="82"/>
    </row>
    <row r="755" spans="1:33" x14ac:dyDescent="0.3">
      <c r="A755" s="10">
        <f t="shared" si="167"/>
        <v>668</v>
      </c>
      <c r="B755" s="124" t="s">
        <v>945</v>
      </c>
      <c r="C755" s="273">
        <f t="shared" si="164"/>
        <v>289514.79000000004</v>
      </c>
      <c r="D755" s="273">
        <f t="shared" si="165"/>
        <v>0</v>
      </c>
      <c r="E755" s="273"/>
      <c r="F755" s="273"/>
      <c r="G755" s="273"/>
      <c r="H755" s="273"/>
      <c r="I755" s="273"/>
      <c r="J755" s="273"/>
      <c r="K755" s="273"/>
      <c r="L755" s="273"/>
      <c r="M755" s="273"/>
      <c r="N755" s="273"/>
      <c r="O755" s="273"/>
      <c r="P755" s="273"/>
      <c r="Q755" s="273"/>
      <c r="R755" s="273"/>
      <c r="S755" s="273"/>
      <c r="T755" s="273"/>
      <c r="U755" s="273"/>
      <c r="V755" s="273"/>
      <c r="W755" s="273">
        <f>SUM(X755:AG755)</f>
        <v>289514.79000000004</v>
      </c>
      <c r="X755" s="271"/>
      <c r="Y755" s="271"/>
      <c r="Z755" s="271"/>
      <c r="AA755" s="271"/>
      <c r="AC755" s="271">
        <v>98517.59</v>
      </c>
      <c r="AE755" s="269">
        <v>190997.2</v>
      </c>
      <c r="AF755" s="84"/>
      <c r="AG755" s="82"/>
    </row>
    <row r="756" spans="1:33" x14ac:dyDescent="0.3">
      <c r="A756" s="10">
        <f t="shared" si="167"/>
        <v>669</v>
      </c>
      <c r="B756" s="124" t="s">
        <v>946</v>
      </c>
      <c r="C756" s="273">
        <f t="shared" si="164"/>
        <v>4384184.4000000004</v>
      </c>
      <c r="D756" s="273">
        <f t="shared" si="165"/>
        <v>0</v>
      </c>
      <c r="E756" s="273"/>
      <c r="F756" s="273"/>
      <c r="G756" s="273"/>
      <c r="H756" s="273"/>
      <c r="I756" s="273"/>
      <c r="J756" s="273"/>
      <c r="K756" s="273"/>
      <c r="L756" s="273"/>
      <c r="M756" s="273">
        <v>794.1</v>
      </c>
      <c r="N756" s="273">
        <v>4384184.4000000004</v>
      </c>
      <c r="O756" s="273"/>
      <c r="P756" s="273"/>
      <c r="Q756" s="273"/>
      <c r="R756" s="273"/>
      <c r="S756" s="273"/>
      <c r="T756" s="273"/>
      <c r="U756" s="273"/>
      <c r="V756" s="273"/>
      <c r="W756" s="273">
        <f>SUM(X756:AG756)</f>
        <v>0</v>
      </c>
      <c r="X756" s="271"/>
      <c r="Y756" s="271"/>
      <c r="Z756" s="271"/>
      <c r="AA756" s="271"/>
      <c r="AC756" s="269"/>
      <c r="AF756" s="84"/>
      <c r="AG756" s="82"/>
    </row>
    <row r="757" spans="1:33" x14ac:dyDescent="0.3">
      <c r="A757" s="10">
        <f t="shared" si="167"/>
        <v>670</v>
      </c>
      <c r="B757" s="124" t="s">
        <v>947</v>
      </c>
      <c r="C757" s="273">
        <f t="shared" si="164"/>
        <v>130000</v>
      </c>
      <c r="D757" s="273">
        <f t="shared" si="165"/>
        <v>0</v>
      </c>
      <c r="E757" s="273"/>
      <c r="F757" s="273"/>
      <c r="G757" s="273"/>
      <c r="H757" s="273"/>
      <c r="I757" s="273"/>
      <c r="J757" s="273"/>
      <c r="K757" s="273"/>
      <c r="L757" s="273"/>
      <c r="M757" s="273"/>
      <c r="N757" s="273"/>
      <c r="O757" s="273"/>
      <c r="P757" s="273"/>
      <c r="Q757" s="273"/>
      <c r="R757" s="273"/>
      <c r="S757" s="273"/>
      <c r="T757" s="273"/>
      <c r="U757" s="273"/>
      <c r="V757" s="273"/>
      <c r="W757" s="273">
        <v>130000</v>
      </c>
      <c r="X757" s="271"/>
      <c r="Y757" s="271"/>
      <c r="Z757" s="271"/>
      <c r="AA757" s="271"/>
      <c r="AC757" s="271"/>
      <c r="AE757" s="269"/>
      <c r="AF757" s="84"/>
      <c r="AG757" s="82"/>
    </row>
    <row r="758" spans="1:33" x14ac:dyDescent="0.3">
      <c r="A758" s="10">
        <f t="shared" si="167"/>
        <v>671</v>
      </c>
      <c r="B758" s="124" t="s">
        <v>948</v>
      </c>
      <c r="C758" s="273">
        <f t="shared" si="164"/>
        <v>130000</v>
      </c>
      <c r="D758" s="273">
        <f t="shared" si="165"/>
        <v>0</v>
      </c>
      <c r="E758" s="273"/>
      <c r="F758" s="273"/>
      <c r="G758" s="273"/>
      <c r="H758" s="273"/>
      <c r="I758" s="273"/>
      <c r="J758" s="273"/>
      <c r="K758" s="273"/>
      <c r="L758" s="273"/>
      <c r="M758" s="273"/>
      <c r="N758" s="273"/>
      <c r="O758" s="273"/>
      <c r="P758" s="273"/>
      <c r="Q758" s="273"/>
      <c r="R758" s="273"/>
      <c r="S758" s="273"/>
      <c r="T758" s="273"/>
      <c r="U758" s="273"/>
      <c r="V758" s="273"/>
      <c r="W758" s="273">
        <v>130000</v>
      </c>
      <c r="X758" s="271"/>
      <c r="Y758" s="271"/>
      <c r="Z758" s="271"/>
      <c r="AA758" s="271"/>
      <c r="AC758" s="271"/>
      <c r="AE758" s="269"/>
      <c r="AF758" s="84"/>
      <c r="AG758" s="82"/>
    </row>
    <row r="759" spans="1:33" x14ac:dyDescent="0.3">
      <c r="A759" s="10">
        <f t="shared" si="167"/>
        <v>672</v>
      </c>
      <c r="B759" s="124" t="s">
        <v>949</v>
      </c>
      <c r="C759" s="273">
        <f t="shared" si="164"/>
        <v>130000</v>
      </c>
      <c r="D759" s="273">
        <f t="shared" si="165"/>
        <v>0</v>
      </c>
      <c r="E759" s="273"/>
      <c r="F759" s="273"/>
      <c r="G759" s="273"/>
      <c r="H759" s="273"/>
      <c r="I759" s="273"/>
      <c r="J759" s="273"/>
      <c r="K759" s="273"/>
      <c r="L759" s="273"/>
      <c r="M759" s="273"/>
      <c r="N759" s="273"/>
      <c r="O759" s="273"/>
      <c r="P759" s="273"/>
      <c r="Q759" s="273"/>
      <c r="R759" s="273"/>
      <c r="S759" s="273"/>
      <c r="T759" s="273"/>
      <c r="U759" s="273"/>
      <c r="V759" s="273"/>
      <c r="W759" s="273">
        <v>130000</v>
      </c>
      <c r="X759" s="271"/>
      <c r="Y759" s="271"/>
      <c r="Z759" s="271"/>
      <c r="AA759" s="271"/>
      <c r="AC759" s="271"/>
      <c r="AE759" s="269"/>
      <c r="AF759" s="84"/>
      <c r="AG759" s="82"/>
    </row>
    <row r="760" spans="1:33" x14ac:dyDescent="0.3">
      <c r="A760" s="10">
        <f t="shared" si="167"/>
        <v>673</v>
      </c>
      <c r="B760" s="124" t="s">
        <v>950</v>
      </c>
      <c r="C760" s="273">
        <f t="shared" si="164"/>
        <v>49621.78</v>
      </c>
      <c r="D760" s="273">
        <f t="shared" si="165"/>
        <v>0</v>
      </c>
      <c r="E760" s="273"/>
      <c r="F760" s="273"/>
      <c r="G760" s="273"/>
      <c r="H760" s="273"/>
      <c r="I760" s="273"/>
      <c r="J760" s="273"/>
      <c r="K760" s="273"/>
      <c r="L760" s="273"/>
      <c r="M760" s="273"/>
      <c r="N760" s="273"/>
      <c r="O760" s="273"/>
      <c r="P760" s="273"/>
      <c r="Q760" s="273"/>
      <c r="R760" s="273"/>
      <c r="S760" s="273"/>
      <c r="T760" s="273"/>
      <c r="U760" s="273"/>
      <c r="V760" s="273"/>
      <c r="W760" s="273">
        <f t="shared" ref="W760:W767" si="168">SUM(X760:AG760)</f>
        <v>49621.78</v>
      </c>
      <c r="X760" s="271"/>
      <c r="Y760" s="271"/>
      <c r="Z760" s="271"/>
      <c r="AA760" s="271"/>
      <c r="AC760" s="271">
        <v>49621.78</v>
      </c>
      <c r="AE760" s="269"/>
      <c r="AF760" s="84"/>
      <c r="AG760" s="82"/>
    </row>
    <row r="761" spans="1:33" x14ac:dyDescent="0.3">
      <c r="A761" s="10">
        <f t="shared" si="167"/>
        <v>674</v>
      </c>
      <c r="B761" s="124" t="s">
        <v>951</v>
      </c>
      <c r="C761" s="273">
        <f t="shared" si="164"/>
        <v>271724.02</v>
      </c>
      <c r="D761" s="273">
        <f t="shared" si="165"/>
        <v>0</v>
      </c>
      <c r="E761" s="273"/>
      <c r="F761" s="273"/>
      <c r="G761" s="273"/>
      <c r="H761" s="273"/>
      <c r="I761" s="273"/>
      <c r="J761" s="273"/>
      <c r="K761" s="273"/>
      <c r="L761" s="273"/>
      <c r="M761" s="273"/>
      <c r="N761" s="273"/>
      <c r="O761" s="273"/>
      <c r="P761" s="273"/>
      <c r="Q761" s="273"/>
      <c r="R761" s="273"/>
      <c r="S761" s="273"/>
      <c r="T761" s="273"/>
      <c r="U761" s="273"/>
      <c r="V761" s="273"/>
      <c r="W761" s="273">
        <f t="shared" si="168"/>
        <v>271724.02</v>
      </c>
      <c r="X761" s="271"/>
      <c r="Y761" s="271"/>
      <c r="Z761" s="271"/>
      <c r="AA761" s="271"/>
      <c r="AC761" s="271"/>
      <c r="AE761" s="269"/>
      <c r="AF761" s="84">
        <v>271724.02</v>
      </c>
      <c r="AG761" s="82"/>
    </row>
    <row r="762" spans="1:33" x14ac:dyDescent="0.3">
      <c r="A762" s="10">
        <f t="shared" si="167"/>
        <v>675</v>
      </c>
      <c r="B762" s="124" t="s">
        <v>952</v>
      </c>
      <c r="C762" s="273">
        <f t="shared" si="164"/>
        <v>178961.59</v>
      </c>
      <c r="D762" s="273">
        <f t="shared" si="165"/>
        <v>0</v>
      </c>
      <c r="E762" s="273"/>
      <c r="F762" s="273"/>
      <c r="G762" s="273"/>
      <c r="H762" s="273"/>
      <c r="I762" s="273"/>
      <c r="J762" s="273"/>
      <c r="K762" s="273"/>
      <c r="L762" s="273"/>
      <c r="M762" s="273"/>
      <c r="N762" s="273"/>
      <c r="O762" s="273"/>
      <c r="P762" s="273"/>
      <c r="Q762" s="273"/>
      <c r="R762" s="273"/>
      <c r="S762" s="273"/>
      <c r="T762" s="273"/>
      <c r="U762" s="273"/>
      <c r="V762" s="273"/>
      <c r="W762" s="273">
        <f t="shared" si="168"/>
        <v>178961.59</v>
      </c>
      <c r="X762" s="271"/>
      <c r="Y762" s="271"/>
      <c r="Z762" s="271"/>
      <c r="AA762" s="271"/>
      <c r="AC762" s="271">
        <v>178961.59</v>
      </c>
      <c r="AE762" s="269"/>
      <c r="AF762" s="84"/>
      <c r="AG762" s="82"/>
    </row>
    <row r="763" spans="1:33" x14ac:dyDescent="0.3">
      <c r="A763" s="10">
        <f t="shared" si="167"/>
        <v>676</v>
      </c>
      <c r="B763" s="124" t="s">
        <v>953</v>
      </c>
      <c r="C763" s="273">
        <f t="shared" si="164"/>
        <v>178961.59</v>
      </c>
      <c r="D763" s="273">
        <f t="shared" si="165"/>
        <v>0</v>
      </c>
      <c r="E763" s="273"/>
      <c r="F763" s="273"/>
      <c r="G763" s="273"/>
      <c r="H763" s="273"/>
      <c r="I763" s="273"/>
      <c r="J763" s="273"/>
      <c r="K763" s="273"/>
      <c r="L763" s="273"/>
      <c r="M763" s="273"/>
      <c r="N763" s="273"/>
      <c r="O763" s="273"/>
      <c r="P763" s="273"/>
      <c r="Q763" s="273"/>
      <c r="R763" s="273"/>
      <c r="S763" s="273"/>
      <c r="T763" s="273"/>
      <c r="U763" s="273"/>
      <c r="V763" s="273"/>
      <c r="W763" s="273">
        <f t="shared" si="168"/>
        <v>178961.59</v>
      </c>
      <c r="X763" s="271"/>
      <c r="Y763" s="271"/>
      <c r="Z763" s="271"/>
      <c r="AA763" s="271"/>
      <c r="AC763" s="271">
        <v>178961.59</v>
      </c>
      <c r="AE763" s="269"/>
      <c r="AF763" s="84"/>
      <c r="AG763" s="82"/>
    </row>
    <row r="764" spans="1:33" x14ac:dyDescent="0.3">
      <c r="A764" s="10">
        <f t="shared" si="167"/>
        <v>677</v>
      </c>
      <c r="B764" s="124" t="s">
        <v>954</v>
      </c>
      <c r="C764" s="273">
        <f t="shared" si="164"/>
        <v>352033.67</v>
      </c>
      <c r="D764" s="273">
        <f t="shared" si="165"/>
        <v>0</v>
      </c>
      <c r="E764" s="273"/>
      <c r="F764" s="273"/>
      <c r="G764" s="273"/>
      <c r="H764" s="273"/>
      <c r="I764" s="273"/>
      <c r="J764" s="273"/>
      <c r="K764" s="273"/>
      <c r="L764" s="273"/>
      <c r="M764" s="273"/>
      <c r="N764" s="273"/>
      <c r="O764" s="273"/>
      <c r="P764" s="273"/>
      <c r="Q764" s="273"/>
      <c r="R764" s="273"/>
      <c r="S764" s="273"/>
      <c r="T764" s="273"/>
      <c r="U764" s="273"/>
      <c r="V764" s="273"/>
      <c r="W764" s="273">
        <f t="shared" si="168"/>
        <v>352033.67</v>
      </c>
      <c r="X764" s="271"/>
      <c r="Y764" s="271"/>
      <c r="Z764" s="271"/>
      <c r="AA764" s="271"/>
      <c r="AC764" s="271"/>
      <c r="AE764" s="269">
        <v>352033.67</v>
      </c>
      <c r="AF764" s="84"/>
      <c r="AG764" s="82"/>
    </row>
    <row r="765" spans="1:33" x14ac:dyDescent="0.3">
      <c r="A765" s="10">
        <f t="shared" si="167"/>
        <v>678</v>
      </c>
      <c r="B765" s="124" t="s">
        <v>955</v>
      </c>
      <c r="C765" s="273">
        <f t="shared" si="164"/>
        <v>352033.67</v>
      </c>
      <c r="D765" s="273">
        <f t="shared" si="165"/>
        <v>0</v>
      </c>
      <c r="E765" s="273"/>
      <c r="F765" s="273"/>
      <c r="G765" s="273"/>
      <c r="H765" s="273"/>
      <c r="I765" s="273"/>
      <c r="J765" s="273"/>
      <c r="K765" s="273"/>
      <c r="L765" s="273"/>
      <c r="M765" s="273"/>
      <c r="N765" s="273"/>
      <c r="O765" s="273"/>
      <c r="P765" s="273"/>
      <c r="Q765" s="273"/>
      <c r="R765" s="273"/>
      <c r="S765" s="273"/>
      <c r="T765" s="273"/>
      <c r="U765" s="273"/>
      <c r="V765" s="273"/>
      <c r="W765" s="273">
        <f t="shared" si="168"/>
        <v>352033.67</v>
      </c>
      <c r="X765" s="271"/>
      <c r="Y765" s="271"/>
      <c r="Z765" s="271"/>
      <c r="AA765" s="271"/>
      <c r="AC765" s="271"/>
      <c r="AE765" s="269">
        <v>352033.67</v>
      </c>
      <c r="AF765" s="84"/>
      <c r="AG765" s="82"/>
    </row>
    <row r="766" spans="1:33" x14ac:dyDescent="0.3">
      <c r="A766" s="10">
        <f t="shared" si="167"/>
        <v>679</v>
      </c>
      <c r="B766" s="124" t="s">
        <v>956</v>
      </c>
      <c r="C766" s="273">
        <f t="shared" si="164"/>
        <v>352033.67</v>
      </c>
      <c r="D766" s="273">
        <f t="shared" si="165"/>
        <v>0</v>
      </c>
      <c r="E766" s="273"/>
      <c r="F766" s="273"/>
      <c r="G766" s="273"/>
      <c r="H766" s="273"/>
      <c r="I766" s="273"/>
      <c r="J766" s="273"/>
      <c r="K766" s="273"/>
      <c r="L766" s="273"/>
      <c r="M766" s="273"/>
      <c r="N766" s="273"/>
      <c r="O766" s="273"/>
      <c r="P766" s="273"/>
      <c r="Q766" s="273"/>
      <c r="R766" s="273"/>
      <c r="S766" s="273"/>
      <c r="T766" s="273"/>
      <c r="U766" s="273"/>
      <c r="V766" s="273"/>
      <c r="W766" s="273">
        <f t="shared" si="168"/>
        <v>352033.67</v>
      </c>
      <c r="X766" s="271"/>
      <c r="Y766" s="271"/>
      <c r="Z766" s="271"/>
      <c r="AA766" s="271"/>
      <c r="AC766" s="271"/>
      <c r="AE766" s="269">
        <v>352033.67</v>
      </c>
      <c r="AF766" s="84"/>
      <c r="AG766" s="82"/>
    </row>
    <row r="767" spans="1:33" x14ac:dyDescent="0.3">
      <c r="A767" s="10">
        <f t="shared" si="167"/>
        <v>680</v>
      </c>
      <c r="B767" s="124" t="s">
        <v>957</v>
      </c>
      <c r="C767" s="273">
        <f t="shared" si="164"/>
        <v>277706</v>
      </c>
      <c r="D767" s="273">
        <f t="shared" si="165"/>
        <v>0</v>
      </c>
      <c r="E767" s="273"/>
      <c r="F767" s="273"/>
      <c r="G767" s="273"/>
      <c r="H767" s="273"/>
      <c r="I767" s="273"/>
      <c r="J767" s="273"/>
      <c r="K767" s="273"/>
      <c r="L767" s="273"/>
      <c r="M767" s="273"/>
      <c r="N767" s="273"/>
      <c r="O767" s="273"/>
      <c r="P767" s="273"/>
      <c r="Q767" s="273"/>
      <c r="R767" s="273"/>
      <c r="S767" s="273"/>
      <c r="T767" s="273"/>
      <c r="U767" s="273"/>
      <c r="V767" s="273"/>
      <c r="W767" s="273">
        <f t="shared" si="168"/>
        <v>277706</v>
      </c>
      <c r="X767" s="271"/>
      <c r="Y767" s="271"/>
      <c r="Z767" s="271"/>
      <c r="AA767" s="271"/>
      <c r="AC767" s="271"/>
      <c r="AE767" s="269"/>
      <c r="AF767" s="84">
        <v>277706</v>
      </c>
      <c r="AG767" s="82"/>
    </row>
    <row r="768" spans="1:33" x14ac:dyDescent="0.3">
      <c r="A768" s="10"/>
      <c r="B768" s="124" t="s">
        <v>208</v>
      </c>
      <c r="C768" s="273">
        <f t="shared" ref="C768:W768" si="169">SUM(C747:C767)</f>
        <v>9630246.6699999999</v>
      </c>
      <c r="D768" s="273">
        <f t="shared" si="169"/>
        <v>0</v>
      </c>
      <c r="E768" s="273">
        <f t="shared" si="169"/>
        <v>0</v>
      </c>
      <c r="F768" s="273">
        <f t="shared" si="169"/>
        <v>0</v>
      </c>
      <c r="G768" s="273">
        <f t="shared" si="169"/>
        <v>0</v>
      </c>
      <c r="H768" s="273">
        <f t="shared" si="169"/>
        <v>0</v>
      </c>
      <c r="I768" s="273">
        <f t="shared" si="169"/>
        <v>0</v>
      </c>
      <c r="J768" s="273">
        <f t="shared" si="169"/>
        <v>0</v>
      </c>
      <c r="K768" s="273">
        <f t="shared" si="169"/>
        <v>0</v>
      </c>
      <c r="L768" s="273">
        <f t="shared" si="169"/>
        <v>0</v>
      </c>
      <c r="M768" s="273">
        <f t="shared" si="169"/>
        <v>794.1</v>
      </c>
      <c r="N768" s="273">
        <f t="shared" si="169"/>
        <v>4384184.4000000004</v>
      </c>
      <c r="O768" s="273">
        <f t="shared" si="169"/>
        <v>0</v>
      </c>
      <c r="P768" s="273">
        <f t="shared" si="169"/>
        <v>0</v>
      </c>
      <c r="Q768" s="273">
        <f t="shared" si="169"/>
        <v>0</v>
      </c>
      <c r="R768" s="273">
        <f t="shared" si="169"/>
        <v>0</v>
      </c>
      <c r="S768" s="273">
        <f t="shared" si="169"/>
        <v>0</v>
      </c>
      <c r="T768" s="273">
        <f t="shared" si="169"/>
        <v>4944.3999999999996</v>
      </c>
      <c r="U768" s="273">
        <f t="shared" si="169"/>
        <v>1475036.1099999999</v>
      </c>
      <c r="V768" s="273">
        <f t="shared" si="169"/>
        <v>0</v>
      </c>
      <c r="W768" s="273">
        <f t="shared" si="169"/>
        <v>3771026.1599999997</v>
      </c>
      <c r="X768" s="271"/>
      <c r="Y768" s="271"/>
      <c r="Z768" s="271"/>
      <c r="AA768" s="271"/>
      <c r="AB768" s="269"/>
      <c r="AC768" s="271"/>
      <c r="AD768" s="82"/>
      <c r="AE768" s="82"/>
      <c r="AF768" s="13"/>
    </row>
    <row r="769" spans="1:32" ht="32.25" customHeight="1" x14ac:dyDescent="0.3">
      <c r="A769" s="374" t="s">
        <v>961</v>
      </c>
      <c r="B769" s="375"/>
      <c r="C769" s="273"/>
      <c r="D769" s="273"/>
      <c r="E769" s="273"/>
      <c r="F769" s="273"/>
      <c r="G769" s="273"/>
      <c r="H769" s="273"/>
      <c r="I769" s="273"/>
      <c r="J769" s="273"/>
      <c r="K769" s="273"/>
      <c r="L769" s="273"/>
      <c r="M769" s="273"/>
      <c r="N769" s="273"/>
      <c r="O769" s="273"/>
      <c r="P769" s="273"/>
      <c r="Q769" s="273"/>
      <c r="R769" s="273"/>
      <c r="S769" s="273"/>
      <c r="T769" s="273"/>
      <c r="U769" s="273"/>
      <c r="V769" s="273"/>
      <c r="W769" s="273"/>
      <c r="X769" s="271"/>
      <c r="Y769" s="271"/>
      <c r="Z769" s="271"/>
      <c r="AA769" s="271"/>
      <c r="AB769" s="269"/>
      <c r="AC769" s="84"/>
      <c r="AD769" s="82"/>
      <c r="AE769" s="82"/>
      <c r="AF769" s="13"/>
    </row>
    <row r="770" spans="1:32" x14ac:dyDescent="0.3">
      <c r="A770" s="10">
        <f>A767+1</f>
        <v>681</v>
      </c>
      <c r="B770" s="124" t="s">
        <v>962</v>
      </c>
      <c r="C770" s="273">
        <f t="shared" ref="C770:C801" si="170">D770+K770+L770+N770+P770+R770+S770+U770+W770</f>
        <v>336947.38</v>
      </c>
      <c r="D770" s="273">
        <f t="shared" ref="D770:D801" si="171">E770+F770+G770+H770+I770</f>
        <v>0</v>
      </c>
      <c r="E770" s="273"/>
      <c r="F770" s="273"/>
      <c r="G770" s="273"/>
      <c r="H770" s="273"/>
      <c r="I770" s="273"/>
      <c r="J770" s="273"/>
      <c r="K770" s="273"/>
      <c r="L770" s="273"/>
      <c r="M770" s="273"/>
      <c r="N770" s="273"/>
      <c r="O770" s="273"/>
      <c r="P770" s="273"/>
      <c r="Q770" s="273"/>
      <c r="R770" s="273"/>
      <c r="S770" s="273"/>
      <c r="T770" s="273"/>
      <c r="U770" s="273"/>
      <c r="V770" s="273"/>
      <c r="W770" s="273">
        <f>SUM(X770:AG770)</f>
        <v>336947.38</v>
      </c>
      <c r="X770" s="271"/>
      <c r="Y770" s="271"/>
      <c r="Z770" s="271"/>
      <c r="AA770" s="271"/>
      <c r="AC770" s="271">
        <v>121646.74</v>
      </c>
      <c r="AD770" s="82"/>
      <c r="AE770" s="269">
        <v>215300.64</v>
      </c>
      <c r="AF770" s="13"/>
    </row>
    <row r="771" spans="1:32" x14ac:dyDescent="0.3">
      <c r="A771" s="10">
        <f t="shared" ref="A771:A802" si="172">A770+1</f>
        <v>682</v>
      </c>
      <c r="B771" s="124" t="s">
        <v>963</v>
      </c>
      <c r="C771" s="273">
        <f t="shared" si="170"/>
        <v>304655.58</v>
      </c>
      <c r="D771" s="273">
        <f t="shared" si="171"/>
        <v>0</v>
      </c>
      <c r="E771" s="273"/>
      <c r="F771" s="273"/>
      <c r="G771" s="273"/>
      <c r="H771" s="273"/>
      <c r="I771" s="273"/>
      <c r="J771" s="273"/>
      <c r="K771" s="273"/>
      <c r="L771" s="273"/>
      <c r="M771" s="273"/>
      <c r="N771" s="273"/>
      <c r="O771" s="273"/>
      <c r="P771" s="273"/>
      <c r="Q771" s="273"/>
      <c r="R771" s="273"/>
      <c r="S771" s="273"/>
      <c r="T771" s="273"/>
      <c r="U771" s="273"/>
      <c r="V771" s="273"/>
      <c r="W771" s="273">
        <f>SUM(X771:AG771)</f>
        <v>304655.58</v>
      </c>
      <c r="X771" s="271"/>
      <c r="Y771" s="271"/>
      <c r="Z771" s="271"/>
      <c r="AA771" s="271"/>
      <c r="AC771" s="271">
        <v>108775.6</v>
      </c>
      <c r="AD771" s="82"/>
      <c r="AE771" s="269">
        <v>195879.98</v>
      </c>
      <c r="AF771" s="13"/>
    </row>
    <row r="772" spans="1:32" x14ac:dyDescent="0.3">
      <c r="A772" s="10">
        <f t="shared" si="172"/>
        <v>683</v>
      </c>
      <c r="B772" s="124" t="s">
        <v>964</v>
      </c>
      <c r="C772" s="273">
        <f t="shared" si="170"/>
        <v>123271.21</v>
      </c>
      <c r="D772" s="273">
        <f t="shared" si="171"/>
        <v>0</v>
      </c>
      <c r="E772" s="273"/>
      <c r="F772" s="273"/>
      <c r="G772" s="273"/>
      <c r="H772" s="273"/>
      <c r="I772" s="273"/>
      <c r="J772" s="273"/>
      <c r="K772" s="273"/>
      <c r="L772" s="273"/>
      <c r="M772" s="273"/>
      <c r="N772" s="273"/>
      <c r="O772" s="273"/>
      <c r="P772" s="273"/>
      <c r="Q772" s="273"/>
      <c r="R772" s="273"/>
      <c r="S772" s="273"/>
      <c r="T772" s="273"/>
      <c r="U772" s="273"/>
      <c r="V772" s="273"/>
      <c r="W772" s="273">
        <f>SUM(X772:AG772)</f>
        <v>123271.21</v>
      </c>
      <c r="X772" s="271"/>
      <c r="Y772" s="271"/>
      <c r="Z772" s="271"/>
      <c r="AA772" s="271"/>
      <c r="AC772" s="271">
        <v>123271.21</v>
      </c>
      <c r="AD772" s="82"/>
      <c r="AE772" s="269"/>
      <c r="AF772" s="84"/>
    </row>
    <row r="773" spans="1:32" x14ac:dyDescent="0.3">
      <c r="A773" s="10">
        <f t="shared" si="172"/>
        <v>684</v>
      </c>
      <c r="B773" s="124" t="s">
        <v>965</v>
      </c>
      <c r="C773" s="273">
        <f t="shared" si="170"/>
        <v>107890.03</v>
      </c>
      <c r="D773" s="273">
        <f t="shared" si="171"/>
        <v>0</v>
      </c>
      <c r="E773" s="273"/>
      <c r="F773" s="273"/>
      <c r="G773" s="273"/>
      <c r="H773" s="273"/>
      <c r="I773" s="273"/>
      <c r="J773" s="273"/>
      <c r="K773" s="273"/>
      <c r="L773" s="273"/>
      <c r="M773" s="273"/>
      <c r="N773" s="273"/>
      <c r="O773" s="273"/>
      <c r="P773" s="273"/>
      <c r="Q773" s="273"/>
      <c r="R773" s="273"/>
      <c r="S773" s="273"/>
      <c r="T773" s="273"/>
      <c r="U773" s="273"/>
      <c r="V773" s="273"/>
      <c r="W773" s="273">
        <f>SUM(X773:AG773)</f>
        <v>107890.03</v>
      </c>
      <c r="X773" s="271"/>
      <c r="Y773" s="271"/>
      <c r="Z773" s="271"/>
      <c r="AA773" s="271"/>
      <c r="AC773" s="271">
        <v>107890.03</v>
      </c>
      <c r="AD773" s="82"/>
      <c r="AE773" s="269"/>
      <c r="AF773" s="84"/>
    </row>
    <row r="774" spans="1:32" x14ac:dyDescent="0.3">
      <c r="A774" s="10">
        <f t="shared" si="172"/>
        <v>685</v>
      </c>
      <c r="B774" s="124" t="s">
        <v>966</v>
      </c>
      <c r="C774" s="273">
        <f t="shared" si="170"/>
        <v>173878.86</v>
      </c>
      <c r="D774" s="273">
        <f t="shared" si="171"/>
        <v>0</v>
      </c>
      <c r="E774" s="273"/>
      <c r="F774" s="273"/>
      <c r="G774" s="273"/>
      <c r="H774" s="273"/>
      <c r="I774" s="273"/>
      <c r="J774" s="273"/>
      <c r="K774" s="273"/>
      <c r="L774" s="273"/>
      <c r="M774" s="273"/>
      <c r="N774" s="273"/>
      <c r="O774" s="273"/>
      <c r="P774" s="273"/>
      <c r="Q774" s="273"/>
      <c r="R774" s="273"/>
      <c r="S774" s="273"/>
      <c r="T774" s="273"/>
      <c r="U774" s="273"/>
      <c r="V774" s="273"/>
      <c r="W774" s="273">
        <f>SUM(X774:AG774)</f>
        <v>173878.86</v>
      </c>
      <c r="X774" s="271"/>
      <c r="Y774" s="271"/>
      <c r="Z774" s="271"/>
      <c r="AA774" s="271"/>
      <c r="AC774" s="271"/>
      <c r="AD774" s="82"/>
      <c r="AE774" s="269"/>
      <c r="AF774" s="84">
        <v>173878.86</v>
      </c>
    </row>
    <row r="775" spans="1:32" x14ac:dyDescent="0.3">
      <c r="A775" s="10">
        <f t="shared" si="172"/>
        <v>686</v>
      </c>
      <c r="B775" s="124" t="s">
        <v>967</v>
      </c>
      <c r="C775" s="273">
        <f t="shared" si="170"/>
        <v>641413.80000000005</v>
      </c>
      <c r="D775" s="273">
        <f t="shared" si="171"/>
        <v>0</v>
      </c>
      <c r="E775" s="273"/>
      <c r="F775" s="273"/>
      <c r="G775" s="273"/>
      <c r="H775" s="273"/>
      <c r="I775" s="273"/>
      <c r="J775" s="273"/>
      <c r="K775" s="273"/>
      <c r="L775" s="273"/>
      <c r="M775" s="273"/>
      <c r="N775" s="273"/>
      <c r="O775" s="273"/>
      <c r="P775" s="273"/>
      <c r="Q775" s="273"/>
      <c r="R775" s="273"/>
      <c r="S775" s="273"/>
      <c r="T775" s="273"/>
      <c r="U775" s="273"/>
      <c r="V775" s="273"/>
      <c r="W775" s="273">
        <f t="shared" ref="W775:W806" si="173">SUM(Y775:AG775)</f>
        <v>641413.80000000005</v>
      </c>
      <c r="Y775" s="271"/>
      <c r="Z775" s="110"/>
      <c r="AA775" s="271"/>
      <c r="AC775" s="271">
        <v>229590.95</v>
      </c>
      <c r="AD775" s="82"/>
      <c r="AE775" s="269">
        <v>411822.85</v>
      </c>
      <c r="AF775" s="84"/>
    </row>
    <row r="776" spans="1:32" x14ac:dyDescent="0.3">
      <c r="A776" s="10">
        <f t="shared" si="172"/>
        <v>687</v>
      </c>
      <c r="B776" s="124" t="s">
        <v>968</v>
      </c>
      <c r="C776" s="273">
        <f t="shared" si="170"/>
        <v>177287.92</v>
      </c>
      <c r="D776" s="273">
        <f t="shared" si="171"/>
        <v>0</v>
      </c>
      <c r="E776" s="273"/>
      <c r="F776" s="273"/>
      <c r="G776" s="273"/>
      <c r="H776" s="273"/>
      <c r="I776" s="273"/>
      <c r="J776" s="273"/>
      <c r="K776" s="273"/>
      <c r="L776" s="273"/>
      <c r="M776" s="273"/>
      <c r="N776" s="273"/>
      <c r="O776" s="273"/>
      <c r="P776" s="273"/>
      <c r="Q776" s="273"/>
      <c r="R776" s="273"/>
      <c r="S776" s="273"/>
      <c r="T776" s="273"/>
      <c r="U776" s="273"/>
      <c r="V776" s="273"/>
      <c r="W776" s="273">
        <f t="shared" si="173"/>
        <v>177287.92</v>
      </c>
      <c r="Y776" s="271"/>
      <c r="Z776" s="271"/>
      <c r="AA776" s="271"/>
      <c r="AC776" s="271">
        <v>177287.92</v>
      </c>
      <c r="AD776" s="82"/>
      <c r="AE776" s="269"/>
      <c r="AF776" s="84"/>
    </row>
    <row r="777" spans="1:32" x14ac:dyDescent="0.3">
      <c r="A777" s="10">
        <f t="shared" si="172"/>
        <v>688</v>
      </c>
      <c r="B777" s="124" t="s">
        <v>969</v>
      </c>
      <c r="C777" s="273">
        <f t="shared" si="170"/>
        <v>180265.03</v>
      </c>
      <c r="D777" s="273">
        <f t="shared" si="171"/>
        <v>0</v>
      </c>
      <c r="E777" s="273"/>
      <c r="F777" s="273"/>
      <c r="G777" s="273"/>
      <c r="H777" s="273"/>
      <c r="I777" s="273"/>
      <c r="J777" s="273"/>
      <c r="K777" s="273"/>
      <c r="L777" s="273"/>
      <c r="M777" s="273"/>
      <c r="N777" s="273"/>
      <c r="O777" s="273"/>
      <c r="P777" s="273"/>
      <c r="Q777" s="273"/>
      <c r="R777" s="273"/>
      <c r="S777" s="273"/>
      <c r="T777" s="273"/>
      <c r="U777" s="273"/>
      <c r="V777" s="273"/>
      <c r="W777" s="273">
        <f t="shared" si="173"/>
        <v>180265.03</v>
      </c>
      <c r="Y777" s="271"/>
      <c r="Z777" s="271"/>
      <c r="AA777" s="271"/>
      <c r="AC777" s="271">
        <v>180265.03</v>
      </c>
      <c r="AD777" s="82"/>
      <c r="AE777" s="269"/>
      <c r="AF777" s="84"/>
    </row>
    <row r="778" spans="1:32" x14ac:dyDescent="0.3">
      <c r="A778" s="10">
        <f t="shared" si="172"/>
        <v>689</v>
      </c>
      <c r="B778" s="124" t="s">
        <v>970</v>
      </c>
      <c r="C778" s="273">
        <f t="shared" si="170"/>
        <v>4554688.9700000007</v>
      </c>
      <c r="D778" s="273">
        <f t="shared" si="171"/>
        <v>0</v>
      </c>
      <c r="E778" s="273"/>
      <c r="F778" s="273"/>
      <c r="G778" s="273"/>
      <c r="H778" s="273"/>
      <c r="I778" s="273"/>
      <c r="J778" s="273"/>
      <c r="K778" s="273"/>
      <c r="L778" s="273"/>
      <c r="M778" s="273"/>
      <c r="N778" s="273"/>
      <c r="O778" s="273"/>
      <c r="P778" s="273"/>
      <c r="Q778" s="273"/>
      <c r="R778" s="273"/>
      <c r="S778" s="273"/>
      <c r="T778" s="273"/>
      <c r="U778" s="273">
        <v>4271834.4000000004</v>
      </c>
      <c r="V778" s="273"/>
      <c r="W778" s="273">
        <f t="shared" si="173"/>
        <v>282854.57</v>
      </c>
      <c r="Y778" s="271"/>
      <c r="Z778" s="271"/>
      <c r="AA778" s="271"/>
      <c r="AC778" s="271"/>
      <c r="AD778" s="82"/>
      <c r="AE778" s="269"/>
      <c r="AF778" s="84">
        <v>282854.57</v>
      </c>
    </row>
    <row r="779" spans="1:32" x14ac:dyDescent="0.3">
      <c r="A779" s="10">
        <f t="shared" si="172"/>
        <v>690</v>
      </c>
      <c r="B779" s="124" t="s">
        <v>971</v>
      </c>
      <c r="C779" s="273">
        <f t="shared" si="170"/>
        <v>590532.91</v>
      </c>
      <c r="D779" s="273">
        <f t="shared" si="171"/>
        <v>0</v>
      </c>
      <c r="E779" s="273"/>
      <c r="F779" s="273"/>
      <c r="G779" s="273"/>
      <c r="H779" s="273"/>
      <c r="I779" s="273"/>
      <c r="J779" s="273"/>
      <c r="K779" s="273"/>
      <c r="L779" s="273"/>
      <c r="M779" s="273"/>
      <c r="N779" s="273"/>
      <c r="O779" s="273"/>
      <c r="P779" s="273"/>
      <c r="Q779" s="273"/>
      <c r="R779" s="273"/>
      <c r="S779" s="273"/>
      <c r="T779" s="273"/>
      <c r="U779" s="273"/>
      <c r="V779" s="273"/>
      <c r="W779" s="273">
        <f t="shared" si="173"/>
        <v>590532.91</v>
      </c>
      <c r="Y779" s="271"/>
      <c r="Z779" s="271"/>
      <c r="AA779" s="271"/>
      <c r="AC779" s="271">
        <v>209961.48</v>
      </c>
      <c r="AD779" s="82"/>
      <c r="AE779" s="269">
        <v>380571.43</v>
      </c>
      <c r="AF779" s="84"/>
    </row>
    <row r="780" spans="1:32" x14ac:dyDescent="0.3">
      <c r="A780" s="10">
        <f t="shared" si="172"/>
        <v>691</v>
      </c>
      <c r="B780" s="124" t="s">
        <v>972</v>
      </c>
      <c r="C780" s="273">
        <f t="shared" si="170"/>
        <v>593061.42000000004</v>
      </c>
      <c r="D780" s="273">
        <f t="shared" si="171"/>
        <v>0</v>
      </c>
      <c r="E780" s="273"/>
      <c r="F780" s="273"/>
      <c r="G780" s="273"/>
      <c r="H780" s="273"/>
      <c r="I780" s="273"/>
      <c r="J780" s="273"/>
      <c r="K780" s="273"/>
      <c r="L780" s="273"/>
      <c r="M780" s="273"/>
      <c r="N780" s="273"/>
      <c r="O780" s="273"/>
      <c r="P780" s="273"/>
      <c r="Q780" s="273"/>
      <c r="R780" s="273"/>
      <c r="S780" s="273"/>
      <c r="T780" s="273"/>
      <c r="U780" s="273"/>
      <c r="V780" s="273"/>
      <c r="W780" s="273">
        <f t="shared" si="173"/>
        <v>593061.42000000004</v>
      </c>
      <c r="Y780" s="271"/>
      <c r="Z780" s="271"/>
      <c r="AA780" s="271"/>
      <c r="AC780" s="271">
        <v>207697.16</v>
      </c>
      <c r="AD780" s="82"/>
      <c r="AE780" s="94">
        <v>385364.26</v>
      </c>
      <c r="AF780" s="84"/>
    </row>
    <row r="781" spans="1:32" x14ac:dyDescent="0.3">
      <c r="A781" s="10">
        <f t="shared" si="172"/>
        <v>692</v>
      </c>
      <c r="B781" s="124" t="s">
        <v>973</v>
      </c>
      <c r="C781" s="273">
        <f t="shared" si="170"/>
        <v>205488.92</v>
      </c>
      <c r="D781" s="273">
        <f t="shared" si="171"/>
        <v>0</v>
      </c>
      <c r="E781" s="273"/>
      <c r="F781" s="273"/>
      <c r="G781" s="273"/>
      <c r="H781" s="273"/>
      <c r="I781" s="273"/>
      <c r="J781" s="273"/>
      <c r="K781" s="273"/>
      <c r="L781" s="273"/>
      <c r="M781" s="273"/>
      <c r="N781" s="273"/>
      <c r="O781" s="273"/>
      <c r="P781" s="273"/>
      <c r="Q781" s="273"/>
      <c r="R781" s="273"/>
      <c r="S781" s="273"/>
      <c r="T781" s="273"/>
      <c r="U781" s="273"/>
      <c r="V781" s="273"/>
      <c r="W781" s="273">
        <f t="shared" si="173"/>
        <v>205488.92</v>
      </c>
      <c r="Y781" s="271"/>
      <c r="Z781" s="271"/>
      <c r="AA781" s="271"/>
      <c r="AC781" s="271">
        <v>205488.92</v>
      </c>
      <c r="AD781" s="82"/>
      <c r="AE781" s="269"/>
      <c r="AF781" s="84"/>
    </row>
    <row r="782" spans="1:32" x14ac:dyDescent="0.3">
      <c r="A782" s="10">
        <f t="shared" si="172"/>
        <v>693</v>
      </c>
      <c r="B782" s="124" t="s">
        <v>974</v>
      </c>
      <c r="C782" s="273">
        <f t="shared" si="170"/>
        <v>230044.6</v>
      </c>
      <c r="D782" s="273">
        <f t="shared" si="171"/>
        <v>0</v>
      </c>
      <c r="E782" s="273"/>
      <c r="F782" s="273"/>
      <c r="G782" s="273"/>
      <c r="H782" s="273"/>
      <c r="I782" s="273"/>
      <c r="J782" s="273"/>
      <c r="K782" s="273"/>
      <c r="L782" s="273"/>
      <c r="M782" s="273"/>
      <c r="N782" s="273"/>
      <c r="O782" s="273"/>
      <c r="P782" s="273"/>
      <c r="Q782" s="273"/>
      <c r="R782" s="273"/>
      <c r="S782" s="273"/>
      <c r="T782" s="273"/>
      <c r="U782" s="273"/>
      <c r="V782" s="273"/>
      <c r="W782" s="273">
        <f t="shared" si="173"/>
        <v>230044.6</v>
      </c>
      <c r="Y782" s="271"/>
      <c r="Z782" s="271"/>
      <c r="AA782" s="271"/>
      <c r="AC782" s="271">
        <v>230044.6</v>
      </c>
      <c r="AD782" s="82"/>
      <c r="AE782" s="269"/>
      <c r="AF782" s="84"/>
    </row>
    <row r="783" spans="1:32" x14ac:dyDescent="0.3">
      <c r="A783" s="10">
        <f t="shared" si="172"/>
        <v>694</v>
      </c>
      <c r="B783" s="124" t="s">
        <v>975</v>
      </c>
      <c r="C783" s="273">
        <f t="shared" si="170"/>
        <v>84708.72</v>
      </c>
      <c r="D783" s="273">
        <f t="shared" si="171"/>
        <v>0</v>
      </c>
      <c r="E783" s="273"/>
      <c r="F783" s="273"/>
      <c r="G783" s="273"/>
      <c r="H783" s="273"/>
      <c r="I783" s="273"/>
      <c r="J783" s="273"/>
      <c r="K783" s="273"/>
      <c r="L783" s="273"/>
      <c r="M783" s="273"/>
      <c r="N783" s="273"/>
      <c r="O783" s="273"/>
      <c r="P783" s="273"/>
      <c r="Q783" s="273"/>
      <c r="R783" s="273"/>
      <c r="S783" s="273"/>
      <c r="T783" s="273"/>
      <c r="U783" s="273"/>
      <c r="V783" s="273"/>
      <c r="W783" s="273">
        <f t="shared" si="173"/>
        <v>84708.72</v>
      </c>
      <c r="Y783" s="271"/>
      <c r="Z783" s="110"/>
      <c r="AA783" s="271"/>
      <c r="AC783" s="271">
        <v>84708.72</v>
      </c>
      <c r="AD783" s="82"/>
      <c r="AE783" s="269"/>
      <c r="AF783" s="84"/>
    </row>
    <row r="784" spans="1:32" x14ac:dyDescent="0.3">
      <c r="A784" s="10">
        <f t="shared" si="172"/>
        <v>695</v>
      </c>
      <c r="B784" s="124" t="s">
        <v>976</v>
      </c>
      <c r="C784" s="273">
        <f t="shared" si="170"/>
        <v>87772.07</v>
      </c>
      <c r="D784" s="273">
        <f t="shared" si="171"/>
        <v>0</v>
      </c>
      <c r="E784" s="273"/>
      <c r="F784" s="273"/>
      <c r="G784" s="273"/>
      <c r="H784" s="273"/>
      <c r="I784" s="273"/>
      <c r="J784" s="273"/>
      <c r="K784" s="273"/>
      <c r="L784" s="273"/>
      <c r="M784" s="273"/>
      <c r="N784" s="273"/>
      <c r="O784" s="273"/>
      <c r="P784" s="273"/>
      <c r="Q784" s="273"/>
      <c r="R784" s="273"/>
      <c r="S784" s="273"/>
      <c r="T784" s="273"/>
      <c r="U784" s="273"/>
      <c r="V784" s="273"/>
      <c r="W784" s="273">
        <f t="shared" si="173"/>
        <v>87772.07</v>
      </c>
      <c r="Y784" s="271"/>
      <c r="Z784" s="271"/>
      <c r="AA784" s="271"/>
      <c r="AC784" s="271">
        <v>87772.07</v>
      </c>
      <c r="AD784" s="82"/>
      <c r="AE784" s="269"/>
      <c r="AF784" s="84"/>
    </row>
    <row r="785" spans="1:33" x14ac:dyDescent="0.3">
      <c r="A785" s="10">
        <f t="shared" si="172"/>
        <v>696</v>
      </c>
      <c r="B785" s="124" t="s">
        <v>977</v>
      </c>
      <c r="C785" s="273">
        <f t="shared" si="170"/>
        <v>109038.3</v>
      </c>
      <c r="D785" s="273">
        <f t="shared" si="171"/>
        <v>0</v>
      </c>
      <c r="E785" s="273"/>
      <c r="F785" s="273"/>
      <c r="G785" s="273"/>
      <c r="H785" s="273"/>
      <c r="I785" s="273"/>
      <c r="J785" s="273"/>
      <c r="K785" s="273"/>
      <c r="L785" s="273"/>
      <c r="M785" s="273"/>
      <c r="N785" s="273"/>
      <c r="O785" s="273"/>
      <c r="P785" s="273"/>
      <c r="Q785" s="273"/>
      <c r="R785" s="273"/>
      <c r="S785" s="273"/>
      <c r="T785" s="273"/>
      <c r="U785" s="273"/>
      <c r="V785" s="273"/>
      <c r="W785" s="273">
        <f t="shared" si="173"/>
        <v>109038.3</v>
      </c>
      <c r="Y785" s="271"/>
      <c r="Z785" s="271"/>
      <c r="AA785" s="271"/>
      <c r="AC785" s="271">
        <v>109038.3</v>
      </c>
      <c r="AD785" s="82"/>
      <c r="AE785" s="269"/>
      <c r="AF785" s="84"/>
    </row>
    <row r="786" spans="1:33" x14ac:dyDescent="0.3">
      <c r="A786" s="10">
        <f t="shared" si="172"/>
        <v>697</v>
      </c>
      <c r="B786" s="124" t="s">
        <v>978</v>
      </c>
      <c r="C786" s="273">
        <f t="shared" si="170"/>
        <v>109249.42</v>
      </c>
      <c r="D786" s="273">
        <f t="shared" si="171"/>
        <v>0</v>
      </c>
      <c r="E786" s="273"/>
      <c r="F786" s="273"/>
      <c r="G786" s="273"/>
      <c r="H786" s="273"/>
      <c r="I786" s="273"/>
      <c r="J786" s="273"/>
      <c r="K786" s="273"/>
      <c r="L786" s="273"/>
      <c r="M786" s="273"/>
      <c r="N786" s="273"/>
      <c r="O786" s="273"/>
      <c r="P786" s="273"/>
      <c r="Q786" s="273"/>
      <c r="R786" s="273"/>
      <c r="S786" s="273"/>
      <c r="T786" s="273"/>
      <c r="U786" s="273"/>
      <c r="V786" s="273"/>
      <c r="W786" s="273">
        <f t="shared" si="173"/>
        <v>109249.42</v>
      </c>
      <c r="Y786" s="271"/>
      <c r="Z786" s="110"/>
      <c r="AA786" s="271"/>
      <c r="AC786" s="271">
        <v>109249.42</v>
      </c>
      <c r="AD786" s="82"/>
      <c r="AE786" s="269"/>
      <c r="AF786" s="84"/>
    </row>
    <row r="787" spans="1:33" x14ac:dyDescent="0.3">
      <c r="A787" s="10">
        <f t="shared" si="172"/>
        <v>698</v>
      </c>
      <c r="B787" s="124" t="s">
        <v>979</v>
      </c>
      <c r="C787" s="273">
        <f t="shared" si="170"/>
        <v>86585.93</v>
      </c>
      <c r="D787" s="273">
        <f t="shared" si="171"/>
        <v>0</v>
      </c>
      <c r="E787" s="273"/>
      <c r="F787" s="273"/>
      <c r="G787" s="273"/>
      <c r="H787" s="273"/>
      <c r="I787" s="273"/>
      <c r="J787" s="273"/>
      <c r="K787" s="273"/>
      <c r="L787" s="273"/>
      <c r="M787" s="273"/>
      <c r="N787" s="273"/>
      <c r="O787" s="273"/>
      <c r="P787" s="273"/>
      <c r="Q787" s="273"/>
      <c r="R787" s="273"/>
      <c r="S787" s="273"/>
      <c r="T787" s="273"/>
      <c r="U787" s="273"/>
      <c r="V787" s="273"/>
      <c r="W787" s="273">
        <f t="shared" si="173"/>
        <v>86585.93</v>
      </c>
      <c r="Y787" s="271"/>
      <c r="Z787" s="110"/>
      <c r="AA787" s="271"/>
      <c r="AC787" s="271">
        <v>86585.93</v>
      </c>
      <c r="AD787" s="82"/>
      <c r="AE787" s="269"/>
      <c r="AF787" s="84"/>
    </row>
    <row r="788" spans="1:33" x14ac:dyDescent="0.3">
      <c r="A788" s="10">
        <f t="shared" si="172"/>
        <v>699</v>
      </c>
      <c r="B788" s="124" t="s">
        <v>980</v>
      </c>
      <c r="C788" s="273">
        <f t="shared" si="170"/>
        <v>92504.83</v>
      </c>
      <c r="D788" s="273">
        <f t="shared" si="171"/>
        <v>0</v>
      </c>
      <c r="E788" s="273"/>
      <c r="F788" s="273"/>
      <c r="G788" s="273"/>
      <c r="H788" s="273"/>
      <c r="I788" s="273"/>
      <c r="J788" s="273"/>
      <c r="K788" s="273"/>
      <c r="L788" s="273"/>
      <c r="M788" s="273"/>
      <c r="N788" s="273"/>
      <c r="O788" s="273"/>
      <c r="P788" s="273"/>
      <c r="Q788" s="273"/>
      <c r="R788" s="273"/>
      <c r="S788" s="273"/>
      <c r="T788" s="273"/>
      <c r="U788" s="273"/>
      <c r="V788" s="273"/>
      <c r="W788" s="273">
        <f t="shared" si="173"/>
        <v>92504.83</v>
      </c>
      <c r="Y788" s="271"/>
      <c r="Z788" s="271"/>
      <c r="AA788" s="271"/>
      <c r="AC788" s="271">
        <v>92504.83</v>
      </c>
      <c r="AD788" s="82"/>
      <c r="AE788" s="269"/>
      <c r="AF788" s="84"/>
    </row>
    <row r="789" spans="1:33" x14ac:dyDescent="0.3">
      <c r="A789" s="10">
        <f t="shared" si="172"/>
        <v>700</v>
      </c>
      <c r="B789" s="124" t="s">
        <v>981</v>
      </c>
      <c r="C789" s="273">
        <f t="shared" si="170"/>
        <v>73360.39</v>
      </c>
      <c r="D789" s="273">
        <f t="shared" si="171"/>
        <v>0</v>
      </c>
      <c r="E789" s="273"/>
      <c r="F789" s="273"/>
      <c r="G789" s="273"/>
      <c r="H789" s="273"/>
      <c r="I789" s="273"/>
      <c r="J789" s="273"/>
      <c r="K789" s="273"/>
      <c r="L789" s="273"/>
      <c r="M789" s="273"/>
      <c r="N789" s="273"/>
      <c r="O789" s="273"/>
      <c r="P789" s="273"/>
      <c r="Q789" s="273"/>
      <c r="R789" s="273"/>
      <c r="S789" s="273"/>
      <c r="T789" s="273"/>
      <c r="U789" s="273"/>
      <c r="V789" s="273"/>
      <c r="W789" s="273">
        <f t="shared" si="173"/>
        <v>73360.39</v>
      </c>
      <c r="Y789" s="271"/>
      <c r="Z789" s="271"/>
      <c r="AA789" s="271"/>
      <c r="AC789" s="271">
        <v>73360.39</v>
      </c>
      <c r="AD789" s="82"/>
      <c r="AE789" s="269"/>
      <c r="AF789" s="84"/>
    </row>
    <row r="790" spans="1:33" x14ac:dyDescent="0.3">
      <c r="A790" s="10">
        <f t="shared" si="172"/>
        <v>701</v>
      </c>
      <c r="B790" s="124" t="s">
        <v>982</v>
      </c>
      <c r="C790" s="273">
        <f t="shared" si="170"/>
        <v>414222.46</v>
      </c>
      <c r="D790" s="273">
        <f t="shared" si="171"/>
        <v>0</v>
      </c>
      <c r="E790" s="273"/>
      <c r="F790" s="273"/>
      <c r="G790" s="273"/>
      <c r="H790" s="273"/>
      <c r="I790" s="273"/>
      <c r="J790" s="273"/>
      <c r="K790" s="273"/>
      <c r="L790" s="273"/>
      <c r="M790" s="273"/>
      <c r="N790" s="273"/>
      <c r="O790" s="273"/>
      <c r="P790" s="273"/>
      <c r="Q790" s="273"/>
      <c r="R790" s="273"/>
      <c r="S790" s="273"/>
      <c r="T790" s="273"/>
      <c r="U790" s="273"/>
      <c r="V790" s="273"/>
      <c r="W790" s="273">
        <f t="shared" si="173"/>
        <v>414222.46</v>
      </c>
      <c r="Y790" s="271"/>
      <c r="Z790" s="271"/>
      <c r="AA790" s="271"/>
      <c r="AC790" s="271"/>
      <c r="AD790" s="82"/>
      <c r="AE790" s="269"/>
      <c r="AF790" s="84">
        <v>414222.46</v>
      </c>
    </row>
    <row r="791" spans="1:33" x14ac:dyDescent="0.3">
      <c r="A791" s="10">
        <f t="shared" si="172"/>
        <v>702</v>
      </c>
      <c r="B791" s="124" t="s">
        <v>983</v>
      </c>
      <c r="C791" s="273">
        <f t="shared" si="170"/>
        <v>255306.72</v>
      </c>
      <c r="D791" s="273">
        <f t="shared" si="171"/>
        <v>0</v>
      </c>
      <c r="E791" s="273"/>
      <c r="F791" s="273"/>
      <c r="G791" s="273"/>
      <c r="H791" s="273"/>
      <c r="I791" s="273"/>
      <c r="J791" s="273"/>
      <c r="K791" s="273"/>
      <c r="L791" s="273"/>
      <c r="M791" s="273"/>
      <c r="N791" s="273"/>
      <c r="O791" s="273"/>
      <c r="P791" s="273"/>
      <c r="Q791" s="273"/>
      <c r="R791" s="273"/>
      <c r="S791" s="273"/>
      <c r="T791" s="273"/>
      <c r="U791" s="273"/>
      <c r="V791" s="273"/>
      <c r="W791" s="273">
        <f t="shared" si="173"/>
        <v>255306.72</v>
      </c>
      <c r="Y791" s="271"/>
      <c r="Z791" s="271"/>
      <c r="AA791" s="271"/>
      <c r="AC791" s="271">
        <v>88863.35</v>
      </c>
      <c r="AD791" s="82"/>
      <c r="AE791" s="269">
        <v>166443.37</v>
      </c>
      <c r="AF791" s="84"/>
    </row>
    <row r="792" spans="1:33" x14ac:dyDescent="0.3">
      <c r="A792" s="10">
        <f t="shared" si="172"/>
        <v>703</v>
      </c>
      <c r="B792" s="124" t="s">
        <v>984</v>
      </c>
      <c r="C792" s="273">
        <f t="shared" si="170"/>
        <v>271162.04000000004</v>
      </c>
      <c r="D792" s="273">
        <f t="shared" si="171"/>
        <v>0</v>
      </c>
      <c r="E792" s="273"/>
      <c r="F792" s="273"/>
      <c r="G792" s="273"/>
      <c r="H792" s="273"/>
      <c r="I792" s="273"/>
      <c r="J792" s="273"/>
      <c r="K792" s="273"/>
      <c r="L792" s="273"/>
      <c r="M792" s="273"/>
      <c r="N792" s="273"/>
      <c r="O792" s="273"/>
      <c r="P792" s="273"/>
      <c r="Q792" s="273"/>
      <c r="R792" s="273"/>
      <c r="S792" s="273"/>
      <c r="T792" s="273"/>
      <c r="U792" s="273"/>
      <c r="V792" s="273"/>
      <c r="W792" s="273">
        <f t="shared" si="173"/>
        <v>271162.04000000004</v>
      </c>
      <c r="Y792" s="271"/>
      <c r="Z792" s="271"/>
      <c r="AA792" s="271"/>
      <c r="AC792" s="271">
        <v>95091.22</v>
      </c>
      <c r="AD792" s="82"/>
      <c r="AE792" s="269">
        <v>176070.82</v>
      </c>
      <c r="AF792" s="84"/>
    </row>
    <row r="793" spans="1:33" x14ac:dyDescent="0.3">
      <c r="A793" s="10">
        <f t="shared" si="172"/>
        <v>704</v>
      </c>
      <c r="B793" s="124" t="s">
        <v>985</v>
      </c>
      <c r="C793" s="273">
        <f t="shared" si="170"/>
        <v>123227.15</v>
      </c>
      <c r="D793" s="273">
        <f t="shared" si="171"/>
        <v>0</v>
      </c>
      <c r="E793" s="273"/>
      <c r="F793" s="273"/>
      <c r="G793" s="273"/>
      <c r="H793" s="273"/>
      <c r="I793" s="273"/>
      <c r="J793" s="273"/>
      <c r="K793" s="273"/>
      <c r="L793" s="273"/>
      <c r="M793" s="273"/>
      <c r="N793" s="273"/>
      <c r="O793" s="273"/>
      <c r="P793" s="273"/>
      <c r="Q793" s="273"/>
      <c r="R793" s="273"/>
      <c r="S793" s="273"/>
      <c r="T793" s="273"/>
      <c r="U793" s="273"/>
      <c r="V793" s="273"/>
      <c r="W793" s="273">
        <f t="shared" si="173"/>
        <v>123227.15</v>
      </c>
      <c r="Y793" s="271"/>
      <c r="Z793" s="271"/>
      <c r="AA793" s="271"/>
      <c r="AC793" s="271">
        <v>123227.15</v>
      </c>
      <c r="AD793" s="82"/>
      <c r="AE793" s="269"/>
      <c r="AF793" s="84"/>
    </row>
    <row r="794" spans="1:33" x14ac:dyDescent="0.3">
      <c r="A794" s="10">
        <f t="shared" si="172"/>
        <v>705</v>
      </c>
      <c r="B794" s="124" t="s">
        <v>986</v>
      </c>
      <c r="C794" s="273">
        <f t="shared" si="170"/>
        <v>241507.07</v>
      </c>
      <c r="D794" s="273">
        <f t="shared" si="171"/>
        <v>0</v>
      </c>
      <c r="E794" s="273"/>
      <c r="F794" s="273"/>
      <c r="G794" s="273"/>
      <c r="H794" s="273"/>
      <c r="I794" s="273"/>
      <c r="J794" s="273"/>
      <c r="K794" s="273"/>
      <c r="L794" s="273"/>
      <c r="M794" s="273"/>
      <c r="N794" s="273"/>
      <c r="O794" s="273"/>
      <c r="P794" s="273"/>
      <c r="Q794" s="273"/>
      <c r="R794" s="273"/>
      <c r="S794" s="273"/>
      <c r="T794" s="273"/>
      <c r="U794" s="273"/>
      <c r="V794" s="273"/>
      <c r="W794" s="273">
        <f t="shared" si="173"/>
        <v>241507.07</v>
      </c>
      <c r="Y794" s="271"/>
      <c r="Z794" s="271"/>
      <c r="AA794" s="271"/>
      <c r="AC794" s="271"/>
      <c r="AD794" s="82"/>
      <c r="AE794" s="269"/>
      <c r="AF794" s="84">
        <v>241507.07</v>
      </c>
    </row>
    <row r="795" spans="1:33" x14ac:dyDescent="0.3">
      <c r="A795" s="10">
        <f t="shared" si="172"/>
        <v>706</v>
      </c>
      <c r="B795" s="124" t="s">
        <v>987</v>
      </c>
      <c r="C795" s="273">
        <f t="shared" si="170"/>
        <v>922018.95</v>
      </c>
      <c r="D795" s="273">
        <f t="shared" si="171"/>
        <v>0</v>
      </c>
      <c r="E795" s="273"/>
      <c r="F795" s="273"/>
      <c r="G795" s="273"/>
      <c r="H795" s="273"/>
      <c r="I795" s="273"/>
      <c r="J795" s="273"/>
      <c r="K795" s="273"/>
      <c r="L795" s="273"/>
      <c r="M795" s="273"/>
      <c r="N795" s="273"/>
      <c r="O795" s="273"/>
      <c r="P795" s="273"/>
      <c r="Q795" s="273"/>
      <c r="R795" s="273"/>
      <c r="S795" s="273"/>
      <c r="T795" s="273"/>
      <c r="U795" s="273"/>
      <c r="V795" s="273"/>
      <c r="W795" s="273">
        <f t="shared" si="173"/>
        <v>922018.95</v>
      </c>
      <c r="Y795" s="271"/>
      <c r="Z795" s="271"/>
      <c r="AA795" s="271"/>
      <c r="AC795" s="271">
        <v>229835.58</v>
      </c>
      <c r="AD795" s="82"/>
      <c r="AE795" s="269">
        <v>412252.13</v>
      </c>
      <c r="AF795" s="84">
        <v>279931.24</v>
      </c>
    </row>
    <row r="796" spans="1:33" x14ac:dyDescent="0.3">
      <c r="A796" s="10">
        <f t="shared" si="172"/>
        <v>707</v>
      </c>
      <c r="B796" s="124" t="s">
        <v>988</v>
      </c>
      <c r="C796" s="273">
        <f t="shared" si="170"/>
        <v>3718854.41</v>
      </c>
      <c r="D796" s="273">
        <f t="shared" si="171"/>
        <v>0</v>
      </c>
      <c r="E796" s="273"/>
      <c r="F796" s="273"/>
      <c r="G796" s="273"/>
      <c r="H796" s="273"/>
      <c r="I796" s="273"/>
      <c r="J796" s="273"/>
      <c r="K796" s="273"/>
      <c r="L796" s="273"/>
      <c r="M796" s="273"/>
      <c r="N796" s="273"/>
      <c r="O796" s="273"/>
      <c r="P796" s="273"/>
      <c r="Q796" s="273"/>
      <c r="R796" s="273"/>
      <c r="S796" s="273"/>
      <c r="T796" s="273"/>
      <c r="U796" s="273">
        <v>3306155.83</v>
      </c>
      <c r="V796" s="273"/>
      <c r="W796" s="273">
        <f t="shared" si="173"/>
        <v>412698.58</v>
      </c>
      <c r="Y796" s="271"/>
      <c r="Z796" s="271"/>
      <c r="AA796" s="271"/>
      <c r="AC796" s="271"/>
      <c r="AD796" s="82"/>
      <c r="AE796" s="269">
        <v>412698.58</v>
      </c>
      <c r="AF796" s="84"/>
    </row>
    <row r="797" spans="1:33" x14ac:dyDescent="0.3">
      <c r="A797" s="10">
        <f t="shared" si="172"/>
        <v>708</v>
      </c>
      <c r="B797" s="124" t="s">
        <v>989</v>
      </c>
      <c r="C797" s="273">
        <f t="shared" si="170"/>
        <v>278885.56</v>
      </c>
      <c r="D797" s="273">
        <f t="shared" si="171"/>
        <v>0</v>
      </c>
      <c r="E797" s="273"/>
      <c r="F797" s="273"/>
      <c r="G797" s="273"/>
      <c r="H797" s="273"/>
      <c r="I797" s="273"/>
      <c r="J797" s="273"/>
      <c r="K797" s="273"/>
      <c r="L797" s="273"/>
      <c r="M797" s="273"/>
      <c r="N797" s="273"/>
      <c r="O797" s="273"/>
      <c r="P797" s="273"/>
      <c r="Q797" s="273"/>
      <c r="R797" s="273"/>
      <c r="S797" s="273"/>
      <c r="T797" s="273"/>
      <c r="U797" s="273"/>
      <c r="V797" s="273"/>
      <c r="W797" s="273">
        <f t="shared" si="173"/>
        <v>278885.56</v>
      </c>
      <c r="Y797" s="271"/>
      <c r="Z797" s="271"/>
      <c r="AA797" s="271"/>
      <c r="AC797" s="271"/>
      <c r="AD797" s="82"/>
      <c r="AE797" s="269"/>
      <c r="AF797" s="84">
        <v>278885.56</v>
      </c>
    </row>
    <row r="798" spans="1:33" x14ac:dyDescent="0.3">
      <c r="A798" s="10">
        <f t="shared" si="172"/>
        <v>709</v>
      </c>
      <c r="B798" s="124" t="s">
        <v>991</v>
      </c>
      <c r="C798" s="273">
        <f t="shared" si="170"/>
        <v>351449.24</v>
      </c>
      <c r="D798" s="273">
        <f t="shared" si="171"/>
        <v>0</v>
      </c>
      <c r="E798" s="273"/>
      <c r="F798" s="273"/>
      <c r="G798" s="273"/>
      <c r="H798" s="273"/>
      <c r="I798" s="273"/>
      <c r="J798" s="273"/>
      <c r="K798" s="273"/>
      <c r="L798" s="273"/>
      <c r="M798" s="273"/>
      <c r="N798" s="273"/>
      <c r="O798" s="273"/>
      <c r="P798" s="273"/>
      <c r="Q798" s="273"/>
      <c r="R798" s="273"/>
      <c r="S798" s="273"/>
      <c r="T798" s="273"/>
      <c r="U798" s="273"/>
      <c r="V798" s="273"/>
      <c r="W798" s="273">
        <f t="shared" si="173"/>
        <v>351449.24</v>
      </c>
      <c r="Y798" s="271"/>
      <c r="Z798" s="271"/>
      <c r="AA798" s="271"/>
      <c r="AC798" s="271"/>
      <c r="AD798" s="82"/>
      <c r="AE798" s="269">
        <v>351449.24</v>
      </c>
      <c r="AF798" s="84"/>
    </row>
    <row r="799" spans="1:33" x14ac:dyDescent="0.3">
      <c r="A799" s="10">
        <f t="shared" si="172"/>
        <v>710</v>
      </c>
      <c r="B799" s="124" t="s">
        <v>992</v>
      </c>
      <c r="C799" s="273">
        <f t="shared" si="170"/>
        <v>433956.4</v>
      </c>
      <c r="D799" s="273">
        <f t="shared" si="171"/>
        <v>0</v>
      </c>
      <c r="E799" s="273"/>
      <c r="F799" s="273"/>
      <c r="G799" s="273"/>
      <c r="H799" s="273"/>
      <c r="I799" s="273"/>
      <c r="J799" s="273"/>
      <c r="K799" s="273"/>
      <c r="L799" s="273"/>
      <c r="M799" s="273"/>
      <c r="N799" s="273"/>
      <c r="O799" s="273"/>
      <c r="P799" s="273"/>
      <c r="Q799" s="273"/>
      <c r="R799" s="273"/>
      <c r="S799" s="273"/>
      <c r="T799" s="273"/>
      <c r="U799" s="273"/>
      <c r="V799" s="273"/>
      <c r="W799" s="273">
        <f t="shared" si="173"/>
        <v>433956.4</v>
      </c>
      <c r="Y799" s="271"/>
      <c r="Z799" s="271"/>
      <c r="AA799" s="271"/>
      <c r="AC799" s="271"/>
      <c r="AD799" s="82"/>
      <c r="AE799" s="269">
        <v>433956.4</v>
      </c>
      <c r="AF799" s="84"/>
    </row>
    <row r="800" spans="1:33" x14ac:dyDescent="0.3">
      <c r="A800" s="10">
        <f t="shared" si="172"/>
        <v>711</v>
      </c>
      <c r="B800" s="124" t="s">
        <v>993</v>
      </c>
      <c r="C800" s="273">
        <f t="shared" si="170"/>
        <v>517199.99</v>
      </c>
      <c r="D800" s="273">
        <f t="shared" si="171"/>
        <v>0</v>
      </c>
      <c r="E800" s="273"/>
      <c r="F800" s="273"/>
      <c r="G800" s="273"/>
      <c r="H800" s="273"/>
      <c r="I800" s="273"/>
      <c r="J800" s="273"/>
      <c r="K800" s="273"/>
      <c r="L800" s="273"/>
      <c r="M800" s="273"/>
      <c r="N800" s="273"/>
      <c r="O800" s="273"/>
      <c r="P800" s="273"/>
      <c r="Q800" s="273"/>
      <c r="R800" s="273"/>
      <c r="S800" s="273"/>
      <c r="T800" s="273"/>
      <c r="U800" s="273"/>
      <c r="V800" s="273"/>
      <c r="W800" s="273">
        <f t="shared" si="173"/>
        <v>517199.99</v>
      </c>
      <c r="Y800" s="271"/>
      <c r="Z800" s="271"/>
      <c r="AA800" s="271"/>
      <c r="AC800" s="271"/>
      <c r="AE800" s="269"/>
      <c r="AF800" s="84"/>
      <c r="AG800" s="82">
        <v>517199.99</v>
      </c>
    </row>
    <row r="801" spans="1:33" x14ac:dyDescent="0.3">
      <c r="A801" s="10">
        <f t="shared" si="172"/>
        <v>712</v>
      </c>
      <c r="B801" s="124" t="s">
        <v>994</v>
      </c>
      <c r="C801" s="273">
        <f t="shared" si="170"/>
        <v>499832.54</v>
      </c>
      <c r="D801" s="273">
        <f t="shared" si="171"/>
        <v>0</v>
      </c>
      <c r="E801" s="273"/>
      <c r="F801" s="273"/>
      <c r="G801" s="273"/>
      <c r="H801" s="273"/>
      <c r="I801" s="273"/>
      <c r="J801" s="273"/>
      <c r="K801" s="273"/>
      <c r="L801" s="273"/>
      <c r="M801" s="273"/>
      <c r="N801" s="273"/>
      <c r="O801" s="273"/>
      <c r="P801" s="273"/>
      <c r="Q801" s="273"/>
      <c r="R801" s="273"/>
      <c r="S801" s="273"/>
      <c r="T801" s="273"/>
      <c r="U801" s="273"/>
      <c r="V801" s="273"/>
      <c r="W801" s="273">
        <f t="shared" si="173"/>
        <v>499832.54</v>
      </c>
      <c r="Y801" s="271"/>
      <c r="Z801" s="271"/>
      <c r="AA801" s="271"/>
      <c r="AC801" s="271"/>
      <c r="AE801" s="269"/>
      <c r="AF801" s="84"/>
      <c r="AG801" s="82">
        <v>499832.54</v>
      </c>
    </row>
    <row r="802" spans="1:33" x14ac:dyDescent="0.3">
      <c r="A802" s="10">
        <f t="shared" si="172"/>
        <v>713</v>
      </c>
      <c r="B802" s="124" t="s">
        <v>995</v>
      </c>
      <c r="C802" s="273">
        <f t="shared" ref="C802:C833" si="174">D802+K802+L802+N802+P802+R802+S802+U802+W802</f>
        <v>500811.24</v>
      </c>
      <c r="D802" s="273">
        <f t="shared" ref="D802:D833" si="175">E802+F802+G802+H802+I802</f>
        <v>0</v>
      </c>
      <c r="E802" s="273"/>
      <c r="F802" s="273"/>
      <c r="G802" s="273"/>
      <c r="H802" s="273"/>
      <c r="I802" s="273"/>
      <c r="J802" s="273"/>
      <c r="K802" s="273"/>
      <c r="L802" s="273"/>
      <c r="M802" s="273"/>
      <c r="N802" s="273"/>
      <c r="O802" s="273"/>
      <c r="P802" s="273"/>
      <c r="Q802" s="273"/>
      <c r="R802" s="273"/>
      <c r="S802" s="273"/>
      <c r="T802" s="273"/>
      <c r="U802" s="273"/>
      <c r="V802" s="273"/>
      <c r="W802" s="273">
        <f t="shared" si="173"/>
        <v>500811.24</v>
      </c>
      <c r="Y802" s="271"/>
      <c r="Z802" s="271"/>
      <c r="AA802" s="271"/>
      <c r="AC802" s="271"/>
      <c r="AE802" s="269"/>
      <c r="AF802" s="84"/>
      <c r="AG802" s="82">
        <v>500811.24</v>
      </c>
    </row>
    <row r="803" spans="1:33" x14ac:dyDescent="0.3">
      <c r="A803" s="10">
        <f t="shared" ref="A803:A839" si="176">A802+1</f>
        <v>714</v>
      </c>
      <c r="B803" s="124" t="s">
        <v>996</v>
      </c>
      <c r="C803" s="273">
        <f t="shared" si="174"/>
        <v>567436.96</v>
      </c>
      <c r="D803" s="273">
        <f t="shared" si="175"/>
        <v>0</v>
      </c>
      <c r="E803" s="273"/>
      <c r="F803" s="273"/>
      <c r="G803" s="273"/>
      <c r="H803" s="273"/>
      <c r="I803" s="273"/>
      <c r="J803" s="273"/>
      <c r="K803" s="273"/>
      <c r="L803" s="273"/>
      <c r="M803" s="273"/>
      <c r="N803" s="273"/>
      <c r="O803" s="273"/>
      <c r="P803" s="273"/>
      <c r="Q803" s="273"/>
      <c r="R803" s="273"/>
      <c r="S803" s="273"/>
      <c r="T803" s="273"/>
      <c r="U803" s="273"/>
      <c r="V803" s="273"/>
      <c r="W803" s="273">
        <f t="shared" si="173"/>
        <v>567436.96</v>
      </c>
      <c r="Y803" s="271"/>
      <c r="Z803" s="271"/>
      <c r="AA803" s="271"/>
      <c r="AC803" s="271"/>
      <c r="AE803" s="269"/>
      <c r="AF803" s="84"/>
      <c r="AG803" s="82">
        <v>567436.96</v>
      </c>
    </row>
    <row r="804" spans="1:33" x14ac:dyDescent="0.3">
      <c r="A804" s="10">
        <f t="shared" si="176"/>
        <v>715</v>
      </c>
      <c r="B804" s="124" t="s">
        <v>997</v>
      </c>
      <c r="C804" s="273">
        <f t="shared" si="174"/>
        <v>491384.11</v>
      </c>
      <c r="D804" s="273">
        <f t="shared" si="175"/>
        <v>0</v>
      </c>
      <c r="E804" s="273"/>
      <c r="F804" s="273"/>
      <c r="G804" s="273"/>
      <c r="H804" s="273"/>
      <c r="I804" s="273"/>
      <c r="J804" s="273"/>
      <c r="K804" s="273"/>
      <c r="L804" s="273"/>
      <c r="M804" s="273"/>
      <c r="N804" s="273"/>
      <c r="O804" s="273"/>
      <c r="P804" s="273"/>
      <c r="Q804" s="273"/>
      <c r="R804" s="273"/>
      <c r="S804" s="273"/>
      <c r="T804" s="273"/>
      <c r="U804" s="273"/>
      <c r="V804" s="273"/>
      <c r="W804" s="273">
        <f t="shared" si="173"/>
        <v>491384.11</v>
      </c>
      <c r="Y804" s="271"/>
      <c r="Z804" s="271"/>
      <c r="AA804" s="271"/>
      <c r="AC804" s="271"/>
      <c r="AE804" s="269"/>
      <c r="AF804" s="84"/>
      <c r="AG804" s="82">
        <v>491384.11</v>
      </c>
    </row>
    <row r="805" spans="1:33" x14ac:dyDescent="0.3">
      <c r="A805" s="10">
        <f t="shared" si="176"/>
        <v>716</v>
      </c>
      <c r="B805" s="124" t="s">
        <v>998</v>
      </c>
      <c r="C805" s="273">
        <f t="shared" si="174"/>
        <v>505841.22</v>
      </c>
      <c r="D805" s="273">
        <f t="shared" si="175"/>
        <v>0</v>
      </c>
      <c r="E805" s="273"/>
      <c r="F805" s="273"/>
      <c r="G805" s="273"/>
      <c r="H805" s="273"/>
      <c r="I805" s="273"/>
      <c r="J805" s="273"/>
      <c r="K805" s="273"/>
      <c r="L805" s="273"/>
      <c r="M805" s="273"/>
      <c r="N805" s="273"/>
      <c r="O805" s="273"/>
      <c r="P805" s="273"/>
      <c r="Q805" s="273"/>
      <c r="R805" s="273"/>
      <c r="S805" s="273"/>
      <c r="T805" s="273"/>
      <c r="U805" s="273"/>
      <c r="V805" s="273"/>
      <c r="W805" s="273">
        <f t="shared" si="173"/>
        <v>505841.22</v>
      </c>
      <c r="Y805" s="271"/>
      <c r="Z805" s="271"/>
      <c r="AA805" s="271"/>
      <c r="AC805" s="271"/>
      <c r="AE805" s="269"/>
      <c r="AF805" s="84"/>
      <c r="AG805" s="82">
        <v>505841.22</v>
      </c>
    </row>
    <row r="806" spans="1:33" x14ac:dyDescent="0.3">
      <c r="A806" s="10">
        <f t="shared" si="176"/>
        <v>717</v>
      </c>
      <c r="B806" s="124" t="s">
        <v>999</v>
      </c>
      <c r="C806" s="273">
        <f t="shared" si="174"/>
        <v>548949.77</v>
      </c>
      <c r="D806" s="273">
        <f t="shared" si="175"/>
        <v>0</v>
      </c>
      <c r="E806" s="273"/>
      <c r="F806" s="273"/>
      <c r="G806" s="273"/>
      <c r="H806" s="273"/>
      <c r="I806" s="273"/>
      <c r="J806" s="273"/>
      <c r="K806" s="273"/>
      <c r="L806" s="273"/>
      <c r="M806" s="273"/>
      <c r="N806" s="273"/>
      <c r="O806" s="273"/>
      <c r="P806" s="273"/>
      <c r="Q806" s="273"/>
      <c r="R806" s="273"/>
      <c r="S806" s="273"/>
      <c r="T806" s="273"/>
      <c r="U806" s="273"/>
      <c r="V806" s="273"/>
      <c r="W806" s="273">
        <f t="shared" si="173"/>
        <v>548949.77</v>
      </c>
      <c r="Y806" s="271"/>
      <c r="Z806" s="271"/>
      <c r="AA806" s="271"/>
      <c r="AC806" s="271"/>
      <c r="AE806" s="269"/>
      <c r="AF806" s="84"/>
      <c r="AG806" s="82">
        <v>548949.77</v>
      </c>
    </row>
    <row r="807" spans="1:33" x14ac:dyDescent="0.3">
      <c r="A807" s="10">
        <f t="shared" si="176"/>
        <v>718</v>
      </c>
      <c r="B807" s="124" t="s">
        <v>1000</v>
      </c>
      <c r="C807" s="273">
        <f t="shared" si="174"/>
        <v>557918.39</v>
      </c>
      <c r="D807" s="273">
        <f t="shared" si="175"/>
        <v>0</v>
      </c>
      <c r="E807" s="273"/>
      <c r="F807" s="273"/>
      <c r="G807" s="273"/>
      <c r="H807" s="273"/>
      <c r="I807" s="273"/>
      <c r="J807" s="273"/>
      <c r="K807" s="273"/>
      <c r="L807" s="273"/>
      <c r="M807" s="273"/>
      <c r="N807" s="273"/>
      <c r="O807" s="273"/>
      <c r="P807" s="273"/>
      <c r="Q807" s="273"/>
      <c r="R807" s="273"/>
      <c r="S807" s="273"/>
      <c r="T807" s="273"/>
      <c r="U807" s="273"/>
      <c r="V807" s="273"/>
      <c r="W807" s="273">
        <f t="shared" ref="W807:W839" si="177">SUM(Y807:AG807)</f>
        <v>557918.39</v>
      </c>
      <c r="Y807" s="271"/>
      <c r="Z807" s="271"/>
      <c r="AA807" s="271"/>
      <c r="AC807" s="271"/>
      <c r="AE807" s="269"/>
      <c r="AF807" s="84"/>
      <c r="AG807" s="82">
        <v>557918.39</v>
      </c>
    </row>
    <row r="808" spans="1:33" x14ac:dyDescent="0.3">
      <c r="A808" s="10">
        <f t="shared" si="176"/>
        <v>719</v>
      </c>
      <c r="B808" s="124" t="s">
        <v>1001</v>
      </c>
      <c r="C808" s="273">
        <f t="shared" si="174"/>
        <v>210988.63</v>
      </c>
      <c r="D808" s="273">
        <f t="shared" si="175"/>
        <v>0</v>
      </c>
      <c r="E808" s="273"/>
      <c r="F808" s="273"/>
      <c r="G808" s="273"/>
      <c r="H808" s="273"/>
      <c r="I808" s="273"/>
      <c r="J808" s="273"/>
      <c r="K808" s="273"/>
      <c r="L808" s="273"/>
      <c r="M808" s="273"/>
      <c r="N808" s="273"/>
      <c r="O808" s="273"/>
      <c r="P808" s="273"/>
      <c r="Q808" s="273"/>
      <c r="R808" s="273"/>
      <c r="S808" s="273"/>
      <c r="T808" s="273"/>
      <c r="U808" s="273"/>
      <c r="V808" s="273"/>
      <c r="W808" s="273">
        <f t="shared" si="177"/>
        <v>210988.63</v>
      </c>
      <c r="Y808" s="271"/>
      <c r="Z808" s="271"/>
      <c r="AA808" s="271"/>
      <c r="AC808" s="271"/>
      <c r="AE808" s="269">
        <v>210988.63</v>
      </c>
      <c r="AF808" s="84"/>
      <c r="AG808" s="82"/>
    </row>
    <row r="809" spans="1:33" x14ac:dyDescent="0.3">
      <c r="A809" s="10">
        <f t="shared" si="176"/>
        <v>720</v>
      </c>
      <c r="B809" s="124" t="s">
        <v>1002</v>
      </c>
      <c r="C809" s="273">
        <f t="shared" si="174"/>
        <v>214143.97</v>
      </c>
      <c r="D809" s="273">
        <f t="shared" si="175"/>
        <v>0</v>
      </c>
      <c r="E809" s="273"/>
      <c r="F809" s="273"/>
      <c r="G809" s="273"/>
      <c r="H809" s="273"/>
      <c r="I809" s="273"/>
      <c r="J809" s="273"/>
      <c r="K809" s="273"/>
      <c r="L809" s="273"/>
      <c r="M809" s="273"/>
      <c r="N809" s="273"/>
      <c r="O809" s="273"/>
      <c r="P809" s="273"/>
      <c r="Q809" s="273"/>
      <c r="R809" s="273"/>
      <c r="S809" s="273"/>
      <c r="T809" s="273"/>
      <c r="U809" s="273"/>
      <c r="V809" s="273"/>
      <c r="W809" s="273">
        <f t="shared" si="177"/>
        <v>214143.97</v>
      </c>
      <c r="Y809" s="271"/>
      <c r="Z809" s="271"/>
      <c r="AA809" s="271"/>
      <c r="AC809" s="271"/>
      <c r="AE809" s="269">
        <v>214143.97</v>
      </c>
      <c r="AF809" s="84"/>
      <c r="AG809" s="82"/>
    </row>
    <row r="810" spans="1:33" x14ac:dyDescent="0.3">
      <c r="A810" s="10">
        <f t="shared" si="176"/>
        <v>721</v>
      </c>
      <c r="B810" s="124" t="s">
        <v>1003</v>
      </c>
      <c r="C810" s="273">
        <f t="shared" si="174"/>
        <v>196638.54</v>
      </c>
      <c r="D810" s="273">
        <f t="shared" si="175"/>
        <v>0</v>
      </c>
      <c r="E810" s="273"/>
      <c r="F810" s="273"/>
      <c r="G810" s="273"/>
      <c r="H810" s="273"/>
      <c r="I810" s="273"/>
      <c r="J810" s="273"/>
      <c r="K810" s="273"/>
      <c r="L810" s="273"/>
      <c r="M810" s="273"/>
      <c r="N810" s="273"/>
      <c r="O810" s="273"/>
      <c r="P810" s="273"/>
      <c r="Q810" s="273"/>
      <c r="R810" s="273"/>
      <c r="S810" s="273"/>
      <c r="T810" s="273"/>
      <c r="U810" s="273"/>
      <c r="V810" s="273"/>
      <c r="W810" s="273">
        <f t="shared" si="177"/>
        <v>196638.54</v>
      </c>
      <c r="Y810" s="271"/>
      <c r="Z810" s="271"/>
      <c r="AA810" s="271"/>
      <c r="AC810" s="271"/>
      <c r="AE810" s="269">
        <v>196638.54</v>
      </c>
      <c r="AF810" s="84"/>
      <c r="AG810" s="82"/>
    </row>
    <row r="811" spans="1:33" x14ac:dyDescent="0.3">
      <c r="A811" s="10">
        <f t="shared" si="176"/>
        <v>722</v>
      </c>
      <c r="B811" s="124" t="s">
        <v>1004</v>
      </c>
      <c r="C811" s="273">
        <f t="shared" si="174"/>
        <v>239060.57</v>
      </c>
      <c r="D811" s="273">
        <f t="shared" si="175"/>
        <v>0</v>
      </c>
      <c r="E811" s="273"/>
      <c r="F811" s="273"/>
      <c r="G811" s="273"/>
      <c r="H811" s="273"/>
      <c r="I811" s="273"/>
      <c r="J811" s="273"/>
      <c r="K811" s="273"/>
      <c r="L811" s="273"/>
      <c r="M811" s="273"/>
      <c r="N811" s="273"/>
      <c r="O811" s="273"/>
      <c r="P811" s="273"/>
      <c r="Q811" s="273"/>
      <c r="R811" s="273"/>
      <c r="S811" s="273"/>
      <c r="T811" s="273"/>
      <c r="U811" s="273"/>
      <c r="V811" s="273"/>
      <c r="W811" s="273">
        <f t="shared" si="177"/>
        <v>239060.57</v>
      </c>
      <c r="Y811" s="271"/>
      <c r="Z811" s="271"/>
      <c r="AA811" s="271"/>
      <c r="AC811" s="271"/>
      <c r="AE811" s="269">
        <v>239060.57</v>
      </c>
      <c r="AF811" s="84"/>
      <c r="AG811" s="82"/>
    </row>
    <row r="812" spans="1:33" x14ac:dyDescent="0.3">
      <c r="A812" s="10">
        <f t="shared" si="176"/>
        <v>723</v>
      </c>
      <c r="B812" s="124" t="s">
        <v>1005</v>
      </c>
      <c r="C812" s="273">
        <f t="shared" si="174"/>
        <v>510078.64</v>
      </c>
      <c r="D812" s="273">
        <f t="shared" si="175"/>
        <v>0</v>
      </c>
      <c r="E812" s="273"/>
      <c r="F812" s="273"/>
      <c r="G812" s="273"/>
      <c r="H812" s="273"/>
      <c r="I812" s="273"/>
      <c r="J812" s="273"/>
      <c r="K812" s="273"/>
      <c r="L812" s="273"/>
      <c r="M812" s="273"/>
      <c r="N812" s="273"/>
      <c r="O812" s="273"/>
      <c r="P812" s="273"/>
      <c r="Q812" s="273"/>
      <c r="R812" s="273"/>
      <c r="S812" s="273"/>
      <c r="T812" s="273"/>
      <c r="U812" s="273"/>
      <c r="V812" s="273"/>
      <c r="W812" s="273">
        <f t="shared" si="177"/>
        <v>510078.64</v>
      </c>
      <c r="Y812" s="271"/>
      <c r="Z812" s="271"/>
      <c r="AA812" s="271"/>
      <c r="AC812" s="271"/>
      <c r="AE812" s="269"/>
      <c r="AF812" s="84"/>
      <c r="AG812" s="82">
        <v>510078.64</v>
      </c>
    </row>
    <row r="813" spans="1:33" x14ac:dyDescent="0.3">
      <c r="A813" s="10">
        <f t="shared" si="176"/>
        <v>724</v>
      </c>
      <c r="B813" s="124" t="s">
        <v>1006</v>
      </c>
      <c r="C813" s="273">
        <f t="shared" si="174"/>
        <v>519023.17</v>
      </c>
      <c r="D813" s="273">
        <f t="shared" si="175"/>
        <v>0</v>
      </c>
      <c r="E813" s="273"/>
      <c r="F813" s="273"/>
      <c r="G813" s="273"/>
      <c r="H813" s="273"/>
      <c r="I813" s="273"/>
      <c r="J813" s="273"/>
      <c r="K813" s="273"/>
      <c r="L813" s="273"/>
      <c r="M813" s="273"/>
      <c r="N813" s="273"/>
      <c r="O813" s="273"/>
      <c r="P813" s="273"/>
      <c r="Q813" s="273"/>
      <c r="R813" s="273"/>
      <c r="S813" s="273"/>
      <c r="T813" s="273"/>
      <c r="U813" s="273"/>
      <c r="V813" s="273"/>
      <c r="W813" s="273">
        <f t="shared" si="177"/>
        <v>519023.17</v>
      </c>
      <c r="Y813" s="271"/>
      <c r="Z813" s="271"/>
      <c r="AA813" s="271"/>
      <c r="AC813" s="271"/>
      <c r="AE813" s="269"/>
      <c r="AF813" s="84"/>
      <c r="AG813" s="82">
        <v>519023.17</v>
      </c>
    </row>
    <row r="814" spans="1:33" x14ac:dyDescent="0.3">
      <c r="A814" s="10">
        <f t="shared" si="176"/>
        <v>725</v>
      </c>
      <c r="B814" s="124" t="s">
        <v>1007</v>
      </c>
      <c r="C814" s="273">
        <f t="shared" si="174"/>
        <v>353489.3</v>
      </c>
      <c r="D814" s="273">
        <f t="shared" si="175"/>
        <v>0</v>
      </c>
      <c r="E814" s="273"/>
      <c r="F814" s="273"/>
      <c r="G814" s="273"/>
      <c r="H814" s="273"/>
      <c r="I814" s="273"/>
      <c r="J814" s="273"/>
      <c r="K814" s="273"/>
      <c r="L814" s="273"/>
      <c r="M814" s="273"/>
      <c r="N814" s="273"/>
      <c r="O814" s="273"/>
      <c r="P814" s="273"/>
      <c r="Q814" s="273"/>
      <c r="R814" s="273"/>
      <c r="S814" s="273"/>
      <c r="T814" s="273"/>
      <c r="U814" s="273"/>
      <c r="V814" s="273"/>
      <c r="W814" s="273">
        <f t="shared" si="177"/>
        <v>353489.3</v>
      </c>
      <c r="Y814" s="271"/>
      <c r="Z814" s="271"/>
      <c r="AA814" s="271"/>
      <c r="AC814" s="271"/>
      <c r="AE814" s="269"/>
      <c r="AF814" s="84">
        <v>353489.3</v>
      </c>
      <c r="AG814" s="82"/>
    </row>
    <row r="815" spans="1:33" x14ac:dyDescent="0.3">
      <c r="A815" s="10">
        <f t="shared" si="176"/>
        <v>726</v>
      </c>
      <c r="B815" s="124" t="s">
        <v>1008</v>
      </c>
      <c r="C815" s="273">
        <f t="shared" si="174"/>
        <v>359804.77</v>
      </c>
      <c r="D815" s="273">
        <f t="shared" si="175"/>
        <v>0</v>
      </c>
      <c r="E815" s="273"/>
      <c r="F815" s="273"/>
      <c r="G815" s="273"/>
      <c r="H815" s="273"/>
      <c r="I815" s="273"/>
      <c r="J815" s="273"/>
      <c r="K815" s="273"/>
      <c r="L815" s="273"/>
      <c r="M815" s="273"/>
      <c r="N815" s="273"/>
      <c r="O815" s="273"/>
      <c r="P815" s="273"/>
      <c r="Q815" s="273"/>
      <c r="R815" s="273"/>
      <c r="S815" s="273"/>
      <c r="T815" s="273"/>
      <c r="U815" s="273"/>
      <c r="V815" s="273"/>
      <c r="W815" s="273">
        <f t="shared" si="177"/>
        <v>359804.77</v>
      </c>
      <c r="Y815" s="271"/>
      <c r="Z815" s="271"/>
      <c r="AA815" s="271"/>
      <c r="AC815" s="271"/>
      <c r="AE815" s="269"/>
      <c r="AF815" s="84">
        <v>359804.77</v>
      </c>
      <c r="AG815" s="82"/>
    </row>
    <row r="816" spans="1:33" x14ac:dyDescent="0.3">
      <c r="A816" s="10">
        <f t="shared" si="176"/>
        <v>727</v>
      </c>
      <c r="B816" s="124" t="s">
        <v>1009</v>
      </c>
      <c r="C816" s="273">
        <f t="shared" si="174"/>
        <v>177164.9</v>
      </c>
      <c r="D816" s="273">
        <f t="shared" si="175"/>
        <v>0</v>
      </c>
      <c r="E816" s="273"/>
      <c r="F816" s="273"/>
      <c r="G816" s="273"/>
      <c r="H816" s="273"/>
      <c r="I816" s="273"/>
      <c r="J816" s="273"/>
      <c r="K816" s="273"/>
      <c r="L816" s="273"/>
      <c r="M816" s="273"/>
      <c r="N816" s="273"/>
      <c r="O816" s="273"/>
      <c r="P816" s="273"/>
      <c r="Q816" s="273"/>
      <c r="R816" s="273"/>
      <c r="S816" s="273"/>
      <c r="T816" s="273"/>
      <c r="U816" s="273"/>
      <c r="V816" s="273"/>
      <c r="W816" s="273">
        <f t="shared" si="177"/>
        <v>177164.9</v>
      </c>
      <c r="Y816" s="271"/>
      <c r="Z816" s="271"/>
      <c r="AA816" s="271"/>
      <c r="AC816" s="271"/>
      <c r="AE816" s="269"/>
      <c r="AF816" s="84">
        <v>177164.9</v>
      </c>
      <c r="AG816" s="82"/>
    </row>
    <row r="817" spans="1:33" x14ac:dyDescent="0.3">
      <c r="A817" s="10">
        <f t="shared" si="176"/>
        <v>728</v>
      </c>
      <c r="B817" s="124" t="s">
        <v>1010</v>
      </c>
      <c r="C817" s="273">
        <f t="shared" si="174"/>
        <v>176422.03</v>
      </c>
      <c r="D817" s="273">
        <f t="shared" si="175"/>
        <v>0</v>
      </c>
      <c r="E817" s="273"/>
      <c r="F817" s="273"/>
      <c r="G817" s="273"/>
      <c r="H817" s="273"/>
      <c r="I817" s="273"/>
      <c r="J817" s="273"/>
      <c r="K817" s="273"/>
      <c r="L817" s="273"/>
      <c r="M817" s="273"/>
      <c r="N817" s="273"/>
      <c r="O817" s="273"/>
      <c r="P817" s="273"/>
      <c r="Q817" s="273"/>
      <c r="R817" s="273"/>
      <c r="S817" s="273"/>
      <c r="T817" s="273"/>
      <c r="U817" s="273"/>
      <c r="V817" s="273"/>
      <c r="W817" s="273">
        <f t="shared" si="177"/>
        <v>176422.03</v>
      </c>
      <c r="Y817" s="271"/>
      <c r="Z817" s="271"/>
      <c r="AA817" s="271"/>
      <c r="AC817" s="271"/>
      <c r="AE817" s="269"/>
      <c r="AF817" s="84">
        <v>176422.03</v>
      </c>
      <c r="AG817" s="82"/>
    </row>
    <row r="818" spans="1:33" x14ac:dyDescent="0.3">
      <c r="A818" s="10">
        <f t="shared" si="176"/>
        <v>729</v>
      </c>
      <c r="B818" s="124" t="s">
        <v>1011</v>
      </c>
      <c r="C818" s="273">
        <f t="shared" si="174"/>
        <v>201568.37</v>
      </c>
      <c r="D818" s="273">
        <f t="shared" si="175"/>
        <v>0</v>
      </c>
      <c r="E818" s="273"/>
      <c r="F818" s="273"/>
      <c r="G818" s="273"/>
      <c r="H818" s="273"/>
      <c r="I818" s="273"/>
      <c r="J818" s="273"/>
      <c r="K818" s="273"/>
      <c r="L818" s="273"/>
      <c r="M818" s="273"/>
      <c r="N818" s="273"/>
      <c r="O818" s="273"/>
      <c r="P818" s="273"/>
      <c r="Q818" s="273"/>
      <c r="R818" s="273"/>
      <c r="S818" s="273"/>
      <c r="T818" s="273"/>
      <c r="U818" s="273"/>
      <c r="V818" s="273"/>
      <c r="W818" s="273">
        <f t="shared" si="177"/>
        <v>201568.37</v>
      </c>
      <c r="Y818" s="271"/>
      <c r="Z818" s="271"/>
      <c r="AA818" s="271"/>
      <c r="AC818" s="271"/>
      <c r="AE818" s="269">
        <v>201568.37</v>
      </c>
      <c r="AF818" s="84"/>
      <c r="AG818" s="82"/>
    </row>
    <row r="819" spans="1:33" x14ac:dyDescent="0.3">
      <c r="A819" s="10">
        <f t="shared" si="176"/>
        <v>730</v>
      </c>
      <c r="B819" s="124" t="s">
        <v>1012</v>
      </c>
      <c r="C819" s="273">
        <f t="shared" si="174"/>
        <v>186324.53</v>
      </c>
      <c r="D819" s="273">
        <f t="shared" si="175"/>
        <v>0</v>
      </c>
      <c r="E819" s="273"/>
      <c r="F819" s="273"/>
      <c r="G819" s="273"/>
      <c r="H819" s="273"/>
      <c r="I819" s="273"/>
      <c r="J819" s="273"/>
      <c r="K819" s="273"/>
      <c r="L819" s="273"/>
      <c r="M819" s="273"/>
      <c r="N819" s="273"/>
      <c r="O819" s="273"/>
      <c r="P819" s="273"/>
      <c r="Q819" s="273"/>
      <c r="R819" s="273"/>
      <c r="S819" s="273"/>
      <c r="T819" s="273"/>
      <c r="U819" s="273"/>
      <c r="V819" s="273"/>
      <c r="W819" s="273">
        <f t="shared" si="177"/>
        <v>186324.53</v>
      </c>
      <c r="Y819" s="271"/>
      <c r="Z819" s="271"/>
      <c r="AA819" s="271"/>
      <c r="AC819" s="93"/>
      <c r="AE819" s="269">
        <v>186324.53</v>
      </c>
      <c r="AF819" s="7"/>
      <c r="AG819" s="82"/>
    </row>
    <row r="820" spans="1:33" x14ac:dyDescent="0.3">
      <c r="A820" s="10">
        <f t="shared" si="176"/>
        <v>731</v>
      </c>
      <c r="B820" s="124" t="s">
        <v>1013</v>
      </c>
      <c r="C820" s="273">
        <f t="shared" si="174"/>
        <v>293640.74</v>
      </c>
      <c r="D820" s="273">
        <f t="shared" si="175"/>
        <v>0</v>
      </c>
      <c r="E820" s="273"/>
      <c r="F820" s="273"/>
      <c r="G820" s="273"/>
      <c r="H820" s="273"/>
      <c r="I820" s="273"/>
      <c r="J820" s="273"/>
      <c r="K820" s="273"/>
      <c r="L820" s="273"/>
      <c r="M820" s="273"/>
      <c r="N820" s="273"/>
      <c r="O820" s="273"/>
      <c r="P820" s="273"/>
      <c r="Q820" s="273"/>
      <c r="R820" s="273"/>
      <c r="S820" s="273"/>
      <c r="T820" s="273"/>
      <c r="U820" s="273"/>
      <c r="V820" s="273"/>
      <c r="W820" s="273">
        <f t="shared" si="177"/>
        <v>293640.74</v>
      </c>
      <c r="Y820" s="271"/>
      <c r="Z820" s="271"/>
      <c r="AA820" s="271"/>
      <c r="AC820" s="92"/>
      <c r="AE820" s="269"/>
      <c r="AF820" s="84">
        <v>293640.74</v>
      </c>
      <c r="AG820" s="82"/>
    </row>
    <row r="821" spans="1:33" x14ac:dyDescent="0.3">
      <c r="A821" s="10">
        <f t="shared" si="176"/>
        <v>732</v>
      </c>
      <c r="B821" s="124" t="s">
        <v>1014</v>
      </c>
      <c r="C821" s="273">
        <f t="shared" si="174"/>
        <v>294197.53999999998</v>
      </c>
      <c r="D821" s="273">
        <f t="shared" si="175"/>
        <v>0</v>
      </c>
      <c r="E821" s="273"/>
      <c r="F821" s="273"/>
      <c r="G821" s="273"/>
      <c r="H821" s="273"/>
      <c r="I821" s="273"/>
      <c r="J821" s="273"/>
      <c r="K821" s="273"/>
      <c r="L821" s="273"/>
      <c r="M821" s="273"/>
      <c r="N821" s="273"/>
      <c r="O821" s="273"/>
      <c r="P821" s="273"/>
      <c r="Q821" s="273"/>
      <c r="R821" s="273"/>
      <c r="S821" s="273"/>
      <c r="T821" s="273"/>
      <c r="U821" s="273"/>
      <c r="V821" s="273"/>
      <c r="W821" s="273">
        <f t="shared" si="177"/>
        <v>294197.53999999998</v>
      </c>
      <c r="Y821" s="271"/>
      <c r="Z821" s="271"/>
      <c r="AA821" s="271"/>
      <c r="AC821" s="92"/>
      <c r="AE821" s="269"/>
      <c r="AF821" s="84">
        <v>294197.53999999998</v>
      </c>
      <c r="AG821" s="82"/>
    </row>
    <row r="822" spans="1:33" x14ac:dyDescent="0.3">
      <c r="A822" s="10">
        <f t="shared" si="176"/>
        <v>733</v>
      </c>
      <c r="B822" s="124" t="s">
        <v>1015</v>
      </c>
      <c r="C822" s="273">
        <f t="shared" si="174"/>
        <v>180960.48</v>
      </c>
      <c r="D822" s="273">
        <f t="shared" si="175"/>
        <v>0</v>
      </c>
      <c r="E822" s="273"/>
      <c r="F822" s="273"/>
      <c r="G822" s="273"/>
      <c r="H822" s="273"/>
      <c r="I822" s="273"/>
      <c r="J822" s="273"/>
      <c r="K822" s="273"/>
      <c r="L822" s="273"/>
      <c r="M822" s="273"/>
      <c r="N822" s="273"/>
      <c r="O822" s="273"/>
      <c r="P822" s="273"/>
      <c r="Q822" s="273"/>
      <c r="R822" s="273"/>
      <c r="S822" s="273"/>
      <c r="T822" s="273"/>
      <c r="U822" s="273"/>
      <c r="V822" s="273"/>
      <c r="W822" s="273">
        <f t="shared" si="177"/>
        <v>180960.48</v>
      </c>
      <c r="Y822" s="271"/>
      <c r="Z822" s="271"/>
      <c r="AA822" s="271"/>
      <c r="AC822" s="92"/>
      <c r="AE822" s="269">
        <v>180960.48</v>
      </c>
      <c r="AF822" s="84"/>
      <c r="AG822" s="82"/>
    </row>
    <row r="823" spans="1:33" x14ac:dyDescent="0.3">
      <c r="A823" s="10">
        <f t="shared" si="176"/>
        <v>734</v>
      </c>
      <c r="B823" s="124" t="s">
        <v>1016</v>
      </c>
      <c r="C823" s="273">
        <f t="shared" si="174"/>
        <v>201333.24</v>
      </c>
      <c r="D823" s="273">
        <f t="shared" si="175"/>
        <v>0</v>
      </c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>
        <f t="shared" si="177"/>
        <v>201333.24</v>
      </c>
      <c r="Y823" s="271"/>
      <c r="Z823" s="271"/>
      <c r="AA823" s="271"/>
      <c r="AC823" s="92"/>
      <c r="AE823" s="269">
        <v>201333.24</v>
      </c>
      <c r="AF823" s="84"/>
      <c r="AG823" s="82"/>
    </row>
    <row r="824" spans="1:33" x14ac:dyDescent="0.3">
      <c r="A824" s="10">
        <f t="shared" si="176"/>
        <v>735</v>
      </c>
      <c r="B824" s="124" t="s">
        <v>1017</v>
      </c>
      <c r="C824" s="273">
        <f t="shared" si="174"/>
        <v>417575.52</v>
      </c>
      <c r="D824" s="273">
        <f t="shared" si="175"/>
        <v>0</v>
      </c>
      <c r="E824" s="273"/>
      <c r="F824" s="273"/>
      <c r="G824" s="273"/>
      <c r="H824" s="273"/>
      <c r="I824" s="273"/>
      <c r="J824" s="273"/>
      <c r="K824" s="273"/>
      <c r="L824" s="273"/>
      <c r="M824" s="273"/>
      <c r="N824" s="273"/>
      <c r="O824" s="273"/>
      <c r="P824" s="273"/>
      <c r="Q824" s="273"/>
      <c r="R824" s="273"/>
      <c r="S824" s="273"/>
      <c r="T824" s="273"/>
      <c r="U824" s="273"/>
      <c r="V824" s="273"/>
      <c r="W824" s="273">
        <f t="shared" si="177"/>
        <v>417575.52</v>
      </c>
      <c r="Y824" s="271"/>
      <c r="Z824" s="271"/>
      <c r="AA824" s="271"/>
      <c r="AC824" s="92"/>
      <c r="AE824" s="269">
        <v>417575.52</v>
      </c>
      <c r="AF824" s="84"/>
      <c r="AG824" s="82"/>
    </row>
    <row r="825" spans="1:33" x14ac:dyDescent="0.3">
      <c r="A825" s="10">
        <f t="shared" si="176"/>
        <v>736</v>
      </c>
      <c r="B825" s="124" t="s">
        <v>1018</v>
      </c>
      <c r="C825" s="273">
        <f t="shared" si="174"/>
        <v>419314.38</v>
      </c>
      <c r="D825" s="273">
        <f t="shared" si="175"/>
        <v>0</v>
      </c>
      <c r="E825" s="273"/>
      <c r="F825" s="273"/>
      <c r="G825" s="273"/>
      <c r="H825" s="273"/>
      <c r="I825" s="273"/>
      <c r="J825" s="273"/>
      <c r="K825" s="273"/>
      <c r="L825" s="273"/>
      <c r="M825" s="273"/>
      <c r="N825" s="273"/>
      <c r="O825" s="273"/>
      <c r="P825" s="273"/>
      <c r="Q825" s="273"/>
      <c r="R825" s="273"/>
      <c r="S825" s="273"/>
      <c r="T825" s="273"/>
      <c r="U825" s="273"/>
      <c r="V825" s="273"/>
      <c r="W825" s="273">
        <f t="shared" si="177"/>
        <v>419314.38</v>
      </c>
      <c r="Y825" s="271"/>
      <c r="Z825" s="271"/>
      <c r="AA825" s="271"/>
      <c r="AC825" s="92"/>
      <c r="AE825" s="269">
        <v>419314.38</v>
      </c>
      <c r="AF825" s="84"/>
      <c r="AG825" s="82"/>
    </row>
    <row r="826" spans="1:33" x14ac:dyDescent="0.3">
      <c r="A826" s="10">
        <f t="shared" si="176"/>
        <v>737</v>
      </c>
      <c r="B826" s="124" t="s">
        <v>1019</v>
      </c>
      <c r="C826" s="273">
        <f t="shared" si="174"/>
        <v>387283.57</v>
      </c>
      <c r="D826" s="273">
        <f t="shared" si="175"/>
        <v>0</v>
      </c>
      <c r="E826" s="273"/>
      <c r="F826" s="273"/>
      <c r="G826" s="273"/>
      <c r="H826" s="273"/>
      <c r="I826" s="273"/>
      <c r="J826" s="273"/>
      <c r="K826" s="273"/>
      <c r="L826" s="273"/>
      <c r="M826" s="273"/>
      <c r="N826" s="273"/>
      <c r="O826" s="273"/>
      <c r="P826" s="273"/>
      <c r="Q826" s="273"/>
      <c r="R826" s="273"/>
      <c r="S826" s="273"/>
      <c r="T826" s="273"/>
      <c r="U826" s="273"/>
      <c r="V826" s="273"/>
      <c r="W826" s="273">
        <f t="shared" si="177"/>
        <v>387283.57</v>
      </c>
      <c r="Y826" s="271"/>
      <c r="Z826" s="271"/>
      <c r="AA826" s="271"/>
      <c r="AC826" s="92"/>
      <c r="AE826" s="269">
        <v>387283.57</v>
      </c>
      <c r="AF826" s="84"/>
      <c r="AG826" s="82"/>
    </row>
    <row r="827" spans="1:33" x14ac:dyDescent="0.3">
      <c r="A827" s="10">
        <f t="shared" si="176"/>
        <v>738</v>
      </c>
      <c r="B827" s="124" t="s">
        <v>1020</v>
      </c>
      <c r="C827" s="273">
        <f t="shared" si="174"/>
        <v>492908.35</v>
      </c>
      <c r="D827" s="273">
        <f t="shared" si="175"/>
        <v>0</v>
      </c>
      <c r="E827" s="273"/>
      <c r="F827" s="273"/>
      <c r="G827" s="273"/>
      <c r="H827" s="273"/>
      <c r="I827" s="273"/>
      <c r="J827" s="273"/>
      <c r="K827" s="273"/>
      <c r="L827" s="273"/>
      <c r="M827" s="273"/>
      <c r="N827" s="273"/>
      <c r="O827" s="273"/>
      <c r="P827" s="273"/>
      <c r="Q827" s="273"/>
      <c r="R827" s="273"/>
      <c r="S827" s="273"/>
      <c r="T827" s="273"/>
      <c r="U827" s="273"/>
      <c r="V827" s="273"/>
      <c r="W827" s="273">
        <f t="shared" si="177"/>
        <v>492908.35</v>
      </c>
      <c r="Y827" s="271"/>
      <c r="Z827" s="271"/>
      <c r="AA827" s="271"/>
      <c r="AC827" s="92"/>
      <c r="AE827" s="94">
        <v>492908.35</v>
      </c>
      <c r="AF827" s="7"/>
      <c r="AG827" s="82"/>
    </row>
    <row r="828" spans="1:33" x14ac:dyDescent="0.3">
      <c r="A828" s="10">
        <f t="shared" si="176"/>
        <v>739</v>
      </c>
      <c r="B828" s="124" t="s">
        <v>1021</v>
      </c>
      <c r="C828" s="273">
        <f t="shared" si="174"/>
        <v>526268.28</v>
      </c>
      <c r="D828" s="273">
        <f t="shared" si="175"/>
        <v>0</v>
      </c>
      <c r="E828" s="273"/>
      <c r="F828" s="273"/>
      <c r="G828" s="273"/>
      <c r="H828" s="273"/>
      <c r="I828" s="273"/>
      <c r="J828" s="273"/>
      <c r="K828" s="273"/>
      <c r="L828" s="273"/>
      <c r="M828" s="273"/>
      <c r="N828" s="273"/>
      <c r="O828" s="273"/>
      <c r="P828" s="273"/>
      <c r="Q828" s="273"/>
      <c r="R828" s="273"/>
      <c r="S828" s="273"/>
      <c r="T828" s="273"/>
      <c r="U828" s="273"/>
      <c r="V828" s="273"/>
      <c r="W828" s="273">
        <f t="shared" si="177"/>
        <v>526268.28</v>
      </c>
      <c r="Y828" s="271"/>
      <c r="Z828" s="271"/>
      <c r="AA828" s="271"/>
      <c r="AC828" s="92"/>
      <c r="AE828" s="269">
        <v>526268.28</v>
      </c>
      <c r="AF828" s="84"/>
      <c r="AG828" s="82"/>
    </row>
    <row r="829" spans="1:33" x14ac:dyDescent="0.3">
      <c r="A829" s="10">
        <f t="shared" si="176"/>
        <v>740</v>
      </c>
      <c r="B829" s="124" t="s">
        <v>1022</v>
      </c>
      <c r="C829" s="273">
        <f t="shared" si="174"/>
        <v>190899.77</v>
      </c>
      <c r="D829" s="273">
        <f t="shared" si="175"/>
        <v>0</v>
      </c>
      <c r="E829" s="273"/>
      <c r="F829" s="273"/>
      <c r="G829" s="273"/>
      <c r="H829" s="273"/>
      <c r="I829" s="273"/>
      <c r="J829" s="273"/>
      <c r="K829" s="273"/>
      <c r="L829" s="273"/>
      <c r="M829" s="273"/>
      <c r="N829" s="273"/>
      <c r="O829" s="273"/>
      <c r="P829" s="273"/>
      <c r="Q829" s="273"/>
      <c r="R829" s="273"/>
      <c r="S829" s="273"/>
      <c r="T829" s="273"/>
      <c r="U829" s="273"/>
      <c r="V829" s="273"/>
      <c r="W829" s="273">
        <f t="shared" si="177"/>
        <v>190899.77</v>
      </c>
      <c r="Y829" s="271"/>
      <c r="Z829" s="271"/>
      <c r="AA829" s="271"/>
      <c r="AC829" s="92"/>
      <c r="AE829" s="269">
        <v>190899.77</v>
      </c>
      <c r="AF829" s="84"/>
      <c r="AG829" s="82"/>
    </row>
    <row r="830" spans="1:33" x14ac:dyDescent="0.3">
      <c r="A830" s="10">
        <f t="shared" si="176"/>
        <v>741</v>
      </c>
      <c r="B830" s="124" t="s">
        <v>1023</v>
      </c>
      <c r="C830" s="273">
        <f t="shared" si="174"/>
        <v>190584.22</v>
      </c>
      <c r="D830" s="273">
        <f t="shared" si="175"/>
        <v>0</v>
      </c>
      <c r="E830" s="273"/>
      <c r="F830" s="273"/>
      <c r="G830" s="273"/>
      <c r="H830" s="273"/>
      <c r="I830" s="273"/>
      <c r="J830" s="273"/>
      <c r="K830" s="273"/>
      <c r="L830" s="273"/>
      <c r="M830" s="273"/>
      <c r="N830" s="273"/>
      <c r="O830" s="273"/>
      <c r="P830" s="273"/>
      <c r="Q830" s="273"/>
      <c r="R830" s="273"/>
      <c r="S830" s="273"/>
      <c r="T830" s="273"/>
      <c r="U830" s="273"/>
      <c r="V830" s="273"/>
      <c r="W830" s="273">
        <f t="shared" si="177"/>
        <v>190584.22</v>
      </c>
      <c r="Y830" s="271"/>
      <c r="Z830" s="271"/>
      <c r="AA830" s="271"/>
      <c r="AC830" s="92"/>
      <c r="AE830" s="269">
        <v>190584.22</v>
      </c>
      <c r="AF830" s="84"/>
      <c r="AG830" s="82"/>
    </row>
    <row r="831" spans="1:33" x14ac:dyDescent="0.3">
      <c r="A831" s="10">
        <f t="shared" si="176"/>
        <v>742</v>
      </c>
      <c r="B831" s="124" t="s">
        <v>1024</v>
      </c>
      <c r="C831" s="273">
        <f t="shared" si="174"/>
        <v>172335.95</v>
      </c>
      <c r="D831" s="273">
        <f t="shared" si="175"/>
        <v>0</v>
      </c>
      <c r="E831" s="273"/>
      <c r="F831" s="273"/>
      <c r="G831" s="273"/>
      <c r="H831" s="273"/>
      <c r="I831" s="273"/>
      <c r="J831" s="273"/>
      <c r="K831" s="273"/>
      <c r="L831" s="273"/>
      <c r="M831" s="273"/>
      <c r="N831" s="273"/>
      <c r="O831" s="273"/>
      <c r="P831" s="273"/>
      <c r="Q831" s="273"/>
      <c r="R831" s="273"/>
      <c r="S831" s="273"/>
      <c r="T831" s="273"/>
      <c r="U831" s="273"/>
      <c r="V831" s="273"/>
      <c r="W831" s="273">
        <f t="shared" si="177"/>
        <v>172335.95</v>
      </c>
      <c r="Y831" s="271"/>
      <c r="Z831" s="271"/>
      <c r="AA831" s="271"/>
      <c r="AC831" s="92"/>
      <c r="AE831" s="269">
        <v>172335.95</v>
      </c>
      <c r="AF831" s="84"/>
      <c r="AG831" s="82"/>
    </row>
    <row r="832" spans="1:33" x14ac:dyDescent="0.3">
      <c r="A832" s="10">
        <f t="shared" si="176"/>
        <v>743</v>
      </c>
      <c r="B832" s="124" t="s">
        <v>1025</v>
      </c>
      <c r="C832" s="273">
        <f t="shared" si="174"/>
        <v>485883.22</v>
      </c>
      <c r="D832" s="273">
        <f t="shared" si="175"/>
        <v>0</v>
      </c>
      <c r="E832" s="273"/>
      <c r="F832" s="273"/>
      <c r="G832" s="273"/>
      <c r="H832" s="273"/>
      <c r="I832" s="273"/>
      <c r="J832" s="273"/>
      <c r="K832" s="273"/>
      <c r="L832" s="273"/>
      <c r="M832" s="273"/>
      <c r="N832" s="273"/>
      <c r="O832" s="273"/>
      <c r="P832" s="273"/>
      <c r="Q832" s="273"/>
      <c r="R832" s="273"/>
      <c r="S832" s="273"/>
      <c r="T832" s="273"/>
      <c r="U832" s="273"/>
      <c r="V832" s="273"/>
      <c r="W832" s="273">
        <f t="shared" si="177"/>
        <v>485883.22</v>
      </c>
      <c r="Y832" s="271"/>
      <c r="Z832" s="271"/>
      <c r="AA832" s="271"/>
      <c r="AC832" s="92"/>
      <c r="AE832" s="269"/>
      <c r="AF832" s="84"/>
      <c r="AG832" s="82">
        <v>485883.22</v>
      </c>
    </row>
    <row r="833" spans="1:33" x14ac:dyDescent="0.3">
      <c r="A833" s="10">
        <f t="shared" si="176"/>
        <v>744</v>
      </c>
      <c r="B833" s="124" t="s">
        <v>1026</v>
      </c>
      <c r="C833" s="273">
        <f t="shared" si="174"/>
        <v>699296</v>
      </c>
      <c r="D833" s="273">
        <f t="shared" si="175"/>
        <v>0</v>
      </c>
      <c r="E833" s="273"/>
      <c r="F833" s="273"/>
      <c r="G833" s="273"/>
      <c r="H833" s="273"/>
      <c r="I833" s="273"/>
      <c r="J833" s="273"/>
      <c r="K833" s="273"/>
      <c r="L833" s="273"/>
      <c r="M833" s="273"/>
      <c r="N833" s="273"/>
      <c r="O833" s="273"/>
      <c r="P833" s="273"/>
      <c r="Q833" s="273"/>
      <c r="R833" s="273"/>
      <c r="S833" s="273"/>
      <c r="T833" s="273"/>
      <c r="U833" s="273"/>
      <c r="V833" s="273"/>
      <c r="W833" s="273">
        <f t="shared" si="177"/>
        <v>699296</v>
      </c>
      <c r="Y833" s="271"/>
      <c r="Z833" s="271"/>
      <c r="AA833" s="271"/>
      <c r="AC833" s="92"/>
      <c r="AE833" s="269"/>
      <c r="AF833" s="84"/>
      <c r="AG833" s="82">
        <v>699296</v>
      </c>
    </row>
    <row r="834" spans="1:33" x14ac:dyDescent="0.3">
      <c r="A834" s="10">
        <f t="shared" si="176"/>
        <v>745</v>
      </c>
      <c r="B834" s="124" t="s">
        <v>1027</v>
      </c>
      <c r="C834" s="273">
        <f t="shared" ref="C834:C839" si="178">D834+K834+L834+N834+P834+R834+S834+U834+W834</f>
        <v>440432.33</v>
      </c>
      <c r="D834" s="273">
        <f t="shared" ref="D834:D839" si="179">E834+F834+G834+H834+I834</f>
        <v>0</v>
      </c>
      <c r="E834" s="273"/>
      <c r="F834" s="273"/>
      <c r="G834" s="273"/>
      <c r="H834" s="273"/>
      <c r="I834" s="273"/>
      <c r="J834" s="273"/>
      <c r="K834" s="273"/>
      <c r="L834" s="273"/>
      <c r="M834" s="273"/>
      <c r="N834" s="273"/>
      <c r="O834" s="273"/>
      <c r="P834" s="273"/>
      <c r="Q834" s="273"/>
      <c r="R834" s="273"/>
      <c r="S834" s="273"/>
      <c r="T834" s="273"/>
      <c r="U834" s="273"/>
      <c r="V834" s="273"/>
      <c r="W834" s="273">
        <f t="shared" si="177"/>
        <v>440432.33</v>
      </c>
      <c r="Y834" s="271"/>
      <c r="Z834" s="271"/>
      <c r="AA834" s="271"/>
      <c r="AC834" s="92"/>
      <c r="AE834" s="269"/>
      <c r="AF834" s="84"/>
      <c r="AG834" s="82">
        <v>440432.33</v>
      </c>
    </row>
    <row r="835" spans="1:33" x14ac:dyDescent="0.3">
      <c r="A835" s="10">
        <f t="shared" si="176"/>
        <v>746</v>
      </c>
      <c r="B835" s="124" t="s">
        <v>1028</v>
      </c>
      <c r="C835" s="273">
        <f t="shared" si="178"/>
        <v>441204.86</v>
      </c>
      <c r="D835" s="273">
        <f t="shared" si="179"/>
        <v>0</v>
      </c>
      <c r="E835" s="273"/>
      <c r="F835" s="273"/>
      <c r="G835" s="273"/>
      <c r="H835" s="273"/>
      <c r="I835" s="273"/>
      <c r="J835" s="273"/>
      <c r="K835" s="273"/>
      <c r="L835" s="273"/>
      <c r="M835" s="273"/>
      <c r="N835" s="273"/>
      <c r="O835" s="273"/>
      <c r="P835" s="273"/>
      <c r="Q835" s="273"/>
      <c r="R835" s="273"/>
      <c r="S835" s="273"/>
      <c r="T835" s="273"/>
      <c r="U835" s="273"/>
      <c r="V835" s="273"/>
      <c r="W835" s="273">
        <f t="shared" si="177"/>
        <v>441204.86</v>
      </c>
      <c r="Y835" s="271"/>
      <c r="Z835" s="271"/>
      <c r="AA835" s="271"/>
      <c r="AC835" s="92"/>
      <c r="AE835" s="269"/>
      <c r="AF835" s="84"/>
      <c r="AG835" s="82">
        <v>441204.86</v>
      </c>
    </row>
    <row r="836" spans="1:33" x14ac:dyDescent="0.3">
      <c r="A836" s="10">
        <f t="shared" si="176"/>
        <v>747</v>
      </c>
      <c r="B836" s="124" t="s">
        <v>1029</v>
      </c>
      <c r="C836" s="273">
        <f t="shared" si="178"/>
        <v>441204.86</v>
      </c>
      <c r="D836" s="273">
        <f t="shared" si="179"/>
        <v>0</v>
      </c>
      <c r="E836" s="273"/>
      <c r="F836" s="273"/>
      <c r="G836" s="273"/>
      <c r="H836" s="273"/>
      <c r="I836" s="273"/>
      <c r="J836" s="273"/>
      <c r="K836" s="273"/>
      <c r="L836" s="273"/>
      <c r="M836" s="273"/>
      <c r="N836" s="273"/>
      <c r="O836" s="273"/>
      <c r="P836" s="273"/>
      <c r="Q836" s="273"/>
      <c r="R836" s="273"/>
      <c r="S836" s="273"/>
      <c r="T836" s="273"/>
      <c r="U836" s="273"/>
      <c r="V836" s="273"/>
      <c r="W836" s="273">
        <f t="shared" si="177"/>
        <v>441204.86</v>
      </c>
      <c r="Y836" s="271"/>
      <c r="Z836" s="271"/>
      <c r="AA836" s="271"/>
      <c r="AC836" s="92"/>
      <c r="AE836" s="269"/>
      <c r="AF836" s="84"/>
      <c r="AG836" s="82">
        <v>441204.86</v>
      </c>
    </row>
    <row r="837" spans="1:33" x14ac:dyDescent="0.3">
      <c r="A837" s="10">
        <f t="shared" si="176"/>
        <v>748</v>
      </c>
      <c r="B837" s="124" t="s">
        <v>1030</v>
      </c>
      <c r="C837" s="273">
        <f t="shared" si="178"/>
        <v>662992.56000000006</v>
      </c>
      <c r="D837" s="273">
        <f t="shared" si="179"/>
        <v>0</v>
      </c>
      <c r="E837" s="273"/>
      <c r="F837" s="273"/>
      <c r="G837" s="273"/>
      <c r="H837" s="273"/>
      <c r="I837" s="273"/>
      <c r="J837" s="273"/>
      <c r="K837" s="273"/>
      <c r="L837" s="273"/>
      <c r="M837" s="273"/>
      <c r="N837" s="273"/>
      <c r="O837" s="273"/>
      <c r="P837" s="273"/>
      <c r="Q837" s="273"/>
      <c r="R837" s="273"/>
      <c r="S837" s="273"/>
      <c r="T837" s="273"/>
      <c r="U837" s="273"/>
      <c r="V837" s="273"/>
      <c r="W837" s="273">
        <f t="shared" si="177"/>
        <v>662992.56000000006</v>
      </c>
      <c r="Y837" s="271"/>
      <c r="Z837" s="271"/>
      <c r="AA837" s="271"/>
      <c r="AC837" s="92"/>
      <c r="AE837" s="269"/>
      <c r="AF837" s="84"/>
      <c r="AG837" s="82">
        <v>662992.56000000006</v>
      </c>
    </row>
    <row r="838" spans="1:33" x14ac:dyDescent="0.3">
      <c r="A838" s="10">
        <f t="shared" si="176"/>
        <v>749</v>
      </c>
      <c r="B838" s="124" t="s">
        <v>1031</v>
      </c>
      <c r="C838" s="273">
        <f t="shared" si="178"/>
        <v>606890.9</v>
      </c>
      <c r="D838" s="273">
        <f t="shared" si="179"/>
        <v>0</v>
      </c>
      <c r="E838" s="273"/>
      <c r="F838" s="273"/>
      <c r="G838" s="273"/>
      <c r="H838" s="273"/>
      <c r="I838" s="273"/>
      <c r="J838" s="273"/>
      <c r="K838" s="273"/>
      <c r="L838" s="273"/>
      <c r="M838" s="273"/>
      <c r="N838" s="273"/>
      <c r="O838" s="273"/>
      <c r="P838" s="273"/>
      <c r="Q838" s="273"/>
      <c r="R838" s="273"/>
      <c r="S838" s="273"/>
      <c r="T838" s="273"/>
      <c r="U838" s="273"/>
      <c r="V838" s="273"/>
      <c r="W838" s="273">
        <f t="shared" si="177"/>
        <v>606890.9</v>
      </c>
      <c r="Y838" s="271"/>
      <c r="Z838" s="271"/>
      <c r="AA838" s="271"/>
      <c r="AC838" s="92"/>
      <c r="AE838" s="269"/>
      <c r="AF838" s="84"/>
      <c r="AG838" s="82">
        <v>606890.9</v>
      </c>
    </row>
    <row r="839" spans="1:33" x14ac:dyDescent="0.3">
      <c r="A839" s="10">
        <f t="shared" si="176"/>
        <v>750</v>
      </c>
      <c r="B839" s="124" t="s">
        <v>1032</v>
      </c>
      <c r="C839" s="273">
        <f t="shared" si="178"/>
        <v>610229.59</v>
      </c>
      <c r="D839" s="273">
        <f t="shared" si="179"/>
        <v>0</v>
      </c>
      <c r="E839" s="273"/>
      <c r="F839" s="273"/>
      <c r="G839" s="273"/>
      <c r="H839" s="273"/>
      <c r="I839" s="273"/>
      <c r="J839" s="273"/>
      <c r="K839" s="273"/>
      <c r="L839" s="273"/>
      <c r="M839" s="273"/>
      <c r="N839" s="273"/>
      <c r="O839" s="273"/>
      <c r="P839" s="273"/>
      <c r="Q839" s="273"/>
      <c r="R839" s="273"/>
      <c r="S839" s="273"/>
      <c r="T839" s="273"/>
      <c r="U839" s="273"/>
      <c r="V839" s="273"/>
      <c r="W839" s="273">
        <f t="shared" si="177"/>
        <v>610229.59</v>
      </c>
      <c r="Y839" s="271"/>
      <c r="Z839" s="271"/>
      <c r="AA839" s="271"/>
      <c r="AC839" s="92"/>
      <c r="AE839" s="269"/>
      <c r="AF839" s="84"/>
      <c r="AG839" s="82">
        <v>610229.59</v>
      </c>
    </row>
    <row r="840" spans="1:33" x14ac:dyDescent="0.3">
      <c r="A840" s="10"/>
      <c r="B840" s="124" t="s">
        <v>208</v>
      </c>
      <c r="C840" s="273">
        <f t="shared" ref="C840:W840" si="180">SUM(C770:C839)</f>
        <v>31562754.289999992</v>
      </c>
      <c r="D840" s="273">
        <f t="shared" si="180"/>
        <v>0</v>
      </c>
      <c r="E840" s="273">
        <f t="shared" si="180"/>
        <v>0</v>
      </c>
      <c r="F840" s="273">
        <f t="shared" si="180"/>
        <v>0</v>
      </c>
      <c r="G840" s="273">
        <f t="shared" si="180"/>
        <v>0</v>
      </c>
      <c r="H840" s="273">
        <f t="shared" si="180"/>
        <v>0</v>
      </c>
      <c r="I840" s="273">
        <f t="shared" si="180"/>
        <v>0</v>
      </c>
      <c r="J840" s="273">
        <f t="shared" si="180"/>
        <v>0</v>
      </c>
      <c r="K840" s="273">
        <f t="shared" si="180"/>
        <v>0</v>
      </c>
      <c r="L840" s="273">
        <f t="shared" si="180"/>
        <v>0</v>
      </c>
      <c r="M840" s="273">
        <f t="shared" si="180"/>
        <v>0</v>
      </c>
      <c r="N840" s="273">
        <f t="shared" si="180"/>
        <v>0</v>
      </c>
      <c r="O840" s="273">
        <f t="shared" si="180"/>
        <v>0</v>
      </c>
      <c r="P840" s="273">
        <f t="shared" si="180"/>
        <v>0</v>
      </c>
      <c r="Q840" s="273">
        <f t="shared" si="180"/>
        <v>0</v>
      </c>
      <c r="R840" s="273">
        <f t="shared" si="180"/>
        <v>0</v>
      </c>
      <c r="S840" s="273">
        <f t="shared" si="180"/>
        <v>0</v>
      </c>
      <c r="T840" s="273">
        <f t="shared" si="180"/>
        <v>0</v>
      </c>
      <c r="U840" s="273">
        <f t="shared" si="180"/>
        <v>7577990.2300000004</v>
      </c>
      <c r="V840" s="273">
        <f t="shared" si="180"/>
        <v>0</v>
      </c>
      <c r="W840" s="273">
        <f t="shared" si="180"/>
        <v>23984764.059999991</v>
      </c>
      <c r="X840" s="271"/>
      <c r="Y840" s="271"/>
      <c r="Z840" s="271"/>
      <c r="AA840" s="271"/>
      <c r="AB840" s="269"/>
      <c r="AC840" s="271"/>
      <c r="AD840" s="82"/>
      <c r="AE840" s="82"/>
      <c r="AF840" s="13"/>
    </row>
    <row r="841" spans="1:33" ht="30.75" customHeight="1" x14ac:dyDescent="0.3">
      <c r="A841" s="374" t="s">
        <v>1033</v>
      </c>
      <c r="B841" s="375"/>
      <c r="C841" s="273"/>
      <c r="D841" s="273"/>
      <c r="E841" s="273"/>
      <c r="F841" s="273"/>
      <c r="G841" s="273"/>
      <c r="H841" s="273"/>
      <c r="I841" s="273"/>
      <c r="J841" s="273"/>
      <c r="K841" s="273"/>
      <c r="L841" s="273"/>
      <c r="M841" s="273"/>
      <c r="N841" s="273"/>
      <c r="O841" s="273"/>
      <c r="P841" s="273"/>
      <c r="Q841" s="273"/>
      <c r="R841" s="273"/>
      <c r="S841" s="273"/>
      <c r="T841" s="273"/>
      <c r="U841" s="273"/>
      <c r="V841" s="273"/>
      <c r="W841" s="273"/>
      <c r="X841" s="271"/>
      <c r="Y841" s="271"/>
      <c r="Z841" s="271"/>
      <c r="AA841" s="271"/>
      <c r="AB841" s="269"/>
      <c r="AC841" s="84"/>
      <c r="AD841" s="82"/>
      <c r="AE841" s="82"/>
      <c r="AF841" s="13"/>
    </row>
    <row r="842" spans="1:33" x14ac:dyDescent="0.3">
      <c r="A842" s="10">
        <f>A839+1</f>
        <v>751</v>
      </c>
      <c r="B842" s="124" t="s">
        <v>1034</v>
      </c>
      <c r="C842" s="273">
        <f>D842+K842+L842+N842+P842+R842+S842+U842+W842</f>
        <v>189845.3</v>
      </c>
      <c r="D842" s="273">
        <f>E842+F842+G842+H842+I842</f>
        <v>0</v>
      </c>
      <c r="E842" s="273"/>
      <c r="F842" s="273"/>
      <c r="G842" s="273"/>
      <c r="H842" s="273"/>
      <c r="I842" s="273"/>
      <c r="J842" s="273"/>
      <c r="K842" s="273"/>
      <c r="L842" s="273"/>
      <c r="M842" s="273"/>
      <c r="N842" s="273"/>
      <c r="O842" s="273"/>
      <c r="P842" s="273"/>
      <c r="Q842" s="273"/>
      <c r="R842" s="273"/>
      <c r="S842" s="273"/>
      <c r="T842" s="273"/>
      <c r="U842" s="273"/>
      <c r="V842" s="273"/>
      <c r="W842" s="273">
        <f>SUM(X842:AG842)</f>
        <v>189845.3</v>
      </c>
      <c r="X842" s="271"/>
      <c r="Y842" s="271"/>
      <c r="Z842" s="271"/>
      <c r="AA842" s="271"/>
      <c r="AC842" s="84"/>
      <c r="AD842" s="82"/>
      <c r="AE842" s="269">
        <v>189845.3</v>
      </c>
      <c r="AF842" s="13"/>
    </row>
    <row r="843" spans="1:33" x14ac:dyDescent="0.3">
      <c r="A843" s="10"/>
      <c r="B843" s="124" t="s">
        <v>208</v>
      </c>
      <c r="C843" s="273">
        <f t="shared" ref="C843:W843" si="181">SUM(C842:C842)</f>
        <v>189845.3</v>
      </c>
      <c r="D843" s="273">
        <f t="shared" si="181"/>
        <v>0</v>
      </c>
      <c r="E843" s="273">
        <f t="shared" si="181"/>
        <v>0</v>
      </c>
      <c r="F843" s="273">
        <f t="shared" si="181"/>
        <v>0</v>
      </c>
      <c r="G843" s="273">
        <f t="shared" si="181"/>
        <v>0</v>
      </c>
      <c r="H843" s="273">
        <f t="shared" si="181"/>
        <v>0</v>
      </c>
      <c r="I843" s="273">
        <f t="shared" si="181"/>
        <v>0</v>
      </c>
      <c r="J843" s="273">
        <f t="shared" si="181"/>
        <v>0</v>
      </c>
      <c r="K843" s="273">
        <f t="shared" si="181"/>
        <v>0</v>
      </c>
      <c r="L843" s="273">
        <f t="shared" si="181"/>
        <v>0</v>
      </c>
      <c r="M843" s="273">
        <f t="shared" si="181"/>
        <v>0</v>
      </c>
      <c r="N843" s="273">
        <f t="shared" si="181"/>
        <v>0</v>
      </c>
      <c r="O843" s="273">
        <f t="shared" si="181"/>
        <v>0</v>
      </c>
      <c r="P843" s="273">
        <f t="shared" si="181"/>
        <v>0</v>
      </c>
      <c r="Q843" s="273">
        <f t="shared" si="181"/>
        <v>0</v>
      </c>
      <c r="R843" s="273">
        <f t="shared" si="181"/>
        <v>0</v>
      </c>
      <c r="S843" s="273">
        <f t="shared" si="181"/>
        <v>0</v>
      </c>
      <c r="T843" s="273">
        <f t="shared" si="181"/>
        <v>0</v>
      </c>
      <c r="U843" s="273">
        <f t="shared" si="181"/>
        <v>0</v>
      </c>
      <c r="V843" s="273">
        <f t="shared" si="181"/>
        <v>0</v>
      </c>
      <c r="W843" s="273">
        <f t="shared" si="181"/>
        <v>189845.3</v>
      </c>
      <c r="X843" s="271"/>
      <c r="Y843" s="271"/>
      <c r="Z843" s="271"/>
      <c r="AA843" s="271"/>
      <c r="AB843" s="269"/>
      <c r="AC843" s="84"/>
      <c r="AD843" s="82"/>
      <c r="AE843" s="82"/>
      <c r="AF843" s="13"/>
    </row>
    <row r="844" spans="1:33" ht="32.25" customHeight="1" x14ac:dyDescent="0.3">
      <c r="A844" s="374" t="s">
        <v>1035</v>
      </c>
      <c r="B844" s="375"/>
      <c r="C844" s="273"/>
      <c r="D844" s="273"/>
      <c r="E844" s="273"/>
      <c r="F844" s="273"/>
      <c r="G844" s="273"/>
      <c r="H844" s="273"/>
      <c r="I844" s="273"/>
      <c r="J844" s="273"/>
      <c r="K844" s="273"/>
      <c r="L844" s="273"/>
      <c r="M844" s="273"/>
      <c r="N844" s="273"/>
      <c r="O844" s="273"/>
      <c r="P844" s="273"/>
      <c r="Q844" s="273"/>
      <c r="R844" s="273"/>
      <c r="S844" s="273"/>
      <c r="T844" s="273"/>
      <c r="U844" s="273"/>
      <c r="V844" s="273"/>
      <c r="W844" s="273"/>
      <c r="X844" s="271"/>
      <c r="Y844" s="271"/>
      <c r="Z844" s="271"/>
      <c r="AA844" s="271"/>
      <c r="AB844" s="269"/>
      <c r="AC844" s="84"/>
      <c r="AD844" s="82"/>
      <c r="AE844" s="82"/>
      <c r="AF844" s="13"/>
    </row>
    <row r="845" spans="1:33" x14ac:dyDescent="0.3">
      <c r="A845" s="10">
        <f>A842+1</f>
        <v>752</v>
      </c>
      <c r="B845" s="124" t="s">
        <v>1036</v>
      </c>
      <c r="C845" s="273">
        <f t="shared" ref="C845:C852" si="182">D845+K845+L845+N845+P845+R845+S845+U845+W845</f>
        <v>23319506.920000002</v>
      </c>
      <c r="D845" s="273">
        <f t="shared" ref="D845:D852" si="183">E845+F845+G845+H845+I845</f>
        <v>0</v>
      </c>
      <c r="E845" s="273"/>
      <c r="F845" s="273"/>
      <c r="G845" s="273"/>
      <c r="H845" s="273"/>
      <c r="I845" s="273"/>
      <c r="J845" s="273"/>
      <c r="K845" s="273"/>
      <c r="L845" s="273"/>
      <c r="M845" s="273"/>
      <c r="N845" s="273"/>
      <c r="O845" s="273"/>
      <c r="P845" s="273"/>
      <c r="Q845" s="273">
        <v>3512</v>
      </c>
      <c r="R845" s="273">
        <v>23319506.920000002</v>
      </c>
      <c r="S845" s="273"/>
      <c r="T845" s="273"/>
      <c r="U845" s="273"/>
      <c r="V845" s="273"/>
      <c r="W845" s="273"/>
      <c r="X845" s="271"/>
      <c r="Y845" s="271"/>
      <c r="Z845" s="271"/>
      <c r="AA845" s="271"/>
      <c r="AB845" s="269"/>
      <c r="AC845" s="84"/>
      <c r="AD845" s="82"/>
      <c r="AE845" s="82"/>
      <c r="AF845" s="13"/>
    </row>
    <row r="846" spans="1:33" x14ac:dyDescent="0.3">
      <c r="A846" s="10">
        <f t="shared" ref="A846:A852" si="184">A845+1</f>
        <v>753</v>
      </c>
      <c r="B846" s="124" t="s">
        <v>1037</v>
      </c>
      <c r="C846" s="273">
        <f t="shared" si="182"/>
        <v>21027360.460000001</v>
      </c>
      <c r="D846" s="273">
        <f t="shared" si="183"/>
        <v>0</v>
      </c>
      <c r="E846" s="273"/>
      <c r="F846" s="273"/>
      <c r="G846" s="273"/>
      <c r="H846" s="273"/>
      <c r="I846" s="273"/>
      <c r="J846" s="273"/>
      <c r="K846" s="273"/>
      <c r="L846" s="273"/>
      <c r="M846" s="273"/>
      <c r="N846" s="273"/>
      <c r="O846" s="273"/>
      <c r="P846" s="273"/>
      <c r="Q846" s="273">
        <v>3235</v>
      </c>
      <c r="R846" s="273">
        <v>21027360.460000001</v>
      </c>
      <c r="S846" s="273"/>
      <c r="T846" s="273"/>
      <c r="U846" s="273"/>
      <c r="V846" s="273"/>
      <c r="W846" s="273"/>
      <c r="X846" s="271"/>
      <c r="Y846" s="271"/>
      <c r="Z846" s="271"/>
      <c r="AA846" s="271"/>
      <c r="AB846" s="269"/>
      <c r="AC846" s="84"/>
      <c r="AD846" s="82"/>
      <c r="AE846" s="82"/>
      <c r="AF846" s="13"/>
    </row>
    <row r="847" spans="1:33" x14ac:dyDescent="0.3">
      <c r="A847" s="10">
        <f t="shared" si="184"/>
        <v>754</v>
      </c>
      <c r="B847" s="124" t="s">
        <v>1038</v>
      </c>
      <c r="C847" s="273">
        <f t="shared" si="182"/>
        <v>20211849.48</v>
      </c>
      <c r="D847" s="273">
        <f t="shared" si="183"/>
        <v>0</v>
      </c>
      <c r="E847" s="273"/>
      <c r="F847" s="273"/>
      <c r="G847" s="273"/>
      <c r="H847" s="273"/>
      <c r="I847" s="273"/>
      <c r="J847" s="273"/>
      <c r="K847" s="273"/>
      <c r="L847" s="273"/>
      <c r="M847" s="273"/>
      <c r="N847" s="273"/>
      <c r="O847" s="273"/>
      <c r="P847" s="273"/>
      <c r="Q847" s="273">
        <v>3235</v>
      </c>
      <c r="R847" s="273">
        <v>20211849.48</v>
      </c>
      <c r="S847" s="273"/>
      <c r="T847" s="273"/>
      <c r="U847" s="273"/>
      <c r="V847" s="273"/>
      <c r="W847" s="273"/>
      <c r="X847" s="271"/>
      <c r="Y847" s="271"/>
      <c r="Z847" s="271"/>
      <c r="AA847" s="271"/>
      <c r="AB847" s="269"/>
      <c r="AC847" s="84"/>
      <c r="AD847" s="82"/>
      <c r="AE847" s="82"/>
      <c r="AF847" s="13"/>
    </row>
    <row r="848" spans="1:33" x14ac:dyDescent="0.3">
      <c r="A848" s="10">
        <f t="shared" si="184"/>
        <v>755</v>
      </c>
      <c r="B848" s="124" t="s">
        <v>1039</v>
      </c>
      <c r="C848" s="273">
        <f t="shared" si="182"/>
        <v>8900693.9800000004</v>
      </c>
      <c r="D848" s="273">
        <f t="shared" si="183"/>
        <v>0</v>
      </c>
      <c r="E848" s="273"/>
      <c r="F848" s="273"/>
      <c r="G848" s="273"/>
      <c r="H848" s="273"/>
      <c r="I848" s="273"/>
      <c r="J848" s="273"/>
      <c r="K848" s="273"/>
      <c r="L848" s="273"/>
      <c r="M848" s="273"/>
      <c r="N848" s="273"/>
      <c r="O848" s="273"/>
      <c r="P848" s="273"/>
      <c r="Q848" s="273">
        <v>1130</v>
      </c>
      <c r="R848" s="273">
        <v>8900693.9800000004</v>
      </c>
      <c r="S848" s="273"/>
      <c r="T848" s="273"/>
      <c r="U848" s="273"/>
      <c r="V848" s="273"/>
      <c r="W848" s="273"/>
      <c r="X848" s="271"/>
      <c r="Y848" s="271"/>
      <c r="Z848" s="271"/>
      <c r="AA848" s="271"/>
      <c r="AB848" s="269"/>
      <c r="AC848" s="84"/>
      <c r="AD848" s="82"/>
      <c r="AE848" s="82"/>
      <c r="AF848" s="13"/>
    </row>
    <row r="849" spans="1:33" x14ac:dyDescent="0.3">
      <c r="A849" s="10">
        <f t="shared" si="184"/>
        <v>756</v>
      </c>
      <c r="B849" s="124" t="s">
        <v>1040</v>
      </c>
      <c r="C849" s="273">
        <f t="shared" si="182"/>
        <v>13897997.52</v>
      </c>
      <c r="D849" s="273">
        <f t="shared" si="183"/>
        <v>0</v>
      </c>
      <c r="E849" s="273"/>
      <c r="F849" s="273"/>
      <c r="G849" s="273"/>
      <c r="H849" s="273"/>
      <c r="I849" s="273"/>
      <c r="J849" s="273"/>
      <c r="K849" s="273"/>
      <c r="L849" s="273"/>
      <c r="M849" s="273"/>
      <c r="N849" s="273"/>
      <c r="O849" s="273"/>
      <c r="P849" s="273"/>
      <c r="Q849" s="273">
        <v>2350</v>
      </c>
      <c r="R849" s="273">
        <v>13897997.52</v>
      </c>
      <c r="S849" s="273"/>
      <c r="T849" s="273"/>
      <c r="U849" s="273"/>
      <c r="V849" s="273"/>
      <c r="W849" s="273"/>
      <c r="X849" s="271"/>
      <c r="Y849" s="271"/>
      <c r="Z849" s="271"/>
      <c r="AA849" s="271"/>
      <c r="AB849" s="269"/>
      <c r="AC849" s="84"/>
      <c r="AD849" s="82"/>
      <c r="AE849" s="82"/>
      <c r="AF849" s="13"/>
    </row>
    <row r="850" spans="1:33" x14ac:dyDescent="0.3">
      <c r="A850" s="10">
        <f t="shared" si="184"/>
        <v>757</v>
      </c>
      <c r="B850" s="124" t="s">
        <v>1041</v>
      </c>
      <c r="C850" s="273">
        <f t="shared" si="182"/>
        <v>26257001.280000001</v>
      </c>
      <c r="D850" s="273">
        <f t="shared" si="183"/>
        <v>0</v>
      </c>
      <c r="E850" s="273"/>
      <c r="F850" s="273"/>
      <c r="G850" s="273"/>
      <c r="H850" s="273"/>
      <c r="I850" s="273"/>
      <c r="J850" s="273"/>
      <c r="K850" s="273"/>
      <c r="L850" s="273"/>
      <c r="M850" s="273"/>
      <c r="N850" s="273"/>
      <c r="O850" s="273"/>
      <c r="P850" s="273"/>
      <c r="Q850" s="273">
        <v>2293.1999999999998</v>
      </c>
      <c r="R850" s="273">
        <v>26257001.280000001</v>
      </c>
      <c r="S850" s="273"/>
      <c r="T850" s="273"/>
      <c r="U850" s="273"/>
      <c r="V850" s="273"/>
      <c r="W850" s="273"/>
      <c r="X850" s="271"/>
      <c r="Y850" s="271"/>
      <c r="Z850" s="271"/>
      <c r="AA850" s="271"/>
      <c r="AB850" s="269"/>
      <c r="AC850" s="84"/>
      <c r="AD850" s="82"/>
      <c r="AE850" s="82"/>
      <c r="AF850" s="13"/>
    </row>
    <row r="851" spans="1:33" x14ac:dyDescent="0.3">
      <c r="A851" s="10">
        <f t="shared" si="184"/>
        <v>758</v>
      </c>
      <c r="B851" s="124" t="s">
        <v>1055</v>
      </c>
      <c r="C851" s="273">
        <f t="shared" si="182"/>
        <v>23916094.859999999</v>
      </c>
      <c r="D851" s="273">
        <f t="shared" si="183"/>
        <v>0</v>
      </c>
      <c r="E851" s="273"/>
      <c r="F851" s="273"/>
      <c r="G851" s="273"/>
      <c r="H851" s="273"/>
      <c r="I851" s="273"/>
      <c r="J851" s="273"/>
      <c r="K851" s="273"/>
      <c r="L851" s="273"/>
      <c r="M851" s="273"/>
      <c r="N851" s="273"/>
      <c r="O851" s="273"/>
      <c r="P851" s="273"/>
      <c r="Q851" s="273">
        <v>3501.9</v>
      </c>
      <c r="R851" s="273">
        <v>23916094.859999999</v>
      </c>
      <c r="S851" s="273"/>
      <c r="T851" s="273"/>
      <c r="U851" s="273"/>
      <c r="V851" s="273"/>
      <c r="W851" s="273"/>
      <c r="X851" s="271"/>
      <c r="Y851" s="271"/>
      <c r="Z851" s="271"/>
      <c r="AA851" s="271"/>
      <c r="AB851" s="269"/>
      <c r="AC851" s="84"/>
      <c r="AD851" s="82"/>
      <c r="AE851" s="82"/>
      <c r="AF851" s="13"/>
    </row>
    <row r="852" spans="1:33" x14ac:dyDescent="0.3">
      <c r="A852" s="10">
        <f t="shared" si="184"/>
        <v>759</v>
      </c>
      <c r="B852" s="124" t="s">
        <v>3534</v>
      </c>
      <c r="C852" s="273">
        <f t="shared" si="182"/>
        <v>206416.52</v>
      </c>
      <c r="D852" s="273">
        <f t="shared" si="183"/>
        <v>0</v>
      </c>
      <c r="E852" s="273"/>
      <c r="F852" s="273"/>
      <c r="G852" s="273"/>
      <c r="H852" s="273"/>
      <c r="I852" s="273"/>
      <c r="J852" s="273"/>
      <c r="K852" s="273"/>
      <c r="L852" s="273"/>
      <c r="M852" s="273"/>
      <c r="N852" s="273"/>
      <c r="O852" s="273"/>
      <c r="P852" s="273"/>
      <c r="Q852" s="273"/>
      <c r="R852" s="273"/>
      <c r="S852" s="273"/>
      <c r="T852" s="273"/>
      <c r="U852" s="273"/>
      <c r="V852" s="273"/>
      <c r="W852" s="273">
        <v>206416.52</v>
      </c>
      <c r="X852" s="271"/>
      <c r="Y852" s="271"/>
      <c r="Z852" s="271"/>
      <c r="AA852" s="271"/>
      <c r="AB852" s="269"/>
      <c r="AC852" s="84"/>
      <c r="AD852" s="82"/>
      <c r="AE852" s="82">
        <v>206416.52</v>
      </c>
      <c r="AF852" s="13"/>
    </row>
    <row r="853" spans="1:33" x14ac:dyDescent="0.3">
      <c r="A853" s="10"/>
      <c r="B853" s="124" t="s">
        <v>208</v>
      </c>
      <c r="C853" s="273">
        <f t="shared" ref="C853:W853" si="185">SUM(C845:C852)</f>
        <v>137736921.02000001</v>
      </c>
      <c r="D853" s="273">
        <f t="shared" si="185"/>
        <v>0</v>
      </c>
      <c r="E853" s="273">
        <f t="shared" si="185"/>
        <v>0</v>
      </c>
      <c r="F853" s="273">
        <f t="shared" si="185"/>
        <v>0</v>
      </c>
      <c r="G853" s="273">
        <f t="shared" si="185"/>
        <v>0</v>
      </c>
      <c r="H853" s="273">
        <f t="shared" si="185"/>
        <v>0</v>
      </c>
      <c r="I853" s="273">
        <f t="shared" si="185"/>
        <v>0</v>
      </c>
      <c r="J853" s="273">
        <f t="shared" si="185"/>
        <v>0</v>
      </c>
      <c r="K853" s="273">
        <f t="shared" si="185"/>
        <v>0</v>
      </c>
      <c r="L853" s="273">
        <f t="shared" si="185"/>
        <v>0</v>
      </c>
      <c r="M853" s="273">
        <f t="shared" si="185"/>
        <v>0</v>
      </c>
      <c r="N853" s="273">
        <f t="shared" si="185"/>
        <v>0</v>
      </c>
      <c r="O853" s="273">
        <f t="shared" si="185"/>
        <v>0</v>
      </c>
      <c r="P853" s="273">
        <f t="shared" si="185"/>
        <v>0</v>
      </c>
      <c r="Q853" s="273">
        <f t="shared" si="185"/>
        <v>19257.100000000002</v>
      </c>
      <c r="R853" s="273">
        <f t="shared" si="185"/>
        <v>137530504.5</v>
      </c>
      <c r="S853" s="273">
        <f t="shared" si="185"/>
        <v>0</v>
      </c>
      <c r="T853" s="273">
        <f t="shared" si="185"/>
        <v>0</v>
      </c>
      <c r="U853" s="273">
        <f t="shared" si="185"/>
        <v>0</v>
      </c>
      <c r="V853" s="273">
        <f t="shared" si="185"/>
        <v>0</v>
      </c>
      <c r="W853" s="273">
        <f t="shared" si="185"/>
        <v>206416.52</v>
      </c>
      <c r="X853" s="271"/>
      <c r="Y853" s="271"/>
      <c r="Z853" s="271"/>
      <c r="AA853" s="271"/>
      <c r="AB853" s="269"/>
      <c r="AC853" s="84"/>
      <c r="AD853" s="82"/>
      <c r="AE853" s="82"/>
      <c r="AF853" s="13"/>
    </row>
    <row r="854" spans="1:33" ht="33" customHeight="1" x14ac:dyDescent="0.3">
      <c r="A854" s="374" t="s">
        <v>1056</v>
      </c>
      <c r="B854" s="375"/>
      <c r="C854" s="273"/>
      <c r="D854" s="273"/>
      <c r="E854" s="273"/>
      <c r="F854" s="273"/>
      <c r="G854" s="273"/>
      <c r="H854" s="273"/>
      <c r="I854" s="273"/>
      <c r="J854" s="273"/>
      <c r="K854" s="273"/>
      <c r="L854" s="273"/>
      <c r="M854" s="273"/>
      <c r="N854" s="273"/>
      <c r="O854" s="273"/>
      <c r="P854" s="273"/>
      <c r="Q854" s="273"/>
      <c r="R854" s="273"/>
      <c r="S854" s="273"/>
      <c r="T854" s="273"/>
      <c r="U854" s="273"/>
      <c r="V854" s="273"/>
      <c r="W854" s="273"/>
      <c r="X854" s="271"/>
      <c r="Y854" s="271"/>
      <c r="Z854" s="271"/>
      <c r="AA854" s="271"/>
      <c r="AB854" s="269"/>
      <c r="AC854" s="84"/>
      <c r="AD854" s="82"/>
      <c r="AE854" s="82"/>
      <c r="AF854" s="13"/>
    </row>
    <row r="855" spans="1:33" x14ac:dyDescent="0.3">
      <c r="A855" s="10">
        <f>A852+1</f>
        <v>760</v>
      </c>
      <c r="B855" s="124" t="s">
        <v>1070</v>
      </c>
      <c r="C855" s="273">
        <f>D855+K855+L855+N855+P855+R855+S855+U855+W855</f>
        <v>15274657.720000001</v>
      </c>
      <c r="D855" s="273">
        <f>E855+F855+G855+H855+I855</f>
        <v>0</v>
      </c>
      <c r="E855" s="273"/>
      <c r="F855" s="273"/>
      <c r="G855" s="273"/>
      <c r="H855" s="273"/>
      <c r="I855" s="273"/>
      <c r="J855" s="273"/>
      <c r="K855" s="273"/>
      <c r="L855" s="273"/>
      <c r="M855" s="273"/>
      <c r="N855" s="273"/>
      <c r="O855" s="273"/>
      <c r="P855" s="273"/>
      <c r="Q855" s="273">
        <v>2025.7</v>
      </c>
      <c r="R855" s="273">
        <v>15274657.720000001</v>
      </c>
      <c r="S855" s="273"/>
      <c r="T855" s="273"/>
      <c r="U855" s="273"/>
      <c r="V855" s="273"/>
      <c r="W855" s="273"/>
      <c r="X855" s="271"/>
      <c r="Y855" s="271"/>
      <c r="Z855" s="271"/>
      <c r="AA855" s="271"/>
      <c r="AB855" s="269"/>
      <c r="AC855" s="84"/>
      <c r="AD855" s="82"/>
      <c r="AE855" s="82"/>
      <c r="AF855" s="13"/>
    </row>
    <row r="856" spans="1:33" x14ac:dyDescent="0.3">
      <c r="A856" s="10">
        <f>A855+1</f>
        <v>761</v>
      </c>
      <c r="B856" s="124" t="s">
        <v>1072</v>
      </c>
      <c r="C856" s="273">
        <f>D856+K856+L856+N856+P856+R856+S856+U856+W856</f>
        <v>19886969.52</v>
      </c>
      <c r="D856" s="273">
        <f>E856+F856+G856+H856+I856</f>
        <v>0</v>
      </c>
      <c r="E856" s="273"/>
      <c r="F856" s="273"/>
      <c r="G856" s="273"/>
      <c r="H856" s="273"/>
      <c r="I856" s="273"/>
      <c r="J856" s="273"/>
      <c r="K856" s="273"/>
      <c r="L856" s="273"/>
      <c r="M856" s="273"/>
      <c r="N856" s="273"/>
      <c r="O856" s="273"/>
      <c r="P856" s="273"/>
      <c r="Q856" s="273">
        <v>2137.6999999999998</v>
      </c>
      <c r="R856" s="273">
        <v>19886969.52</v>
      </c>
      <c r="S856" s="273"/>
      <c r="T856" s="273"/>
      <c r="U856" s="273"/>
      <c r="V856" s="273"/>
      <c r="W856" s="273"/>
      <c r="X856" s="271"/>
      <c r="Y856" s="271"/>
      <c r="Z856" s="271"/>
      <c r="AA856" s="271"/>
      <c r="AB856" s="269"/>
      <c r="AC856" s="84"/>
      <c r="AD856" s="82"/>
      <c r="AE856" s="82"/>
      <c r="AF856" s="13"/>
    </row>
    <row r="857" spans="1:33" x14ac:dyDescent="0.3">
      <c r="A857" s="10">
        <f>A856+1</f>
        <v>762</v>
      </c>
      <c r="B857" s="124" t="s">
        <v>1073</v>
      </c>
      <c r="C857" s="273">
        <f>D857+K857+L857+N857+P857+R857+S857+U857+W857</f>
        <v>19886969.52</v>
      </c>
      <c r="D857" s="273">
        <f>E857+F857+G857+H857+I857</f>
        <v>0</v>
      </c>
      <c r="E857" s="273"/>
      <c r="F857" s="273"/>
      <c r="G857" s="273"/>
      <c r="H857" s="273"/>
      <c r="I857" s="273"/>
      <c r="J857" s="273"/>
      <c r="K857" s="273"/>
      <c r="L857" s="273"/>
      <c r="M857" s="273"/>
      <c r="N857" s="273"/>
      <c r="O857" s="273"/>
      <c r="P857" s="273"/>
      <c r="Q857" s="273">
        <v>2137.6999999999998</v>
      </c>
      <c r="R857" s="273">
        <v>19886969.52</v>
      </c>
      <c r="S857" s="273"/>
      <c r="T857" s="273"/>
      <c r="U857" s="273"/>
      <c r="V857" s="273"/>
      <c r="W857" s="273"/>
      <c r="X857" s="271"/>
      <c r="Y857" s="271"/>
      <c r="Z857" s="271"/>
      <c r="AA857" s="271"/>
      <c r="AB857" s="269"/>
      <c r="AC857" s="84"/>
      <c r="AD857" s="82"/>
      <c r="AE857" s="82"/>
      <c r="AF857" s="13"/>
    </row>
    <row r="858" spans="1:33" x14ac:dyDescent="0.3">
      <c r="A858" s="10">
        <f>A857+1</f>
        <v>763</v>
      </c>
      <c r="B858" s="124" t="s">
        <v>1074</v>
      </c>
      <c r="C858" s="273">
        <f>D858+K858+L858+N858+P858+R858+S858+U858+W858</f>
        <v>3103212</v>
      </c>
      <c r="D858" s="273">
        <f>E858+F858+G858+H858+I858</f>
        <v>0</v>
      </c>
      <c r="E858" s="273"/>
      <c r="F858" s="273"/>
      <c r="G858" s="273"/>
      <c r="H858" s="273"/>
      <c r="I858" s="273"/>
      <c r="J858" s="273"/>
      <c r="K858" s="273"/>
      <c r="L858" s="273"/>
      <c r="M858" s="273"/>
      <c r="N858" s="273"/>
      <c r="O858" s="273">
        <v>648</v>
      </c>
      <c r="P858" s="273">
        <v>3103212</v>
      </c>
      <c r="Q858" s="273"/>
      <c r="R858" s="273"/>
      <c r="S858" s="273"/>
      <c r="T858" s="273"/>
      <c r="U858" s="273"/>
      <c r="V858" s="273"/>
      <c r="W858" s="273"/>
      <c r="X858" s="271"/>
      <c r="Y858" s="271"/>
      <c r="Z858" s="271"/>
      <c r="AA858" s="271"/>
      <c r="AB858" s="269"/>
      <c r="AC858" s="84"/>
      <c r="AD858" s="82"/>
      <c r="AE858" s="82"/>
      <c r="AF858" s="13"/>
    </row>
    <row r="859" spans="1:33" x14ac:dyDescent="0.3">
      <c r="A859" s="10"/>
      <c r="B859" s="124" t="s">
        <v>208</v>
      </c>
      <c r="C859" s="273">
        <f t="shared" ref="C859:W859" si="186">SUM(C855:C858)</f>
        <v>58151808.760000005</v>
      </c>
      <c r="D859" s="273">
        <f t="shared" si="186"/>
        <v>0</v>
      </c>
      <c r="E859" s="273">
        <f t="shared" si="186"/>
        <v>0</v>
      </c>
      <c r="F859" s="273">
        <f t="shared" si="186"/>
        <v>0</v>
      </c>
      <c r="G859" s="273">
        <f t="shared" si="186"/>
        <v>0</v>
      </c>
      <c r="H859" s="273">
        <f t="shared" si="186"/>
        <v>0</v>
      </c>
      <c r="I859" s="273">
        <f t="shared" si="186"/>
        <v>0</v>
      </c>
      <c r="J859" s="273">
        <f t="shared" si="186"/>
        <v>0</v>
      </c>
      <c r="K859" s="273">
        <f t="shared" si="186"/>
        <v>0</v>
      </c>
      <c r="L859" s="273">
        <f t="shared" si="186"/>
        <v>0</v>
      </c>
      <c r="M859" s="273">
        <f t="shared" si="186"/>
        <v>0</v>
      </c>
      <c r="N859" s="273">
        <f t="shared" si="186"/>
        <v>0</v>
      </c>
      <c r="O859" s="273">
        <f t="shared" si="186"/>
        <v>648</v>
      </c>
      <c r="P859" s="273">
        <f t="shared" si="186"/>
        <v>3103212</v>
      </c>
      <c r="Q859" s="273">
        <f t="shared" si="186"/>
        <v>6301.0999999999995</v>
      </c>
      <c r="R859" s="273">
        <f t="shared" si="186"/>
        <v>55048596.760000005</v>
      </c>
      <c r="S859" s="273">
        <f t="shared" si="186"/>
        <v>0</v>
      </c>
      <c r="T859" s="273">
        <f t="shared" si="186"/>
        <v>0</v>
      </c>
      <c r="U859" s="273">
        <f t="shared" si="186"/>
        <v>0</v>
      </c>
      <c r="V859" s="273">
        <f t="shared" si="186"/>
        <v>0</v>
      </c>
      <c r="W859" s="273">
        <f t="shared" si="186"/>
        <v>0</v>
      </c>
      <c r="X859" s="271"/>
      <c r="Y859" s="271"/>
      <c r="Z859" s="271"/>
      <c r="AA859" s="271"/>
      <c r="AB859" s="269"/>
      <c r="AC859" s="84"/>
      <c r="AD859" s="82"/>
      <c r="AE859" s="82"/>
      <c r="AF859" s="13"/>
    </row>
    <row r="860" spans="1:33" ht="32.25" customHeight="1" x14ac:dyDescent="0.3">
      <c r="A860" s="374" t="s">
        <v>1082</v>
      </c>
      <c r="B860" s="375"/>
      <c r="C860" s="273"/>
      <c r="D860" s="273"/>
      <c r="E860" s="273"/>
      <c r="F860" s="273"/>
      <c r="G860" s="273"/>
      <c r="H860" s="273"/>
      <c r="I860" s="273"/>
      <c r="J860" s="273"/>
      <c r="K860" s="273"/>
      <c r="L860" s="273"/>
      <c r="M860" s="273"/>
      <c r="N860" s="273"/>
      <c r="O860" s="273"/>
      <c r="P860" s="273"/>
      <c r="Q860" s="273"/>
      <c r="R860" s="273"/>
      <c r="S860" s="273"/>
      <c r="T860" s="273"/>
      <c r="U860" s="273"/>
      <c r="V860" s="273"/>
      <c r="W860" s="273"/>
      <c r="X860" s="271"/>
      <c r="Y860" s="271"/>
      <c r="Z860" s="271"/>
      <c r="AA860" s="271"/>
      <c r="AB860" s="269"/>
      <c r="AC860" s="84"/>
      <c r="AD860" s="82"/>
      <c r="AE860" s="82"/>
      <c r="AF860" s="13"/>
    </row>
    <row r="861" spans="1:33" x14ac:dyDescent="0.3">
      <c r="A861" s="10">
        <f>A858+1</f>
        <v>764</v>
      </c>
      <c r="B861" s="124" t="s">
        <v>1083</v>
      </c>
      <c r="C861" s="273">
        <f>D861+K861+L861+N861+P861+R861+S861+U861+W861</f>
        <v>1413588</v>
      </c>
      <c r="D861" s="273">
        <f>E861+F861+G861+H861+I861</f>
        <v>0</v>
      </c>
      <c r="E861" s="273"/>
      <c r="F861" s="273"/>
      <c r="G861" s="273"/>
      <c r="H861" s="273"/>
      <c r="I861" s="273"/>
      <c r="J861" s="273"/>
      <c r="K861" s="273"/>
      <c r="L861" s="273"/>
      <c r="M861" s="273">
        <v>593.1</v>
      </c>
      <c r="N861" s="273">
        <v>1413588</v>
      </c>
      <c r="O861" s="273"/>
      <c r="P861" s="273"/>
      <c r="Q861" s="273"/>
      <c r="R861" s="273"/>
      <c r="S861" s="273"/>
      <c r="T861" s="273"/>
      <c r="U861" s="273"/>
      <c r="V861" s="273"/>
      <c r="W861" s="273"/>
      <c r="X861" s="271"/>
      <c r="Y861" s="271"/>
      <c r="Z861" s="271"/>
      <c r="AA861" s="271"/>
      <c r="AB861" s="269"/>
      <c r="AC861" s="84"/>
      <c r="AD861" s="82"/>
      <c r="AE861" s="82"/>
      <c r="AF861" s="13"/>
    </row>
    <row r="862" spans="1:33" x14ac:dyDescent="0.3">
      <c r="A862" s="10">
        <f>A861+1</f>
        <v>765</v>
      </c>
      <c r="B862" s="124" t="s">
        <v>3546</v>
      </c>
      <c r="C862" s="273">
        <f>D862+K862+L862+N862+P862+R862+S862+U862+W862</f>
        <v>1714861.93</v>
      </c>
      <c r="D862" s="273">
        <f>E862+F862+G862+H862+I862</f>
        <v>0</v>
      </c>
      <c r="E862" s="273"/>
      <c r="F862" s="273"/>
      <c r="G862" s="273"/>
      <c r="H862" s="273"/>
      <c r="I862" s="273"/>
      <c r="J862" s="273"/>
      <c r="K862" s="273"/>
      <c r="L862" s="273"/>
      <c r="M862" s="273"/>
      <c r="N862" s="273"/>
      <c r="O862" s="273"/>
      <c r="P862" s="273"/>
      <c r="Q862" s="273"/>
      <c r="R862" s="273"/>
      <c r="S862" s="273"/>
      <c r="T862" s="273"/>
      <c r="U862" s="273"/>
      <c r="V862" s="273"/>
      <c r="W862" s="273">
        <f>1278659.21+436202.72</f>
        <v>1714861.93</v>
      </c>
      <c r="X862" s="271"/>
      <c r="Y862" s="271"/>
      <c r="Z862" s="271"/>
      <c r="AA862" s="271"/>
      <c r="AB862" s="269"/>
      <c r="AC862" s="84"/>
      <c r="AD862" s="82"/>
      <c r="AE862" s="82">
        <v>436202.72</v>
      </c>
      <c r="AF862" s="13"/>
      <c r="AG862" s="36">
        <v>1278659.21</v>
      </c>
    </row>
    <row r="863" spans="1:33" x14ac:dyDescent="0.3">
      <c r="A863" s="10"/>
      <c r="B863" s="124" t="s">
        <v>208</v>
      </c>
      <c r="C863" s="273">
        <f t="shared" ref="C863:W863" si="187">SUM(C861:C862)</f>
        <v>3128449.9299999997</v>
      </c>
      <c r="D863" s="273">
        <f t="shared" si="187"/>
        <v>0</v>
      </c>
      <c r="E863" s="273">
        <f t="shared" si="187"/>
        <v>0</v>
      </c>
      <c r="F863" s="273">
        <f t="shared" si="187"/>
        <v>0</v>
      </c>
      <c r="G863" s="273">
        <f t="shared" si="187"/>
        <v>0</v>
      </c>
      <c r="H863" s="273">
        <f t="shared" si="187"/>
        <v>0</v>
      </c>
      <c r="I863" s="273">
        <f t="shared" si="187"/>
        <v>0</v>
      </c>
      <c r="J863" s="273">
        <f t="shared" si="187"/>
        <v>0</v>
      </c>
      <c r="K863" s="273">
        <f t="shared" si="187"/>
        <v>0</v>
      </c>
      <c r="L863" s="273">
        <f t="shared" si="187"/>
        <v>0</v>
      </c>
      <c r="M863" s="273">
        <f t="shared" si="187"/>
        <v>593.1</v>
      </c>
      <c r="N863" s="273">
        <f t="shared" si="187"/>
        <v>1413588</v>
      </c>
      <c r="O863" s="273">
        <f t="shared" si="187"/>
        <v>0</v>
      </c>
      <c r="P863" s="273">
        <f t="shared" si="187"/>
        <v>0</v>
      </c>
      <c r="Q863" s="273">
        <f t="shared" si="187"/>
        <v>0</v>
      </c>
      <c r="R863" s="273">
        <f t="shared" si="187"/>
        <v>0</v>
      </c>
      <c r="S863" s="273">
        <f t="shared" si="187"/>
        <v>0</v>
      </c>
      <c r="T863" s="273">
        <f t="shared" si="187"/>
        <v>0</v>
      </c>
      <c r="U863" s="273">
        <f t="shared" si="187"/>
        <v>0</v>
      </c>
      <c r="V863" s="273">
        <f t="shared" si="187"/>
        <v>0</v>
      </c>
      <c r="W863" s="273">
        <f t="shared" si="187"/>
        <v>1714861.93</v>
      </c>
      <c r="X863" s="271"/>
      <c r="Y863" s="271"/>
      <c r="Z863" s="271"/>
      <c r="AA863" s="271"/>
      <c r="AB863" s="269"/>
      <c r="AC863" s="84"/>
      <c r="AD863" s="82"/>
      <c r="AE863" s="82"/>
      <c r="AF863" s="13"/>
    </row>
    <row r="864" spans="1:33" x14ac:dyDescent="0.3">
      <c r="A864" s="374" t="s">
        <v>1084</v>
      </c>
      <c r="B864" s="375"/>
      <c r="C864" s="251">
        <f>C705+C745+C768+C840+C843+C853+C859+C863</f>
        <v>408487528.51999998</v>
      </c>
      <c r="D864" s="251">
        <f t="shared" ref="D864:O864" si="188">D705+D745+D768+D840+D843+D853+D859+D863</f>
        <v>20265301.300000001</v>
      </c>
      <c r="E864" s="251">
        <f t="shared" si="188"/>
        <v>10809266</v>
      </c>
      <c r="F864" s="251">
        <f t="shared" si="188"/>
        <v>4127477.3</v>
      </c>
      <c r="G864" s="251">
        <f t="shared" si="188"/>
        <v>1734491</v>
      </c>
      <c r="H864" s="251">
        <f t="shared" si="188"/>
        <v>2336202</v>
      </c>
      <c r="I864" s="251">
        <f t="shared" si="188"/>
        <v>1257865</v>
      </c>
      <c r="J864" s="251">
        <f t="shared" si="188"/>
        <v>0</v>
      </c>
      <c r="K864" s="251">
        <f t="shared" si="188"/>
        <v>0</v>
      </c>
      <c r="L864" s="251">
        <f t="shared" si="188"/>
        <v>0</v>
      </c>
      <c r="M864" s="251">
        <f t="shared" si="188"/>
        <v>10790.710000000001</v>
      </c>
      <c r="N864" s="251">
        <f t="shared" si="188"/>
        <v>61158565.200000003</v>
      </c>
      <c r="O864" s="251">
        <f t="shared" si="188"/>
        <v>887.7</v>
      </c>
      <c r="P864" s="251">
        <f t="shared" ref="P864" si="189">P705+P745+P768+P840+P843+P853+P859+P863</f>
        <v>13239845.640000001</v>
      </c>
      <c r="Q864" s="251">
        <f t="shared" ref="Q864" si="190">Q705+Q745+Q768+Q840+Q843+Q853+Q859+Q863</f>
        <v>26720.2</v>
      </c>
      <c r="R864" s="251">
        <f t="shared" ref="R864" si="191">R705+R745+R768+R840+R843+R853+R859+R863</f>
        <v>235746324.22000003</v>
      </c>
      <c r="S864" s="251">
        <f t="shared" ref="S864" si="192">S705+S745+S768+S840+S843+S853+S859+S863</f>
        <v>0</v>
      </c>
      <c r="T864" s="251">
        <f t="shared" ref="T864" si="193">T705+T745+T768+T840+T843+T853+T859+T863</f>
        <v>4944.3999999999996</v>
      </c>
      <c r="U864" s="251">
        <f t="shared" ref="U864" si="194">U705+U745+U768+U840+U843+U853+U859+U863</f>
        <v>9053026.3399999999</v>
      </c>
      <c r="V864" s="251">
        <f t="shared" ref="V864" si="195">V705+V745+V768+V840+V843+V853+V859+V863</f>
        <v>116175.6</v>
      </c>
      <c r="W864" s="251">
        <f t="shared" ref="W864" si="196">W705+W745+W768+W840+W843+W853+W859+W863</f>
        <v>68908290.219999984</v>
      </c>
      <c r="X864" s="271"/>
      <c r="Y864" s="271"/>
      <c r="Z864" s="271"/>
      <c r="AA864" s="271"/>
      <c r="AB864" s="269"/>
      <c r="AC864" s="84"/>
      <c r="AD864" s="82"/>
      <c r="AE864" s="82"/>
      <c r="AF864" s="13"/>
    </row>
    <row r="865" spans="1:35" ht="15" customHeight="1" x14ac:dyDescent="0.3">
      <c r="A865" s="379" t="s">
        <v>1085</v>
      </c>
      <c r="B865" s="380"/>
      <c r="C865" s="380"/>
      <c r="D865" s="380"/>
      <c r="E865" s="380"/>
      <c r="F865" s="380"/>
      <c r="G865" s="380"/>
      <c r="H865" s="380"/>
      <c r="I865" s="380"/>
      <c r="J865" s="380"/>
      <c r="K865" s="380"/>
      <c r="L865" s="380"/>
      <c r="M865" s="380"/>
      <c r="N865" s="380"/>
      <c r="O865" s="380"/>
      <c r="P865" s="380"/>
      <c r="Q865" s="380"/>
      <c r="R865" s="380"/>
      <c r="S865" s="380"/>
      <c r="T865" s="380"/>
      <c r="U865" s="380"/>
      <c r="V865" s="380"/>
      <c r="W865" s="381"/>
      <c r="X865" s="269"/>
      <c r="Y865" s="7"/>
      <c r="Z865" s="13"/>
      <c r="AA865" s="13"/>
      <c r="AB865" s="13"/>
      <c r="AC865" s="13"/>
      <c r="AD865" s="13"/>
    </row>
    <row r="866" spans="1:35" ht="15" customHeight="1" x14ac:dyDescent="0.3">
      <c r="A866" s="264" t="s">
        <v>1086</v>
      </c>
      <c r="B866" s="124"/>
      <c r="C866" s="273"/>
      <c r="D866" s="273"/>
      <c r="E866" s="273"/>
      <c r="F866" s="273"/>
      <c r="G866" s="273"/>
      <c r="H866" s="273"/>
      <c r="I866" s="273"/>
      <c r="J866" s="273"/>
      <c r="K866" s="273"/>
      <c r="L866" s="273"/>
      <c r="M866" s="273"/>
      <c r="N866" s="273"/>
      <c r="O866" s="273"/>
      <c r="P866" s="273"/>
      <c r="Q866" s="273"/>
      <c r="R866" s="273"/>
      <c r="S866" s="273"/>
      <c r="T866" s="273"/>
      <c r="U866" s="273"/>
      <c r="V866" s="273"/>
      <c r="W866" s="273"/>
      <c r="X866" s="269"/>
      <c r="Y866" s="7"/>
      <c r="Z866" s="13"/>
      <c r="AA866" s="13"/>
      <c r="AB866" s="13"/>
      <c r="AC866" s="13"/>
      <c r="AD866" s="13"/>
    </row>
    <row r="867" spans="1:35" x14ac:dyDescent="0.3">
      <c r="A867" s="10">
        <f>A862+1</f>
        <v>766</v>
      </c>
      <c r="B867" s="124" t="s">
        <v>1087</v>
      </c>
      <c r="C867" s="273">
        <f t="shared" ref="C867:C876" si="197">D867+K867+L867+N867+P867+R867+U867+S867+V867+W867</f>
        <v>2393700</v>
      </c>
      <c r="D867" s="273">
        <f t="shared" ref="D867:D876" si="198">E867+F867+G867+H867+I867</f>
        <v>0</v>
      </c>
      <c r="E867" s="273"/>
      <c r="F867" s="273"/>
      <c r="G867" s="273"/>
      <c r="H867" s="273"/>
      <c r="I867" s="273"/>
      <c r="J867" s="273"/>
      <c r="K867" s="273"/>
      <c r="L867" s="273"/>
      <c r="M867" s="273"/>
      <c r="N867" s="273"/>
      <c r="O867" s="273"/>
      <c r="P867" s="273"/>
      <c r="Q867" s="273"/>
      <c r="R867" s="273"/>
      <c r="S867" s="273"/>
      <c r="T867" s="273"/>
      <c r="U867" s="273">
        <v>2393700</v>
      </c>
      <c r="V867" s="273"/>
      <c r="W867" s="273">
        <f t="shared" ref="W867:W876" si="199">SUM(X867:AH867)</f>
        <v>0</v>
      </c>
      <c r="X867" s="269"/>
      <c r="Y867" s="7"/>
      <c r="Z867" s="13"/>
      <c r="AA867" s="13"/>
      <c r="AB867" s="13"/>
      <c r="AC867" s="13"/>
      <c r="AD867" s="13"/>
    </row>
    <row r="868" spans="1:35" x14ac:dyDescent="0.3">
      <c r="A868" s="10">
        <f t="shared" ref="A868:A876" si="200">A867+1</f>
        <v>767</v>
      </c>
      <c r="B868" s="124" t="s">
        <v>1088</v>
      </c>
      <c r="C868" s="273">
        <f t="shared" si="197"/>
        <v>217688.41</v>
      </c>
      <c r="D868" s="273">
        <f t="shared" si="198"/>
        <v>0</v>
      </c>
      <c r="E868" s="273"/>
      <c r="F868" s="273"/>
      <c r="G868" s="273"/>
      <c r="H868" s="273"/>
      <c r="I868" s="273"/>
      <c r="J868" s="273"/>
      <c r="K868" s="273"/>
      <c r="L868" s="273"/>
      <c r="M868" s="273"/>
      <c r="N868" s="273"/>
      <c r="O868" s="273"/>
      <c r="P868" s="273"/>
      <c r="Q868" s="273"/>
      <c r="R868" s="273"/>
      <c r="S868" s="273"/>
      <c r="T868" s="273"/>
      <c r="U868" s="273"/>
      <c r="V868" s="273"/>
      <c r="W868" s="273">
        <f t="shared" si="199"/>
        <v>217688.41</v>
      </c>
      <c r="Z868" s="82"/>
      <c r="AA868" s="82"/>
      <c r="AB868" s="13"/>
      <c r="AC868" s="13"/>
      <c r="AD868" s="13"/>
      <c r="AE868" s="269">
        <v>217688.41</v>
      </c>
      <c r="AF868" s="84"/>
    </row>
    <row r="869" spans="1:35" x14ac:dyDescent="0.3">
      <c r="A869" s="10">
        <f t="shared" si="200"/>
        <v>768</v>
      </c>
      <c r="B869" s="124" t="s">
        <v>1089</v>
      </c>
      <c r="C869" s="273">
        <f t="shared" si="197"/>
        <v>208296.47</v>
      </c>
      <c r="D869" s="273">
        <f t="shared" si="198"/>
        <v>0</v>
      </c>
      <c r="E869" s="273"/>
      <c r="F869" s="273"/>
      <c r="G869" s="273"/>
      <c r="H869" s="273"/>
      <c r="I869" s="273"/>
      <c r="J869" s="273"/>
      <c r="K869" s="273"/>
      <c r="L869" s="273"/>
      <c r="M869" s="273"/>
      <c r="N869" s="273"/>
      <c r="O869" s="273"/>
      <c r="P869" s="273"/>
      <c r="Q869" s="273"/>
      <c r="R869" s="273"/>
      <c r="S869" s="273"/>
      <c r="T869" s="273"/>
      <c r="U869" s="273"/>
      <c r="V869" s="273"/>
      <c r="W869" s="273">
        <f t="shared" si="199"/>
        <v>208296.47</v>
      </c>
      <c r="Z869" s="82"/>
      <c r="AA869" s="82"/>
      <c r="AB869" s="13"/>
      <c r="AC869" s="13"/>
      <c r="AD869" s="13"/>
      <c r="AE869" s="269">
        <v>208296.47</v>
      </c>
      <c r="AF869" s="84"/>
    </row>
    <row r="870" spans="1:35" x14ac:dyDescent="0.3">
      <c r="A870" s="10">
        <f t="shared" si="200"/>
        <v>769</v>
      </c>
      <c r="B870" s="124" t="s">
        <v>1090</v>
      </c>
      <c r="C870" s="273">
        <f t="shared" si="197"/>
        <v>170863.45</v>
      </c>
      <c r="D870" s="273">
        <f t="shared" si="198"/>
        <v>0</v>
      </c>
      <c r="E870" s="273"/>
      <c r="F870" s="273"/>
      <c r="G870" s="273"/>
      <c r="H870" s="273"/>
      <c r="I870" s="273"/>
      <c r="J870" s="273"/>
      <c r="K870" s="273"/>
      <c r="L870" s="273"/>
      <c r="M870" s="273"/>
      <c r="N870" s="273"/>
      <c r="O870" s="273"/>
      <c r="P870" s="273"/>
      <c r="Q870" s="273"/>
      <c r="R870" s="273"/>
      <c r="S870" s="273"/>
      <c r="T870" s="273"/>
      <c r="U870" s="273"/>
      <c r="V870" s="273"/>
      <c r="W870" s="273">
        <f t="shared" si="199"/>
        <v>170863.45</v>
      </c>
      <c r="Z870" s="82"/>
      <c r="AA870" s="82"/>
      <c r="AB870" s="13"/>
      <c r="AC870" s="13"/>
      <c r="AD870" s="13"/>
      <c r="AE870" s="269">
        <v>170863.45</v>
      </c>
      <c r="AF870" s="84"/>
    </row>
    <row r="871" spans="1:35" x14ac:dyDescent="0.3">
      <c r="A871" s="10">
        <f t="shared" si="200"/>
        <v>770</v>
      </c>
      <c r="B871" s="124" t="s">
        <v>1091</v>
      </c>
      <c r="C871" s="273">
        <f t="shared" si="197"/>
        <v>640771.19999999995</v>
      </c>
      <c r="D871" s="273">
        <f t="shared" si="198"/>
        <v>0</v>
      </c>
      <c r="E871" s="273"/>
      <c r="F871" s="273"/>
      <c r="G871" s="273"/>
      <c r="H871" s="273"/>
      <c r="I871" s="273"/>
      <c r="J871" s="273"/>
      <c r="K871" s="273"/>
      <c r="L871" s="273"/>
      <c r="M871" s="273"/>
      <c r="N871" s="273"/>
      <c r="O871" s="273"/>
      <c r="P871" s="273"/>
      <c r="Q871" s="273"/>
      <c r="R871" s="273"/>
      <c r="S871" s="273"/>
      <c r="T871" s="273"/>
      <c r="U871" s="273">
        <v>640771.19999999995</v>
      </c>
      <c r="V871" s="273"/>
      <c r="W871" s="273">
        <f t="shared" si="199"/>
        <v>0</v>
      </c>
      <c r="Z871" s="13"/>
      <c r="AA871" s="13"/>
      <c r="AB871" s="13"/>
      <c r="AC871" s="13"/>
      <c r="AD871" s="13"/>
      <c r="AE871" s="269"/>
      <c r="AF871" s="7"/>
    </row>
    <row r="872" spans="1:35" x14ac:dyDescent="0.3">
      <c r="A872" s="10">
        <f t="shared" si="200"/>
        <v>771</v>
      </c>
      <c r="B872" s="124" t="s">
        <v>1092</v>
      </c>
      <c r="C872" s="273">
        <f t="shared" si="197"/>
        <v>640762.55000000005</v>
      </c>
      <c r="D872" s="273">
        <f t="shared" si="198"/>
        <v>0</v>
      </c>
      <c r="E872" s="273"/>
      <c r="F872" s="273"/>
      <c r="G872" s="273"/>
      <c r="H872" s="273"/>
      <c r="I872" s="273"/>
      <c r="J872" s="273"/>
      <c r="K872" s="273"/>
      <c r="L872" s="273"/>
      <c r="M872" s="273"/>
      <c r="N872" s="273"/>
      <c r="O872" s="273"/>
      <c r="P872" s="273"/>
      <c r="Q872" s="273"/>
      <c r="R872" s="273"/>
      <c r="S872" s="273"/>
      <c r="T872" s="273"/>
      <c r="U872" s="273"/>
      <c r="V872" s="273"/>
      <c r="W872" s="273">
        <f t="shared" si="199"/>
        <v>640762.55000000005</v>
      </c>
      <c r="Z872" s="82"/>
      <c r="AA872" s="82"/>
      <c r="AB872" s="13"/>
      <c r="AC872" s="271">
        <f>129753.01+129497.47+159309.88</f>
        <v>418560.36</v>
      </c>
      <c r="AD872" s="13"/>
      <c r="AE872" s="269">
        <v>222202.19</v>
      </c>
      <c r="AF872" s="84"/>
    </row>
    <row r="873" spans="1:35" x14ac:dyDescent="0.3">
      <c r="A873" s="10">
        <f t="shared" si="200"/>
        <v>772</v>
      </c>
      <c r="B873" s="124" t="s">
        <v>1093</v>
      </c>
      <c r="C873" s="273">
        <f t="shared" si="197"/>
        <v>1573009.2</v>
      </c>
      <c r="D873" s="273">
        <f t="shared" si="198"/>
        <v>0</v>
      </c>
      <c r="E873" s="273"/>
      <c r="F873" s="273"/>
      <c r="G873" s="273"/>
      <c r="H873" s="273"/>
      <c r="I873" s="273"/>
      <c r="J873" s="273"/>
      <c r="K873" s="273"/>
      <c r="L873" s="273"/>
      <c r="M873" s="273"/>
      <c r="N873" s="273"/>
      <c r="O873" s="273"/>
      <c r="P873" s="273"/>
      <c r="Q873" s="273"/>
      <c r="R873" s="273"/>
      <c r="S873" s="273"/>
      <c r="T873" s="273">
        <v>13</v>
      </c>
      <c r="U873" s="273">
        <v>1573009.2</v>
      </c>
      <c r="V873" s="273"/>
      <c r="W873" s="273">
        <f t="shared" si="199"/>
        <v>0</v>
      </c>
      <c r="X873" s="269"/>
      <c r="Y873" s="7"/>
      <c r="Z873" s="13"/>
      <c r="AA873" s="13"/>
      <c r="AB873" s="13"/>
      <c r="AD873" s="13"/>
      <c r="AI873" s="13"/>
    </row>
    <row r="874" spans="1:35" x14ac:dyDescent="0.3">
      <c r="A874" s="10">
        <f t="shared" si="200"/>
        <v>773</v>
      </c>
      <c r="B874" s="124" t="s">
        <v>1094</v>
      </c>
      <c r="C874" s="273">
        <f t="shared" si="197"/>
        <v>1574724</v>
      </c>
      <c r="D874" s="273">
        <f t="shared" si="198"/>
        <v>0</v>
      </c>
      <c r="E874" s="273"/>
      <c r="F874" s="273"/>
      <c r="G874" s="273"/>
      <c r="H874" s="273"/>
      <c r="I874" s="273"/>
      <c r="J874" s="273"/>
      <c r="K874" s="273"/>
      <c r="L874" s="273"/>
      <c r="M874" s="273"/>
      <c r="N874" s="273"/>
      <c r="O874" s="273"/>
      <c r="P874" s="273"/>
      <c r="Q874" s="273"/>
      <c r="R874" s="273"/>
      <c r="S874" s="273"/>
      <c r="T874" s="273">
        <v>13</v>
      </c>
      <c r="U874" s="273">
        <v>1574724</v>
      </c>
      <c r="V874" s="273"/>
      <c r="W874" s="273">
        <f t="shared" si="199"/>
        <v>0</v>
      </c>
      <c r="X874" s="269"/>
      <c r="Y874" s="7"/>
      <c r="Z874" s="13"/>
      <c r="AA874" s="13"/>
      <c r="AB874" s="13"/>
      <c r="AD874" s="13"/>
      <c r="AI874" s="13"/>
    </row>
    <row r="875" spans="1:35" x14ac:dyDescent="0.3">
      <c r="A875" s="10">
        <f t="shared" si="200"/>
        <v>774</v>
      </c>
      <c r="B875" s="124" t="s">
        <v>1095</v>
      </c>
      <c r="C875" s="273">
        <f t="shared" si="197"/>
        <v>2811652.8</v>
      </c>
      <c r="D875" s="273">
        <f t="shared" si="198"/>
        <v>0</v>
      </c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>
        <v>13</v>
      </c>
      <c r="U875" s="273">
        <v>2811652.8</v>
      </c>
      <c r="V875" s="273"/>
      <c r="W875" s="273">
        <f t="shared" si="199"/>
        <v>0</v>
      </c>
      <c r="X875" s="269"/>
      <c r="Y875" s="7"/>
      <c r="Z875" s="13"/>
      <c r="AA875" s="13"/>
      <c r="AB875" s="13"/>
      <c r="AD875" s="13"/>
      <c r="AI875" s="13"/>
    </row>
    <row r="876" spans="1:35" x14ac:dyDescent="0.3">
      <c r="A876" s="10">
        <f t="shared" si="200"/>
        <v>775</v>
      </c>
      <c r="B876" s="124" t="s">
        <v>1096</v>
      </c>
      <c r="C876" s="273">
        <f t="shared" si="197"/>
        <v>3606126</v>
      </c>
      <c r="D876" s="273">
        <f t="shared" si="198"/>
        <v>0</v>
      </c>
      <c r="E876" s="273"/>
      <c r="F876" s="273"/>
      <c r="G876" s="273"/>
      <c r="H876" s="273"/>
      <c r="I876" s="273"/>
      <c r="J876" s="273"/>
      <c r="K876" s="273"/>
      <c r="L876" s="273"/>
      <c r="M876" s="273"/>
      <c r="N876" s="273"/>
      <c r="O876" s="273"/>
      <c r="P876" s="273"/>
      <c r="Q876" s="273"/>
      <c r="R876" s="273"/>
      <c r="S876" s="273"/>
      <c r="T876" s="273">
        <v>13</v>
      </c>
      <c r="U876" s="273">
        <v>3606126</v>
      </c>
      <c r="V876" s="273"/>
      <c r="W876" s="273">
        <f t="shared" si="199"/>
        <v>0</v>
      </c>
      <c r="X876" s="269"/>
      <c r="Y876" s="7"/>
      <c r="Z876" s="13"/>
      <c r="AA876" s="13"/>
      <c r="AB876" s="13"/>
      <c r="AD876" s="13"/>
      <c r="AI876" s="13"/>
    </row>
    <row r="877" spans="1:35" x14ac:dyDescent="0.3">
      <c r="A877" s="10"/>
      <c r="B877" s="124" t="s">
        <v>208</v>
      </c>
      <c r="C877" s="273">
        <f t="shared" ref="C877:W877" si="201">SUM(C867:C876)</f>
        <v>13837594.08</v>
      </c>
      <c r="D877" s="273">
        <f t="shared" si="201"/>
        <v>0</v>
      </c>
      <c r="E877" s="273">
        <f t="shared" si="201"/>
        <v>0</v>
      </c>
      <c r="F877" s="273">
        <f t="shared" si="201"/>
        <v>0</v>
      </c>
      <c r="G877" s="273">
        <f t="shared" si="201"/>
        <v>0</v>
      </c>
      <c r="H877" s="273">
        <f t="shared" si="201"/>
        <v>0</v>
      </c>
      <c r="I877" s="273">
        <f t="shared" si="201"/>
        <v>0</v>
      </c>
      <c r="J877" s="273">
        <f t="shared" si="201"/>
        <v>0</v>
      </c>
      <c r="K877" s="273">
        <f t="shared" si="201"/>
        <v>0</v>
      </c>
      <c r="L877" s="273">
        <f t="shared" si="201"/>
        <v>0</v>
      </c>
      <c r="M877" s="273">
        <f t="shared" si="201"/>
        <v>0</v>
      </c>
      <c r="N877" s="273">
        <f t="shared" si="201"/>
        <v>0</v>
      </c>
      <c r="O877" s="273">
        <f t="shared" si="201"/>
        <v>0</v>
      </c>
      <c r="P877" s="273">
        <f t="shared" si="201"/>
        <v>0</v>
      </c>
      <c r="Q877" s="273">
        <f t="shared" si="201"/>
        <v>0</v>
      </c>
      <c r="R877" s="273">
        <f t="shared" si="201"/>
        <v>0</v>
      </c>
      <c r="S877" s="273">
        <f t="shared" si="201"/>
        <v>0</v>
      </c>
      <c r="T877" s="273">
        <f t="shared" si="201"/>
        <v>52</v>
      </c>
      <c r="U877" s="273">
        <f t="shared" si="201"/>
        <v>12599983.199999999</v>
      </c>
      <c r="V877" s="273">
        <f t="shared" si="201"/>
        <v>0</v>
      </c>
      <c r="W877" s="273">
        <f t="shared" si="201"/>
        <v>1237610.8800000001</v>
      </c>
      <c r="X877" s="269"/>
      <c r="Y877" s="7"/>
      <c r="Z877" s="13"/>
      <c r="AA877" s="13"/>
      <c r="AB877" s="13"/>
      <c r="AD877" s="13"/>
      <c r="AI877" s="13"/>
    </row>
    <row r="878" spans="1:35" ht="15" customHeight="1" x14ac:dyDescent="0.3">
      <c r="A878" s="264" t="s">
        <v>1097</v>
      </c>
      <c r="B878" s="124"/>
      <c r="C878" s="273"/>
      <c r="D878" s="273"/>
      <c r="E878" s="273"/>
      <c r="F878" s="273"/>
      <c r="G878" s="273"/>
      <c r="H878" s="273"/>
      <c r="I878" s="273"/>
      <c r="J878" s="273"/>
      <c r="K878" s="273"/>
      <c r="L878" s="273"/>
      <c r="M878" s="273"/>
      <c r="N878" s="273"/>
      <c r="O878" s="273"/>
      <c r="P878" s="273"/>
      <c r="Q878" s="273"/>
      <c r="R878" s="273"/>
      <c r="S878" s="273"/>
      <c r="T878" s="273"/>
      <c r="U878" s="273"/>
      <c r="V878" s="273"/>
      <c r="W878" s="273"/>
      <c r="X878" s="269"/>
      <c r="Y878" s="7"/>
      <c r="Z878" s="13"/>
      <c r="AA878" s="13"/>
      <c r="AB878" s="13"/>
      <c r="AD878" s="13"/>
      <c r="AI878" s="13"/>
    </row>
    <row r="879" spans="1:35" x14ac:dyDescent="0.3">
      <c r="A879" s="10">
        <f>A876+1</f>
        <v>776</v>
      </c>
      <c r="B879" s="124" t="s">
        <v>1100</v>
      </c>
      <c r="C879" s="273">
        <f>D879+K879+L879+N879+P879+R879+U879+S879+V879+W879</f>
        <v>4798983.5999999996</v>
      </c>
      <c r="D879" s="273">
        <f>E879+F879+G879+H879+I879</f>
        <v>0</v>
      </c>
      <c r="E879" s="273"/>
      <c r="F879" s="273"/>
      <c r="G879" s="273"/>
      <c r="H879" s="273"/>
      <c r="I879" s="273"/>
      <c r="J879" s="273"/>
      <c r="K879" s="273"/>
      <c r="L879" s="273"/>
      <c r="M879" s="273"/>
      <c r="N879" s="273"/>
      <c r="O879" s="273"/>
      <c r="P879" s="273"/>
      <c r="Q879" s="273">
        <v>410</v>
      </c>
      <c r="R879" s="273">
        <v>4798983.5999999996</v>
      </c>
      <c r="S879" s="273"/>
      <c r="T879" s="273"/>
      <c r="U879" s="273"/>
      <c r="V879" s="273"/>
      <c r="W879" s="273"/>
      <c r="X879" s="269"/>
      <c r="Y879" s="7"/>
      <c r="Z879" s="13"/>
      <c r="AA879" s="13"/>
      <c r="AB879" s="13"/>
      <c r="AD879" s="13"/>
      <c r="AI879" s="13"/>
    </row>
    <row r="880" spans="1:35" x14ac:dyDescent="0.3">
      <c r="A880" s="10"/>
      <c r="B880" s="124" t="s">
        <v>208</v>
      </c>
      <c r="C880" s="273">
        <f t="shared" ref="C880:W880" si="202">SUM(C879:C879)</f>
        <v>4798983.5999999996</v>
      </c>
      <c r="D880" s="273">
        <f t="shared" si="202"/>
        <v>0</v>
      </c>
      <c r="E880" s="273">
        <f t="shared" si="202"/>
        <v>0</v>
      </c>
      <c r="F880" s="273">
        <f t="shared" si="202"/>
        <v>0</v>
      </c>
      <c r="G880" s="273">
        <f t="shared" si="202"/>
        <v>0</v>
      </c>
      <c r="H880" s="273">
        <f t="shared" si="202"/>
        <v>0</v>
      </c>
      <c r="I880" s="273">
        <f t="shared" si="202"/>
        <v>0</v>
      </c>
      <c r="J880" s="273">
        <f t="shared" si="202"/>
        <v>0</v>
      </c>
      <c r="K880" s="273">
        <f t="shared" si="202"/>
        <v>0</v>
      </c>
      <c r="L880" s="273">
        <f t="shared" si="202"/>
        <v>0</v>
      </c>
      <c r="M880" s="273">
        <f t="shared" si="202"/>
        <v>0</v>
      </c>
      <c r="N880" s="273">
        <f t="shared" si="202"/>
        <v>0</v>
      </c>
      <c r="O880" s="273">
        <f t="shared" si="202"/>
        <v>0</v>
      </c>
      <c r="P880" s="273">
        <f t="shared" si="202"/>
        <v>0</v>
      </c>
      <c r="Q880" s="273">
        <f t="shared" si="202"/>
        <v>410</v>
      </c>
      <c r="R880" s="273">
        <f t="shared" si="202"/>
        <v>4798983.5999999996</v>
      </c>
      <c r="S880" s="273">
        <f t="shared" si="202"/>
        <v>0</v>
      </c>
      <c r="T880" s="273">
        <f t="shared" si="202"/>
        <v>0</v>
      </c>
      <c r="U880" s="273">
        <f t="shared" si="202"/>
        <v>0</v>
      </c>
      <c r="V880" s="273">
        <f t="shared" si="202"/>
        <v>0</v>
      </c>
      <c r="W880" s="273">
        <f t="shared" si="202"/>
        <v>0</v>
      </c>
      <c r="X880" s="269"/>
      <c r="Y880" s="7"/>
      <c r="Z880" s="13"/>
      <c r="AA880" s="13"/>
      <c r="AB880" s="13"/>
      <c r="AD880" s="13"/>
      <c r="AI880" s="13"/>
    </row>
    <row r="881" spans="1:35" ht="15" customHeight="1" x14ac:dyDescent="0.3">
      <c r="A881" s="264" t="s">
        <v>1101</v>
      </c>
      <c r="B881" s="124"/>
      <c r="C881" s="273"/>
      <c r="D881" s="273"/>
      <c r="E881" s="273"/>
      <c r="F881" s="273"/>
      <c r="G881" s="273"/>
      <c r="H881" s="273"/>
      <c r="I881" s="273"/>
      <c r="J881" s="273"/>
      <c r="K881" s="273"/>
      <c r="L881" s="273"/>
      <c r="M881" s="273"/>
      <c r="N881" s="273"/>
      <c r="O881" s="273"/>
      <c r="P881" s="273"/>
      <c r="Q881" s="273"/>
      <c r="R881" s="273"/>
      <c r="S881" s="273"/>
      <c r="T881" s="273"/>
      <c r="U881" s="273"/>
      <c r="V881" s="273"/>
      <c r="W881" s="273"/>
      <c r="X881" s="269"/>
      <c r="Y881" s="7"/>
      <c r="Z881" s="13"/>
      <c r="AA881" s="13"/>
      <c r="AB881" s="13"/>
      <c r="AD881" s="13"/>
      <c r="AI881" s="13"/>
    </row>
    <row r="882" spans="1:35" x14ac:dyDescent="0.3">
      <c r="A882" s="10">
        <f>A879+1</f>
        <v>777</v>
      </c>
      <c r="B882" s="124" t="s">
        <v>1102</v>
      </c>
      <c r="C882" s="273">
        <f t="shared" ref="C882:C891" si="203">D882+K882+L882+N882+P882+R882+U882+S882+V882+W882</f>
        <v>112993.34</v>
      </c>
      <c r="D882" s="273">
        <f t="shared" ref="D882:D891" si="204">E882+F882+G882+H882+I882</f>
        <v>0</v>
      </c>
      <c r="E882" s="273"/>
      <c r="F882" s="273"/>
      <c r="G882" s="273"/>
      <c r="H882" s="273"/>
      <c r="I882" s="273"/>
      <c r="J882" s="273"/>
      <c r="K882" s="273"/>
      <c r="L882" s="273"/>
      <c r="M882" s="273"/>
      <c r="N882" s="273"/>
      <c r="O882" s="273"/>
      <c r="P882" s="273"/>
      <c r="Q882" s="273"/>
      <c r="R882" s="273"/>
      <c r="S882" s="273"/>
      <c r="T882" s="273"/>
      <c r="U882" s="273"/>
      <c r="V882" s="273"/>
      <c r="W882" s="273">
        <f t="shared" ref="W882:W891" si="205">SUM(X882:AG882)</f>
        <v>112993.34</v>
      </c>
      <c r="X882" s="269"/>
      <c r="Y882" s="84"/>
      <c r="Z882" s="82"/>
      <c r="AA882" s="82"/>
      <c r="AB882" s="13"/>
      <c r="AC882" s="36">
        <v>112993.34</v>
      </c>
      <c r="AD882" s="13"/>
      <c r="AI882" s="13"/>
    </row>
    <row r="883" spans="1:35" x14ac:dyDescent="0.3">
      <c r="A883" s="10">
        <f t="shared" ref="A883:A891" si="206">A882+1</f>
        <v>778</v>
      </c>
      <c r="B883" s="124" t="s">
        <v>1103</v>
      </c>
      <c r="C883" s="273">
        <f t="shared" si="203"/>
        <v>143671.07</v>
      </c>
      <c r="D883" s="273">
        <f t="shared" si="204"/>
        <v>0</v>
      </c>
      <c r="E883" s="273"/>
      <c r="F883" s="273"/>
      <c r="G883" s="273"/>
      <c r="H883" s="273"/>
      <c r="I883" s="273"/>
      <c r="J883" s="273"/>
      <c r="K883" s="273"/>
      <c r="L883" s="273"/>
      <c r="M883" s="273"/>
      <c r="N883" s="273"/>
      <c r="O883" s="273"/>
      <c r="P883" s="273"/>
      <c r="Q883" s="273"/>
      <c r="R883" s="273"/>
      <c r="S883" s="273"/>
      <c r="T883" s="273"/>
      <c r="U883" s="273"/>
      <c r="V883" s="273"/>
      <c r="W883" s="273">
        <f t="shared" si="205"/>
        <v>143671.07</v>
      </c>
      <c r="X883" s="269"/>
      <c r="Y883" s="84"/>
      <c r="Z883" s="82"/>
      <c r="AA883" s="82"/>
      <c r="AB883" s="13"/>
      <c r="AC883" s="36">
        <v>143671.07</v>
      </c>
      <c r="AD883" s="13"/>
      <c r="AI883" s="13"/>
    </row>
    <row r="884" spans="1:35" x14ac:dyDescent="0.3">
      <c r="A884" s="10">
        <f t="shared" si="206"/>
        <v>779</v>
      </c>
      <c r="B884" s="124" t="s">
        <v>1104</v>
      </c>
      <c r="C884" s="273">
        <f t="shared" si="203"/>
        <v>281210.59000000003</v>
      </c>
      <c r="D884" s="273">
        <f t="shared" si="204"/>
        <v>0</v>
      </c>
      <c r="E884" s="273"/>
      <c r="F884" s="273"/>
      <c r="G884" s="273"/>
      <c r="H884" s="273"/>
      <c r="I884" s="273"/>
      <c r="J884" s="273"/>
      <c r="K884" s="273"/>
      <c r="L884" s="273"/>
      <c r="M884" s="273"/>
      <c r="N884" s="273"/>
      <c r="O884" s="273"/>
      <c r="P884" s="273"/>
      <c r="Q884" s="273"/>
      <c r="R884" s="273"/>
      <c r="S884" s="273"/>
      <c r="T884" s="273"/>
      <c r="U884" s="273"/>
      <c r="V884" s="273"/>
      <c r="W884" s="273">
        <f t="shared" si="205"/>
        <v>281210.59000000003</v>
      </c>
      <c r="X884" s="269"/>
      <c r="Y884" s="84"/>
      <c r="Z884" s="82"/>
      <c r="AA884" s="82"/>
      <c r="AB884" s="13"/>
      <c r="AD884" s="13"/>
      <c r="AE884" s="36">
        <v>281210.59000000003</v>
      </c>
      <c r="AI884" s="13"/>
    </row>
    <row r="885" spans="1:35" x14ac:dyDescent="0.3">
      <c r="A885" s="10">
        <f t="shared" si="206"/>
        <v>780</v>
      </c>
      <c r="B885" s="124" t="s">
        <v>1105</v>
      </c>
      <c r="C885" s="273">
        <f t="shared" si="203"/>
        <v>225238.99</v>
      </c>
      <c r="D885" s="273">
        <f t="shared" si="204"/>
        <v>0</v>
      </c>
      <c r="E885" s="273"/>
      <c r="F885" s="273"/>
      <c r="G885" s="273"/>
      <c r="H885" s="273"/>
      <c r="I885" s="273"/>
      <c r="J885" s="273"/>
      <c r="K885" s="273"/>
      <c r="L885" s="273"/>
      <c r="M885" s="273"/>
      <c r="N885" s="273"/>
      <c r="O885" s="273"/>
      <c r="P885" s="273"/>
      <c r="Q885" s="273"/>
      <c r="R885" s="273"/>
      <c r="S885" s="273"/>
      <c r="T885" s="273"/>
      <c r="U885" s="273"/>
      <c r="V885" s="273"/>
      <c r="W885" s="273">
        <f t="shared" si="205"/>
        <v>225238.99</v>
      </c>
      <c r="X885" s="269"/>
      <c r="Y885" s="84"/>
      <c r="Z885" s="82"/>
      <c r="AA885" s="82"/>
      <c r="AB885" s="13"/>
      <c r="AD885" s="13"/>
      <c r="AE885" s="36">
        <v>225238.99</v>
      </c>
      <c r="AI885" s="13"/>
    </row>
    <row r="886" spans="1:35" x14ac:dyDescent="0.3">
      <c r="A886" s="10">
        <f t="shared" si="206"/>
        <v>781</v>
      </c>
      <c r="B886" s="124" t="s">
        <v>1106</v>
      </c>
      <c r="C886" s="273">
        <f t="shared" si="203"/>
        <v>281210.59000000003</v>
      </c>
      <c r="D886" s="273">
        <f t="shared" si="204"/>
        <v>0</v>
      </c>
      <c r="E886" s="273"/>
      <c r="F886" s="273"/>
      <c r="G886" s="273"/>
      <c r="H886" s="273"/>
      <c r="I886" s="273"/>
      <c r="J886" s="273"/>
      <c r="K886" s="273"/>
      <c r="L886" s="273"/>
      <c r="M886" s="273"/>
      <c r="N886" s="273"/>
      <c r="O886" s="273"/>
      <c r="P886" s="273"/>
      <c r="Q886" s="273"/>
      <c r="R886" s="273"/>
      <c r="S886" s="273"/>
      <c r="T886" s="273"/>
      <c r="U886" s="273"/>
      <c r="V886" s="273"/>
      <c r="W886" s="273">
        <f t="shared" si="205"/>
        <v>281210.59000000003</v>
      </c>
      <c r="X886" s="269"/>
      <c r="Y886" s="84"/>
      <c r="Z886" s="82"/>
      <c r="AA886" s="82"/>
      <c r="AB886" s="13"/>
      <c r="AD886" s="13"/>
      <c r="AE886" s="36">
        <v>281210.59000000003</v>
      </c>
      <c r="AI886" s="13"/>
    </row>
    <row r="887" spans="1:35" x14ac:dyDescent="0.3">
      <c r="A887" s="10">
        <f t="shared" si="206"/>
        <v>782</v>
      </c>
      <c r="B887" s="124" t="s">
        <v>1107</v>
      </c>
      <c r="C887" s="273">
        <f t="shared" si="203"/>
        <v>281210.59000000003</v>
      </c>
      <c r="D887" s="273">
        <f t="shared" si="204"/>
        <v>0</v>
      </c>
      <c r="E887" s="273"/>
      <c r="F887" s="273"/>
      <c r="G887" s="273"/>
      <c r="H887" s="273"/>
      <c r="I887" s="273"/>
      <c r="J887" s="273"/>
      <c r="K887" s="273"/>
      <c r="L887" s="273"/>
      <c r="M887" s="273"/>
      <c r="N887" s="273"/>
      <c r="O887" s="273"/>
      <c r="P887" s="273"/>
      <c r="Q887" s="273"/>
      <c r="R887" s="273"/>
      <c r="S887" s="273"/>
      <c r="T887" s="273"/>
      <c r="U887" s="273"/>
      <c r="V887" s="273"/>
      <c r="W887" s="273">
        <f t="shared" si="205"/>
        <v>281210.59000000003</v>
      </c>
      <c r="X887" s="269"/>
      <c r="Y887" s="84"/>
      <c r="Z887" s="82"/>
      <c r="AA887" s="82"/>
      <c r="AB887" s="13"/>
      <c r="AD887" s="13"/>
      <c r="AE887" s="36">
        <v>281210.59000000003</v>
      </c>
      <c r="AI887" s="13"/>
    </row>
    <row r="888" spans="1:35" x14ac:dyDescent="0.3">
      <c r="A888" s="10">
        <f t="shared" si="206"/>
        <v>783</v>
      </c>
      <c r="B888" s="124" t="s">
        <v>1108</v>
      </c>
      <c r="C888" s="273">
        <f t="shared" si="203"/>
        <v>281210.59000000003</v>
      </c>
      <c r="D888" s="273">
        <f t="shared" si="204"/>
        <v>0</v>
      </c>
      <c r="E888" s="273"/>
      <c r="F888" s="273"/>
      <c r="G888" s="273"/>
      <c r="H888" s="273"/>
      <c r="I888" s="273"/>
      <c r="J888" s="273"/>
      <c r="K888" s="273"/>
      <c r="L888" s="273"/>
      <c r="M888" s="273"/>
      <c r="N888" s="273"/>
      <c r="O888" s="273"/>
      <c r="P888" s="273"/>
      <c r="Q888" s="273"/>
      <c r="R888" s="273"/>
      <c r="S888" s="273"/>
      <c r="T888" s="273"/>
      <c r="U888" s="273"/>
      <c r="V888" s="273"/>
      <c r="W888" s="273">
        <f t="shared" si="205"/>
        <v>281210.59000000003</v>
      </c>
      <c r="X888" s="269"/>
      <c r="Y888" s="84"/>
      <c r="Z888" s="82"/>
      <c r="AA888" s="82"/>
      <c r="AB888" s="13"/>
      <c r="AD888" s="13"/>
      <c r="AE888" s="36">
        <v>281210.59000000003</v>
      </c>
      <c r="AI888" s="13"/>
    </row>
    <row r="889" spans="1:35" x14ac:dyDescent="0.3">
      <c r="A889" s="10">
        <f t="shared" si="206"/>
        <v>784</v>
      </c>
      <c r="B889" s="124" t="s">
        <v>1109</v>
      </c>
      <c r="C889" s="273">
        <f t="shared" si="203"/>
        <v>281210.59000000003</v>
      </c>
      <c r="D889" s="273">
        <f t="shared" si="204"/>
        <v>0</v>
      </c>
      <c r="E889" s="273"/>
      <c r="F889" s="273"/>
      <c r="G889" s="273"/>
      <c r="H889" s="273"/>
      <c r="I889" s="273"/>
      <c r="J889" s="273"/>
      <c r="K889" s="273"/>
      <c r="L889" s="273"/>
      <c r="M889" s="273"/>
      <c r="N889" s="273"/>
      <c r="O889" s="273"/>
      <c r="P889" s="273"/>
      <c r="Q889" s="273"/>
      <c r="R889" s="273"/>
      <c r="S889" s="273"/>
      <c r="T889" s="273"/>
      <c r="U889" s="273"/>
      <c r="V889" s="273"/>
      <c r="W889" s="273">
        <f t="shared" si="205"/>
        <v>281210.59000000003</v>
      </c>
      <c r="X889" s="269"/>
      <c r="Y889" s="84"/>
      <c r="Z889" s="82"/>
      <c r="AA889" s="82"/>
      <c r="AB889" s="13"/>
      <c r="AD889" s="13"/>
      <c r="AE889" s="36">
        <v>281210.59000000003</v>
      </c>
      <c r="AI889" s="13"/>
    </row>
    <row r="890" spans="1:35" x14ac:dyDescent="0.3">
      <c r="A890" s="10">
        <f t="shared" si="206"/>
        <v>785</v>
      </c>
      <c r="B890" s="124" t="s">
        <v>1110</v>
      </c>
      <c r="C890" s="273">
        <f t="shared" si="203"/>
        <v>354454.19</v>
      </c>
      <c r="D890" s="273">
        <f t="shared" si="204"/>
        <v>0</v>
      </c>
      <c r="E890" s="273"/>
      <c r="F890" s="273"/>
      <c r="G890" s="273"/>
      <c r="H890" s="273"/>
      <c r="I890" s="273"/>
      <c r="J890" s="273"/>
      <c r="K890" s="273"/>
      <c r="L890" s="273"/>
      <c r="M890" s="273"/>
      <c r="N890" s="273"/>
      <c r="O890" s="273"/>
      <c r="P890" s="273"/>
      <c r="Q890" s="273"/>
      <c r="R890" s="273"/>
      <c r="S890" s="273"/>
      <c r="T890" s="273"/>
      <c r="U890" s="273"/>
      <c r="V890" s="273"/>
      <c r="W890" s="273">
        <f t="shared" si="205"/>
        <v>354454.19</v>
      </c>
      <c r="X890" s="269"/>
      <c r="Y890" s="84"/>
      <c r="Z890" s="82"/>
      <c r="AA890" s="82"/>
      <c r="AB890" s="13"/>
      <c r="AD890" s="13"/>
      <c r="AE890" s="36">
        <v>354454.19</v>
      </c>
      <c r="AI890" s="13"/>
    </row>
    <row r="891" spans="1:35" x14ac:dyDescent="0.3">
      <c r="A891" s="10">
        <f t="shared" si="206"/>
        <v>786</v>
      </c>
      <c r="B891" s="124" t="s">
        <v>1111</v>
      </c>
      <c r="C891" s="273">
        <f t="shared" si="203"/>
        <v>443743.93</v>
      </c>
      <c r="D891" s="273">
        <f t="shared" si="204"/>
        <v>0</v>
      </c>
      <c r="E891" s="273"/>
      <c r="F891" s="273"/>
      <c r="G891" s="273"/>
      <c r="H891" s="273"/>
      <c r="I891" s="273"/>
      <c r="J891" s="273"/>
      <c r="K891" s="273"/>
      <c r="L891" s="273"/>
      <c r="M891" s="273"/>
      <c r="N891" s="273"/>
      <c r="O891" s="273"/>
      <c r="P891" s="273"/>
      <c r="Q891" s="273"/>
      <c r="R891" s="273"/>
      <c r="S891" s="273"/>
      <c r="T891" s="273"/>
      <c r="U891" s="273"/>
      <c r="V891" s="273"/>
      <c r="W891" s="273">
        <f t="shared" si="205"/>
        <v>443743.93</v>
      </c>
      <c r="X891" s="269"/>
      <c r="Y891" s="84"/>
      <c r="Z891" s="82"/>
      <c r="AA891" s="82"/>
      <c r="AB891" s="13"/>
      <c r="AD891" s="13"/>
      <c r="AE891" s="36">
        <v>443743.93</v>
      </c>
      <c r="AI891" s="13"/>
    </row>
    <row r="892" spans="1:35" x14ac:dyDescent="0.3">
      <c r="A892" s="10"/>
      <c r="B892" s="124" t="s">
        <v>208</v>
      </c>
      <c r="C892" s="273">
        <f t="shared" ref="C892:W892" si="207">SUM(C882:C891)</f>
        <v>2686154.4700000007</v>
      </c>
      <c r="D892" s="273">
        <f t="shared" si="207"/>
        <v>0</v>
      </c>
      <c r="E892" s="273">
        <f t="shared" si="207"/>
        <v>0</v>
      </c>
      <c r="F892" s="273">
        <f t="shared" si="207"/>
        <v>0</v>
      </c>
      <c r="G892" s="273">
        <f t="shared" si="207"/>
        <v>0</v>
      </c>
      <c r="H892" s="273">
        <f t="shared" si="207"/>
        <v>0</v>
      </c>
      <c r="I892" s="273">
        <f t="shared" si="207"/>
        <v>0</v>
      </c>
      <c r="J892" s="273">
        <f t="shared" si="207"/>
        <v>0</v>
      </c>
      <c r="K892" s="273">
        <f t="shared" si="207"/>
        <v>0</v>
      </c>
      <c r="L892" s="273">
        <f t="shared" si="207"/>
        <v>0</v>
      </c>
      <c r="M892" s="273">
        <f t="shared" si="207"/>
        <v>0</v>
      </c>
      <c r="N892" s="273">
        <f t="shared" si="207"/>
        <v>0</v>
      </c>
      <c r="O892" s="273">
        <f t="shared" si="207"/>
        <v>0</v>
      </c>
      <c r="P892" s="273">
        <f t="shared" si="207"/>
        <v>0</v>
      </c>
      <c r="Q892" s="273">
        <f t="shared" si="207"/>
        <v>0</v>
      </c>
      <c r="R892" s="273">
        <f t="shared" si="207"/>
        <v>0</v>
      </c>
      <c r="S892" s="273">
        <f t="shared" si="207"/>
        <v>0</v>
      </c>
      <c r="T892" s="273">
        <f t="shared" si="207"/>
        <v>0</v>
      </c>
      <c r="U892" s="273">
        <f t="shared" si="207"/>
        <v>0</v>
      </c>
      <c r="V892" s="273">
        <f t="shared" si="207"/>
        <v>0</v>
      </c>
      <c r="W892" s="273">
        <f t="shared" si="207"/>
        <v>2686154.4700000007</v>
      </c>
      <c r="X892" s="269"/>
      <c r="Y892" s="84"/>
      <c r="Z892" s="82"/>
      <c r="AA892" s="82"/>
      <c r="AB892" s="13"/>
      <c r="AD892" s="13"/>
      <c r="AI892" s="13"/>
    </row>
    <row r="893" spans="1:35" ht="15" customHeight="1" x14ac:dyDescent="0.3">
      <c r="A893" s="264" t="s">
        <v>1112</v>
      </c>
      <c r="B893" s="124"/>
      <c r="C893" s="273"/>
      <c r="D893" s="273"/>
      <c r="E893" s="273"/>
      <c r="F893" s="273"/>
      <c r="G893" s="273"/>
      <c r="H893" s="273"/>
      <c r="I893" s="273"/>
      <c r="J893" s="273"/>
      <c r="K893" s="273"/>
      <c r="L893" s="273"/>
      <c r="M893" s="273"/>
      <c r="N893" s="273"/>
      <c r="O893" s="273"/>
      <c r="P893" s="273"/>
      <c r="Q893" s="273"/>
      <c r="R893" s="273"/>
      <c r="S893" s="273"/>
      <c r="T893" s="273"/>
      <c r="U893" s="273"/>
      <c r="V893" s="273"/>
      <c r="W893" s="273"/>
      <c r="X893" s="269"/>
      <c r="Y893" s="7"/>
      <c r="Z893" s="13"/>
      <c r="AA893" s="13"/>
      <c r="AB893" s="13"/>
      <c r="AD893" s="13"/>
      <c r="AI893" s="13"/>
    </row>
    <row r="894" spans="1:35" x14ac:dyDescent="0.3">
      <c r="A894" s="10">
        <f>A891+1</f>
        <v>787</v>
      </c>
      <c r="B894" s="124" t="s">
        <v>1113</v>
      </c>
      <c r="C894" s="273">
        <f t="shared" ref="C894:C909" si="208">D894+K894+L894+N894+P894+R894+U894+S894+V894+W894</f>
        <v>145283.96</v>
      </c>
      <c r="D894" s="273">
        <f t="shared" ref="D894:D909" si="209">E894+F894+G894+H894+I894</f>
        <v>0</v>
      </c>
      <c r="E894" s="273"/>
      <c r="F894" s="273"/>
      <c r="G894" s="273"/>
      <c r="H894" s="273"/>
      <c r="I894" s="273"/>
      <c r="J894" s="273"/>
      <c r="K894" s="273"/>
      <c r="L894" s="273"/>
      <c r="M894" s="273"/>
      <c r="N894" s="273"/>
      <c r="O894" s="273"/>
      <c r="P894" s="273"/>
      <c r="Q894" s="273"/>
      <c r="R894" s="273"/>
      <c r="S894" s="273"/>
      <c r="T894" s="273"/>
      <c r="U894" s="273"/>
      <c r="V894" s="273"/>
      <c r="W894" s="273">
        <f t="shared" ref="W894:W909" si="210">SUM(X894:AH894)</f>
        <v>145283.96</v>
      </c>
      <c r="Y894" s="84"/>
      <c r="Z894" s="82"/>
      <c r="AA894" s="82"/>
      <c r="AB894" s="13"/>
      <c r="AC894" s="271"/>
      <c r="AE894" s="269">
        <v>145283.96</v>
      </c>
      <c r="AI894" s="13"/>
    </row>
    <row r="895" spans="1:35" x14ac:dyDescent="0.3">
      <c r="A895" s="10">
        <f t="shared" ref="A895:A909" si="211">A894+1</f>
        <v>788</v>
      </c>
      <c r="B895" s="124" t="s">
        <v>1114</v>
      </c>
      <c r="C895" s="273">
        <f t="shared" si="208"/>
        <v>140416.57999999999</v>
      </c>
      <c r="D895" s="273">
        <f t="shared" si="209"/>
        <v>0</v>
      </c>
      <c r="E895" s="273"/>
      <c r="F895" s="273"/>
      <c r="G895" s="273"/>
      <c r="H895" s="273"/>
      <c r="I895" s="273"/>
      <c r="J895" s="273"/>
      <c r="K895" s="273"/>
      <c r="L895" s="273"/>
      <c r="M895" s="273"/>
      <c r="N895" s="273"/>
      <c r="O895" s="273"/>
      <c r="P895" s="273"/>
      <c r="Q895" s="273"/>
      <c r="R895" s="273"/>
      <c r="S895" s="273"/>
      <c r="T895" s="273"/>
      <c r="U895" s="273"/>
      <c r="V895" s="273"/>
      <c r="W895" s="273">
        <f t="shared" si="210"/>
        <v>140416.57999999999</v>
      </c>
      <c r="Y895" s="84"/>
      <c r="Z895" s="82"/>
      <c r="AA895" s="82"/>
      <c r="AB895" s="13"/>
      <c r="AC895" s="271"/>
      <c r="AE895" s="269">
        <v>140416.57999999999</v>
      </c>
      <c r="AI895" s="13"/>
    </row>
    <row r="896" spans="1:35" x14ac:dyDescent="0.3">
      <c r="A896" s="10">
        <f t="shared" si="211"/>
        <v>789</v>
      </c>
      <c r="B896" s="124" t="s">
        <v>1115</v>
      </c>
      <c r="C896" s="273">
        <f t="shared" si="208"/>
        <v>156387.59</v>
      </c>
      <c r="D896" s="273">
        <f t="shared" si="209"/>
        <v>0</v>
      </c>
      <c r="E896" s="273"/>
      <c r="F896" s="273"/>
      <c r="G896" s="273"/>
      <c r="H896" s="273"/>
      <c r="I896" s="273"/>
      <c r="J896" s="273"/>
      <c r="K896" s="273"/>
      <c r="L896" s="273"/>
      <c r="M896" s="273"/>
      <c r="N896" s="273"/>
      <c r="O896" s="273"/>
      <c r="P896" s="273"/>
      <c r="Q896" s="273"/>
      <c r="R896" s="273"/>
      <c r="S896" s="273"/>
      <c r="T896" s="273"/>
      <c r="U896" s="273"/>
      <c r="V896" s="273"/>
      <c r="W896" s="273">
        <f t="shared" si="210"/>
        <v>156387.59</v>
      </c>
      <c r="Y896" s="84"/>
      <c r="Z896" s="82"/>
      <c r="AA896" s="82"/>
      <c r="AB896" s="13"/>
      <c r="AC896" s="271"/>
      <c r="AE896" s="269">
        <v>156387.59</v>
      </c>
      <c r="AI896" s="13"/>
    </row>
    <row r="897" spans="1:35" x14ac:dyDescent="0.3">
      <c r="A897" s="10">
        <f t="shared" si="211"/>
        <v>790</v>
      </c>
      <c r="B897" s="124" t="s">
        <v>1116</v>
      </c>
      <c r="C897" s="273">
        <f t="shared" si="208"/>
        <v>200814.72</v>
      </c>
      <c r="D897" s="273">
        <f t="shared" si="209"/>
        <v>0</v>
      </c>
      <c r="E897" s="273"/>
      <c r="F897" s="273"/>
      <c r="G897" s="273"/>
      <c r="H897" s="273"/>
      <c r="I897" s="273"/>
      <c r="J897" s="273"/>
      <c r="K897" s="273"/>
      <c r="L897" s="273"/>
      <c r="M897" s="273"/>
      <c r="N897" s="273"/>
      <c r="O897" s="273"/>
      <c r="P897" s="273"/>
      <c r="Q897" s="273"/>
      <c r="R897" s="273"/>
      <c r="S897" s="273"/>
      <c r="T897" s="273"/>
      <c r="U897" s="273"/>
      <c r="V897" s="273"/>
      <c r="W897" s="273">
        <f t="shared" si="210"/>
        <v>200814.72</v>
      </c>
      <c r="Y897" s="84"/>
      <c r="Z897" s="82"/>
      <c r="AA897" s="82"/>
      <c r="AB897" s="13"/>
      <c r="AC897" s="271"/>
      <c r="AE897" s="269">
        <v>200814.72</v>
      </c>
      <c r="AI897" s="13"/>
    </row>
    <row r="898" spans="1:35" x14ac:dyDescent="0.3">
      <c r="A898" s="10">
        <f t="shared" si="211"/>
        <v>791</v>
      </c>
      <c r="B898" s="124" t="s">
        <v>1117</v>
      </c>
      <c r="C898" s="273">
        <f t="shared" si="208"/>
        <v>166351.03</v>
      </c>
      <c r="D898" s="273">
        <f t="shared" si="209"/>
        <v>0</v>
      </c>
      <c r="E898" s="273"/>
      <c r="F898" s="273"/>
      <c r="G898" s="273"/>
      <c r="H898" s="273"/>
      <c r="I898" s="273"/>
      <c r="J898" s="273"/>
      <c r="K898" s="273"/>
      <c r="L898" s="273"/>
      <c r="M898" s="273"/>
      <c r="N898" s="273"/>
      <c r="O898" s="273"/>
      <c r="P898" s="273"/>
      <c r="Q898" s="273"/>
      <c r="R898" s="273"/>
      <c r="S898" s="273"/>
      <c r="T898" s="273"/>
      <c r="U898" s="273"/>
      <c r="V898" s="273"/>
      <c r="W898" s="273">
        <f t="shared" si="210"/>
        <v>166351.03</v>
      </c>
      <c r="Y898" s="84"/>
      <c r="Z898" s="82"/>
      <c r="AA898" s="82"/>
      <c r="AB898" s="13"/>
      <c r="AC898" s="271"/>
      <c r="AE898" s="269">
        <v>166351.03</v>
      </c>
      <c r="AI898" s="13"/>
    </row>
    <row r="899" spans="1:35" x14ac:dyDescent="0.3">
      <c r="A899" s="10">
        <f t="shared" si="211"/>
        <v>792</v>
      </c>
      <c r="B899" s="124" t="s">
        <v>1118</v>
      </c>
      <c r="C899" s="273">
        <f t="shared" si="208"/>
        <v>150591.64000000001</v>
      </c>
      <c r="D899" s="273">
        <f t="shared" si="209"/>
        <v>0</v>
      </c>
      <c r="E899" s="273"/>
      <c r="F899" s="273"/>
      <c r="G899" s="273"/>
      <c r="H899" s="273"/>
      <c r="I899" s="273"/>
      <c r="J899" s="273"/>
      <c r="K899" s="273"/>
      <c r="L899" s="273"/>
      <c r="M899" s="273"/>
      <c r="N899" s="273"/>
      <c r="O899" s="273"/>
      <c r="P899" s="273"/>
      <c r="Q899" s="273"/>
      <c r="R899" s="273"/>
      <c r="S899" s="273"/>
      <c r="T899" s="273"/>
      <c r="U899" s="273"/>
      <c r="V899" s="273"/>
      <c r="W899" s="273">
        <f t="shared" si="210"/>
        <v>150591.64000000001</v>
      </c>
      <c r="Y899" s="84"/>
      <c r="Z899" s="82"/>
      <c r="AA899" s="82"/>
      <c r="AB899" s="13"/>
      <c r="AC899" s="271"/>
      <c r="AE899" s="269">
        <v>150591.64000000001</v>
      </c>
      <c r="AI899" s="13"/>
    </row>
    <row r="900" spans="1:35" x14ac:dyDescent="0.3">
      <c r="A900" s="10">
        <f t="shared" si="211"/>
        <v>793</v>
      </c>
      <c r="B900" s="124" t="s">
        <v>1119</v>
      </c>
      <c r="C900" s="273">
        <f t="shared" si="208"/>
        <v>216096.56</v>
      </c>
      <c r="D900" s="273">
        <f t="shared" si="209"/>
        <v>0</v>
      </c>
      <c r="E900" s="273"/>
      <c r="F900" s="273"/>
      <c r="G900" s="273"/>
      <c r="H900" s="273"/>
      <c r="I900" s="273"/>
      <c r="J900" s="273"/>
      <c r="K900" s="273"/>
      <c r="L900" s="273"/>
      <c r="M900" s="273"/>
      <c r="N900" s="273"/>
      <c r="O900" s="273"/>
      <c r="P900" s="273"/>
      <c r="Q900" s="273"/>
      <c r="R900" s="273"/>
      <c r="S900" s="273"/>
      <c r="T900" s="273"/>
      <c r="U900" s="273"/>
      <c r="V900" s="273"/>
      <c r="W900" s="273">
        <f t="shared" si="210"/>
        <v>216096.56</v>
      </c>
      <c r="Y900" s="84"/>
      <c r="Z900" s="82"/>
      <c r="AA900" s="82"/>
      <c r="AB900" s="13"/>
      <c r="AC900" s="271"/>
      <c r="AE900" s="269">
        <v>216096.56</v>
      </c>
      <c r="AI900" s="13"/>
    </row>
    <row r="901" spans="1:35" x14ac:dyDescent="0.3">
      <c r="A901" s="10">
        <f t="shared" si="211"/>
        <v>794</v>
      </c>
      <c r="B901" s="124" t="s">
        <v>1120</v>
      </c>
      <c r="C901" s="273">
        <f t="shared" si="208"/>
        <v>134162.89000000001</v>
      </c>
      <c r="D901" s="273">
        <f t="shared" si="209"/>
        <v>0</v>
      </c>
      <c r="E901" s="273"/>
      <c r="F901" s="273"/>
      <c r="G901" s="273"/>
      <c r="H901" s="273"/>
      <c r="I901" s="273"/>
      <c r="J901" s="273"/>
      <c r="K901" s="273"/>
      <c r="L901" s="273"/>
      <c r="M901" s="273"/>
      <c r="N901" s="273"/>
      <c r="O901" s="273"/>
      <c r="P901" s="273"/>
      <c r="Q901" s="273"/>
      <c r="R901" s="273"/>
      <c r="S901" s="273"/>
      <c r="T901" s="273"/>
      <c r="U901" s="273"/>
      <c r="V901" s="273"/>
      <c r="W901" s="273">
        <f t="shared" si="210"/>
        <v>134162.89000000001</v>
      </c>
      <c r="Y901" s="84"/>
      <c r="Z901" s="82"/>
      <c r="AA901" s="82"/>
      <c r="AB901" s="13"/>
      <c r="AC901" s="271"/>
      <c r="AE901" s="269">
        <v>134162.89000000001</v>
      </c>
      <c r="AI901" s="13"/>
    </row>
    <row r="902" spans="1:35" x14ac:dyDescent="0.3">
      <c r="A902" s="10">
        <f t="shared" si="211"/>
        <v>795</v>
      </c>
      <c r="B902" s="124" t="s">
        <v>1121</v>
      </c>
      <c r="C902" s="273">
        <f t="shared" si="208"/>
        <v>154252.92000000001</v>
      </c>
      <c r="D902" s="273">
        <f t="shared" si="209"/>
        <v>0</v>
      </c>
      <c r="E902" s="273"/>
      <c r="F902" s="273"/>
      <c r="G902" s="273"/>
      <c r="H902" s="273"/>
      <c r="I902" s="273"/>
      <c r="J902" s="273"/>
      <c r="K902" s="273"/>
      <c r="L902" s="273"/>
      <c r="M902" s="273"/>
      <c r="N902" s="273"/>
      <c r="O902" s="273"/>
      <c r="P902" s="273"/>
      <c r="Q902" s="273"/>
      <c r="R902" s="273"/>
      <c r="S902" s="273"/>
      <c r="T902" s="273"/>
      <c r="U902" s="273"/>
      <c r="V902" s="273"/>
      <c r="W902" s="273">
        <f t="shared" si="210"/>
        <v>154252.92000000001</v>
      </c>
      <c r="Y902" s="84"/>
      <c r="Z902" s="82"/>
      <c r="AA902" s="82"/>
      <c r="AB902" s="13"/>
      <c r="AC902" s="271"/>
      <c r="AE902" s="269">
        <v>154252.92000000001</v>
      </c>
      <c r="AI902" s="13"/>
    </row>
    <row r="903" spans="1:35" x14ac:dyDescent="0.3">
      <c r="A903" s="10">
        <f t="shared" si="211"/>
        <v>796</v>
      </c>
      <c r="B903" s="124" t="s">
        <v>1122</v>
      </c>
      <c r="C903" s="273">
        <f t="shared" si="208"/>
        <v>132623.5</v>
      </c>
      <c r="D903" s="273">
        <f t="shared" si="209"/>
        <v>0</v>
      </c>
      <c r="E903" s="273"/>
      <c r="F903" s="273"/>
      <c r="G903" s="273"/>
      <c r="H903" s="273"/>
      <c r="I903" s="273"/>
      <c r="J903" s="273"/>
      <c r="K903" s="273"/>
      <c r="L903" s="273"/>
      <c r="M903" s="273"/>
      <c r="N903" s="273"/>
      <c r="O903" s="273"/>
      <c r="P903" s="273"/>
      <c r="Q903" s="273"/>
      <c r="R903" s="273"/>
      <c r="S903" s="273"/>
      <c r="T903" s="273"/>
      <c r="U903" s="273"/>
      <c r="V903" s="273"/>
      <c r="W903" s="273">
        <f t="shared" si="210"/>
        <v>132623.5</v>
      </c>
      <c r="Y903" s="84"/>
      <c r="Z903" s="82"/>
      <c r="AA903" s="82"/>
      <c r="AB903" s="13"/>
      <c r="AC903" s="271"/>
      <c r="AE903" s="269">
        <v>132623.5</v>
      </c>
      <c r="AI903" s="13"/>
    </row>
    <row r="904" spans="1:35" x14ac:dyDescent="0.3">
      <c r="A904" s="10">
        <f t="shared" si="211"/>
        <v>797</v>
      </c>
      <c r="B904" s="124" t="s">
        <v>1123</v>
      </c>
      <c r="C904" s="273">
        <f t="shared" si="208"/>
        <v>159665.23000000001</v>
      </c>
      <c r="D904" s="273">
        <f t="shared" si="209"/>
        <v>0</v>
      </c>
      <c r="E904" s="273"/>
      <c r="F904" s="273"/>
      <c r="G904" s="273"/>
      <c r="H904" s="273"/>
      <c r="I904" s="273"/>
      <c r="J904" s="273"/>
      <c r="K904" s="273"/>
      <c r="L904" s="273"/>
      <c r="M904" s="273"/>
      <c r="N904" s="273"/>
      <c r="O904" s="273"/>
      <c r="P904" s="273"/>
      <c r="Q904" s="273"/>
      <c r="R904" s="273"/>
      <c r="S904" s="273"/>
      <c r="T904" s="273"/>
      <c r="U904" s="273"/>
      <c r="V904" s="273"/>
      <c r="W904" s="273">
        <f t="shared" si="210"/>
        <v>159665.23000000001</v>
      </c>
      <c r="Y904" s="84"/>
      <c r="Z904" s="82"/>
      <c r="AA904" s="82"/>
      <c r="AB904" s="13"/>
      <c r="AC904" s="271"/>
      <c r="AE904" s="269">
        <v>159665.23000000001</v>
      </c>
      <c r="AI904" s="13"/>
    </row>
    <row r="905" spans="1:35" x14ac:dyDescent="0.3">
      <c r="A905" s="10">
        <f t="shared" si="211"/>
        <v>798</v>
      </c>
      <c r="B905" s="124" t="s">
        <v>1124</v>
      </c>
      <c r="C905" s="273">
        <f t="shared" si="208"/>
        <v>416116.8</v>
      </c>
      <c r="D905" s="273">
        <f t="shared" si="209"/>
        <v>0</v>
      </c>
      <c r="E905" s="273"/>
      <c r="F905" s="273"/>
      <c r="G905" s="273"/>
      <c r="H905" s="273"/>
      <c r="I905" s="273"/>
      <c r="J905" s="273"/>
      <c r="K905" s="273"/>
      <c r="L905" s="273"/>
      <c r="M905" s="273"/>
      <c r="N905" s="273"/>
      <c r="O905" s="273"/>
      <c r="P905" s="273"/>
      <c r="Q905" s="273"/>
      <c r="R905" s="273"/>
      <c r="S905" s="273"/>
      <c r="T905" s="273"/>
      <c r="U905" s="273">
        <v>416116.8</v>
      </c>
      <c r="V905" s="273"/>
      <c r="W905" s="273">
        <f t="shared" si="210"/>
        <v>0</v>
      </c>
      <c r="Y905" s="84"/>
      <c r="Z905" s="82"/>
      <c r="AA905" s="82"/>
      <c r="AB905" s="13"/>
      <c r="AC905" s="271"/>
      <c r="AE905" s="269"/>
      <c r="AI905" s="13"/>
    </row>
    <row r="906" spans="1:35" x14ac:dyDescent="0.3">
      <c r="A906" s="10">
        <f t="shared" si="211"/>
        <v>799</v>
      </c>
      <c r="B906" s="124" t="s">
        <v>1125</v>
      </c>
      <c r="C906" s="273">
        <f t="shared" si="208"/>
        <v>144542.6</v>
      </c>
      <c r="D906" s="273">
        <f t="shared" si="209"/>
        <v>0</v>
      </c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273"/>
      <c r="W906" s="273">
        <f t="shared" si="210"/>
        <v>144542.6</v>
      </c>
      <c r="Y906" s="84"/>
      <c r="Z906" s="82"/>
      <c r="AA906" s="82"/>
      <c r="AB906" s="13"/>
      <c r="AC906" s="271"/>
      <c r="AE906" s="269">
        <v>144542.6</v>
      </c>
      <c r="AI906" s="13"/>
    </row>
    <row r="907" spans="1:35" x14ac:dyDescent="0.3">
      <c r="A907" s="10">
        <f t="shared" si="211"/>
        <v>800</v>
      </c>
      <c r="B907" s="124" t="s">
        <v>1126</v>
      </c>
      <c r="C907" s="273">
        <f t="shared" si="208"/>
        <v>131084.14000000001</v>
      </c>
      <c r="D907" s="273">
        <f t="shared" si="209"/>
        <v>0</v>
      </c>
      <c r="E907" s="273"/>
      <c r="F907" s="273"/>
      <c r="G907" s="273"/>
      <c r="H907" s="273"/>
      <c r="I907" s="273"/>
      <c r="J907" s="273"/>
      <c r="K907" s="273"/>
      <c r="L907" s="273"/>
      <c r="M907" s="273"/>
      <c r="N907" s="273"/>
      <c r="O907" s="273"/>
      <c r="P907" s="273"/>
      <c r="Q907" s="273"/>
      <c r="R907" s="273"/>
      <c r="S907" s="273"/>
      <c r="T907" s="273"/>
      <c r="U907" s="273"/>
      <c r="V907" s="273"/>
      <c r="W907" s="273">
        <f t="shared" si="210"/>
        <v>131084.14000000001</v>
      </c>
      <c r="Y907" s="84"/>
      <c r="Z907" s="82"/>
      <c r="AA907" s="82"/>
      <c r="AB907" s="13"/>
      <c r="AC907" s="271"/>
      <c r="AE907" s="269">
        <v>131084.14000000001</v>
      </c>
      <c r="AI907" s="13"/>
    </row>
    <row r="908" spans="1:35" x14ac:dyDescent="0.3">
      <c r="A908" s="10">
        <f t="shared" si="211"/>
        <v>801</v>
      </c>
      <c r="B908" s="124" t="s">
        <v>1127</v>
      </c>
      <c r="C908" s="273">
        <f t="shared" si="208"/>
        <v>149875.32</v>
      </c>
      <c r="D908" s="273">
        <f t="shared" si="209"/>
        <v>0</v>
      </c>
      <c r="E908" s="273"/>
      <c r="F908" s="273"/>
      <c r="G908" s="273"/>
      <c r="H908" s="273"/>
      <c r="I908" s="273"/>
      <c r="J908" s="273"/>
      <c r="K908" s="273"/>
      <c r="L908" s="273"/>
      <c r="M908" s="273"/>
      <c r="N908" s="273"/>
      <c r="O908" s="273"/>
      <c r="P908" s="273"/>
      <c r="Q908" s="273"/>
      <c r="R908" s="273"/>
      <c r="S908" s="273"/>
      <c r="T908" s="273"/>
      <c r="U908" s="273"/>
      <c r="V908" s="273"/>
      <c r="W908" s="273">
        <f t="shared" si="210"/>
        <v>149875.32</v>
      </c>
      <c r="Y908" s="84"/>
      <c r="Z908" s="82"/>
      <c r="AA908" s="82"/>
      <c r="AB908" s="13"/>
      <c r="AC908" s="271"/>
      <c r="AE908" s="269">
        <v>149875.32</v>
      </c>
      <c r="AI908" s="13"/>
    </row>
    <row r="909" spans="1:35" x14ac:dyDescent="0.3">
      <c r="A909" s="10">
        <f t="shared" si="211"/>
        <v>802</v>
      </c>
      <c r="B909" s="124" t="s">
        <v>1128</v>
      </c>
      <c r="C909" s="273">
        <f t="shared" si="208"/>
        <v>115016.95</v>
      </c>
      <c r="D909" s="273">
        <f t="shared" si="209"/>
        <v>0</v>
      </c>
      <c r="E909" s="273"/>
      <c r="F909" s="273"/>
      <c r="G909" s="273"/>
      <c r="H909" s="273"/>
      <c r="I909" s="273"/>
      <c r="J909" s="273"/>
      <c r="K909" s="273"/>
      <c r="L909" s="273"/>
      <c r="M909" s="273"/>
      <c r="N909" s="273"/>
      <c r="O909" s="273"/>
      <c r="P909" s="273"/>
      <c r="Q909" s="273"/>
      <c r="R909" s="273"/>
      <c r="S909" s="273"/>
      <c r="T909" s="273"/>
      <c r="U909" s="273"/>
      <c r="V909" s="273"/>
      <c r="W909" s="273">
        <f t="shared" si="210"/>
        <v>115016.95</v>
      </c>
      <c r="Y909" s="84"/>
      <c r="Z909" s="82"/>
      <c r="AA909" s="82"/>
      <c r="AB909" s="13"/>
      <c r="AC909" s="271"/>
      <c r="AE909" s="269">
        <v>115016.95</v>
      </c>
      <c r="AI909" s="13"/>
    </row>
    <row r="910" spans="1:35" x14ac:dyDescent="0.3">
      <c r="A910" s="10"/>
      <c r="B910" s="124" t="s">
        <v>208</v>
      </c>
      <c r="C910" s="273">
        <f t="shared" ref="C910:W910" si="212">SUM(C894:C909)</f>
        <v>2713282.43</v>
      </c>
      <c r="D910" s="273">
        <f t="shared" si="212"/>
        <v>0</v>
      </c>
      <c r="E910" s="273">
        <f t="shared" si="212"/>
        <v>0</v>
      </c>
      <c r="F910" s="273">
        <f t="shared" si="212"/>
        <v>0</v>
      </c>
      <c r="G910" s="273">
        <f t="shared" si="212"/>
        <v>0</v>
      </c>
      <c r="H910" s="273">
        <f t="shared" si="212"/>
        <v>0</v>
      </c>
      <c r="I910" s="273">
        <f t="shared" si="212"/>
        <v>0</v>
      </c>
      <c r="J910" s="273">
        <f t="shared" si="212"/>
        <v>0</v>
      </c>
      <c r="K910" s="273">
        <f t="shared" si="212"/>
        <v>0</v>
      </c>
      <c r="L910" s="273">
        <f t="shared" si="212"/>
        <v>0</v>
      </c>
      <c r="M910" s="273">
        <f t="shared" si="212"/>
        <v>0</v>
      </c>
      <c r="N910" s="273">
        <f t="shared" si="212"/>
        <v>0</v>
      </c>
      <c r="O910" s="273">
        <f t="shared" si="212"/>
        <v>0</v>
      </c>
      <c r="P910" s="273">
        <f t="shared" si="212"/>
        <v>0</v>
      </c>
      <c r="Q910" s="273">
        <f t="shared" si="212"/>
        <v>0</v>
      </c>
      <c r="R910" s="273">
        <f t="shared" si="212"/>
        <v>0</v>
      </c>
      <c r="S910" s="273">
        <f t="shared" si="212"/>
        <v>0</v>
      </c>
      <c r="T910" s="273">
        <f t="shared" si="212"/>
        <v>0</v>
      </c>
      <c r="U910" s="273">
        <f t="shared" si="212"/>
        <v>416116.8</v>
      </c>
      <c r="V910" s="273">
        <f t="shared" si="212"/>
        <v>0</v>
      </c>
      <c r="W910" s="273">
        <f t="shared" si="212"/>
        <v>2297165.6300000004</v>
      </c>
      <c r="X910" s="269"/>
      <c r="Y910" s="84"/>
      <c r="Z910" s="82"/>
      <c r="AA910" s="82"/>
      <c r="AB910" s="13"/>
      <c r="AD910" s="13"/>
      <c r="AI910" s="13"/>
    </row>
    <row r="911" spans="1:35" ht="15" customHeight="1" x14ac:dyDescent="0.3">
      <c r="A911" s="264" t="s">
        <v>1129</v>
      </c>
      <c r="B911" s="124"/>
      <c r="C911" s="273"/>
      <c r="D911" s="273"/>
      <c r="E911" s="273"/>
      <c r="F911" s="273"/>
      <c r="G911" s="273"/>
      <c r="H911" s="273"/>
      <c r="I911" s="273"/>
      <c r="J911" s="273"/>
      <c r="K911" s="273"/>
      <c r="L911" s="273"/>
      <c r="M911" s="273"/>
      <c r="N911" s="273"/>
      <c r="O911" s="273"/>
      <c r="P911" s="273"/>
      <c r="Q911" s="273"/>
      <c r="R911" s="273"/>
      <c r="S911" s="273"/>
      <c r="T911" s="273"/>
      <c r="U911" s="273"/>
      <c r="V911" s="273"/>
      <c r="W911" s="273"/>
      <c r="X911" s="269"/>
      <c r="Y911" s="84"/>
      <c r="Z911" s="82"/>
      <c r="AA911" s="82"/>
      <c r="AB911" s="13"/>
      <c r="AD911" s="13"/>
      <c r="AI911" s="13"/>
    </row>
    <row r="912" spans="1:35" x14ac:dyDescent="0.3">
      <c r="A912" s="10">
        <f>A909+1</f>
        <v>803</v>
      </c>
      <c r="B912" s="124" t="s">
        <v>1130</v>
      </c>
      <c r="C912" s="273">
        <f t="shared" ref="C912:C942" si="213">D912+K912+L912+N912+P912+R912+U912+S912+V912+W912</f>
        <v>305877.14</v>
      </c>
      <c r="D912" s="273">
        <f t="shared" ref="D912:D942" si="214">E912+F912+G912+H912+I912</f>
        <v>0</v>
      </c>
      <c r="E912" s="273"/>
      <c r="F912" s="273"/>
      <c r="G912" s="273"/>
      <c r="H912" s="273"/>
      <c r="I912" s="273"/>
      <c r="J912" s="273"/>
      <c r="K912" s="273"/>
      <c r="L912" s="273"/>
      <c r="M912" s="273"/>
      <c r="N912" s="273"/>
      <c r="O912" s="273"/>
      <c r="P912" s="273"/>
      <c r="Q912" s="273"/>
      <c r="R912" s="273"/>
      <c r="S912" s="273"/>
      <c r="T912" s="273"/>
      <c r="U912" s="273"/>
      <c r="V912" s="273"/>
      <c r="W912" s="273">
        <f t="shared" ref="W912:W975" si="215">SUM(X912:AH912)</f>
        <v>305877.14</v>
      </c>
      <c r="Z912" s="112"/>
      <c r="AA912" s="112"/>
      <c r="AB912" s="13"/>
      <c r="AC912" s="112"/>
      <c r="AE912" s="112">
        <v>305877.14</v>
      </c>
      <c r="AF912" s="112"/>
      <c r="AI912" s="13"/>
    </row>
    <row r="913" spans="1:35" x14ac:dyDescent="0.3">
      <c r="A913" s="10">
        <f t="shared" ref="A913:A943" si="216">A912+1</f>
        <v>804</v>
      </c>
      <c r="B913" s="124" t="s">
        <v>1131</v>
      </c>
      <c r="C913" s="273">
        <f t="shared" si="213"/>
        <v>188870.58</v>
      </c>
      <c r="D913" s="273">
        <f t="shared" si="214"/>
        <v>0</v>
      </c>
      <c r="E913" s="273"/>
      <c r="F913" s="273"/>
      <c r="G913" s="273"/>
      <c r="H913" s="273"/>
      <c r="I913" s="273"/>
      <c r="J913" s="273"/>
      <c r="K913" s="273"/>
      <c r="L913" s="273"/>
      <c r="M913" s="273"/>
      <c r="N913" s="273"/>
      <c r="O913" s="273"/>
      <c r="P913" s="273"/>
      <c r="Q913" s="273"/>
      <c r="R913" s="273"/>
      <c r="S913" s="273"/>
      <c r="T913" s="273"/>
      <c r="U913" s="273"/>
      <c r="V913" s="273"/>
      <c r="W913" s="273">
        <f t="shared" si="215"/>
        <v>188870.58</v>
      </c>
      <c r="Z913" s="112"/>
      <c r="AA913" s="13"/>
      <c r="AB913" s="13"/>
      <c r="AC913" s="112">
        <v>188870.58</v>
      </c>
      <c r="AE913" s="112"/>
      <c r="AF913" s="112"/>
      <c r="AI913" s="13"/>
    </row>
    <row r="914" spans="1:35" x14ac:dyDescent="0.3">
      <c r="A914" s="10">
        <f t="shared" si="216"/>
        <v>805</v>
      </c>
      <c r="B914" s="124" t="s">
        <v>1133</v>
      </c>
      <c r="C914" s="273">
        <f t="shared" si="213"/>
        <v>250776.89</v>
      </c>
      <c r="D914" s="273">
        <f t="shared" si="214"/>
        <v>0</v>
      </c>
      <c r="E914" s="273"/>
      <c r="F914" s="273"/>
      <c r="G914" s="273"/>
      <c r="H914" s="273"/>
      <c r="I914" s="273"/>
      <c r="J914" s="273"/>
      <c r="K914" s="273"/>
      <c r="L914" s="273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>
        <f t="shared" si="215"/>
        <v>250776.89</v>
      </c>
      <c r="Z914" s="114"/>
      <c r="AA914" s="13"/>
      <c r="AB914" s="13"/>
      <c r="AC914" s="113">
        <v>250776.89</v>
      </c>
      <c r="AE914" s="269"/>
      <c r="AF914" s="114"/>
      <c r="AI914" s="13"/>
    </row>
    <row r="915" spans="1:35" x14ac:dyDescent="0.3">
      <c r="A915" s="10">
        <f t="shared" si="216"/>
        <v>806</v>
      </c>
      <c r="B915" s="124" t="s">
        <v>1134</v>
      </c>
      <c r="C915" s="273">
        <f t="shared" si="213"/>
        <v>175928.71</v>
      </c>
      <c r="D915" s="273">
        <f t="shared" si="214"/>
        <v>0</v>
      </c>
      <c r="E915" s="273"/>
      <c r="F915" s="273"/>
      <c r="G915" s="273"/>
      <c r="H915" s="273"/>
      <c r="I915" s="273"/>
      <c r="J915" s="273"/>
      <c r="K915" s="273"/>
      <c r="L915" s="273"/>
      <c r="M915" s="273"/>
      <c r="N915" s="273"/>
      <c r="O915" s="273"/>
      <c r="P915" s="273"/>
      <c r="Q915" s="273"/>
      <c r="R915" s="273"/>
      <c r="S915" s="273"/>
      <c r="T915" s="273"/>
      <c r="U915" s="273"/>
      <c r="V915" s="273"/>
      <c r="W915" s="273">
        <f t="shared" si="215"/>
        <v>175928.71</v>
      </c>
      <c r="Z915" s="112"/>
      <c r="AA915" s="13"/>
      <c r="AB915" s="13"/>
      <c r="AC915" s="112">
        <v>175928.71</v>
      </c>
      <c r="AE915" s="269"/>
      <c r="AF915" s="112"/>
      <c r="AI915" s="13"/>
    </row>
    <row r="916" spans="1:35" x14ac:dyDescent="0.3">
      <c r="A916" s="10">
        <f t="shared" si="216"/>
        <v>807</v>
      </c>
      <c r="B916" s="124" t="s">
        <v>1135</v>
      </c>
      <c r="C916" s="273">
        <f t="shared" si="213"/>
        <v>172349.7</v>
      </c>
      <c r="D916" s="273">
        <f t="shared" si="214"/>
        <v>0</v>
      </c>
      <c r="E916" s="273"/>
      <c r="F916" s="273"/>
      <c r="G916" s="273"/>
      <c r="H916" s="273"/>
      <c r="I916" s="273"/>
      <c r="J916" s="273"/>
      <c r="K916" s="273"/>
      <c r="L916" s="273"/>
      <c r="M916" s="273"/>
      <c r="N916" s="273"/>
      <c r="O916" s="273"/>
      <c r="P916" s="273"/>
      <c r="Q916" s="273"/>
      <c r="R916" s="273"/>
      <c r="S916" s="273"/>
      <c r="T916" s="273"/>
      <c r="U916" s="273"/>
      <c r="V916" s="273"/>
      <c r="W916" s="273">
        <f t="shared" si="215"/>
        <v>172349.7</v>
      </c>
      <c r="Z916" s="112"/>
      <c r="AA916" s="13"/>
      <c r="AB916" s="13"/>
      <c r="AC916" s="112">
        <v>172349.7</v>
      </c>
      <c r="AE916" s="269"/>
      <c r="AF916" s="112"/>
      <c r="AI916" s="13"/>
    </row>
    <row r="917" spans="1:35" x14ac:dyDescent="0.3">
      <c r="A917" s="10">
        <f t="shared" si="216"/>
        <v>808</v>
      </c>
      <c r="B917" s="124" t="s">
        <v>1136</v>
      </c>
      <c r="C917" s="273">
        <f t="shared" si="213"/>
        <v>229603.07</v>
      </c>
      <c r="D917" s="273">
        <f t="shared" si="214"/>
        <v>0</v>
      </c>
      <c r="E917" s="273"/>
      <c r="F917" s="273"/>
      <c r="G917" s="273"/>
      <c r="H917" s="273"/>
      <c r="I917" s="273"/>
      <c r="J917" s="273"/>
      <c r="K917" s="273"/>
      <c r="L917" s="273"/>
      <c r="M917" s="273"/>
      <c r="N917" s="273"/>
      <c r="O917" s="273"/>
      <c r="P917" s="273"/>
      <c r="Q917" s="273"/>
      <c r="R917" s="273"/>
      <c r="S917" s="273"/>
      <c r="T917" s="273"/>
      <c r="U917" s="273"/>
      <c r="V917" s="273"/>
      <c r="W917" s="273">
        <f t="shared" si="215"/>
        <v>229603.07</v>
      </c>
      <c r="Z917" s="112"/>
      <c r="AA917" s="13"/>
      <c r="AB917" s="13"/>
      <c r="AC917" s="271"/>
      <c r="AE917" s="112">
        <v>229603.07</v>
      </c>
      <c r="AF917" s="112"/>
      <c r="AI917" s="13"/>
    </row>
    <row r="918" spans="1:35" x14ac:dyDescent="0.3">
      <c r="A918" s="10">
        <f t="shared" si="216"/>
        <v>809</v>
      </c>
      <c r="B918" s="124" t="s">
        <v>1137</v>
      </c>
      <c r="C918" s="273">
        <f t="shared" si="213"/>
        <v>13516423.199999999</v>
      </c>
      <c r="D918" s="273">
        <f t="shared" si="214"/>
        <v>0</v>
      </c>
      <c r="E918" s="273"/>
      <c r="F918" s="273"/>
      <c r="G918" s="273"/>
      <c r="H918" s="273"/>
      <c r="I918" s="273"/>
      <c r="J918" s="273"/>
      <c r="K918" s="273"/>
      <c r="L918" s="273"/>
      <c r="M918" s="273"/>
      <c r="N918" s="273"/>
      <c r="O918" s="273"/>
      <c r="P918" s="273"/>
      <c r="Q918" s="273"/>
      <c r="R918" s="273"/>
      <c r="S918" s="273"/>
      <c r="T918" s="273"/>
      <c r="U918" s="273">
        <v>13516423.199999999</v>
      </c>
      <c r="V918" s="273"/>
      <c r="W918" s="273">
        <f t="shared" si="215"/>
        <v>0</v>
      </c>
      <c r="Z918" s="13"/>
      <c r="AA918" s="13"/>
      <c r="AB918" s="13"/>
      <c r="AC918" s="271"/>
      <c r="AE918" s="269"/>
      <c r="AF918" s="7"/>
      <c r="AI918" s="13"/>
    </row>
    <row r="919" spans="1:35" x14ac:dyDescent="0.3">
      <c r="A919" s="10">
        <f t="shared" si="216"/>
        <v>810</v>
      </c>
      <c r="B919" s="124" t="s">
        <v>1138</v>
      </c>
      <c r="C919" s="273">
        <f t="shared" si="213"/>
        <v>7348862.4000000004</v>
      </c>
      <c r="D919" s="273">
        <f t="shared" si="214"/>
        <v>0</v>
      </c>
      <c r="E919" s="273"/>
      <c r="F919" s="273"/>
      <c r="G919" s="273"/>
      <c r="H919" s="273"/>
      <c r="I919" s="273"/>
      <c r="J919" s="273"/>
      <c r="K919" s="273"/>
      <c r="L919" s="273"/>
      <c r="M919" s="273"/>
      <c r="N919" s="273"/>
      <c r="O919" s="273"/>
      <c r="P919" s="273"/>
      <c r="Q919" s="273"/>
      <c r="R919" s="273"/>
      <c r="S919" s="273"/>
      <c r="T919" s="273"/>
      <c r="U919" s="273">
        <v>7348862.4000000004</v>
      </c>
      <c r="V919" s="273"/>
      <c r="W919" s="273">
        <f t="shared" si="215"/>
        <v>0</v>
      </c>
      <c r="Z919" s="13"/>
      <c r="AA919" s="13"/>
      <c r="AB919" s="13"/>
      <c r="AC919" s="271"/>
      <c r="AE919" s="269"/>
      <c r="AF919" s="7"/>
      <c r="AI919" s="13"/>
    </row>
    <row r="920" spans="1:35" x14ac:dyDescent="0.3">
      <c r="A920" s="10">
        <f t="shared" si="216"/>
        <v>811</v>
      </c>
      <c r="B920" s="124" t="s">
        <v>1139</v>
      </c>
      <c r="C920" s="273">
        <f t="shared" si="213"/>
        <v>154570</v>
      </c>
      <c r="D920" s="273">
        <f t="shared" si="214"/>
        <v>0</v>
      </c>
      <c r="E920" s="273"/>
      <c r="F920" s="273"/>
      <c r="G920" s="273"/>
      <c r="H920" s="273"/>
      <c r="I920" s="273"/>
      <c r="J920" s="273"/>
      <c r="K920" s="273"/>
      <c r="L920" s="273"/>
      <c r="M920" s="273"/>
      <c r="N920" s="273"/>
      <c r="O920" s="273"/>
      <c r="P920" s="273"/>
      <c r="Q920" s="273"/>
      <c r="R920" s="273"/>
      <c r="S920" s="273"/>
      <c r="T920" s="273">
        <v>13</v>
      </c>
      <c r="U920" s="273">
        <f>T920*11890</f>
        <v>154570</v>
      </c>
      <c r="V920" s="273"/>
      <c r="W920" s="273">
        <f t="shared" si="215"/>
        <v>0</v>
      </c>
      <c r="Z920" s="13"/>
      <c r="AA920" s="13"/>
      <c r="AB920" s="13"/>
      <c r="AC920" s="271"/>
      <c r="AE920" s="269"/>
      <c r="AF920" s="7"/>
      <c r="AI920" s="13"/>
    </row>
    <row r="921" spans="1:35" x14ac:dyDescent="0.3">
      <c r="A921" s="10">
        <f t="shared" si="216"/>
        <v>812</v>
      </c>
      <c r="B921" s="124" t="s">
        <v>1140</v>
      </c>
      <c r="C921" s="273">
        <f t="shared" si="213"/>
        <v>279186.73</v>
      </c>
      <c r="D921" s="273">
        <f t="shared" si="214"/>
        <v>0</v>
      </c>
      <c r="E921" s="273"/>
      <c r="F921" s="273"/>
      <c r="G921" s="273"/>
      <c r="H921" s="273"/>
      <c r="I921" s="273"/>
      <c r="J921" s="273"/>
      <c r="K921" s="273"/>
      <c r="L921" s="273"/>
      <c r="M921" s="273"/>
      <c r="N921" s="273"/>
      <c r="O921" s="273"/>
      <c r="P921" s="273"/>
      <c r="Q921" s="273"/>
      <c r="R921" s="273"/>
      <c r="S921" s="273"/>
      <c r="T921" s="273"/>
      <c r="U921" s="273"/>
      <c r="V921" s="273"/>
      <c r="W921" s="273">
        <f t="shared" si="215"/>
        <v>279186.73</v>
      </c>
      <c r="Z921" s="112"/>
      <c r="AA921" s="13"/>
      <c r="AB921" s="13"/>
      <c r="AC921" s="112"/>
      <c r="AE921" s="112"/>
      <c r="AF921" s="112">
        <v>279186.73</v>
      </c>
      <c r="AI921" s="13"/>
    </row>
    <row r="922" spans="1:35" x14ac:dyDescent="0.3">
      <c r="A922" s="10">
        <f t="shared" si="216"/>
        <v>813</v>
      </c>
      <c r="B922" s="124" t="s">
        <v>1141</v>
      </c>
      <c r="C922" s="273">
        <f t="shared" si="213"/>
        <v>110755.03</v>
      </c>
      <c r="D922" s="273">
        <f t="shared" si="214"/>
        <v>0</v>
      </c>
      <c r="E922" s="273"/>
      <c r="F922" s="273"/>
      <c r="G922" s="273"/>
      <c r="H922" s="273"/>
      <c r="I922" s="273"/>
      <c r="J922" s="273"/>
      <c r="K922" s="273"/>
      <c r="L922" s="273"/>
      <c r="M922" s="273"/>
      <c r="N922" s="273"/>
      <c r="O922" s="273"/>
      <c r="P922" s="273"/>
      <c r="Q922" s="273"/>
      <c r="R922" s="273"/>
      <c r="S922" s="273"/>
      <c r="T922" s="273"/>
      <c r="U922" s="273"/>
      <c r="V922" s="273"/>
      <c r="W922" s="273">
        <f t="shared" si="215"/>
        <v>110755.03</v>
      </c>
      <c r="Z922" s="112"/>
      <c r="AA922" s="13"/>
      <c r="AB922" s="13"/>
      <c r="AC922" s="112"/>
      <c r="AE922" s="112"/>
      <c r="AF922" s="112">
        <v>110755.03</v>
      </c>
      <c r="AI922" s="13"/>
    </row>
    <row r="923" spans="1:35" x14ac:dyDescent="0.3">
      <c r="A923" s="10">
        <f t="shared" si="216"/>
        <v>814</v>
      </c>
      <c r="B923" s="124" t="s">
        <v>1143</v>
      </c>
      <c r="C923" s="273">
        <f t="shared" si="213"/>
        <v>149488.87</v>
      </c>
      <c r="D923" s="273">
        <f t="shared" si="214"/>
        <v>0</v>
      </c>
      <c r="E923" s="273"/>
      <c r="F923" s="273"/>
      <c r="G923" s="273"/>
      <c r="H923" s="273"/>
      <c r="I923" s="273"/>
      <c r="J923" s="273"/>
      <c r="K923" s="273"/>
      <c r="L923" s="273"/>
      <c r="M923" s="273"/>
      <c r="N923" s="273"/>
      <c r="O923" s="273"/>
      <c r="P923" s="273"/>
      <c r="Q923" s="273"/>
      <c r="R923" s="273"/>
      <c r="S923" s="273"/>
      <c r="T923" s="273"/>
      <c r="U923" s="273"/>
      <c r="V923" s="273"/>
      <c r="W923" s="273">
        <f t="shared" si="215"/>
        <v>149488.87</v>
      </c>
      <c r="Z923" s="112"/>
      <c r="AA923" s="112"/>
      <c r="AB923" s="13"/>
      <c r="AC923" s="112"/>
      <c r="AE923" s="112"/>
      <c r="AF923" s="112">
        <v>149488.87</v>
      </c>
      <c r="AI923" s="13"/>
    </row>
    <row r="924" spans="1:35" x14ac:dyDescent="0.3">
      <c r="A924" s="10">
        <f t="shared" si="216"/>
        <v>815</v>
      </c>
      <c r="B924" s="124" t="s">
        <v>1144</v>
      </c>
      <c r="C924" s="273">
        <f t="shared" si="213"/>
        <v>145477.82</v>
      </c>
      <c r="D924" s="273">
        <f t="shared" si="214"/>
        <v>0</v>
      </c>
      <c r="E924" s="273"/>
      <c r="F924" s="273"/>
      <c r="G924" s="273"/>
      <c r="H924" s="273"/>
      <c r="I924" s="273"/>
      <c r="J924" s="273"/>
      <c r="K924" s="273"/>
      <c r="L924" s="273"/>
      <c r="M924" s="273"/>
      <c r="N924" s="273"/>
      <c r="O924" s="273"/>
      <c r="P924" s="273"/>
      <c r="Q924" s="273"/>
      <c r="R924" s="273"/>
      <c r="S924" s="273"/>
      <c r="T924" s="273"/>
      <c r="U924" s="273"/>
      <c r="V924" s="273"/>
      <c r="W924" s="273">
        <f t="shared" si="215"/>
        <v>145477.82</v>
      </c>
      <c r="Z924" s="112"/>
      <c r="AA924" s="112"/>
      <c r="AB924" s="13"/>
      <c r="AC924" s="112"/>
      <c r="AE924" s="112"/>
      <c r="AF924" s="112">
        <v>145477.82</v>
      </c>
      <c r="AI924" s="13"/>
    </row>
    <row r="925" spans="1:35" x14ac:dyDescent="0.3">
      <c r="A925" s="10">
        <f t="shared" si="216"/>
        <v>816</v>
      </c>
      <c r="B925" s="124" t="s">
        <v>1145</v>
      </c>
      <c r="C925" s="273">
        <f t="shared" si="213"/>
        <v>113130.74</v>
      </c>
      <c r="D925" s="273">
        <f t="shared" si="214"/>
        <v>0</v>
      </c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273">
        <f t="shared" si="215"/>
        <v>113130.74</v>
      </c>
      <c r="Z925" s="112"/>
      <c r="AA925" s="13"/>
      <c r="AB925" s="13"/>
      <c r="AC925" s="112">
        <v>113130.74</v>
      </c>
      <c r="AE925" s="112"/>
      <c r="AF925" s="112"/>
      <c r="AI925" s="13"/>
    </row>
    <row r="926" spans="1:35" x14ac:dyDescent="0.3">
      <c r="A926" s="10">
        <f t="shared" si="216"/>
        <v>817</v>
      </c>
      <c r="B926" s="124" t="s">
        <v>1146</v>
      </c>
      <c r="C926" s="273">
        <f t="shared" si="213"/>
        <v>396921.74</v>
      </c>
      <c r="D926" s="273">
        <f t="shared" si="214"/>
        <v>0</v>
      </c>
      <c r="E926" s="273"/>
      <c r="F926" s="273"/>
      <c r="G926" s="273"/>
      <c r="H926" s="273"/>
      <c r="I926" s="273"/>
      <c r="J926" s="273"/>
      <c r="K926" s="273"/>
      <c r="L926" s="273"/>
      <c r="M926" s="273"/>
      <c r="N926" s="273"/>
      <c r="O926" s="273"/>
      <c r="P926" s="273"/>
      <c r="Q926" s="273"/>
      <c r="R926" s="273"/>
      <c r="S926" s="273"/>
      <c r="T926" s="273"/>
      <c r="U926" s="273"/>
      <c r="V926" s="273"/>
      <c r="W926" s="273">
        <f t="shared" si="215"/>
        <v>396921.74</v>
      </c>
      <c r="Z926" s="112"/>
      <c r="AA926" s="13"/>
      <c r="AB926" s="13"/>
      <c r="AC926" s="112"/>
      <c r="AE926" s="112">
        <v>396921.74</v>
      </c>
      <c r="AF926" s="112"/>
      <c r="AI926" s="13"/>
    </row>
    <row r="927" spans="1:35" x14ac:dyDescent="0.3">
      <c r="A927" s="10">
        <f t="shared" si="216"/>
        <v>818</v>
      </c>
      <c r="B927" s="124" t="s">
        <v>1147</v>
      </c>
      <c r="C927" s="273">
        <f t="shared" si="213"/>
        <v>237948.24</v>
      </c>
      <c r="D927" s="273">
        <f t="shared" si="214"/>
        <v>0</v>
      </c>
      <c r="E927" s="273"/>
      <c r="F927" s="273"/>
      <c r="G927" s="273"/>
      <c r="H927" s="273"/>
      <c r="I927" s="273"/>
      <c r="J927" s="273"/>
      <c r="K927" s="273"/>
      <c r="L927" s="273"/>
      <c r="M927" s="273"/>
      <c r="N927" s="273"/>
      <c r="O927" s="273"/>
      <c r="P927" s="273"/>
      <c r="Q927" s="273"/>
      <c r="R927" s="273"/>
      <c r="S927" s="273"/>
      <c r="T927" s="273"/>
      <c r="U927" s="273"/>
      <c r="V927" s="273"/>
      <c r="W927" s="273">
        <f t="shared" si="215"/>
        <v>237948.24</v>
      </c>
      <c r="Z927" s="112"/>
      <c r="AA927" s="13"/>
      <c r="AB927" s="13"/>
      <c r="AC927" s="112"/>
      <c r="AE927" s="112">
        <v>237948.24</v>
      </c>
      <c r="AF927" s="112"/>
      <c r="AI927" s="13"/>
    </row>
    <row r="928" spans="1:35" x14ac:dyDescent="0.3">
      <c r="A928" s="10">
        <f t="shared" si="216"/>
        <v>819</v>
      </c>
      <c r="B928" s="124" t="s">
        <v>1148</v>
      </c>
      <c r="C928" s="273">
        <f t="shared" si="213"/>
        <v>237948.24</v>
      </c>
      <c r="D928" s="273">
        <f t="shared" si="214"/>
        <v>0</v>
      </c>
      <c r="E928" s="273"/>
      <c r="F928" s="273"/>
      <c r="G928" s="273"/>
      <c r="H928" s="273"/>
      <c r="I928" s="273"/>
      <c r="J928" s="273"/>
      <c r="K928" s="273"/>
      <c r="L928" s="273"/>
      <c r="M928" s="273"/>
      <c r="N928" s="273"/>
      <c r="O928" s="273"/>
      <c r="P928" s="273"/>
      <c r="Q928" s="273"/>
      <c r="R928" s="273"/>
      <c r="S928" s="273"/>
      <c r="T928" s="273"/>
      <c r="U928" s="273"/>
      <c r="V928" s="273"/>
      <c r="W928" s="273">
        <f t="shared" si="215"/>
        <v>237948.24</v>
      </c>
      <c r="Z928" s="112"/>
      <c r="AA928" s="13"/>
      <c r="AB928" s="13"/>
      <c r="AC928" s="112"/>
      <c r="AE928" s="112">
        <v>237948.24</v>
      </c>
      <c r="AF928" s="112"/>
      <c r="AI928" s="13"/>
    </row>
    <row r="929" spans="1:35" x14ac:dyDescent="0.3">
      <c r="A929" s="10">
        <f t="shared" si="216"/>
        <v>820</v>
      </c>
      <c r="B929" s="124" t="s">
        <v>1150</v>
      </c>
      <c r="C929" s="273">
        <f t="shared" si="213"/>
        <v>194792.59</v>
      </c>
      <c r="D929" s="273">
        <f t="shared" si="214"/>
        <v>0</v>
      </c>
      <c r="E929" s="273"/>
      <c r="F929" s="273"/>
      <c r="G929" s="273"/>
      <c r="H929" s="273"/>
      <c r="I929" s="273"/>
      <c r="J929" s="273"/>
      <c r="K929" s="273"/>
      <c r="L929" s="273"/>
      <c r="M929" s="273"/>
      <c r="N929" s="273"/>
      <c r="O929" s="273"/>
      <c r="P929" s="273"/>
      <c r="Q929" s="273"/>
      <c r="R929" s="273"/>
      <c r="S929" s="273"/>
      <c r="T929" s="273"/>
      <c r="U929" s="273"/>
      <c r="V929" s="273"/>
      <c r="W929" s="273">
        <f t="shared" si="215"/>
        <v>194792.59</v>
      </c>
      <c r="Z929" s="112"/>
      <c r="AA929" s="13"/>
      <c r="AB929" s="13"/>
      <c r="AC929" s="112">
        <v>194792.59</v>
      </c>
      <c r="AE929" s="112"/>
      <c r="AF929" s="112"/>
      <c r="AI929" s="13"/>
    </row>
    <row r="930" spans="1:35" x14ac:dyDescent="0.3">
      <c r="A930" s="10">
        <f t="shared" si="216"/>
        <v>821</v>
      </c>
      <c r="B930" s="124" t="s">
        <v>1152</v>
      </c>
      <c r="C930" s="273">
        <f t="shared" si="213"/>
        <v>307855.31</v>
      </c>
      <c r="D930" s="273">
        <f t="shared" si="214"/>
        <v>0</v>
      </c>
      <c r="E930" s="273"/>
      <c r="F930" s="273"/>
      <c r="G930" s="273"/>
      <c r="H930" s="273"/>
      <c r="I930" s="273"/>
      <c r="J930" s="273"/>
      <c r="K930" s="273"/>
      <c r="L930" s="273"/>
      <c r="M930" s="273"/>
      <c r="N930" s="273"/>
      <c r="O930" s="273"/>
      <c r="P930" s="273"/>
      <c r="Q930" s="273"/>
      <c r="R930" s="273"/>
      <c r="S930" s="273"/>
      <c r="T930" s="273"/>
      <c r="U930" s="273"/>
      <c r="V930" s="273"/>
      <c r="W930" s="273">
        <f t="shared" si="215"/>
        <v>307855.31</v>
      </c>
      <c r="Z930" s="112"/>
      <c r="AA930" s="13"/>
      <c r="AB930" s="13"/>
      <c r="AC930" s="112"/>
      <c r="AE930" s="112">
        <v>307855.31</v>
      </c>
      <c r="AF930" s="112"/>
      <c r="AI930" s="13"/>
    </row>
    <row r="931" spans="1:35" x14ac:dyDescent="0.3">
      <c r="A931" s="10">
        <f t="shared" si="216"/>
        <v>822</v>
      </c>
      <c r="B931" s="124" t="s">
        <v>1155</v>
      </c>
      <c r="C931" s="273">
        <f t="shared" si="213"/>
        <v>3522850.8</v>
      </c>
      <c r="D931" s="273">
        <f t="shared" si="214"/>
        <v>0</v>
      </c>
      <c r="E931" s="273"/>
      <c r="F931" s="273"/>
      <c r="G931" s="273"/>
      <c r="H931" s="273"/>
      <c r="I931" s="273"/>
      <c r="J931" s="273"/>
      <c r="K931" s="273"/>
      <c r="L931" s="273"/>
      <c r="M931" s="273"/>
      <c r="N931" s="273"/>
      <c r="O931" s="273"/>
      <c r="P931" s="273"/>
      <c r="Q931" s="273"/>
      <c r="R931" s="273"/>
      <c r="S931" s="273"/>
      <c r="T931" s="273"/>
      <c r="U931" s="273">
        <v>3522850.8</v>
      </c>
      <c r="V931" s="273"/>
      <c r="W931" s="273">
        <f t="shared" si="215"/>
        <v>0</v>
      </c>
      <c r="Z931" s="13"/>
      <c r="AA931" s="13"/>
      <c r="AB931" s="13"/>
      <c r="AC931" s="271"/>
      <c r="AE931" s="269"/>
      <c r="AF931" s="7"/>
      <c r="AI931" s="13"/>
    </row>
    <row r="932" spans="1:35" x14ac:dyDescent="0.3">
      <c r="A932" s="10">
        <f t="shared" si="216"/>
        <v>823</v>
      </c>
      <c r="B932" s="124" t="s">
        <v>1156</v>
      </c>
      <c r="C932" s="273">
        <f t="shared" si="213"/>
        <v>153509.10999999999</v>
      </c>
      <c r="D932" s="273">
        <f t="shared" si="214"/>
        <v>0</v>
      </c>
      <c r="E932" s="273"/>
      <c r="F932" s="273"/>
      <c r="G932" s="273"/>
      <c r="H932" s="273"/>
      <c r="I932" s="273"/>
      <c r="J932" s="273"/>
      <c r="K932" s="273"/>
      <c r="L932" s="273"/>
      <c r="M932" s="273"/>
      <c r="N932" s="273"/>
      <c r="O932" s="273"/>
      <c r="P932" s="273"/>
      <c r="Q932" s="273"/>
      <c r="R932" s="273"/>
      <c r="S932" s="273"/>
      <c r="T932" s="273"/>
      <c r="U932" s="273"/>
      <c r="V932" s="273"/>
      <c r="W932" s="273">
        <f t="shared" si="215"/>
        <v>153509.10999999999</v>
      </c>
      <c r="Z932" s="13"/>
      <c r="AA932" s="271"/>
      <c r="AB932" s="13"/>
      <c r="AC932" s="271">
        <v>153509.10999999999</v>
      </c>
      <c r="AE932" s="269"/>
      <c r="AF932" s="7"/>
      <c r="AI932" s="13"/>
    </row>
    <row r="933" spans="1:35" x14ac:dyDescent="0.3">
      <c r="A933" s="10">
        <f t="shared" si="216"/>
        <v>824</v>
      </c>
      <c r="B933" s="124" t="s">
        <v>1157</v>
      </c>
      <c r="C933" s="273">
        <f t="shared" si="213"/>
        <v>209028.12</v>
      </c>
      <c r="D933" s="273">
        <f t="shared" si="214"/>
        <v>0</v>
      </c>
      <c r="E933" s="273"/>
      <c r="F933" s="273"/>
      <c r="G933" s="273"/>
      <c r="H933" s="273"/>
      <c r="I933" s="273"/>
      <c r="J933" s="273"/>
      <c r="K933" s="273"/>
      <c r="L933" s="273"/>
      <c r="M933" s="273"/>
      <c r="N933" s="273"/>
      <c r="O933" s="261"/>
      <c r="P933" s="273"/>
      <c r="Q933" s="273"/>
      <c r="R933" s="273"/>
      <c r="S933" s="273"/>
      <c r="T933" s="273"/>
      <c r="U933" s="273"/>
      <c r="V933" s="273"/>
      <c r="W933" s="273">
        <f t="shared" si="215"/>
        <v>209028.12</v>
      </c>
      <c r="Z933" s="13"/>
      <c r="AA933" s="271"/>
      <c r="AB933" s="13"/>
      <c r="AC933" s="271">
        <v>209028.12</v>
      </c>
      <c r="AE933" s="269"/>
      <c r="AF933" s="7"/>
      <c r="AI933" s="13"/>
    </row>
    <row r="934" spans="1:35" x14ac:dyDescent="0.3">
      <c r="A934" s="10">
        <f t="shared" si="216"/>
        <v>825</v>
      </c>
      <c r="B934" s="124" t="s">
        <v>1158</v>
      </c>
      <c r="C934" s="273">
        <f t="shared" si="213"/>
        <v>152815.82</v>
      </c>
      <c r="D934" s="273">
        <f t="shared" si="214"/>
        <v>0</v>
      </c>
      <c r="E934" s="273"/>
      <c r="F934" s="273"/>
      <c r="G934" s="273"/>
      <c r="H934" s="273"/>
      <c r="I934" s="273"/>
      <c r="J934" s="273"/>
      <c r="K934" s="273"/>
      <c r="L934" s="273"/>
      <c r="M934" s="273"/>
      <c r="N934" s="273"/>
      <c r="O934" s="273"/>
      <c r="P934" s="273"/>
      <c r="Q934" s="273"/>
      <c r="R934" s="273"/>
      <c r="S934" s="273"/>
      <c r="T934" s="273"/>
      <c r="U934" s="273"/>
      <c r="V934" s="273"/>
      <c r="W934" s="273">
        <f t="shared" si="215"/>
        <v>152815.82</v>
      </c>
      <c r="Z934" s="13"/>
      <c r="AA934" s="271"/>
      <c r="AB934" s="13"/>
      <c r="AC934" s="271">
        <v>152815.82</v>
      </c>
      <c r="AE934" s="269"/>
      <c r="AF934" s="7"/>
      <c r="AI934" s="13"/>
    </row>
    <row r="935" spans="1:35" x14ac:dyDescent="0.3">
      <c r="A935" s="10">
        <f t="shared" si="216"/>
        <v>826</v>
      </c>
      <c r="B935" s="124" t="s">
        <v>1159</v>
      </c>
      <c r="C935" s="273">
        <f t="shared" si="213"/>
        <v>347639.38</v>
      </c>
      <c r="D935" s="273">
        <f t="shared" si="214"/>
        <v>0</v>
      </c>
      <c r="E935" s="273"/>
      <c r="F935" s="273"/>
      <c r="G935" s="273"/>
      <c r="H935" s="273"/>
      <c r="I935" s="273"/>
      <c r="J935" s="273"/>
      <c r="K935" s="273"/>
      <c r="L935" s="273"/>
      <c r="M935" s="273"/>
      <c r="N935" s="273"/>
      <c r="O935" s="273"/>
      <c r="P935" s="273"/>
      <c r="Q935" s="273"/>
      <c r="R935" s="273"/>
      <c r="S935" s="273"/>
      <c r="T935" s="273"/>
      <c r="U935" s="273"/>
      <c r="V935" s="273"/>
      <c r="W935" s="273">
        <f t="shared" si="215"/>
        <v>347639.38</v>
      </c>
      <c r="Z935" s="13"/>
      <c r="AB935" s="13"/>
      <c r="AC935" s="271"/>
      <c r="AE935" s="269"/>
      <c r="AF935" s="7"/>
      <c r="AH935" s="271">
        <v>347639.38</v>
      </c>
      <c r="AI935" s="13"/>
    </row>
    <row r="936" spans="1:35" x14ac:dyDescent="0.3">
      <c r="A936" s="10">
        <f t="shared" si="216"/>
        <v>827</v>
      </c>
      <c r="B936" s="124" t="s">
        <v>1161</v>
      </c>
      <c r="C936" s="273">
        <f t="shared" si="213"/>
        <v>4576954.8000000007</v>
      </c>
      <c r="D936" s="273">
        <f t="shared" si="214"/>
        <v>0</v>
      </c>
      <c r="E936" s="273"/>
      <c r="F936" s="273"/>
      <c r="G936" s="273"/>
      <c r="H936" s="273"/>
      <c r="I936" s="273"/>
      <c r="J936" s="273"/>
      <c r="K936" s="273"/>
      <c r="L936" s="273"/>
      <c r="M936" s="273"/>
      <c r="N936" s="273"/>
      <c r="O936" s="273">
        <v>794</v>
      </c>
      <c r="P936" s="273">
        <v>1048647.6000000001</v>
      </c>
      <c r="Q936" s="273"/>
      <c r="R936" s="273"/>
      <c r="S936" s="273"/>
      <c r="T936" s="273"/>
      <c r="U936" s="273">
        <v>3528307.2</v>
      </c>
      <c r="V936" s="273"/>
      <c r="W936" s="273">
        <f t="shared" si="215"/>
        <v>0</v>
      </c>
      <c r="Z936" s="13"/>
      <c r="AA936" s="13"/>
      <c r="AB936" s="13"/>
      <c r="AC936" s="271"/>
      <c r="AE936" s="269"/>
      <c r="AF936" s="7"/>
      <c r="AI936" s="13"/>
    </row>
    <row r="937" spans="1:35" x14ac:dyDescent="0.3">
      <c r="A937" s="10">
        <f t="shared" si="216"/>
        <v>828</v>
      </c>
      <c r="B937" s="124" t="s">
        <v>1162</v>
      </c>
      <c r="C937" s="273">
        <f t="shared" si="213"/>
        <v>310526.41000000003</v>
      </c>
      <c r="D937" s="273">
        <f t="shared" si="214"/>
        <v>0</v>
      </c>
      <c r="E937" s="273"/>
      <c r="F937" s="273"/>
      <c r="G937" s="273"/>
      <c r="H937" s="273"/>
      <c r="I937" s="273"/>
      <c r="J937" s="273"/>
      <c r="K937" s="273"/>
      <c r="L937" s="273"/>
      <c r="M937" s="273"/>
      <c r="N937" s="273"/>
      <c r="O937" s="273">
        <v>29.2</v>
      </c>
      <c r="P937" s="273">
        <v>192387.6</v>
      </c>
      <c r="Q937" s="273"/>
      <c r="R937" s="273"/>
      <c r="S937" s="273"/>
      <c r="T937" s="273"/>
      <c r="U937" s="273"/>
      <c r="V937" s="273"/>
      <c r="W937" s="273">
        <f t="shared" si="215"/>
        <v>118138.81</v>
      </c>
      <c r="Z937" s="271"/>
      <c r="AA937" s="271"/>
      <c r="AB937" s="13"/>
      <c r="AE937" s="271"/>
      <c r="AF937" s="271">
        <v>118138.81</v>
      </c>
      <c r="AI937" s="13"/>
    </row>
    <row r="938" spans="1:35" x14ac:dyDescent="0.3">
      <c r="A938" s="10">
        <f t="shared" si="216"/>
        <v>829</v>
      </c>
      <c r="B938" s="124" t="s">
        <v>1163</v>
      </c>
      <c r="C938" s="273">
        <f t="shared" si="213"/>
        <v>279135.68</v>
      </c>
      <c r="D938" s="273">
        <f t="shared" si="214"/>
        <v>0</v>
      </c>
      <c r="E938" s="273"/>
      <c r="F938" s="273"/>
      <c r="G938" s="273"/>
      <c r="H938" s="273"/>
      <c r="I938" s="273"/>
      <c r="J938" s="273"/>
      <c r="K938" s="273"/>
      <c r="L938" s="273"/>
      <c r="M938" s="273"/>
      <c r="N938" s="273"/>
      <c r="O938" s="273"/>
      <c r="P938" s="273"/>
      <c r="Q938" s="273"/>
      <c r="R938" s="273"/>
      <c r="S938" s="273"/>
      <c r="T938" s="273"/>
      <c r="U938" s="273"/>
      <c r="V938" s="273"/>
      <c r="W938" s="273">
        <f t="shared" si="215"/>
        <v>279135.68</v>
      </c>
      <c r="Z938" s="271"/>
      <c r="AA938" s="13"/>
      <c r="AB938" s="13"/>
      <c r="AC938" s="271"/>
      <c r="AE938" s="269"/>
      <c r="AF938" s="271">
        <v>279135.68</v>
      </c>
      <c r="AI938" s="13"/>
    </row>
    <row r="939" spans="1:35" x14ac:dyDescent="0.3">
      <c r="A939" s="10">
        <f t="shared" si="216"/>
        <v>830</v>
      </c>
      <c r="B939" s="124" t="s">
        <v>1164</v>
      </c>
      <c r="C939" s="273">
        <f t="shared" si="213"/>
        <v>731555.38</v>
      </c>
      <c r="D939" s="273">
        <f t="shared" si="214"/>
        <v>490276.27</v>
      </c>
      <c r="E939" s="273">
        <v>490276.27</v>
      </c>
      <c r="F939" s="273"/>
      <c r="G939" s="273"/>
      <c r="H939" s="273"/>
      <c r="I939" s="273"/>
      <c r="J939" s="273"/>
      <c r="K939" s="273"/>
      <c r="L939" s="273"/>
      <c r="M939" s="273"/>
      <c r="N939" s="273"/>
      <c r="O939" s="273"/>
      <c r="P939" s="273"/>
      <c r="Q939" s="273"/>
      <c r="R939" s="273"/>
      <c r="S939" s="273"/>
      <c r="T939" s="273"/>
      <c r="U939" s="273"/>
      <c r="V939" s="273"/>
      <c r="W939" s="273">
        <f t="shared" si="215"/>
        <v>241279.11</v>
      </c>
      <c r="Y939" s="36">
        <v>133672.25</v>
      </c>
      <c r="Z939" s="13"/>
      <c r="AA939" s="13"/>
      <c r="AB939" s="13">
        <v>107606.86</v>
      </c>
      <c r="AC939" s="271"/>
      <c r="AE939" s="269"/>
      <c r="AF939" s="7"/>
      <c r="AI939" s="13"/>
    </row>
    <row r="940" spans="1:35" x14ac:dyDescent="0.3">
      <c r="A940" s="10">
        <f t="shared" si="216"/>
        <v>831</v>
      </c>
      <c r="B940" s="124" t="s">
        <v>1165</v>
      </c>
      <c r="C940" s="273">
        <f t="shared" si="213"/>
        <v>90091.16</v>
      </c>
      <c r="D940" s="273">
        <f t="shared" si="214"/>
        <v>0</v>
      </c>
      <c r="E940" s="273"/>
      <c r="F940" s="273"/>
      <c r="G940" s="273"/>
      <c r="H940" s="273"/>
      <c r="I940" s="273"/>
      <c r="J940" s="273"/>
      <c r="K940" s="273"/>
      <c r="L940" s="273"/>
      <c r="M940" s="273"/>
      <c r="N940" s="273"/>
      <c r="O940" s="273"/>
      <c r="P940" s="273"/>
      <c r="Q940" s="273"/>
      <c r="R940" s="273"/>
      <c r="S940" s="273"/>
      <c r="T940" s="273"/>
      <c r="U940" s="273"/>
      <c r="V940" s="273"/>
      <c r="W940" s="273">
        <f t="shared" si="215"/>
        <v>90091.16</v>
      </c>
      <c r="Z940" s="13"/>
      <c r="AA940" s="271"/>
      <c r="AB940" s="13"/>
      <c r="AC940" s="271">
        <v>90091.16</v>
      </c>
      <c r="AE940" s="269"/>
      <c r="AF940" s="7"/>
      <c r="AI940" s="13"/>
    </row>
    <row r="941" spans="1:35" x14ac:dyDescent="0.3">
      <c r="A941" s="10">
        <f t="shared" si="216"/>
        <v>832</v>
      </c>
      <c r="B941" s="124" t="s">
        <v>1166</v>
      </c>
      <c r="C941" s="273">
        <f t="shared" si="213"/>
        <v>160541.71</v>
      </c>
      <c r="D941" s="273">
        <f t="shared" si="214"/>
        <v>0</v>
      </c>
      <c r="E941" s="273"/>
      <c r="F941" s="273"/>
      <c r="G941" s="273"/>
      <c r="H941" s="273"/>
      <c r="I941" s="273"/>
      <c r="J941" s="273"/>
      <c r="K941" s="273"/>
      <c r="L941" s="273"/>
      <c r="M941" s="273"/>
      <c r="N941" s="273"/>
      <c r="O941" s="273"/>
      <c r="P941" s="273"/>
      <c r="Q941" s="273"/>
      <c r="R941" s="273"/>
      <c r="S941" s="273"/>
      <c r="T941" s="273"/>
      <c r="U941" s="273"/>
      <c r="V941" s="273"/>
      <c r="W941" s="273">
        <f t="shared" si="215"/>
        <v>160541.71</v>
      </c>
      <c r="Z941" s="271" t="s">
        <v>352</v>
      </c>
      <c r="AB941" s="13"/>
      <c r="AC941" s="271"/>
      <c r="AE941" s="271"/>
      <c r="AF941" s="271"/>
      <c r="AH941" s="271">
        <v>160541.71</v>
      </c>
      <c r="AI941" s="13"/>
    </row>
    <row r="942" spans="1:35" x14ac:dyDescent="0.3">
      <c r="A942" s="10">
        <f t="shared" si="216"/>
        <v>833</v>
      </c>
      <c r="B942" s="124" t="s">
        <v>1167</v>
      </c>
      <c r="C942" s="273">
        <f t="shared" si="213"/>
        <v>83330.09</v>
      </c>
      <c r="D942" s="273">
        <f t="shared" si="214"/>
        <v>0</v>
      </c>
      <c r="E942" s="273"/>
      <c r="F942" s="273"/>
      <c r="G942" s="273"/>
      <c r="H942" s="273"/>
      <c r="I942" s="273"/>
      <c r="J942" s="273"/>
      <c r="K942" s="273"/>
      <c r="L942" s="273"/>
      <c r="M942" s="273"/>
      <c r="N942" s="273"/>
      <c r="O942" s="273"/>
      <c r="P942" s="273"/>
      <c r="Q942" s="273"/>
      <c r="R942" s="273"/>
      <c r="S942" s="273"/>
      <c r="T942" s="273"/>
      <c r="U942" s="273"/>
      <c r="V942" s="273"/>
      <c r="W942" s="273">
        <f t="shared" si="215"/>
        <v>83330.09</v>
      </c>
      <c r="Z942" s="271"/>
      <c r="AA942" s="271"/>
      <c r="AB942" s="13"/>
      <c r="AC942" s="271">
        <v>83330.09</v>
      </c>
      <c r="AE942" s="271"/>
      <c r="AF942" s="271"/>
      <c r="AI942" s="13"/>
    </row>
    <row r="943" spans="1:35" x14ac:dyDescent="0.3">
      <c r="A943" s="10">
        <f t="shared" si="216"/>
        <v>834</v>
      </c>
      <c r="B943" s="124" t="s">
        <v>1168</v>
      </c>
      <c r="C943" s="273">
        <f t="shared" ref="C943:C974" si="217">D943+K943+L943+N943+P943+R943+U943+S943+V943+W943</f>
        <v>432342.32</v>
      </c>
      <c r="D943" s="273">
        <f t="shared" ref="D943:D974" si="218">E943+F943+G943+H943+I943</f>
        <v>0</v>
      </c>
      <c r="E943" s="273"/>
      <c r="F943" s="273"/>
      <c r="G943" s="273"/>
      <c r="H943" s="273"/>
      <c r="I943" s="273"/>
      <c r="J943" s="273"/>
      <c r="K943" s="273"/>
      <c r="L943" s="273"/>
      <c r="M943" s="273"/>
      <c r="N943" s="273"/>
      <c r="O943" s="273"/>
      <c r="P943" s="273"/>
      <c r="Q943" s="273"/>
      <c r="R943" s="273"/>
      <c r="S943" s="273"/>
      <c r="T943" s="273"/>
      <c r="U943" s="273"/>
      <c r="V943" s="273"/>
      <c r="W943" s="273">
        <f t="shared" si="215"/>
        <v>432342.32</v>
      </c>
      <c r="Z943" s="271"/>
      <c r="AA943" s="13"/>
      <c r="AB943" s="13"/>
      <c r="AC943" s="271"/>
      <c r="AE943" s="271">
        <v>432342.32</v>
      </c>
      <c r="AF943" s="271"/>
      <c r="AI943" s="13"/>
    </row>
    <row r="944" spans="1:35" x14ac:dyDescent="0.3">
      <c r="A944" s="10">
        <f t="shared" ref="A944:A975" si="219">A943+1</f>
        <v>835</v>
      </c>
      <c r="B944" s="124" t="s">
        <v>1169</v>
      </c>
      <c r="C944" s="273">
        <f t="shared" si="217"/>
        <v>474426</v>
      </c>
      <c r="D944" s="273">
        <f t="shared" si="218"/>
        <v>393267</v>
      </c>
      <c r="E944" s="273">
        <f>(2688*13)+(358323*1)</f>
        <v>393267</v>
      </c>
      <c r="F944" s="273"/>
      <c r="G944" s="273"/>
      <c r="H944" s="273"/>
      <c r="I944" s="273"/>
      <c r="J944" s="273"/>
      <c r="K944" s="273"/>
      <c r="L944" s="273"/>
      <c r="M944" s="273">
        <v>13</v>
      </c>
      <c r="N944" s="273">
        <f>6243*M944</f>
        <v>81159</v>
      </c>
      <c r="O944" s="273"/>
      <c r="P944" s="273"/>
      <c r="Q944" s="273"/>
      <c r="R944" s="273"/>
      <c r="S944" s="273"/>
      <c r="T944" s="273"/>
      <c r="U944" s="273"/>
      <c r="V944" s="273"/>
      <c r="W944" s="273">
        <f t="shared" si="215"/>
        <v>0</v>
      </c>
      <c r="Z944" s="271"/>
      <c r="AA944" s="13"/>
      <c r="AB944" s="13"/>
      <c r="AC944" s="271"/>
      <c r="AE944" s="271"/>
      <c r="AF944" s="271"/>
      <c r="AI944" s="13"/>
    </row>
    <row r="945" spans="1:36" x14ac:dyDescent="0.3">
      <c r="A945" s="10">
        <f t="shared" si="219"/>
        <v>836</v>
      </c>
      <c r="B945" s="124" t="s">
        <v>1170</v>
      </c>
      <c r="C945" s="273">
        <f t="shared" si="217"/>
        <v>343339.09</v>
      </c>
      <c r="D945" s="273">
        <f t="shared" si="218"/>
        <v>0</v>
      </c>
      <c r="E945" s="273"/>
      <c r="F945" s="273"/>
      <c r="G945" s="273"/>
      <c r="H945" s="273"/>
      <c r="I945" s="273"/>
      <c r="J945" s="273"/>
      <c r="K945" s="273"/>
      <c r="L945" s="273"/>
      <c r="M945" s="273"/>
      <c r="N945" s="273"/>
      <c r="O945" s="273"/>
      <c r="P945" s="273"/>
      <c r="Q945" s="273"/>
      <c r="R945" s="273"/>
      <c r="S945" s="273"/>
      <c r="T945" s="273"/>
      <c r="U945" s="273"/>
      <c r="V945" s="273"/>
      <c r="W945" s="273">
        <f t="shared" si="215"/>
        <v>343339.09</v>
      </c>
      <c r="Z945" s="271"/>
      <c r="AA945" s="13"/>
      <c r="AB945" s="13"/>
      <c r="AC945" s="271"/>
      <c r="AE945" s="271">
        <v>343339.09</v>
      </c>
      <c r="AF945" s="271"/>
      <c r="AI945" s="13"/>
    </row>
    <row r="946" spans="1:36" x14ac:dyDescent="0.3">
      <c r="A946" s="10">
        <f t="shared" si="219"/>
        <v>837</v>
      </c>
      <c r="B946" s="124" t="s">
        <v>1171</v>
      </c>
      <c r="C946" s="273">
        <f t="shared" si="217"/>
        <v>335165.51</v>
      </c>
      <c r="D946" s="273">
        <f t="shared" si="218"/>
        <v>0</v>
      </c>
      <c r="E946" s="273"/>
      <c r="F946" s="273"/>
      <c r="G946" s="273"/>
      <c r="H946" s="273"/>
      <c r="I946" s="273"/>
      <c r="J946" s="273"/>
      <c r="K946" s="273"/>
      <c r="L946" s="273"/>
      <c r="M946" s="273"/>
      <c r="N946" s="273"/>
      <c r="O946" s="273"/>
      <c r="P946" s="273"/>
      <c r="Q946" s="273"/>
      <c r="R946" s="273"/>
      <c r="S946" s="273"/>
      <c r="T946" s="273"/>
      <c r="U946" s="273"/>
      <c r="V946" s="273"/>
      <c r="W946" s="273">
        <f t="shared" si="215"/>
        <v>335165.51</v>
      </c>
      <c r="Z946" s="271"/>
      <c r="AA946" s="13"/>
      <c r="AB946" s="13"/>
      <c r="AC946" s="271"/>
      <c r="AE946" s="271">
        <v>335165.51</v>
      </c>
      <c r="AF946" s="271"/>
      <c r="AI946" s="13"/>
    </row>
    <row r="947" spans="1:36" x14ac:dyDescent="0.3">
      <c r="A947" s="10">
        <f t="shared" si="219"/>
        <v>838</v>
      </c>
      <c r="B947" s="124" t="s">
        <v>1172</v>
      </c>
      <c r="C947" s="273">
        <f t="shared" si="217"/>
        <v>253994.58</v>
      </c>
      <c r="D947" s="273">
        <f t="shared" si="218"/>
        <v>0</v>
      </c>
      <c r="E947" s="273"/>
      <c r="F947" s="273"/>
      <c r="G947" s="273"/>
      <c r="H947" s="273"/>
      <c r="I947" s="273"/>
      <c r="J947" s="273"/>
      <c r="K947" s="273"/>
      <c r="L947" s="273"/>
      <c r="M947" s="273"/>
      <c r="N947" s="273"/>
      <c r="O947" s="273"/>
      <c r="P947" s="273"/>
      <c r="Q947" s="273"/>
      <c r="R947" s="273"/>
      <c r="S947" s="273"/>
      <c r="T947" s="273"/>
      <c r="U947" s="273"/>
      <c r="V947" s="273"/>
      <c r="W947" s="273">
        <f t="shared" si="215"/>
        <v>253994.58</v>
      </c>
      <c r="Z947" s="271"/>
      <c r="AA947" s="13"/>
      <c r="AB947" s="13"/>
      <c r="AC947" s="271"/>
      <c r="AE947" s="271"/>
      <c r="AF947" s="271">
        <v>253994.58</v>
      </c>
      <c r="AI947" s="13"/>
      <c r="AJ947" s="13"/>
    </row>
    <row r="948" spans="1:36" x14ac:dyDescent="0.3">
      <c r="A948" s="10">
        <f t="shared" si="219"/>
        <v>839</v>
      </c>
      <c r="B948" s="124" t="s">
        <v>1173</v>
      </c>
      <c r="C948" s="273">
        <f t="shared" si="217"/>
        <v>161721.32</v>
      </c>
      <c r="D948" s="273">
        <f t="shared" si="218"/>
        <v>0</v>
      </c>
      <c r="E948" s="273"/>
      <c r="F948" s="273"/>
      <c r="G948" s="273"/>
      <c r="H948" s="273"/>
      <c r="I948" s="273"/>
      <c r="J948" s="273"/>
      <c r="K948" s="273"/>
      <c r="L948" s="273"/>
      <c r="M948" s="273"/>
      <c r="N948" s="273"/>
      <c r="O948" s="273"/>
      <c r="P948" s="273"/>
      <c r="Q948" s="273"/>
      <c r="R948" s="273"/>
      <c r="S948" s="273"/>
      <c r="T948" s="273"/>
      <c r="U948" s="273"/>
      <c r="V948" s="273"/>
      <c r="W948" s="273">
        <f t="shared" si="215"/>
        <v>161721.32</v>
      </c>
      <c r="Z948" s="271"/>
      <c r="AA948" s="13"/>
      <c r="AB948" s="13"/>
      <c r="AC948" s="271"/>
      <c r="AE948" s="271"/>
      <c r="AF948" s="271">
        <v>161721.32</v>
      </c>
      <c r="AI948" s="13"/>
      <c r="AJ948" s="13"/>
    </row>
    <row r="949" spans="1:36" x14ac:dyDescent="0.3">
      <c r="A949" s="10">
        <f t="shared" si="219"/>
        <v>840</v>
      </c>
      <c r="B949" s="124" t="s">
        <v>1174</v>
      </c>
      <c r="C949" s="273">
        <f t="shared" si="217"/>
        <v>1175681.22</v>
      </c>
      <c r="D949" s="273">
        <f t="shared" si="218"/>
        <v>1173090</v>
      </c>
      <c r="E949" s="273">
        <v>1173090</v>
      </c>
      <c r="F949" s="273"/>
      <c r="G949" s="273"/>
      <c r="H949" s="273"/>
      <c r="I949" s="273"/>
      <c r="J949" s="273"/>
      <c r="K949" s="273"/>
      <c r="L949" s="273"/>
      <c r="M949" s="273"/>
      <c r="N949" s="273"/>
      <c r="O949" s="273"/>
      <c r="P949" s="273"/>
      <c r="Q949" s="273"/>
      <c r="R949" s="273"/>
      <c r="S949" s="273"/>
      <c r="T949" s="273"/>
      <c r="U949" s="273"/>
      <c r="V949" s="273"/>
      <c r="W949" s="273">
        <f t="shared" si="215"/>
        <v>2591.2199999999998</v>
      </c>
      <c r="Z949" s="271"/>
      <c r="AA949" s="13"/>
      <c r="AB949" s="13"/>
      <c r="AC949" s="271"/>
      <c r="AE949" s="271"/>
      <c r="AF949" s="271">
        <v>2591.2199999999998</v>
      </c>
      <c r="AI949" s="13"/>
      <c r="AJ949" s="13"/>
    </row>
    <row r="950" spans="1:36" x14ac:dyDescent="0.3">
      <c r="A950" s="10">
        <f t="shared" si="219"/>
        <v>841</v>
      </c>
      <c r="B950" s="124" t="s">
        <v>1175</v>
      </c>
      <c r="C950" s="273">
        <f t="shared" si="217"/>
        <v>1041528.79</v>
      </c>
      <c r="D950" s="273">
        <f t="shared" si="218"/>
        <v>1039368</v>
      </c>
      <c r="E950" s="273">
        <v>1039368</v>
      </c>
      <c r="F950" s="273"/>
      <c r="G950" s="273"/>
      <c r="H950" s="273"/>
      <c r="I950" s="273"/>
      <c r="J950" s="273"/>
      <c r="K950" s="273"/>
      <c r="L950" s="273"/>
      <c r="M950" s="273"/>
      <c r="N950" s="273"/>
      <c r="O950" s="273"/>
      <c r="P950" s="273"/>
      <c r="Q950" s="273"/>
      <c r="R950" s="273"/>
      <c r="S950" s="273"/>
      <c r="T950" s="273"/>
      <c r="U950" s="273"/>
      <c r="V950" s="273"/>
      <c r="W950" s="273">
        <f t="shared" si="215"/>
        <v>2160.79</v>
      </c>
      <c r="Z950" s="271"/>
      <c r="AA950" s="13"/>
      <c r="AB950" s="13"/>
      <c r="AC950" s="271"/>
      <c r="AE950" s="271"/>
      <c r="AF950" s="271">
        <v>2160.79</v>
      </c>
      <c r="AI950" s="13"/>
      <c r="AJ950" s="13"/>
    </row>
    <row r="951" spans="1:36" x14ac:dyDescent="0.3">
      <c r="A951" s="10">
        <f t="shared" si="219"/>
        <v>842</v>
      </c>
      <c r="B951" s="124" t="s">
        <v>1176</v>
      </c>
      <c r="C951" s="273">
        <f t="shared" si="217"/>
        <v>243524.9</v>
      </c>
      <c r="D951" s="273">
        <f t="shared" si="218"/>
        <v>0</v>
      </c>
      <c r="E951" s="273"/>
      <c r="F951" s="273"/>
      <c r="G951" s="273"/>
      <c r="H951" s="273"/>
      <c r="I951" s="273"/>
      <c r="J951" s="273"/>
      <c r="K951" s="273"/>
      <c r="L951" s="273"/>
      <c r="M951" s="273"/>
      <c r="N951" s="273"/>
      <c r="O951" s="273"/>
      <c r="P951" s="273"/>
      <c r="Q951" s="273"/>
      <c r="R951" s="273"/>
      <c r="S951" s="273"/>
      <c r="T951" s="273"/>
      <c r="U951" s="273"/>
      <c r="V951" s="273"/>
      <c r="W951" s="273">
        <f t="shared" si="215"/>
        <v>243524.9</v>
      </c>
      <c r="Z951" s="271"/>
      <c r="AA951" s="13"/>
      <c r="AB951" s="13"/>
      <c r="AC951" s="271"/>
      <c r="AE951" s="271"/>
      <c r="AF951" s="271">
        <v>243524.9</v>
      </c>
      <c r="AI951" s="13"/>
      <c r="AJ951" s="13"/>
    </row>
    <row r="952" spans="1:36" x14ac:dyDescent="0.3">
      <c r="A952" s="10">
        <f t="shared" si="219"/>
        <v>843</v>
      </c>
      <c r="B952" s="124" t="s">
        <v>1177</v>
      </c>
      <c r="C952" s="273">
        <f t="shared" si="217"/>
        <v>336722.86</v>
      </c>
      <c r="D952" s="273">
        <f t="shared" si="218"/>
        <v>0</v>
      </c>
      <c r="E952" s="273"/>
      <c r="F952" s="273"/>
      <c r="G952" s="273"/>
      <c r="H952" s="273"/>
      <c r="I952" s="273"/>
      <c r="J952" s="273"/>
      <c r="K952" s="273"/>
      <c r="L952" s="273"/>
      <c r="M952" s="273"/>
      <c r="N952" s="273"/>
      <c r="O952" s="273"/>
      <c r="P952" s="273"/>
      <c r="Q952" s="273"/>
      <c r="R952" s="273"/>
      <c r="S952" s="273"/>
      <c r="T952" s="273"/>
      <c r="U952" s="273"/>
      <c r="V952" s="273"/>
      <c r="W952" s="273">
        <f t="shared" si="215"/>
        <v>336722.86</v>
      </c>
      <c r="Z952" s="271"/>
      <c r="AA952" s="13"/>
      <c r="AB952" s="13"/>
      <c r="AC952" s="271"/>
      <c r="AE952" s="271">
        <v>336722.86</v>
      </c>
      <c r="AF952" s="271"/>
      <c r="AI952" s="13"/>
      <c r="AJ952" s="13"/>
    </row>
    <row r="953" spans="1:36" x14ac:dyDescent="0.3">
      <c r="A953" s="10">
        <f t="shared" si="219"/>
        <v>844</v>
      </c>
      <c r="B953" s="124" t="s">
        <v>1178</v>
      </c>
      <c r="C953" s="273">
        <f t="shared" si="217"/>
        <v>346096.88</v>
      </c>
      <c r="D953" s="273">
        <f t="shared" si="218"/>
        <v>0</v>
      </c>
      <c r="E953" s="273"/>
      <c r="F953" s="273"/>
      <c r="G953" s="273"/>
      <c r="H953" s="273"/>
      <c r="I953" s="273"/>
      <c r="J953" s="273"/>
      <c r="K953" s="273"/>
      <c r="L953" s="273"/>
      <c r="M953" s="273"/>
      <c r="N953" s="273"/>
      <c r="O953" s="273"/>
      <c r="P953" s="273"/>
      <c r="Q953" s="273"/>
      <c r="R953" s="273"/>
      <c r="S953" s="273"/>
      <c r="T953" s="273"/>
      <c r="U953" s="273"/>
      <c r="V953" s="273"/>
      <c r="W953" s="273">
        <f t="shared" si="215"/>
        <v>346096.88</v>
      </c>
      <c r="Z953" s="271"/>
      <c r="AA953" s="13"/>
      <c r="AB953" s="13"/>
      <c r="AC953" s="271"/>
      <c r="AE953" s="271">
        <v>346096.88</v>
      </c>
      <c r="AF953" s="271"/>
      <c r="AI953" s="13"/>
      <c r="AJ953" s="13"/>
    </row>
    <row r="954" spans="1:36" x14ac:dyDescent="0.3">
      <c r="A954" s="10">
        <f t="shared" si="219"/>
        <v>845</v>
      </c>
      <c r="B954" s="124" t="s">
        <v>1179</v>
      </c>
      <c r="C954" s="273">
        <f t="shared" si="217"/>
        <v>236161.2</v>
      </c>
      <c r="D954" s="273">
        <f t="shared" si="218"/>
        <v>0</v>
      </c>
      <c r="E954" s="273"/>
      <c r="F954" s="273"/>
      <c r="G954" s="273"/>
      <c r="H954" s="273"/>
      <c r="I954" s="273"/>
      <c r="J954" s="273"/>
      <c r="K954" s="273"/>
      <c r="L954" s="273"/>
      <c r="M954" s="273"/>
      <c r="N954" s="273"/>
      <c r="O954" s="273"/>
      <c r="P954" s="273"/>
      <c r="Q954" s="273"/>
      <c r="R954" s="273"/>
      <c r="S954" s="273"/>
      <c r="T954" s="273"/>
      <c r="U954" s="273"/>
      <c r="V954" s="273"/>
      <c r="W954" s="273">
        <f t="shared" si="215"/>
        <v>236161.2</v>
      </c>
      <c r="Z954" s="271"/>
      <c r="AA954" s="13"/>
      <c r="AB954" s="13"/>
      <c r="AC954" s="271"/>
      <c r="AE954" s="271"/>
      <c r="AF954" s="271">
        <v>236161.2</v>
      </c>
      <c r="AI954" s="13"/>
      <c r="AJ954" s="13"/>
    </row>
    <row r="955" spans="1:36" x14ac:dyDescent="0.3">
      <c r="A955" s="10">
        <f t="shared" si="219"/>
        <v>846</v>
      </c>
      <c r="B955" s="124" t="s">
        <v>1180</v>
      </c>
      <c r="C955" s="273">
        <f t="shared" si="217"/>
        <v>405184.43</v>
      </c>
      <c r="D955" s="273">
        <f t="shared" si="218"/>
        <v>0</v>
      </c>
      <c r="E955" s="273"/>
      <c r="F955" s="273"/>
      <c r="G955" s="273"/>
      <c r="H955" s="273"/>
      <c r="I955" s="273"/>
      <c r="J955" s="273"/>
      <c r="K955" s="273"/>
      <c r="L955" s="273"/>
      <c r="M955" s="273"/>
      <c r="N955" s="273"/>
      <c r="O955" s="273"/>
      <c r="P955" s="273"/>
      <c r="Q955" s="273"/>
      <c r="R955" s="273"/>
      <c r="S955" s="273"/>
      <c r="T955" s="273"/>
      <c r="U955" s="273"/>
      <c r="V955" s="273"/>
      <c r="W955" s="273">
        <f t="shared" si="215"/>
        <v>405184.43</v>
      </c>
      <c r="Z955" s="271"/>
      <c r="AA955" s="13"/>
      <c r="AB955" s="13"/>
      <c r="AC955" s="271"/>
      <c r="AE955" s="271">
        <v>405184.43</v>
      </c>
      <c r="AF955" s="271"/>
      <c r="AI955" s="13"/>
      <c r="AJ955" s="13"/>
    </row>
    <row r="956" spans="1:36" x14ac:dyDescent="0.3">
      <c r="A956" s="10">
        <f t="shared" si="219"/>
        <v>847</v>
      </c>
      <c r="B956" s="124" t="s">
        <v>1181</v>
      </c>
      <c r="C956" s="273">
        <f t="shared" si="217"/>
        <v>180115</v>
      </c>
      <c r="D956" s="273">
        <f t="shared" si="218"/>
        <v>0</v>
      </c>
      <c r="E956" s="273"/>
      <c r="F956" s="273"/>
      <c r="G956" s="273"/>
      <c r="H956" s="273"/>
      <c r="I956" s="273"/>
      <c r="J956" s="273"/>
      <c r="K956" s="273"/>
      <c r="L956" s="273"/>
      <c r="M956" s="273"/>
      <c r="N956" s="273"/>
      <c r="O956" s="273"/>
      <c r="P956" s="273"/>
      <c r="Q956" s="273"/>
      <c r="R956" s="273"/>
      <c r="S956" s="273"/>
      <c r="T956" s="273"/>
      <c r="U956" s="273"/>
      <c r="V956" s="273"/>
      <c r="W956" s="273">
        <f t="shared" si="215"/>
        <v>180115</v>
      </c>
      <c r="X956" s="36">
        <v>90057.5</v>
      </c>
      <c r="Z956" s="271"/>
      <c r="AA956" s="271"/>
      <c r="AB956" s="13">
        <v>90057.5</v>
      </c>
      <c r="AC956" s="271"/>
      <c r="AE956" s="271"/>
      <c r="AF956" s="271"/>
      <c r="AI956" s="13"/>
      <c r="AJ956" s="13"/>
    </row>
    <row r="957" spans="1:36" x14ac:dyDescent="0.3">
      <c r="A957" s="10">
        <f t="shared" si="219"/>
        <v>848</v>
      </c>
      <c r="B957" s="124" t="s">
        <v>1182</v>
      </c>
      <c r="C957" s="273">
        <f t="shared" si="217"/>
        <v>93859.1</v>
      </c>
      <c r="D957" s="273">
        <f t="shared" si="218"/>
        <v>0</v>
      </c>
      <c r="E957" s="273"/>
      <c r="F957" s="273"/>
      <c r="G957" s="273"/>
      <c r="H957" s="273"/>
      <c r="I957" s="273"/>
      <c r="J957" s="273"/>
      <c r="K957" s="273"/>
      <c r="L957" s="273"/>
      <c r="M957" s="273"/>
      <c r="N957" s="273"/>
      <c r="O957" s="273"/>
      <c r="P957" s="273"/>
      <c r="Q957" s="273"/>
      <c r="R957" s="273"/>
      <c r="S957" s="273"/>
      <c r="T957" s="273"/>
      <c r="U957" s="273"/>
      <c r="V957" s="273"/>
      <c r="W957" s="273">
        <f t="shared" si="215"/>
        <v>93859.1</v>
      </c>
      <c r="Z957" s="271"/>
      <c r="AA957" s="271"/>
      <c r="AB957" s="13"/>
      <c r="AC957" s="271">
        <v>93859.1</v>
      </c>
      <c r="AE957" s="271"/>
      <c r="AF957" s="271"/>
      <c r="AI957" s="13"/>
      <c r="AJ957" s="13"/>
    </row>
    <row r="958" spans="1:36" x14ac:dyDescent="0.3">
      <c r="A958" s="10">
        <f t="shared" si="219"/>
        <v>849</v>
      </c>
      <c r="B958" s="124" t="s">
        <v>1183</v>
      </c>
      <c r="C958" s="273">
        <f t="shared" si="217"/>
        <v>170393.96</v>
      </c>
      <c r="D958" s="273">
        <f t="shared" si="218"/>
        <v>0</v>
      </c>
      <c r="E958" s="273"/>
      <c r="F958" s="273"/>
      <c r="G958" s="273"/>
      <c r="H958" s="273"/>
      <c r="I958" s="273"/>
      <c r="J958" s="273"/>
      <c r="K958" s="273"/>
      <c r="L958" s="273"/>
      <c r="M958" s="273"/>
      <c r="N958" s="273"/>
      <c r="O958" s="273"/>
      <c r="P958" s="273"/>
      <c r="Q958" s="273"/>
      <c r="R958" s="273"/>
      <c r="S958" s="273"/>
      <c r="T958" s="273"/>
      <c r="U958" s="273"/>
      <c r="V958" s="273"/>
      <c r="W958" s="273">
        <f t="shared" si="215"/>
        <v>170393.96</v>
      </c>
      <c r="Z958" s="271"/>
      <c r="AB958" s="13"/>
      <c r="AC958" s="271"/>
      <c r="AE958" s="271"/>
      <c r="AF958" s="271"/>
      <c r="AH958" s="271">
        <v>170393.96</v>
      </c>
      <c r="AI958" s="13"/>
      <c r="AJ958" s="13"/>
    </row>
    <row r="959" spans="1:36" x14ac:dyDescent="0.3">
      <c r="A959" s="10">
        <f t="shared" si="219"/>
        <v>850</v>
      </c>
      <c r="B959" s="124" t="s">
        <v>1184</v>
      </c>
      <c r="C959" s="273">
        <f t="shared" si="217"/>
        <v>172035.98</v>
      </c>
      <c r="D959" s="273">
        <f t="shared" si="218"/>
        <v>0</v>
      </c>
      <c r="E959" s="273"/>
      <c r="F959" s="273"/>
      <c r="G959" s="273"/>
      <c r="H959" s="273"/>
      <c r="I959" s="273"/>
      <c r="J959" s="273"/>
      <c r="K959" s="273"/>
      <c r="L959" s="273"/>
      <c r="M959" s="273"/>
      <c r="N959" s="273"/>
      <c r="O959" s="273"/>
      <c r="P959" s="273"/>
      <c r="Q959" s="273"/>
      <c r="R959" s="273"/>
      <c r="S959" s="273"/>
      <c r="T959" s="273"/>
      <c r="U959" s="273"/>
      <c r="V959" s="273"/>
      <c r="W959" s="273">
        <f t="shared" si="215"/>
        <v>172035.98</v>
      </c>
      <c r="Z959" s="271"/>
      <c r="AA959" s="271"/>
      <c r="AB959" s="13"/>
      <c r="AC959" s="271"/>
      <c r="AE959" s="271"/>
      <c r="AF959" s="271">
        <v>172035.98</v>
      </c>
      <c r="AI959" s="13"/>
      <c r="AJ959" s="13"/>
    </row>
    <row r="960" spans="1:36" x14ac:dyDescent="0.3">
      <c r="A960" s="10">
        <f t="shared" si="219"/>
        <v>851</v>
      </c>
      <c r="B960" s="124" t="s">
        <v>1185</v>
      </c>
      <c r="C960" s="273">
        <f t="shared" si="217"/>
        <v>119338.14</v>
      </c>
      <c r="D960" s="273">
        <f t="shared" si="218"/>
        <v>0</v>
      </c>
      <c r="E960" s="273"/>
      <c r="F960" s="273"/>
      <c r="G960" s="273"/>
      <c r="H960" s="273"/>
      <c r="I960" s="273"/>
      <c r="J960" s="273"/>
      <c r="K960" s="273"/>
      <c r="L960" s="273"/>
      <c r="M960" s="273"/>
      <c r="N960" s="273"/>
      <c r="O960" s="273"/>
      <c r="P960" s="273"/>
      <c r="Q960" s="273"/>
      <c r="R960" s="273"/>
      <c r="S960" s="273"/>
      <c r="T960" s="273"/>
      <c r="U960" s="273"/>
      <c r="V960" s="273"/>
      <c r="W960" s="273">
        <f t="shared" si="215"/>
        <v>119338.14</v>
      </c>
      <c r="Z960" s="271"/>
      <c r="AA960" s="271"/>
      <c r="AB960" s="13"/>
      <c r="AC960" s="271">
        <v>119338.14</v>
      </c>
      <c r="AE960" s="271"/>
      <c r="AF960" s="271"/>
      <c r="AI960" s="13"/>
      <c r="AJ960" s="13"/>
    </row>
    <row r="961" spans="1:36" x14ac:dyDescent="0.3">
      <c r="A961" s="10">
        <f t="shared" si="219"/>
        <v>852</v>
      </c>
      <c r="B961" s="124" t="s">
        <v>1186</v>
      </c>
      <c r="C961" s="273">
        <f t="shared" si="217"/>
        <v>132156.04999999999</v>
      </c>
      <c r="D961" s="273">
        <f t="shared" si="218"/>
        <v>0</v>
      </c>
      <c r="E961" s="273"/>
      <c r="F961" s="273"/>
      <c r="G961" s="273"/>
      <c r="H961" s="273"/>
      <c r="I961" s="273"/>
      <c r="J961" s="273"/>
      <c r="K961" s="273"/>
      <c r="L961" s="273"/>
      <c r="M961" s="273"/>
      <c r="N961" s="273"/>
      <c r="O961" s="273"/>
      <c r="P961" s="273"/>
      <c r="Q961" s="273"/>
      <c r="R961" s="273"/>
      <c r="S961" s="273"/>
      <c r="T961" s="273"/>
      <c r="U961" s="273"/>
      <c r="V961" s="273"/>
      <c r="W961" s="273">
        <f t="shared" si="215"/>
        <v>132156.04999999999</v>
      </c>
      <c r="Z961" s="271"/>
      <c r="AA961" s="271"/>
      <c r="AB961" s="13"/>
      <c r="AC961" s="271"/>
      <c r="AE961" s="271"/>
      <c r="AF961" s="271">
        <v>132156.04999999999</v>
      </c>
      <c r="AI961" s="13"/>
      <c r="AJ961" s="13"/>
    </row>
    <row r="962" spans="1:36" x14ac:dyDescent="0.3">
      <c r="A962" s="10">
        <f t="shared" si="219"/>
        <v>853</v>
      </c>
      <c r="B962" s="124" t="s">
        <v>1187</v>
      </c>
      <c r="C962" s="273">
        <f t="shared" si="217"/>
        <v>441483.78</v>
      </c>
      <c r="D962" s="273">
        <f t="shared" si="218"/>
        <v>0</v>
      </c>
      <c r="E962" s="273"/>
      <c r="F962" s="273"/>
      <c r="G962" s="273"/>
      <c r="H962" s="273"/>
      <c r="I962" s="273"/>
      <c r="J962" s="273"/>
      <c r="K962" s="273"/>
      <c r="L962" s="273"/>
      <c r="M962" s="273"/>
      <c r="N962" s="273"/>
      <c r="O962" s="273"/>
      <c r="P962" s="273"/>
      <c r="Q962" s="273"/>
      <c r="R962" s="273"/>
      <c r="S962" s="273"/>
      <c r="T962" s="273"/>
      <c r="U962" s="273"/>
      <c r="V962" s="273"/>
      <c r="W962" s="273">
        <f t="shared" si="215"/>
        <v>441483.78</v>
      </c>
      <c r="Z962" s="271"/>
      <c r="AA962" s="271"/>
      <c r="AB962" s="13"/>
      <c r="AC962" s="271"/>
      <c r="AE962" s="271">
        <v>441483.78</v>
      </c>
      <c r="AF962" s="271"/>
      <c r="AI962" s="13"/>
      <c r="AJ962" s="13"/>
    </row>
    <row r="963" spans="1:36" x14ac:dyDescent="0.3">
      <c r="A963" s="10">
        <f t="shared" si="219"/>
        <v>854</v>
      </c>
      <c r="B963" s="124" t="s">
        <v>1188</v>
      </c>
      <c r="C963" s="273">
        <f t="shared" si="217"/>
        <v>425594.06</v>
      </c>
      <c r="D963" s="273">
        <f t="shared" si="218"/>
        <v>0</v>
      </c>
      <c r="E963" s="273"/>
      <c r="F963" s="273"/>
      <c r="G963" s="273"/>
      <c r="H963" s="273"/>
      <c r="I963" s="273"/>
      <c r="J963" s="273"/>
      <c r="K963" s="273"/>
      <c r="L963" s="273"/>
      <c r="M963" s="273"/>
      <c r="N963" s="273"/>
      <c r="O963" s="273"/>
      <c r="P963" s="273"/>
      <c r="Q963" s="273"/>
      <c r="R963" s="273"/>
      <c r="S963" s="273"/>
      <c r="T963" s="273"/>
      <c r="U963" s="273"/>
      <c r="V963" s="273"/>
      <c r="W963" s="273">
        <f t="shared" si="215"/>
        <v>425594.06</v>
      </c>
      <c r="Z963" s="271"/>
      <c r="AA963" s="271"/>
      <c r="AB963" s="13"/>
      <c r="AC963" s="271"/>
      <c r="AE963" s="271">
        <v>425594.06</v>
      </c>
      <c r="AF963" s="271"/>
      <c r="AI963" s="13"/>
      <c r="AJ963" s="13"/>
    </row>
    <row r="964" spans="1:36" x14ac:dyDescent="0.3">
      <c r="A964" s="10">
        <f t="shared" si="219"/>
        <v>855</v>
      </c>
      <c r="B964" s="124" t="s">
        <v>1189</v>
      </c>
      <c r="C964" s="273">
        <f t="shared" si="217"/>
        <v>193159.91</v>
      </c>
      <c r="D964" s="273">
        <f t="shared" si="218"/>
        <v>0</v>
      </c>
      <c r="E964" s="273"/>
      <c r="F964" s="273"/>
      <c r="G964" s="273"/>
      <c r="H964" s="273"/>
      <c r="I964" s="273"/>
      <c r="J964" s="273"/>
      <c r="K964" s="273"/>
      <c r="L964" s="273"/>
      <c r="M964" s="273"/>
      <c r="N964" s="273"/>
      <c r="O964" s="273"/>
      <c r="P964" s="273"/>
      <c r="Q964" s="273"/>
      <c r="R964" s="273"/>
      <c r="S964" s="273"/>
      <c r="T964" s="273"/>
      <c r="U964" s="273"/>
      <c r="V964" s="273"/>
      <c r="W964" s="273">
        <f t="shared" si="215"/>
        <v>193159.91</v>
      </c>
      <c r="Z964" s="271"/>
      <c r="AA964" s="271"/>
      <c r="AB964" s="13"/>
      <c r="AC964" s="271"/>
      <c r="AE964" s="271"/>
      <c r="AF964" s="271">
        <v>193159.91</v>
      </c>
      <c r="AI964" s="13"/>
      <c r="AJ964" s="13"/>
    </row>
    <row r="965" spans="1:36" x14ac:dyDescent="0.3">
      <c r="A965" s="10">
        <f t="shared" si="219"/>
        <v>856</v>
      </c>
      <c r="B965" s="124" t="s">
        <v>1190</v>
      </c>
      <c r="C965" s="273">
        <f t="shared" si="217"/>
        <v>361013.53</v>
      </c>
      <c r="D965" s="273">
        <f t="shared" si="218"/>
        <v>0</v>
      </c>
      <c r="E965" s="273"/>
      <c r="F965" s="273"/>
      <c r="G965" s="273"/>
      <c r="H965" s="273"/>
      <c r="I965" s="273"/>
      <c r="J965" s="273"/>
      <c r="K965" s="273"/>
      <c r="L965" s="273"/>
      <c r="M965" s="273"/>
      <c r="N965" s="273"/>
      <c r="O965" s="273"/>
      <c r="P965" s="273"/>
      <c r="Q965" s="273"/>
      <c r="R965" s="273"/>
      <c r="S965" s="273"/>
      <c r="T965" s="273"/>
      <c r="U965" s="273"/>
      <c r="V965" s="273"/>
      <c r="W965" s="273">
        <f t="shared" si="215"/>
        <v>361013.53</v>
      </c>
      <c r="Z965" s="271"/>
      <c r="AA965" s="271"/>
      <c r="AB965" s="13"/>
      <c r="AC965" s="271"/>
      <c r="AE965" s="271">
        <v>361013.53</v>
      </c>
      <c r="AF965" s="271"/>
      <c r="AI965" s="13"/>
      <c r="AJ965" s="13"/>
    </row>
    <row r="966" spans="1:36" ht="19.5" customHeight="1" x14ac:dyDescent="0.3">
      <c r="A966" s="10">
        <f t="shared" si="219"/>
        <v>857</v>
      </c>
      <c r="B966" s="124" t="s">
        <v>1191</v>
      </c>
      <c r="C966" s="273">
        <f t="shared" si="217"/>
        <v>352706.47</v>
      </c>
      <c r="D966" s="273">
        <f t="shared" si="218"/>
        <v>0</v>
      </c>
      <c r="E966" s="273"/>
      <c r="F966" s="273"/>
      <c r="G966" s="273"/>
      <c r="H966" s="273"/>
      <c r="I966" s="273"/>
      <c r="J966" s="273"/>
      <c r="K966" s="273"/>
      <c r="L966" s="273"/>
      <c r="M966" s="273"/>
      <c r="N966" s="273"/>
      <c r="O966" s="273"/>
      <c r="P966" s="273"/>
      <c r="Q966" s="273"/>
      <c r="R966" s="273"/>
      <c r="S966" s="273"/>
      <c r="T966" s="273"/>
      <c r="U966" s="273"/>
      <c r="V966" s="273"/>
      <c r="W966" s="273">
        <f t="shared" si="215"/>
        <v>352706.47</v>
      </c>
      <c r="Z966" s="271"/>
      <c r="AA966" s="271"/>
      <c r="AB966" s="13"/>
      <c r="AC966" s="271"/>
      <c r="AE966" s="271">
        <v>352706.47</v>
      </c>
      <c r="AF966" s="271"/>
      <c r="AI966" s="7"/>
      <c r="AJ966" s="13"/>
    </row>
    <row r="967" spans="1:36" x14ac:dyDescent="0.3">
      <c r="A967" s="10">
        <f t="shared" si="219"/>
        <v>858</v>
      </c>
      <c r="B967" s="124" t="s">
        <v>1192</v>
      </c>
      <c r="C967" s="273">
        <f t="shared" si="217"/>
        <v>2190731.4300000002</v>
      </c>
      <c r="D967" s="273">
        <f t="shared" si="218"/>
        <v>2077631.2000000002</v>
      </c>
      <c r="E967" s="273">
        <v>420746.4</v>
      </c>
      <c r="F967" s="273">
        <v>1606054.8</v>
      </c>
      <c r="G967" s="273">
        <f>3910*13</f>
        <v>50830</v>
      </c>
      <c r="H967" s="273"/>
      <c r="I967" s="273"/>
      <c r="J967" s="273"/>
      <c r="K967" s="273"/>
      <c r="L967" s="273"/>
      <c r="M967" s="273"/>
      <c r="N967" s="273"/>
      <c r="O967" s="273"/>
      <c r="P967" s="273"/>
      <c r="Q967" s="273"/>
      <c r="R967" s="273"/>
      <c r="S967" s="273"/>
      <c r="T967" s="273"/>
      <c r="U967" s="273"/>
      <c r="V967" s="273"/>
      <c r="W967" s="273">
        <f t="shared" si="215"/>
        <v>113100.23</v>
      </c>
      <c r="X967" s="271">
        <v>113100.23</v>
      </c>
      <c r="Z967" s="271"/>
      <c r="AA967" s="271"/>
      <c r="AB967" s="13"/>
      <c r="AE967" s="271"/>
      <c r="AF967" s="271"/>
      <c r="AI967" s="13"/>
      <c r="AJ967" s="13"/>
    </row>
    <row r="968" spans="1:36" ht="20.25" customHeight="1" x14ac:dyDescent="0.3">
      <c r="A968" s="10">
        <f t="shared" si="219"/>
        <v>859</v>
      </c>
      <c r="B968" s="124" t="s">
        <v>1193</v>
      </c>
      <c r="C968" s="273">
        <f t="shared" si="217"/>
        <v>189310.28</v>
      </c>
      <c r="D968" s="273">
        <f t="shared" si="218"/>
        <v>0</v>
      </c>
      <c r="E968" s="273"/>
      <c r="F968" s="273"/>
      <c r="G968" s="273"/>
      <c r="H968" s="273"/>
      <c r="I968" s="273"/>
      <c r="J968" s="273"/>
      <c r="K968" s="273"/>
      <c r="L968" s="273"/>
      <c r="M968" s="273"/>
      <c r="N968" s="273"/>
      <c r="O968" s="273"/>
      <c r="P968" s="273"/>
      <c r="Q968" s="273"/>
      <c r="R968" s="273"/>
      <c r="S968" s="273"/>
      <c r="T968" s="273"/>
      <c r="U968" s="273"/>
      <c r="V968" s="273"/>
      <c r="W968" s="273">
        <f t="shared" si="215"/>
        <v>189310.28</v>
      </c>
      <c r="Z968" s="271"/>
      <c r="AA968" s="271"/>
      <c r="AB968" s="13"/>
      <c r="AC968" s="271">
        <v>189310.28</v>
      </c>
      <c r="AE968" s="271"/>
      <c r="AF968" s="271"/>
      <c r="AI968" s="7"/>
      <c r="AJ968" s="13"/>
    </row>
    <row r="969" spans="1:36" ht="18.75" customHeight="1" x14ac:dyDescent="0.3">
      <c r="A969" s="10">
        <f t="shared" si="219"/>
        <v>860</v>
      </c>
      <c r="B969" s="124" t="s">
        <v>1194</v>
      </c>
      <c r="C969" s="273">
        <f t="shared" si="217"/>
        <v>404198.88</v>
      </c>
      <c r="D969" s="273">
        <f t="shared" si="218"/>
        <v>0</v>
      </c>
      <c r="E969" s="273"/>
      <c r="F969" s="273"/>
      <c r="G969" s="273"/>
      <c r="H969" s="273"/>
      <c r="I969" s="273"/>
      <c r="J969" s="273"/>
      <c r="K969" s="273"/>
      <c r="L969" s="273"/>
      <c r="M969" s="273"/>
      <c r="N969" s="273"/>
      <c r="O969" s="273"/>
      <c r="P969" s="273"/>
      <c r="Q969" s="273"/>
      <c r="R969" s="273"/>
      <c r="S969" s="273"/>
      <c r="T969" s="273"/>
      <c r="U969" s="273"/>
      <c r="V969" s="273"/>
      <c r="W969" s="273">
        <f t="shared" si="215"/>
        <v>404198.88</v>
      </c>
      <c r="Z969" s="271"/>
      <c r="AA969" s="271"/>
      <c r="AB969" s="13"/>
      <c r="AC969" s="271"/>
      <c r="AE969" s="271">
        <v>404198.88</v>
      </c>
      <c r="AF969" s="271"/>
      <c r="AI969" s="7"/>
      <c r="AJ969" s="13"/>
    </row>
    <row r="970" spans="1:36" x14ac:dyDescent="0.3">
      <c r="A970" s="10">
        <f t="shared" si="219"/>
        <v>861</v>
      </c>
      <c r="B970" s="124" t="s">
        <v>1195</v>
      </c>
      <c r="C970" s="273">
        <f t="shared" si="217"/>
        <v>291710.95</v>
      </c>
      <c r="D970" s="273">
        <f t="shared" si="218"/>
        <v>0</v>
      </c>
      <c r="E970" s="273"/>
      <c r="F970" s="273"/>
      <c r="G970" s="273"/>
      <c r="H970" s="273"/>
      <c r="I970" s="273"/>
      <c r="J970" s="273"/>
      <c r="K970" s="273"/>
      <c r="L970" s="273"/>
      <c r="M970" s="273"/>
      <c r="N970" s="273"/>
      <c r="O970" s="273"/>
      <c r="P970" s="273"/>
      <c r="Q970" s="273"/>
      <c r="R970" s="273"/>
      <c r="S970" s="273"/>
      <c r="T970" s="273"/>
      <c r="U970" s="273"/>
      <c r="V970" s="273"/>
      <c r="W970" s="273">
        <f t="shared" si="215"/>
        <v>291710.95</v>
      </c>
      <c r="Z970" s="271"/>
      <c r="AA970" s="271"/>
      <c r="AB970" s="13"/>
      <c r="AC970" s="271"/>
      <c r="AE970" s="271">
        <v>291710.95</v>
      </c>
      <c r="AF970" s="271"/>
      <c r="AI970" s="13"/>
      <c r="AJ970" s="13"/>
    </row>
    <row r="971" spans="1:36" x14ac:dyDescent="0.3">
      <c r="A971" s="10">
        <f t="shared" si="219"/>
        <v>862</v>
      </c>
      <c r="B971" s="124" t="s">
        <v>1196</v>
      </c>
      <c r="C971" s="273">
        <f t="shared" si="217"/>
        <v>8074669.0300000003</v>
      </c>
      <c r="D971" s="273">
        <f t="shared" si="218"/>
        <v>7793073.1699999999</v>
      </c>
      <c r="E971" s="273">
        <v>2550331.9700000002</v>
      </c>
      <c r="F971" s="273">
        <f>5502*13</f>
        <v>71526</v>
      </c>
      <c r="G971" s="273">
        <v>1841113.2</v>
      </c>
      <c r="H971" s="273">
        <v>2388768</v>
      </c>
      <c r="I971" s="273">
        <v>941334</v>
      </c>
      <c r="J971" s="273"/>
      <c r="K971" s="273"/>
      <c r="L971" s="273"/>
      <c r="M971" s="273"/>
      <c r="N971" s="273"/>
      <c r="O971" s="273"/>
      <c r="P971" s="273"/>
      <c r="Q971" s="273"/>
      <c r="R971" s="273"/>
      <c r="S971" s="273"/>
      <c r="T971" s="273"/>
      <c r="U971" s="273"/>
      <c r="V971" s="273"/>
      <c r="W971" s="273">
        <f t="shared" si="215"/>
        <v>281595.86</v>
      </c>
      <c r="Z971" s="271"/>
      <c r="AA971" s="271"/>
      <c r="AB971" s="13"/>
      <c r="AC971" s="271"/>
      <c r="AE971" s="271"/>
      <c r="AF971" s="271">
        <v>281595.86</v>
      </c>
      <c r="AI971" s="13"/>
      <c r="AJ971" s="13"/>
    </row>
    <row r="972" spans="1:36" x14ac:dyDescent="0.3">
      <c r="A972" s="10">
        <f t="shared" si="219"/>
        <v>863</v>
      </c>
      <c r="B972" s="124" t="s">
        <v>1197</v>
      </c>
      <c r="C972" s="273">
        <f t="shared" si="217"/>
        <v>2186709.0300000003</v>
      </c>
      <c r="D972" s="273">
        <f t="shared" si="218"/>
        <v>2073608.8</v>
      </c>
      <c r="E972" s="273">
        <v>416724</v>
      </c>
      <c r="F972" s="273">
        <v>1606054.8</v>
      </c>
      <c r="G972" s="273">
        <f>3910*13</f>
        <v>50830</v>
      </c>
      <c r="H972" s="273"/>
      <c r="I972" s="273"/>
      <c r="J972" s="273"/>
      <c r="K972" s="273"/>
      <c r="L972" s="273"/>
      <c r="M972" s="273"/>
      <c r="N972" s="273"/>
      <c r="O972" s="273"/>
      <c r="P972" s="273"/>
      <c r="Q972" s="273"/>
      <c r="R972" s="273"/>
      <c r="S972" s="273"/>
      <c r="T972" s="273"/>
      <c r="U972" s="273"/>
      <c r="V972" s="273"/>
      <c r="W972" s="273">
        <f t="shared" si="215"/>
        <v>113100.23</v>
      </c>
      <c r="Z972" s="271"/>
      <c r="AA972" s="271"/>
      <c r="AB972" s="13"/>
      <c r="AC972" s="271">
        <v>113100.23</v>
      </c>
      <c r="AE972" s="271"/>
      <c r="AF972" s="271"/>
      <c r="AI972" s="13"/>
      <c r="AJ972" s="13"/>
    </row>
    <row r="973" spans="1:36" x14ac:dyDescent="0.3">
      <c r="A973" s="10">
        <f t="shared" si="219"/>
        <v>864</v>
      </c>
      <c r="B973" s="124" t="s">
        <v>1199</v>
      </c>
      <c r="C973" s="273">
        <f t="shared" si="217"/>
        <v>192090.11</v>
      </c>
      <c r="D973" s="273">
        <f t="shared" si="218"/>
        <v>0</v>
      </c>
      <c r="E973" s="273"/>
      <c r="F973" s="273"/>
      <c r="G973" s="273"/>
      <c r="H973" s="273"/>
      <c r="I973" s="273"/>
      <c r="J973" s="273"/>
      <c r="K973" s="273"/>
      <c r="L973" s="273"/>
      <c r="M973" s="273"/>
      <c r="N973" s="273"/>
      <c r="O973" s="273"/>
      <c r="P973" s="273"/>
      <c r="Q973" s="273"/>
      <c r="R973" s="273"/>
      <c r="S973" s="273"/>
      <c r="T973" s="273"/>
      <c r="U973" s="273"/>
      <c r="V973" s="273"/>
      <c r="W973" s="273">
        <f t="shared" si="215"/>
        <v>192090.11</v>
      </c>
      <c r="Z973" s="271"/>
      <c r="AA973" s="271"/>
      <c r="AB973" s="13"/>
      <c r="AC973" s="271">
        <v>192090.11</v>
      </c>
      <c r="AE973" s="271"/>
      <c r="AF973" s="271"/>
      <c r="AI973" s="13"/>
      <c r="AJ973" s="13"/>
    </row>
    <row r="974" spans="1:36" x14ac:dyDescent="0.3">
      <c r="A974" s="10">
        <f t="shared" si="219"/>
        <v>865</v>
      </c>
      <c r="B974" s="124" t="s">
        <v>1200</v>
      </c>
      <c r="C974" s="273">
        <f t="shared" si="217"/>
        <v>114651.35</v>
      </c>
      <c r="D974" s="273">
        <f t="shared" si="218"/>
        <v>0</v>
      </c>
      <c r="E974" s="273"/>
      <c r="F974" s="273"/>
      <c r="G974" s="273"/>
      <c r="H974" s="273"/>
      <c r="I974" s="273"/>
      <c r="J974" s="273"/>
      <c r="K974" s="273"/>
      <c r="L974" s="273"/>
      <c r="M974" s="273"/>
      <c r="N974" s="273"/>
      <c r="O974" s="273"/>
      <c r="P974" s="273"/>
      <c r="Q974" s="273"/>
      <c r="R974" s="273"/>
      <c r="S974" s="273"/>
      <c r="T974" s="273"/>
      <c r="U974" s="273"/>
      <c r="V974" s="273"/>
      <c r="W974" s="273">
        <f t="shared" si="215"/>
        <v>114651.35</v>
      </c>
      <c r="Z974" s="271"/>
      <c r="AA974" s="271"/>
      <c r="AB974" s="13"/>
      <c r="AC974" s="271"/>
      <c r="AE974" s="271">
        <v>114651.35</v>
      </c>
      <c r="AF974" s="271"/>
      <c r="AI974" s="13"/>
      <c r="AJ974" s="13"/>
    </row>
    <row r="975" spans="1:36" x14ac:dyDescent="0.3">
      <c r="A975" s="10">
        <f t="shared" si="219"/>
        <v>866</v>
      </c>
      <c r="B975" s="124" t="s">
        <v>1201</v>
      </c>
      <c r="C975" s="273">
        <f t="shared" ref="C975:C1006" si="220">D975+K975+L975+N975+P975+R975+U975+S975+V975+W975</f>
        <v>122294.7</v>
      </c>
      <c r="D975" s="273">
        <f t="shared" ref="D975:D1006" si="221">E975+F975+G975+H975+I975</f>
        <v>0</v>
      </c>
      <c r="E975" s="273"/>
      <c r="F975" s="273"/>
      <c r="G975" s="273"/>
      <c r="H975" s="273"/>
      <c r="I975" s="273"/>
      <c r="J975" s="273"/>
      <c r="K975" s="273"/>
      <c r="L975" s="273"/>
      <c r="M975" s="273"/>
      <c r="N975" s="273"/>
      <c r="O975" s="273"/>
      <c r="P975" s="273"/>
      <c r="Q975" s="273"/>
      <c r="R975" s="273"/>
      <c r="S975" s="273"/>
      <c r="T975" s="273"/>
      <c r="U975" s="273"/>
      <c r="V975" s="273"/>
      <c r="W975" s="273">
        <f t="shared" si="215"/>
        <v>122294.7</v>
      </c>
      <c r="Z975" s="271"/>
      <c r="AA975" s="271"/>
      <c r="AB975" s="13"/>
      <c r="AC975" s="271">
        <v>122294.7</v>
      </c>
      <c r="AE975" s="271"/>
      <c r="AF975" s="271"/>
      <c r="AI975" s="13"/>
      <c r="AJ975" s="13"/>
    </row>
    <row r="976" spans="1:36" x14ac:dyDescent="0.3">
      <c r="A976" s="10">
        <f t="shared" ref="A976:A1007" si="222">A975+1</f>
        <v>867</v>
      </c>
      <c r="B976" s="124" t="s">
        <v>1202</v>
      </c>
      <c r="C976" s="273">
        <f t="shared" si="220"/>
        <v>358220.7</v>
      </c>
      <c r="D976" s="273">
        <f t="shared" si="221"/>
        <v>0</v>
      </c>
      <c r="E976" s="273"/>
      <c r="F976" s="273"/>
      <c r="G976" s="273"/>
      <c r="H976" s="273"/>
      <c r="I976" s="273"/>
      <c r="J976" s="273"/>
      <c r="K976" s="273"/>
      <c r="L976" s="273"/>
      <c r="M976" s="273">
        <v>13</v>
      </c>
      <c r="N976" s="273">
        <f>8094*M976</f>
        <v>105222</v>
      </c>
      <c r="O976" s="273"/>
      <c r="P976" s="273"/>
      <c r="Q976" s="273"/>
      <c r="R976" s="273"/>
      <c r="S976" s="273"/>
      <c r="T976" s="273"/>
      <c r="U976" s="273"/>
      <c r="V976" s="273"/>
      <c r="W976" s="273">
        <f t="shared" ref="W976:W1039" si="223">SUM(X976:AH976)</f>
        <v>252998.7</v>
      </c>
      <c r="Z976" s="271"/>
      <c r="AA976" s="271"/>
      <c r="AB976" s="13"/>
      <c r="AC976" s="271"/>
      <c r="AE976" s="271">
        <v>252998.7</v>
      </c>
      <c r="AF976" s="271"/>
      <c r="AI976" s="13"/>
      <c r="AJ976" s="13"/>
    </row>
    <row r="977" spans="1:36" x14ac:dyDescent="0.3">
      <c r="A977" s="10">
        <f t="shared" si="222"/>
        <v>868</v>
      </c>
      <c r="B977" s="124" t="s">
        <v>1203</v>
      </c>
      <c r="C977" s="273">
        <f t="shared" si="220"/>
        <v>255307.74</v>
      </c>
      <c r="D977" s="273">
        <f t="shared" si="221"/>
        <v>0</v>
      </c>
      <c r="E977" s="273"/>
      <c r="F977" s="273"/>
      <c r="G977" s="273"/>
      <c r="H977" s="273"/>
      <c r="I977" s="273"/>
      <c r="J977" s="273"/>
      <c r="K977" s="273"/>
      <c r="L977" s="273"/>
      <c r="M977" s="273"/>
      <c r="N977" s="273"/>
      <c r="O977" s="273"/>
      <c r="P977" s="273"/>
      <c r="Q977" s="273"/>
      <c r="R977" s="273"/>
      <c r="S977" s="273"/>
      <c r="T977" s="273"/>
      <c r="U977" s="273"/>
      <c r="V977" s="273"/>
      <c r="W977" s="273">
        <f t="shared" si="223"/>
        <v>255307.74</v>
      </c>
      <c r="Z977" s="271"/>
      <c r="AA977" s="271"/>
      <c r="AB977" s="13"/>
      <c r="AC977" s="271"/>
      <c r="AE977" s="271">
        <v>255307.74</v>
      </c>
      <c r="AF977" s="271"/>
      <c r="AI977" s="13"/>
      <c r="AJ977" s="13"/>
    </row>
    <row r="978" spans="1:36" x14ac:dyDescent="0.3">
      <c r="A978" s="10">
        <f t="shared" si="222"/>
        <v>869</v>
      </c>
      <c r="B978" s="124" t="s">
        <v>1204</v>
      </c>
      <c r="C978" s="273">
        <f t="shared" si="220"/>
        <v>105222</v>
      </c>
      <c r="D978" s="273">
        <f t="shared" si="221"/>
        <v>0</v>
      </c>
      <c r="E978" s="273"/>
      <c r="F978" s="273"/>
      <c r="G978" s="273"/>
      <c r="H978" s="273"/>
      <c r="I978" s="273"/>
      <c r="J978" s="273"/>
      <c r="K978" s="273"/>
      <c r="L978" s="273"/>
      <c r="M978" s="273">
        <v>13</v>
      </c>
      <c r="N978" s="273">
        <f>8094*M978</f>
        <v>105222</v>
      </c>
      <c r="O978" s="261"/>
      <c r="P978" s="273"/>
      <c r="Q978" s="273"/>
      <c r="R978" s="273"/>
      <c r="S978" s="273"/>
      <c r="T978" s="273"/>
      <c r="U978" s="273"/>
      <c r="V978" s="273"/>
      <c r="W978" s="273">
        <f t="shared" si="223"/>
        <v>0</v>
      </c>
      <c r="Z978" s="271"/>
      <c r="AA978" s="271"/>
      <c r="AB978" s="13"/>
      <c r="AC978" s="271"/>
      <c r="AE978" s="271"/>
      <c r="AF978" s="271"/>
      <c r="AI978" s="13"/>
      <c r="AJ978" s="13"/>
    </row>
    <row r="979" spans="1:36" x14ac:dyDescent="0.3">
      <c r="A979" s="10">
        <f t="shared" si="222"/>
        <v>870</v>
      </c>
      <c r="B979" s="124" t="s">
        <v>1205</v>
      </c>
      <c r="C979" s="273">
        <f t="shared" si="220"/>
        <v>311320.37</v>
      </c>
      <c r="D979" s="273">
        <f t="shared" si="221"/>
        <v>0</v>
      </c>
      <c r="E979" s="273"/>
      <c r="F979" s="273"/>
      <c r="G979" s="273"/>
      <c r="H979" s="273"/>
      <c r="I979" s="273"/>
      <c r="J979" s="273"/>
      <c r="K979" s="273"/>
      <c r="L979" s="273"/>
      <c r="M979" s="273"/>
      <c r="N979" s="273"/>
      <c r="O979" s="273"/>
      <c r="P979" s="273"/>
      <c r="Q979" s="273"/>
      <c r="R979" s="273"/>
      <c r="S979" s="273"/>
      <c r="T979" s="273"/>
      <c r="U979" s="273"/>
      <c r="V979" s="273"/>
      <c r="W979" s="273">
        <f t="shared" si="223"/>
        <v>311320.37</v>
      </c>
      <c r="Z979" s="271"/>
      <c r="AA979" s="271"/>
      <c r="AB979" s="13"/>
      <c r="AC979" s="271"/>
      <c r="AE979" s="271">
        <v>311320.37</v>
      </c>
      <c r="AF979" s="271"/>
      <c r="AI979" s="13"/>
      <c r="AJ979" s="13"/>
    </row>
    <row r="980" spans="1:36" x14ac:dyDescent="0.3">
      <c r="A980" s="10">
        <f t="shared" si="222"/>
        <v>871</v>
      </c>
      <c r="B980" s="124" t="s">
        <v>1206</v>
      </c>
      <c r="C980" s="273">
        <f t="shared" si="220"/>
        <v>255147.42</v>
      </c>
      <c r="D980" s="273">
        <f t="shared" si="221"/>
        <v>0</v>
      </c>
      <c r="E980" s="273"/>
      <c r="F980" s="273"/>
      <c r="G980" s="273"/>
      <c r="H980" s="273"/>
      <c r="I980" s="273"/>
      <c r="J980" s="273"/>
      <c r="K980" s="273"/>
      <c r="L980" s="273"/>
      <c r="M980" s="273"/>
      <c r="N980" s="273"/>
      <c r="O980" s="273"/>
      <c r="P980" s="273"/>
      <c r="Q980" s="273"/>
      <c r="R980" s="273"/>
      <c r="S980" s="273"/>
      <c r="T980" s="273"/>
      <c r="U980" s="273"/>
      <c r="V980" s="273"/>
      <c r="W980" s="273">
        <f t="shared" si="223"/>
        <v>255147.42</v>
      </c>
      <c r="Z980" s="271"/>
      <c r="AA980" s="271"/>
      <c r="AB980" s="13"/>
      <c r="AC980" s="271"/>
      <c r="AE980" s="271">
        <v>255147.42</v>
      </c>
      <c r="AF980" s="271"/>
      <c r="AI980" s="13"/>
      <c r="AJ980" s="13"/>
    </row>
    <row r="981" spans="1:36" x14ac:dyDescent="0.3">
      <c r="A981" s="10">
        <f t="shared" si="222"/>
        <v>872</v>
      </c>
      <c r="B981" s="124" t="s">
        <v>1207</v>
      </c>
      <c r="C981" s="273">
        <f t="shared" si="220"/>
        <v>253789.04</v>
      </c>
      <c r="D981" s="273">
        <f t="shared" si="221"/>
        <v>0</v>
      </c>
      <c r="E981" s="273"/>
      <c r="F981" s="273"/>
      <c r="G981" s="273"/>
      <c r="H981" s="273"/>
      <c r="I981" s="273"/>
      <c r="J981" s="273"/>
      <c r="K981" s="273"/>
      <c r="L981" s="273"/>
      <c r="M981" s="273"/>
      <c r="N981" s="273"/>
      <c r="O981" s="273"/>
      <c r="P981" s="273"/>
      <c r="Q981" s="273"/>
      <c r="R981" s="273"/>
      <c r="S981" s="273"/>
      <c r="T981" s="273"/>
      <c r="U981" s="273"/>
      <c r="V981" s="273"/>
      <c r="W981" s="273">
        <f t="shared" si="223"/>
        <v>253789.04</v>
      </c>
      <c r="Z981" s="271"/>
      <c r="AA981" s="271"/>
      <c r="AB981" s="13"/>
      <c r="AC981" s="271"/>
      <c r="AE981" s="271">
        <v>253789.04</v>
      </c>
      <c r="AF981" s="271"/>
      <c r="AI981" s="13"/>
      <c r="AJ981" s="13"/>
    </row>
    <row r="982" spans="1:36" x14ac:dyDescent="0.3">
      <c r="A982" s="10">
        <f t="shared" si="222"/>
        <v>873</v>
      </c>
      <c r="B982" s="124" t="s">
        <v>1208</v>
      </c>
      <c r="C982" s="273">
        <f t="shared" si="220"/>
        <v>254702.84</v>
      </c>
      <c r="D982" s="273">
        <f t="shared" si="221"/>
        <v>0</v>
      </c>
      <c r="E982" s="273"/>
      <c r="F982" s="273"/>
      <c r="G982" s="273"/>
      <c r="H982" s="273"/>
      <c r="I982" s="273"/>
      <c r="J982" s="273"/>
      <c r="K982" s="273"/>
      <c r="L982" s="273"/>
      <c r="M982" s="273"/>
      <c r="N982" s="273"/>
      <c r="O982" s="273"/>
      <c r="P982" s="273"/>
      <c r="Q982" s="273"/>
      <c r="R982" s="273"/>
      <c r="S982" s="273"/>
      <c r="T982" s="273"/>
      <c r="U982" s="273"/>
      <c r="V982" s="273"/>
      <c r="W982" s="273">
        <f t="shared" si="223"/>
        <v>254702.84</v>
      </c>
      <c r="Z982" s="271"/>
      <c r="AA982" s="271"/>
      <c r="AB982" s="13"/>
      <c r="AC982" s="271"/>
      <c r="AE982" s="271">
        <v>254702.84</v>
      </c>
      <c r="AF982" s="271"/>
      <c r="AI982" s="13"/>
      <c r="AJ982" s="13"/>
    </row>
    <row r="983" spans="1:36" x14ac:dyDescent="0.3">
      <c r="A983" s="10">
        <f t="shared" si="222"/>
        <v>874</v>
      </c>
      <c r="B983" s="124" t="s">
        <v>1209</v>
      </c>
      <c r="C983" s="273">
        <f t="shared" si="220"/>
        <v>18127751.399999999</v>
      </c>
      <c r="D983" s="273">
        <f t="shared" si="221"/>
        <v>0</v>
      </c>
      <c r="E983" s="273"/>
      <c r="F983" s="273"/>
      <c r="G983" s="273"/>
      <c r="H983" s="273"/>
      <c r="I983" s="273"/>
      <c r="J983" s="273"/>
      <c r="K983" s="273"/>
      <c r="L983" s="273"/>
      <c r="M983" s="273"/>
      <c r="N983" s="273"/>
      <c r="O983" s="273">
        <v>685.8</v>
      </c>
      <c r="P983" s="273">
        <f>26433*O983</f>
        <v>18127751.399999999</v>
      </c>
      <c r="Q983" s="273"/>
      <c r="R983" s="273"/>
      <c r="S983" s="273"/>
      <c r="T983" s="273"/>
      <c r="U983" s="273"/>
      <c r="V983" s="273"/>
      <c r="W983" s="273">
        <f t="shared" si="223"/>
        <v>0</v>
      </c>
      <c r="Z983" s="271"/>
      <c r="AA983" s="271"/>
      <c r="AB983" s="13"/>
      <c r="AC983" s="271"/>
      <c r="AE983" s="271"/>
      <c r="AF983" s="271"/>
      <c r="AI983" s="13"/>
      <c r="AJ983" s="13"/>
    </row>
    <row r="984" spans="1:36" x14ac:dyDescent="0.3">
      <c r="A984" s="10">
        <f t="shared" si="222"/>
        <v>875</v>
      </c>
      <c r="B984" s="124" t="s">
        <v>1210</v>
      </c>
      <c r="C984" s="273">
        <f t="shared" si="220"/>
        <v>238879.61</v>
      </c>
      <c r="D984" s="273">
        <f t="shared" si="221"/>
        <v>0</v>
      </c>
      <c r="E984" s="273"/>
      <c r="F984" s="273"/>
      <c r="G984" s="273"/>
      <c r="H984" s="273"/>
      <c r="I984" s="273"/>
      <c r="J984" s="273"/>
      <c r="K984" s="273"/>
      <c r="L984" s="273"/>
      <c r="M984" s="273"/>
      <c r="N984" s="273"/>
      <c r="O984" s="273"/>
      <c r="P984" s="273"/>
      <c r="Q984" s="273"/>
      <c r="R984" s="273"/>
      <c r="S984" s="273"/>
      <c r="T984" s="273"/>
      <c r="U984" s="273"/>
      <c r="V984" s="273"/>
      <c r="W984" s="273">
        <f t="shared" si="223"/>
        <v>238879.61</v>
      </c>
      <c r="Z984" s="271"/>
      <c r="AA984" s="271"/>
      <c r="AB984" s="13"/>
      <c r="AC984" s="271"/>
      <c r="AE984" s="271">
        <v>238879.61</v>
      </c>
      <c r="AF984" s="271"/>
      <c r="AI984" s="13"/>
      <c r="AJ984" s="13"/>
    </row>
    <row r="985" spans="1:36" x14ac:dyDescent="0.3">
      <c r="A985" s="10">
        <f t="shared" si="222"/>
        <v>876</v>
      </c>
      <c r="B985" s="124" t="s">
        <v>1211</v>
      </c>
      <c r="C985" s="273">
        <f t="shared" si="220"/>
        <v>236215.81</v>
      </c>
      <c r="D985" s="273">
        <f t="shared" si="221"/>
        <v>0</v>
      </c>
      <c r="E985" s="273"/>
      <c r="F985" s="273"/>
      <c r="G985" s="273"/>
      <c r="H985" s="273"/>
      <c r="I985" s="273"/>
      <c r="J985" s="273"/>
      <c r="K985" s="273"/>
      <c r="L985" s="273"/>
      <c r="M985" s="273"/>
      <c r="N985" s="273"/>
      <c r="O985" s="273"/>
      <c r="P985" s="273"/>
      <c r="Q985" s="273"/>
      <c r="R985" s="273"/>
      <c r="S985" s="273"/>
      <c r="T985" s="273"/>
      <c r="U985" s="273"/>
      <c r="V985" s="273"/>
      <c r="W985" s="273">
        <f t="shared" si="223"/>
        <v>236215.81</v>
      </c>
      <c r="Z985" s="271"/>
      <c r="AA985" s="271"/>
      <c r="AB985" s="13"/>
      <c r="AC985" s="271">
        <v>236215.81</v>
      </c>
      <c r="AE985" s="271"/>
      <c r="AF985" s="271"/>
      <c r="AI985" s="13"/>
      <c r="AJ985" s="13"/>
    </row>
    <row r="986" spans="1:36" x14ac:dyDescent="0.3">
      <c r="A986" s="10">
        <f t="shared" si="222"/>
        <v>877</v>
      </c>
      <c r="B986" s="124" t="s">
        <v>1212</v>
      </c>
      <c r="C986" s="273">
        <f t="shared" si="220"/>
        <v>494935.43000000005</v>
      </c>
      <c r="D986" s="273">
        <f t="shared" si="221"/>
        <v>0</v>
      </c>
      <c r="E986" s="273"/>
      <c r="F986" s="273"/>
      <c r="G986" s="273"/>
      <c r="H986" s="273"/>
      <c r="I986" s="273"/>
      <c r="J986" s="273"/>
      <c r="K986" s="273"/>
      <c r="L986" s="273"/>
      <c r="M986" s="273"/>
      <c r="N986" s="273"/>
      <c r="O986" s="273"/>
      <c r="P986" s="273"/>
      <c r="Q986" s="273"/>
      <c r="R986" s="273"/>
      <c r="S986" s="273"/>
      <c r="T986" s="273"/>
      <c r="U986" s="273"/>
      <c r="V986" s="273"/>
      <c r="W986" s="273">
        <f t="shared" si="223"/>
        <v>494935.43000000005</v>
      </c>
      <c r="Z986" s="271"/>
      <c r="AA986" s="271"/>
      <c r="AB986" s="13"/>
      <c r="AC986" s="271">
        <f>152175.23+149744.6+193015.6</f>
        <v>494935.43000000005</v>
      </c>
      <c r="AE986" s="271"/>
      <c r="AF986" s="271"/>
      <c r="AI986" s="13"/>
      <c r="AJ986" s="13"/>
    </row>
    <row r="987" spans="1:36" x14ac:dyDescent="0.3">
      <c r="A987" s="10">
        <f t="shared" si="222"/>
        <v>878</v>
      </c>
      <c r="B987" s="124" t="s">
        <v>1213</v>
      </c>
      <c r="C987" s="273">
        <f t="shared" si="220"/>
        <v>458180.36</v>
      </c>
      <c r="D987" s="273">
        <f t="shared" si="221"/>
        <v>0</v>
      </c>
      <c r="E987" s="273"/>
      <c r="F987" s="273"/>
      <c r="G987" s="273"/>
      <c r="H987" s="273"/>
      <c r="I987" s="273"/>
      <c r="J987" s="273"/>
      <c r="K987" s="273"/>
      <c r="L987" s="273"/>
      <c r="M987" s="273"/>
      <c r="N987" s="273"/>
      <c r="O987" s="273"/>
      <c r="P987" s="273"/>
      <c r="Q987" s="273"/>
      <c r="R987" s="273"/>
      <c r="S987" s="273"/>
      <c r="T987" s="273"/>
      <c r="U987" s="273"/>
      <c r="V987" s="273"/>
      <c r="W987" s="273">
        <f t="shared" si="223"/>
        <v>458180.36</v>
      </c>
      <c r="Z987" s="271"/>
      <c r="AA987" s="271"/>
      <c r="AB987" s="13"/>
      <c r="AC987" s="271">
        <f>142147.58+137963.72+178069.06</f>
        <v>458180.36</v>
      </c>
      <c r="AE987" s="271"/>
      <c r="AF987" s="271"/>
      <c r="AI987" s="13"/>
      <c r="AJ987" s="13"/>
    </row>
    <row r="988" spans="1:36" x14ac:dyDescent="0.3">
      <c r="A988" s="10">
        <f t="shared" si="222"/>
        <v>879</v>
      </c>
      <c r="B988" s="124" t="s">
        <v>1214</v>
      </c>
      <c r="C988" s="273">
        <f t="shared" si="220"/>
        <v>526394.02</v>
      </c>
      <c r="D988" s="273">
        <f t="shared" si="221"/>
        <v>0</v>
      </c>
      <c r="E988" s="273"/>
      <c r="F988" s="273"/>
      <c r="G988" s="273"/>
      <c r="H988" s="273"/>
      <c r="I988" s="273"/>
      <c r="J988" s="273"/>
      <c r="K988" s="273"/>
      <c r="L988" s="273"/>
      <c r="M988" s="273"/>
      <c r="N988" s="273"/>
      <c r="O988" s="273"/>
      <c r="P988" s="273"/>
      <c r="Q988" s="273"/>
      <c r="R988" s="273"/>
      <c r="S988" s="273"/>
      <c r="T988" s="273"/>
      <c r="U988" s="273"/>
      <c r="V988" s="273"/>
      <c r="W988" s="273">
        <f t="shared" si="223"/>
        <v>526394.02</v>
      </c>
      <c r="Z988" s="271"/>
      <c r="AA988" s="271"/>
      <c r="AB988" s="13"/>
      <c r="AC988" s="271">
        <f>162938.51+159664.78+203790.73</f>
        <v>526394.02</v>
      </c>
      <c r="AE988" s="271"/>
      <c r="AF988" s="271"/>
      <c r="AI988" s="13"/>
      <c r="AJ988" s="13"/>
    </row>
    <row r="989" spans="1:36" x14ac:dyDescent="0.3">
      <c r="A989" s="10">
        <f t="shared" si="222"/>
        <v>880</v>
      </c>
      <c r="B989" s="124" t="s">
        <v>1215</v>
      </c>
      <c r="C989" s="273">
        <f t="shared" si="220"/>
        <v>264324.52</v>
      </c>
      <c r="D989" s="273">
        <f t="shared" si="221"/>
        <v>0</v>
      </c>
      <c r="E989" s="273"/>
      <c r="F989" s="273"/>
      <c r="G989" s="273"/>
      <c r="H989" s="273"/>
      <c r="I989" s="273"/>
      <c r="J989" s="273"/>
      <c r="K989" s="273"/>
      <c r="L989" s="273"/>
      <c r="M989" s="273"/>
      <c r="N989" s="273"/>
      <c r="O989" s="273"/>
      <c r="P989" s="273"/>
      <c r="Q989" s="273"/>
      <c r="R989" s="273"/>
      <c r="S989" s="273"/>
      <c r="T989" s="273"/>
      <c r="U989" s="273"/>
      <c r="V989" s="273"/>
      <c r="W989" s="273">
        <f t="shared" si="223"/>
        <v>264324.52</v>
      </c>
      <c r="Z989" s="271"/>
      <c r="AA989" s="271"/>
      <c r="AB989" s="13"/>
      <c r="AC989" s="271"/>
      <c r="AE989" s="271"/>
      <c r="AF989" s="271">
        <v>264324.52</v>
      </c>
      <c r="AI989" s="13"/>
      <c r="AJ989" s="13"/>
    </row>
    <row r="990" spans="1:36" x14ac:dyDescent="0.3">
      <c r="A990" s="10">
        <f t="shared" si="222"/>
        <v>881</v>
      </c>
      <c r="B990" s="124" t="s">
        <v>1216</v>
      </c>
      <c r="C990" s="273">
        <f t="shared" si="220"/>
        <v>592329.49</v>
      </c>
      <c r="D990" s="273">
        <f t="shared" si="221"/>
        <v>0</v>
      </c>
      <c r="E990" s="273"/>
      <c r="F990" s="273"/>
      <c r="G990" s="273"/>
      <c r="H990" s="273"/>
      <c r="I990" s="273"/>
      <c r="J990" s="273"/>
      <c r="K990" s="273"/>
      <c r="L990" s="273"/>
      <c r="M990" s="273"/>
      <c r="N990" s="273"/>
      <c r="O990" s="273"/>
      <c r="P990" s="273"/>
      <c r="Q990" s="273"/>
      <c r="R990" s="273"/>
      <c r="S990" s="273"/>
      <c r="T990" s="273"/>
      <c r="U990" s="273"/>
      <c r="V990" s="273"/>
      <c r="W990" s="273">
        <f t="shared" si="223"/>
        <v>592329.49</v>
      </c>
      <c r="Z990" s="271"/>
      <c r="AA990" s="271"/>
      <c r="AB990" s="13"/>
      <c r="AC990" s="271">
        <f>140874.94+136787.57+176746.72</f>
        <v>454409.23</v>
      </c>
      <c r="AE990" s="271"/>
      <c r="AF990" s="271">
        <v>137920.26</v>
      </c>
      <c r="AI990" s="13"/>
      <c r="AJ990" s="13"/>
    </row>
    <row r="991" spans="1:36" x14ac:dyDescent="0.3">
      <c r="A991" s="10">
        <f t="shared" si="222"/>
        <v>882</v>
      </c>
      <c r="B991" s="124" t="s">
        <v>1217</v>
      </c>
      <c r="C991" s="273">
        <f t="shared" si="220"/>
        <v>397179.16</v>
      </c>
      <c r="D991" s="273">
        <f t="shared" si="221"/>
        <v>0</v>
      </c>
      <c r="E991" s="273"/>
      <c r="F991" s="273"/>
      <c r="G991" s="273"/>
      <c r="H991" s="273"/>
      <c r="I991" s="273"/>
      <c r="J991" s="273"/>
      <c r="K991" s="273"/>
      <c r="L991" s="273"/>
      <c r="M991" s="273">
        <v>13</v>
      </c>
      <c r="N991" s="273">
        <f>8094*M991</f>
        <v>105222</v>
      </c>
      <c r="O991" s="273"/>
      <c r="P991" s="273"/>
      <c r="Q991" s="273"/>
      <c r="R991" s="273"/>
      <c r="S991" s="273"/>
      <c r="T991" s="273"/>
      <c r="U991" s="273"/>
      <c r="V991" s="273"/>
      <c r="W991" s="273">
        <f t="shared" si="223"/>
        <v>291957.15999999997</v>
      </c>
      <c r="Z991" s="271"/>
      <c r="AA991" s="271"/>
      <c r="AB991" s="13"/>
      <c r="AC991" s="271">
        <f>132613.55+159343.61</f>
        <v>291957.15999999997</v>
      </c>
      <c r="AE991" s="271"/>
      <c r="AF991" s="271"/>
      <c r="AI991" s="13"/>
      <c r="AJ991" s="13"/>
    </row>
    <row r="992" spans="1:36" x14ac:dyDescent="0.3">
      <c r="A992" s="10">
        <f t="shared" si="222"/>
        <v>883</v>
      </c>
      <c r="B992" s="124" t="s">
        <v>1218</v>
      </c>
      <c r="C992" s="273">
        <f t="shared" si="220"/>
        <v>280386.73</v>
      </c>
      <c r="D992" s="273">
        <f t="shared" si="221"/>
        <v>0</v>
      </c>
      <c r="E992" s="273"/>
      <c r="F992" s="273"/>
      <c r="G992" s="273"/>
      <c r="H992" s="273"/>
      <c r="I992" s="273"/>
      <c r="J992" s="273"/>
      <c r="K992" s="273"/>
      <c r="L992" s="273"/>
      <c r="M992" s="273"/>
      <c r="N992" s="273"/>
      <c r="O992" s="273"/>
      <c r="P992" s="273"/>
      <c r="Q992" s="273"/>
      <c r="R992" s="273"/>
      <c r="S992" s="273"/>
      <c r="T992" s="273"/>
      <c r="U992" s="273"/>
      <c r="V992" s="273"/>
      <c r="W992" s="273">
        <f t="shared" si="223"/>
        <v>280386.73</v>
      </c>
      <c r="Z992" s="271"/>
      <c r="AA992" s="13"/>
      <c r="AB992" s="13"/>
      <c r="AC992" s="271">
        <f>121183.55+159203.18</f>
        <v>280386.73</v>
      </c>
      <c r="AE992" s="271"/>
      <c r="AF992" s="271"/>
      <c r="AI992" s="13"/>
      <c r="AJ992" s="13"/>
    </row>
    <row r="993" spans="1:36" x14ac:dyDescent="0.3">
      <c r="A993" s="10">
        <f t="shared" si="222"/>
        <v>884</v>
      </c>
      <c r="B993" s="124" t="s">
        <v>1219</v>
      </c>
      <c r="C993" s="273">
        <f t="shared" si="220"/>
        <v>433608.26</v>
      </c>
      <c r="D993" s="273">
        <f t="shared" si="221"/>
        <v>0</v>
      </c>
      <c r="E993" s="273"/>
      <c r="F993" s="273"/>
      <c r="G993" s="273"/>
      <c r="H993" s="273"/>
      <c r="I993" s="273"/>
      <c r="J993" s="273"/>
      <c r="K993" s="273"/>
      <c r="L993" s="273"/>
      <c r="M993" s="273"/>
      <c r="N993" s="273"/>
      <c r="O993" s="273"/>
      <c r="P993" s="273"/>
      <c r="Q993" s="273"/>
      <c r="R993" s="273"/>
      <c r="S993" s="273"/>
      <c r="T993" s="273"/>
      <c r="U993" s="273"/>
      <c r="V993" s="273"/>
      <c r="W993" s="273">
        <f t="shared" si="223"/>
        <v>433608.26</v>
      </c>
      <c r="AA993" s="13"/>
      <c r="AB993" s="13"/>
      <c r="AC993" s="271"/>
      <c r="AE993" s="271"/>
      <c r="AF993" s="271"/>
      <c r="AG993" s="271">
        <v>433608.26</v>
      </c>
      <c r="AI993" s="13"/>
      <c r="AJ993" s="13"/>
    </row>
    <row r="994" spans="1:36" x14ac:dyDescent="0.3">
      <c r="A994" s="10">
        <f t="shared" si="222"/>
        <v>885</v>
      </c>
      <c r="B994" s="124" t="s">
        <v>1220</v>
      </c>
      <c r="C994" s="273">
        <f t="shared" si="220"/>
        <v>554970.93999999994</v>
      </c>
      <c r="D994" s="273">
        <f t="shared" si="221"/>
        <v>0</v>
      </c>
      <c r="E994" s="273"/>
      <c r="F994" s="273"/>
      <c r="G994" s="273"/>
      <c r="H994" s="273"/>
      <c r="I994" s="273"/>
      <c r="J994" s="273"/>
      <c r="K994" s="273"/>
      <c r="L994" s="273"/>
      <c r="M994" s="273"/>
      <c r="N994" s="273"/>
      <c r="O994" s="273"/>
      <c r="P994" s="273"/>
      <c r="Q994" s="273"/>
      <c r="R994" s="273"/>
      <c r="S994" s="273"/>
      <c r="T994" s="273"/>
      <c r="U994" s="273"/>
      <c r="V994" s="273"/>
      <c r="W994" s="273">
        <f t="shared" si="223"/>
        <v>554970.93999999994</v>
      </c>
      <c r="AA994" s="13"/>
      <c r="AB994" s="13"/>
      <c r="AC994" s="271"/>
      <c r="AE994" s="271"/>
      <c r="AF994" s="271"/>
      <c r="AG994" s="271">
        <v>554970.93999999994</v>
      </c>
      <c r="AI994" s="13"/>
      <c r="AJ994" s="13"/>
    </row>
    <row r="995" spans="1:36" x14ac:dyDescent="0.3">
      <c r="A995" s="10">
        <f t="shared" si="222"/>
        <v>886</v>
      </c>
      <c r="B995" s="124" t="s">
        <v>1221</v>
      </c>
      <c r="C995" s="273">
        <f t="shared" si="220"/>
        <v>194003.72</v>
      </c>
      <c r="D995" s="273">
        <f t="shared" si="221"/>
        <v>0</v>
      </c>
      <c r="E995" s="273"/>
      <c r="F995" s="273"/>
      <c r="G995" s="273"/>
      <c r="H995" s="273"/>
      <c r="I995" s="273"/>
      <c r="J995" s="273"/>
      <c r="K995" s="273"/>
      <c r="L995" s="273"/>
      <c r="M995" s="273"/>
      <c r="N995" s="273"/>
      <c r="O995" s="273"/>
      <c r="P995" s="273"/>
      <c r="Q995" s="273"/>
      <c r="R995" s="273"/>
      <c r="S995" s="273"/>
      <c r="T995" s="273"/>
      <c r="U995" s="273"/>
      <c r="V995" s="273"/>
      <c r="W995" s="273">
        <f t="shared" si="223"/>
        <v>194003.72</v>
      </c>
      <c r="Z995" s="271"/>
      <c r="AA995" s="13"/>
      <c r="AB995" s="13"/>
      <c r="AC995" s="271">
        <v>194003.72</v>
      </c>
      <c r="AE995" s="271"/>
      <c r="AF995" s="271"/>
      <c r="AI995" s="13"/>
      <c r="AJ995" s="13"/>
    </row>
    <row r="996" spans="1:36" s="13" customFormat="1" x14ac:dyDescent="0.3">
      <c r="A996" s="10">
        <f t="shared" si="222"/>
        <v>887</v>
      </c>
      <c r="B996" s="124" t="s">
        <v>1222</v>
      </c>
      <c r="C996" s="273">
        <f t="shared" si="220"/>
        <v>180304.48</v>
      </c>
      <c r="D996" s="273">
        <f t="shared" si="221"/>
        <v>0</v>
      </c>
      <c r="E996" s="273"/>
      <c r="F996" s="273"/>
      <c r="G996" s="273"/>
      <c r="H996" s="273"/>
      <c r="I996" s="273"/>
      <c r="J996" s="273"/>
      <c r="K996" s="273"/>
      <c r="L996" s="273"/>
      <c r="M996" s="273"/>
      <c r="N996" s="273"/>
      <c r="O996" s="273"/>
      <c r="P996" s="273"/>
      <c r="Q996" s="273"/>
      <c r="R996" s="273"/>
      <c r="S996" s="273"/>
      <c r="T996" s="273"/>
      <c r="U996" s="273"/>
      <c r="V996" s="273"/>
      <c r="W996" s="273">
        <f t="shared" si="223"/>
        <v>180304.48</v>
      </c>
      <c r="Z996" s="271"/>
      <c r="AA996" s="271"/>
      <c r="AB996" s="271"/>
      <c r="AC996" s="271">
        <v>180304.48</v>
      </c>
      <c r="AE996" s="271"/>
      <c r="AF996" s="271"/>
    </row>
    <row r="997" spans="1:36" x14ac:dyDescent="0.3">
      <c r="A997" s="10">
        <f t="shared" si="222"/>
        <v>888</v>
      </c>
      <c r="B997" s="124" t="s">
        <v>1223</v>
      </c>
      <c r="C997" s="273">
        <f t="shared" si="220"/>
        <v>162857.75</v>
      </c>
      <c r="D997" s="273">
        <f t="shared" si="221"/>
        <v>0</v>
      </c>
      <c r="E997" s="273"/>
      <c r="F997" s="273"/>
      <c r="G997" s="273"/>
      <c r="H997" s="273"/>
      <c r="I997" s="273"/>
      <c r="J997" s="273"/>
      <c r="K997" s="273"/>
      <c r="L997" s="273"/>
      <c r="M997" s="273"/>
      <c r="N997" s="273"/>
      <c r="O997" s="273"/>
      <c r="P997" s="273"/>
      <c r="Q997" s="273"/>
      <c r="R997" s="273"/>
      <c r="S997" s="273"/>
      <c r="T997" s="273"/>
      <c r="U997" s="273"/>
      <c r="V997" s="273"/>
      <c r="W997" s="273">
        <f t="shared" si="223"/>
        <v>162857.75</v>
      </c>
      <c r="Z997" s="271"/>
      <c r="AA997" s="13"/>
      <c r="AB997" s="13"/>
      <c r="AC997" s="271">
        <v>162857.75</v>
      </c>
      <c r="AE997" s="271"/>
      <c r="AF997" s="271"/>
      <c r="AI997" s="13"/>
      <c r="AJ997" s="13"/>
    </row>
    <row r="998" spans="1:36" x14ac:dyDescent="0.3">
      <c r="A998" s="10">
        <f t="shared" si="222"/>
        <v>889</v>
      </c>
      <c r="B998" s="124" t="s">
        <v>1224</v>
      </c>
      <c r="C998" s="273">
        <f t="shared" si="220"/>
        <v>141498.97</v>
      </c>
      <c r="D998" s="273">
        <f t="shared" si="221"/>
        <v>0</v>
      </c>
      <c r="E998" s="273"/>
      <c r="F998" s="273"/>
      <c r="G998" s="273"/>
      <c r="H998" s="273"/>
      <c r="I998" s="273"/>
      <c r="J998" s="273"/>
      <c r="K998" s="273"/>
      <c r="L998" s="273"/>
      <c r="M998" s="273"/>
      <c r="N998" s="273"/>
      <c r="O998" s="273"/>
      <c r="P998" s="273"/>
      <c r="Q998" s="273"/>
      <c r="R998" s="273"/>
      <c r="S998" s="273"/>
      <c r="T998" s="273"/>
      <c r="U998" s="273"/>
      <c r="V998" s="273"/>
      <c r="W998" s="273">
        <f t="shared" si="223"/>
        <v>141498.97</v>
      </c>
      <c r="Z998" s="271"/>
      <c r="AA998" s="271"/>
      <c r="AB998" s="13"/>
      <c r="AC998" s="271"/>
      <c r="AE998" s="271">
        <v>141498.97</v>
      </c>
      <c r="AF998" s="271"/>
      <c r="AI998" s="13"/>
      <c r="AJ998" s="13"/>
    </row>
    <row r="999" spans="1:36" x14ac:dyDescent="0.3">
      <c r="A999" s="10">
        <f t="shared" si="222"/>
        <v>890</v>
      </c>
      <c r="B999" s="124" t="s">
        <v>1225</v>
      </c>
      <c r="C999" s="273">
        <f t="shared" si="220"/>
        <v>164790.70000000001</v>
      </c>
      <c r="D999" s="273">
        <f t="shared" si="221"/>
        <v>0</v>
      </c>
      <c r="E999" s="273"/>
      <c r="F999" s="273"/>
      <c r="G999" s="273"/>
      <c r="H999" s="273"/>
      <c r="I999" s="273"/>
      <c r="J999" s="273"/>
      <c r="K999" s="273"/>
      <c r="L999" s="273"/>
      <c r="M999" s="273"/>
      <c r="N999" s="273"/>
      <c r="O999" s="273"/>
      <c r="P999" s="273"/>
      <c r="Q999" s="273"/>
      <c r="R999" s="273"/>
      <c r="S999" s="273"/>
      <c r="T999" s="273"/>
      <c r="U999" s="273"/>
      <c r="V999" s="273"/>
      <c r="W999" s="273">
        <f t="shared" si="223"/>
        <v>164790.70000000001</v>
      </c>
      <c r="Z999" s="271"/>
      <c r="AA999" s="13"/>
      <c r="AB999" s="13"/>
      <c r="AC999" s="271">
        <v>164790.70000000001</v>
      </c>
      <c r="AE999" s="271"/>
      <c r="AF999" s="271"/>
      <c r="AI999" s="13"/>
      <c r="AJ999" s="13"/>
    </row>
    <row r="1000" spans="1:36" x14ac:dyDescent="0.3">
      <c r="A1000" s="10">
        <f t="shared" si="222"/>
        <v>891</v>
      </c>
      <c r="B1000" s="124" t="s">
        <v>1226</v>
      </c>
      <c r="C1000" s="273">
        <f t="shared" si="220"/>
        <v>264340.58999999997</v>
      </c>
      <c r="D1000" s="273">
        <f t="shared" si="221"/>
        <v>0</v>
      </c>
      <c r="E1000" s="273"/>
      <c r="F1000" s="273"/>
      <c r="G1000" s="273"/>
      <c r="H1000" s="273"/>
      <c r="I1000" s="273"/>
      <c r="J1000" s="273"/>
      <c r="K1000" s="273"/>
      <c r="L1000" s="273"/>
      <c r="M1000" s="273"/>
      <c r="N1000" s="273"/>
      <c r="O1000" s="273"/>
      <c r="P1000" s="273"/>
      <c r="Q1000" s="273"/>
      <c r="R1000" s="273"/>
      <c r="S1000" s="273"/>
      <c r="T1000" s="273"/>
      <c r="U1000" s="273"/>
      <c r="V1000" s="273"/>
      <c r="W1000" s="273">
        <f t="shared" si="223"/>
        <v>264340.58999999997</v>
      </c>
      <c r="Z1000" s="271"/>
      <c r="AA1000" s="13"/>
      <c r="AB1000" s="13"/>
      <c r="AC1000" s="271">
        <f>114894.73+149445.86</f>
        <v>264340.58999999997</v>
      </c>
      <c r="AE1000" s="271"/>
      <c r="AF1000" s="271"/>
      <c r="AI1000" s="13"/>
      <c r="AJ1000" s="13"/>
    </row>
    <row r="1001" spans="1:36" x14ac:dyDescent="0.3">
      <c r="A1001" s="10">
        <f t="shared" si="222"/>
        <v>892</v>
      </c>
      <c r="B1001" s="124" t="s">
        <v>1227</v>
      </c>
      <c r="C1001" s="273">
        <f t="shared" si="220"/>
        <v>122727.13</v>
      </c>
      <c r="D1001" s="273">
        <f t="shared" si="221"/>
        <v>0</v>
      </c>
      <c r="E1001" s="273"/>
      <c r="F1001" s="273"/>
      <c r="G1001" s="273"/>
      <c r="H1001" s="273"/>
      <c r="I1001" s="273"/>
      <c r="J1001" s="273"/>
      <c r="K1001" s="273"/>
      <c r="L1001" s="273"/>
      <c r="M1001" s="273"/>
      <c r="N1001" s="273"/>
      <c r="O1001" s="273"/>
      <c r="P1001" s="273"/>
      <c r="Q1001" s="273"/>
      <c r="R1001" s="273"/>
      <c r="S1001" s="273"/>
      <c r="T1001" s="273"/>
      <c r="U1001" s="273"/>
      <c r="V1001" s="273"/>
      <c r="W1001" s="273">
        <f t="shared" si="223"/>
        <v>122727.13</v>
      </c>
      <c r="Z1001" s="271"/>
      <c r="AA1001" s="13"/>
      <c r="AB1001" s="13"/>
      <c r="AC1001" s="271">
        <v>122727.13</v>
      </c>
      <c r="AE1001" s="271"/>
      <c r="AF1001" s="271"/>
      <c r="AI1001" s="13"/>
      <c r="AJ1001" s="13"/>
    </row>
    <row r="1002" spans="1:36" x14ac:dyDescent="0.3">
      <c r="A1002" s="10">
        <f t="shared" si="222"/>
        <v>893</v>
      </c>
      <c r="B1002" s="124" t="s">
        <v>1228</v>
      </c>
      <c r="C1002" s="273">
        <f t="shared" si="220"/>
        <v>417737.4</v>
      </c>
      <c r="D1002" s="273">
        <f t="shared" si="221"/>
        <v>0</v>
      </c>
      <c r="E1002" s="273"/>
      <c r="F1002" s="273"/>
      <c r="G1002" s="273"/>
      <c r="H1002" s="273"/>
      <c r="I1002" s="273"/>
      <c r="J1002" s="273"/>
      <c r="K1002" s="273"/>
      <c r="L1002" s="273"/>
      <c r="M1002" s="273"/>
      <c r="N1002" s="273"/>
      <c r="O1002" s="273"/>
      <c r="P1002" s="273"/>
      <c r="Q1002" s="273"/>
      <c r="R1002" s="273"/>
      <c r="S1002" s="273"/>
      <c r="T1002" s="273"/>
      <c r="U1002" s="273"/>
      <c r="V1002" s="273"/>
      <c r="W1002" s="273">
        <f t="shared" si="223"/>
        <v>417737.4</v>
      </c>
      <c r="Z1002" s="271"/>
      <c r="AA1002" s="13"/>
      <c r="AB1002" s="13"/>
      <c r="AC1002" s="271"/>
      <c r="AE1002" s="271"/>
      <c r="AF1002" s="271">
        <v>417737.4</v>
      </c>
      <c r="AI1002" s="13"/>
      <c r="AJ1002" s="13"/>
    </row>
    <row r="1003" spans="1:36" x14ac:dyDescent="0.3">
      <c r="A1003" s="10">
        <f t="shared" si="222"/>
        <v>894</v>
      </c>
      <c r="B1003" s="124" t="s">
        <v>1229</v>
      </c>
      <c r="C1003" s="273">
        <f t="shared" si="220"/>
        <v>120623.93</v>
      </c>
      <c r="D1003" s="273">
        <f t="shared" si="221"/>
        <v>0</v>
      </c>
      <c r="E1003" s="273"/>
      <c r="F1003" s="273"/>
      <c r="G1003" s="273"/>
      <c r="H1003" s="273"/>
      <c r="I1003" s="273"/>
      <c r="J1003" s="273"/>
      <c r="K1003" s="273"/>
      <c r="L1003" s="273"/>
      <c r="M1003" s="273"/>
      <c r="N1003" s="273"/>
      <c r="O1003" s="273"/>
      <c r="P1003" s="273"/>
      <c r="Q1003" s="273"/>
      <c r="R1003" s="273"/>
      <c r="S1003" s="273"/>
      <c r="T1003" s="273"/>
      <c r="U1003" s="273"/>
      <c r="V1003" s="273"/>
      <c r="W1003" s="273">
        <f t="shared" si="223"/>
        <v>120623.93</v>
      </c>
      <c r="Z1003" s="271"/>
      <c r="AA1003" s="13"/>
      <c r="AB1003" s="13"/>
      <c r="AC1003" s="271">
        <v>120623.93</v>
      </c>
      <c r="AE1003" s="271"/>
      <c r="AF1003" s="271"/>
      <c r="AI1003" s="13"/>
      <c r="AJ1003" s="13"/>
    </row>
    <row r="1004" spans="1:36" x14ac:dyDescent="0.3">
      <c r="A1004" s="10">
        <f t="shared" si="222"/>
        <v>895</v>
      </c>
      <c r="B1004" s="124" t="s">
        <v>1230</v>
      </c>
      <c r="C1004" s="273">
        <f t="shared" si="220"/>
        <v>370165.74</v>
      </c>
      <c r="D1004" s="273">
        <f t="shared" si="221"/>
        <v>0</v>
      </c>
      <c r="E1004" s="273"/>
      <c r="F1004" s="273"/>
      <c r="G1004" s="273"/>
      <c r="H1004" s="273"/>
      <c r="I1004" s="273"/>
      <c r="J1004" s="273"/>
      <c r="K1004" s="273"/>
      <c r="L1004" s="273"/>
      <c r="M1004" s="273"/>
      <c r="N1004" s="273"/>
      <c r="O1004" s="273"/>
      <c r="P1004" s="273"/>
      <c r="Q1004" s="273"/>
      <c r="R1004" s="273"/>
      <c r="S1004" s="273"/>
      <c r="T1004" s="273"/>
      <c r="U1004" s="273"/>
      <c r="V1004" s="273"/>
      <c r="W1004" s="273">
        <f t="shared" si="223"/>
        <v>370165.74</v>
      </c>
      <c r="Z1004" s="271"/>
      <c r="AA1004" s="13"/>
      <c r="AB1004" s="13"/>
      <c r="AC1004" s="271"/>
      <c r="AE1004" s="271">
        <v>370165.74</v>
      </c>
      <c r="AF1004" s="271"/>
      <c r="AI1004" s="13"/>
      <c r="AJ1004" s="13"/>
    </row>
    <row r="1005" spans="1:36" x14ac:dyDescent="0.3">
      <c r="A1005" s="10">
        <f t="shared" si="222"/>
        <v>896</v>
      </c>
      <c r="B1005" s="124" t="s">
        <v>1231</v>
      </c>
      <c r="C1005" s="273">
        <f t="shared" si="220"/>
        <v>194425.94</v>
      </c>
      <c r="D1005" s="273">
        <f t="shared" si="221"/>
        <v>0</v>
      </c>
      <c r="E1005" s="273"/>
      <c r="F1005" s="273"/>
      <c r="G1005" s="273"/>
      <c r="H1005" s="273"/>
      <c r="I1005" s="273"/>
      <c r="J1005" s="273"/>
      <c r="K1005" s="273"/>
      <c r="L1005" s="273"/>
      <c r="M1005" s="273"/>
      <c r="N1005" s="273"/>
      <c r="O1005" s="273"/>
      <c r="P1005" s="273"/>
      <c r="Q1005" s="273"/>
      <c r="R1005" s="273"/>
      <c r="S1005" s="273"/>
      <c r="T1005" s="273"/>
      <c r="U1005" s="273"/>
      <c r="V1005" s="273"/>
      <c r="W1005" s="273">
        <f t="shared" si="223"/>
        <v>194425.94</v>
      </c>
      <c r="Z1005" s="271"/>
      <c r="AA1005" s="13"/>
      <c r="AB1005" s="13"/>
      <c r="AC1005" s="271">
        <v>194425.94</v>
      </c>
      <c r="AE1005" s="271"/>
      <c r="AF1005" s="271"/>
      <c r="AI1005" s="13"/>
      <c r="AJ1005" s="13"/>
    </row>
    <row r="1006" spans="1:36" x14ac:dyDescent="0.3">
      <c r="A1006" s="10">
        <f t="shared" si="222"/>
        <v>897</v>
      </c>
      <c r="B1006" s="124" t="s">
        <v>1232</v>
      </c>
      <c r="C1006" s="273">
        <f t="shared" si="220"/>
        <v>252508.67</v>
      </c>
      <c r="D1006" s="273">
        <f t="shared" si="221"/>
        <v>0</v>
      </c>
      <c r="E1006" s="273"/>
      <c r="F1006" s="273"/>
      <c r="G1006" s="273"/>
      <c r="H1006" s="273"/>
      <c r="I1006" s="273"/>
      <c r="J1006" s="273"/>
      <c r="K1006" s="273"/>
      <c r="L1006" s="273"/>
      <c r="M1006" s="273"/>
      <c r="N1006" s="273"/>
      <c r="O1006" s="273"/>
      <c r="P1006" s="273"/>
      <c r="Q1006" s="273"/>
      <c r="R1006" s="273"/>
      <c r="S1006" s="273"/>
      <c r="T1006" s="273"/>
      <c r="U1006" s="273"/>
      <c r="V1006" s="273"/>
      <c r="W1006" s="273">
        <f t="shared" si="223"/>
        <v>252508.67</v>
      </c>
      <c r="Y1006" s="36">
        <v>252508.67</v>
      </c>
      <c r="Z1006" s="271"/>
      <c r="AA1006" s="13"/>
      <c r="AB1006" s="13"/>
      <c r="AC1006" s="271"/>
      <c r="AE1006" s="271"/>
      <c r="AF1006" s="271"/>
      <c r="AI1006" s="13"/>
      <c r="AJ1006" s="13"/>
    </row>
    <row r="1007" spans="1:36" x14ac:dyDescent="0.3">
      <c r="A1007" s="10">
        <f t="shared" si="222"/>
        <v>898</v>
      </c>
      <c r="B1007" s="124" t="s">
        <v>1234</v>
      </c>
      <c r="C1007" s="273">
        <f t="shared" ref="C1007:C1036" si="224">D1007+K1007+L1007+N1007+P1007+R1007+U1007+S1007+V1007+W1007</f>
        <v>159166.12</v>
      </c>
      <c r="D1007" s="273">
        <f t="shared" ref="D1007:D1036" si="225">E1007+F1007+G1007+H1007+I1007</f>
        <v>0</v>
      </c>
      <c r="E1007" s="273"/>
      <c r="F1007" s="273"/>
      <c r="G1007" s="273"/>
      <c r="H1007" s="273"/>
      <c r="I1007" s="273"/>
      <c r="J1007" s="273"/>
      <c r="K1007" s="273"/>
      <c r="L1007" s="273"/>
      <c r="M1007" s="273"/>
      <c r="N1007" s="273"/>
      <c r="O1007" s="273"/>
      <c r="P1007" s="273"/>
      <c r="Q1007" s="273"/>
      <c r="R1007" s="273"/>
      <c r="S1007" s="273"/>
      <c r="T1007" s="273"/>
      <c r="U1007" s="273"/>
      <c r="V1007" s="273"/>
      <c r="W1007" s="273">
        <f t="shared" si="223"/>
        <v>159166.12</v>
      </c>
      <c r="Z1007" s="13"/>
      <c r="AA1007" s="13"/>
      <c r="AB1007" s="13"/>
      <c r="AC1007" s="271">
        <v>159166.12</v>
      </c>
      <c r="AE1007" s="269"/>
      <c r="AF1007" s="7"/>
      <c r="AI1007" s="13"/>
      <c r="AJ1007" s="13"/>
    </row>
    <row r="1008" spans="1:36" x14ac:dyDescent="0.3">
      <c r="A1008" s="10">
        <f t="shared" ref="A1008:A1044" si="226">A1007+1</f>
        <v>899</v>
      </c>
      <c r="B1008" s="124" t="s">
        <v>1235</v>
      </c>
      <c r="C1008" s="273">
        <f t="shared" si="224"/>
        <v>155166.13</v>
      </c>
      <c r="D1008" s="273">
        <f t="shared" si="225"/>
        <v>0</v>
      </c>
      <c r="E1008" s="273"/>
      <c r="F1008" s="273"/>
      <c r="G1008" s="273"/>
      <c r="H1008" s="273"/>
      <c r="I1008" s="273"/>
      <c r="J1008" s="273"/>
      <c r="K1008" s="273"/>
      <c r="L1008" s="273"/>
      <c r="M1008" s="273"/>
      <c r="N1008" s="273"/>
      <c r="O1008" s="273"/>
      <c r="P1008" s="273"/>
      <c r="Q1008" s="273"/>
      <c r="R1008" s="273"/>
      <c r="S1008" s="273"/>
      <c r="T1008" s="273"/>
      <c r="U1008" s="273"/>
      <c r="V1008" s="273"/>
      <c r="W1008" s="273">
        <f t="shared" si="223"/>
        <v>155166.13</v>
      </c>
      <c r="Y1008" s="36">
        <v>155166.13</v>
      </c>
      <c r="Z1008" s="13"/>
      <c r="AA1008" s="13"/>
      <c r="AB1008" s="13"/>
      <c r="AC1008" s="271"/>
      <c r="AE1008" s="269"/>
      <c r="AF1008" s="7"/>
      <c r="AI1008" s="13"/>
      <c r="AJ1008" s="13"/>
    </row>
    <row r="1009" spans="1:36" x14ac:dyDescent="0.3">
      <c r="A1009" s="10">
        <f t="shared" si="226"/>
        <v>900</v>
      </c>
      <c r="B1009" s="124" t="s">
        <v>1236</v>
      </c>
      <c r="C1009" s="273">
        <f t="shared" si="224"/>
        <v>441162.07</v>
      </c>
      <c r="D1009" s="273">
        <f t="shared" si="225"/>
        <v>0</v>
      </c>
      <c r="E1009" s="273"/>
      <c r="F1009" s="273"/>
      <c r="G1009" s="273"/>
      <c r="H1009" s="273"/>
      <c r="I1009" s="273"/>
      <c r="J1009" s="273"/>
      <c r="K1009" s="273"/>
      <c r="L1009" s="273"/>
      <c r="M1009" s="273"/>
      <c r="N1009" s="273"/>
      <c r="O1009" s="273"/>
      <c r="P1009" s="273"/>
      <c r="Q1009" s="273"/>
      <c r="R1009" s="273"/>
      <c r="S1009" s="273"/>
      <c r="T1009" s="273"/>
      <c r="U1009" s="273"/>
      <c r="V1009" s="273"/>
      <c r="W1009" s="273">
        <f t="shared" si="223"/>
        <v>441162.07</v>
      </c>
      <c r="Z1009" s="271"/>
      <c r="AA1009" s="13"/>
      <c r="AB1009" s="13"/>
      <c r="AC1009" s="271"/>
      <c r="AE1009" s="269"/>
      <c r="AF1009" s="271">
        <v>441162.07</v>
      </c>
      <c r="AI1009" s="13"/>
      <c r="AJ1009" s="13"/>
    </row>
    <row r="1010" spans="1:36" x14ac:dyDescent="0.3">
      <c r="A1010" s="10">
        <f t="shared" si="226"/>
        <v>901</v>
      </c>
      <c r="B1010" s="124" t="s">
        <v>1237</v>
      </c>
      <c r="C1010" s="273">
        <f t="shared" si="224"/>
        <v>171478.43</v>
      </c>
      <c r="D1010" s="273">
        <f t="shared" si="225"/>
        <v>0</v>
      </c>
      <c r="E1010" s="273"/>
      <c r="F1010" s="273"/>
      <c r="G1010" s="273"/>
      <c r="H1010" s="273"/>
      <c r="I1010" s="273"/>
      <c r="J1010" s="273"/>
      <c r="K1010" s="273"/>
      <c r="L1010" s="273"/>
      <c r="M1010" s="273">
        <v>13</v>
      </c>
      <c r="N1010" s="273">
        <f>6243*M1010</f>
        <v>81159</v>
      </c>
      <c r="O1010" s="273"/>
      <c r="P1010" s="273"/>
      <c r="Q1010" s="273"/>
      <c r="R1010" s="273"/>
      <c r="S1010" s="273"/>
      <c r="T1010" s="273"/>
      <c r="U1010" s="273"/>
      <c r="V1010" s="273"/>
      <c r="W1010" s="273">
        <f t="shared" si="223"/>
        <v>90319.43</v>
      </c>
      <c r="Z1010" s="13"/>
      <c r="AA1010" s="13"/>
      <c r="AB1010" s="13"/>
      <c r="AC1010" s="271">
        <v>90319.43</v>
      </c>
      <c r="AE1010" s="269"/>
      <c r="AF1010" s="7"/>
      <c r="AI1010" s="13"/>
      <c r="AJ1010" s="13"/>
    </row>
    <row r="1011" spans="1:36" x14ac:dyDescent="0.3">
      <c r="A1011" s="10">
        <f t="shared" si="226"/>
        <v>902</v>
      </c>
      <c r="B1011" s="124" t="s">
        <v>1238</v>
      </c>
      <c r="C1011" s="273">
        <f t="shared" si="224"/>
        <v>175577.06</v>
      </c>
      <c r="D1011" s="273">
        <f t="shared" si="225"/>
        <v>0</v>
      </c>
      <c r="E1011" s="273"/>
      <c r="F1011" s="273"/>
      <c r="G1011" s="273"/>
      <c r="H1011" s="273"/>
      <c r="I1011" s="273"/>
      <c r="J1011" s="273"/>
      <c r="K1011" s="273"/>
      <c r="L1011" s="273"/>
      <c r="M1011" s="273"/>
      <c r="N1011" s="273"/>
      <c r="O1011" s="273"/>
      <c r="P1011" s="273"/>
      <c r="Q1011" s="273"/>
      <c r="R1011" s="273"/>
      <c r="S1011" s="273"/>
      <c r="T1011" s="273"/>
      <c r="U1011" s="273"/>
      <c r="V1011" s="273"/>
      <c r="W1011" s="273">
        <f t="shared" si="223"/>
        <v>175577.06</v>
      </c>
      <c r="Z1011" s="271"/>
      <c r="AA1011" s="271">
        <v>175577.06</v>
      </c>
      <c r="AB1011" s="13"/>
      <c r="AC1011" s="271"/>
      <c r="AE1011" s="271"/>
      <c r="AF1011" s="271"/>
      <c r="AI1011" s="13"/>
      <c r="AJ1011" s="13"/>
    </row>
    <row r="1012" spans="1:36" x14ac:dyDescent="0.3">
      <c r="A1012" s="10">
        <f t="shared" si="226"/>
        <v>903</v>
      </c>
      <c r="B1012" s="124" t="s">
        <v>1239</v>
      </c>
      <c r="C1012" s="273">
        <f t="shared" si="224"/>
        <v>162232.79</v>
      </c>
      <c r="D1012" s="273">
        <f t="shared" si="225"/>
        <v>0</v>
      </c>
      <c r="E1012" s="273"/>
      <c r="F1012" s="273"/>
      <c r="G1012" s="273"/>
      <c r="H1012" s="273"/>
      <c r="I1012" s="273"/>
      <c r="J1012" s="273"/>
      <c r="K1012" s="273"/>
      <c r="L1012" s="273"/>
      <c r="M1012" s="273"/>
      <c r="N1012" s="273"/>
      <c r="O1012" s="273"/>
      <c r="P1012" s="273"/>
      <c r="Q1012" s="273"/>
      <c r="R1012" s="273"/>
      <c r="S1012" s="273"/>
      <c r="T1012" s="273"/>
      <c r="U1012" s="273"/>
      <c r="V1012" s="273"/>
      <c r="W1012" s="273">
        <f t="shared" si="223"/>
        <v>162232.79</v>
      </c>
      <c r="Z1012" s="271"/>
      <c r="AA1012" s="271"/>
      <c r="AB1012" s="13"/>
      <c r="AC1012" s="271">
        <v>162232.79</v>
      </c>
      <c r="AE1012" s="271"/>
      <c r="AF1012" s="271"/>
      <c r="AI1012" s="13"/>
      <c r="AJ1012" s="13"/>
    </row>
    <row r="1013" spans="1:36" x14ac:dyDescent="0.3">
      <c r="A1013" s="10">
        <f t="shared" si="226"/>
        <v>904</v>
      </c>
      <c r="B1013" s="124" t="s">
        <v>1240</v>
      </c>
      <c r="C1013" s="273">
        <f t="shared" si="224"/>
        <v>264773.94</v>
      </c>
      <c r="D1013" s="273">
        <f t="shared" si="225"/>
        <v>0</v>
      </c>
      <c r="E1013" s="273"/>
      <c r="F1013" s="273"/>
      <c r="G1013" s="273"/>
      <c r="H1013" s="273"/>
      <c r="I1013" s="273"/>
      <c r="J1013" s="273"/>
      <c r="K1013" s="273"/>
      <c r="L1013" s="273"/>
      <c r="M1013" s="273"/>
      <c r="N1013" s="273"/>
      <c r="O1013" s="273"/>
      <c r="P1013" s="273"/>
      <c r="Q1013" s="273"/>
      <c r="R1013" s="273"/>
      <c r="S1013" s="273"/>
      <c r="T1013" s="273"/>
      <c r="U1013" s="273"/>
      <c r="V1013" s="273"/>
      <c r="W1013" s="273">
        <f t="shared" si="223"/>
        <v>264773.94</v>
      </c>
      <c r="Z1013" s="271"/>
      <c r="AA1013" s="13"/>
      <c r="AB1013" s="13"/>
      <c r="AC1013" s="271"/>
      <c r="AE1013" s="271"/>
      <c r="AF1013" s="271">
        <v>264773.94</v>
      </c>
      <c r="AI1013" s="13"/>
      <c r="AJ1013" s="13"/>
    </row>
    <row r="1014" spans="1:36" x14ac:dyDescent="0.3">
      <c r="A1014" s="10">
        <f t="shared" si="226"/>
        <v>905</v>
      </c>
      <c r="B1014" s="124" t="s">
        <v>1241</v>
      </c>
      <c r="C1014" s="273">
        <f t="shared" si="224"/>
        <v>200896.86</v>
      </c>
      <c r="D1014" s="273">
        <f t="shared" si="225"/>
        <v>0</v>
      </c>
      <c r="E1014" s="273"/>
      <c r="F1014" s="273"/>
      <c r="G1014" s="273"/>
      <c r="H1014" s="273"/>
      <c r="I1014" s="273"/>
      <c r="J1014" s="273"/>
      <c r="K1014" s="273"/>
      <c r="L1014" s="273"/>
      <c r="M1014" s="273"/>
      <c r="N1014" s="273"/>
      <c r="O1014" s="273"/>
      <c r="P1014" s="273"/>
      <c r="Q1014" s="273"/>
      <c r="R1014" s="273"/>
      <c r="S1014" s="273"/>
      <c r="T1014" s="273"/>
      <c r="U1014" s="273"/>
      <c r="V1014" s="273"/>
      <c r="W1014" s="273">
        <f t="shared" si="223"/>
        <v>200896.86</v>
      </c>
      <c r="Z1014" s="271"/>
      <c r="AA1014" s="271"/>
      <c r="AB1014" s="13"/>
      <c r="AC1014" s="271"/>
      <c r="AE1014" s="271">
        <v>200896.86</v>
      </c>
      <c r="AF1014" s="271"/>
      <c r="AI1014" s="13"/>
      <c r="AJ1014" s="13"/>
    </row>
    <row r="1015" spans="1:36" x14ac:dyDescent="0.3">
      <c r="A1015" s="10">
        <f t="shared" si="226"/>
        <v>906</v>
      </c>
      <c r="B1015" s="124" t="s">
        <v>1242</v>
      </c>
      <c r="C1015" s="273">
        <f t="shared" si="224"/>
        <v>218662.27</v>
      </c>
      <c r="D1015" s="273">
        <f t="shared" si="225"/>
        <v>0</v>
      </c>
      <c r="E1015" s="273"/>
      <c r="F1015" s="273"/>
      <c r="G1015" s="273"/>
      <c r="H1015" s="273"/>
      <c r="I1015" s="273"/>
      <c r="J1015" s="273"/>
      <c r="K1015" s="273"/>
      <c r="L1015" s="273"/>
      <c r="M1015" s="273"/>
      <c r="N1015" s="273"/>
      <c r="O1015" s="273"/>
      <c r="P1015" s="273"/>
      <c r="Q1015" s="273"/>
      <c r="R1015" s="273"/>
      <c r="S1015" s="273"/>
      <c r="T1015" s="273"/>
      <c r="U1015" s="273"/>
      <c r="V1015" s="273"/>
      <c r="W1015" s="273">
        <f t="shared" si="223"/>
        <v>218662.27</v>
      </c>
      <c r="Z1015" s="271"/>
      <c r="AA1015" s="271"/>
      <c r="AB1015" s="13"/>
      <c r="AC1015" s="271">
        <v>218662.27</v>
      </c>
      <c r="AE1015" s="271"/>
      <c r="AF1015" s="271"/>
      <c r="AI1015" s="13"/>
      <c r="AJ1015" s="13"/>
    </row>
    <row r="1016" spans="1:36" x14ac:dyDescent="0.3">
      <c r="A1016" s="10">
        <f t="shared" si="226"/>
        <v>907</v>
      </c>
      <c r="B1016" s="124" t="s">
        <v>1243</v>
      </c>
      <c r="C1016" s="273">
        <f t="shared" si="224"/>
        <v>154570</v>
      </c>
      <c r="D1016" s="273">
        <f t="shared" si="225"/>
        <v>0</v>
      </c>
      <c r="E1016" s="273"/>
      <c r="F1016" s="273"/>
      <c r="G1016" s="273"/>
      <c r="H1016" s="273"/>
      <c r="I1016" s="273"/>
      <c r="J1016" s="273"/>
      <c r="K1016" s="273"/>
      <c r="L1016" s="273"/>
      <c r="M1016" s="273"/>
      <c r="N1016" s="273"/>
      <c r="O1016" s="273"/>
      <c r="P1016" s="273"/>
      <c r="Q1016" s="273"/>
      <c r="R1016" s="273"/>
      <c r="S1016" s="273"/>
      <c r="T1016" s="273">
        <v>13</v>
      </c>
      <c r="U1016" s="273">
        <f>T1016*11890</f>
        <v>154570</v>
      </c>
      <c r="V1016" s="273"/>
      <c r="W1016" s="273">
        <f t="shared" si="223"/>
        <v>0</v>
      </c>
      <c r="Z1016" s="271"/>
      <c r="AA1016" s="271"/>
      <c r="AB1016" s="13"/>
      <c r="AC1016" s="271"/>
      <c r="AE1016" s="271"/>
      <c r="AF1016" s="271"/>
      <c r="AI1016" s="13"/>
      <c r="AJ1016" s="13"/>
    </row>
    <row r="1017" spans="1:36" x14ac:dyDescent="0.3">
      <c r="A1017" s="10">
        <f t="shared" si="226"/>
        <v>908</v>
      </c>
      <c r="B1017" s="124" t="s">
        <v>1244</v>
      </c>
      <c r="C1017" s="273">
        <f t="shared" si="224"/>
        <v>82892.84</v>
      </c>
      <c r="D1017" s="273">
        <f t="shared" si="225"/>
        <v>0</v>
      </c>
      <c r="E1017" s="273"/>
      <c r="F1017" s="273"/>
      <c r="G1017" s="273"/>
      <c r="H1017" s="273"/>
      <c r="I1017" s="273"/>
      <c r="J1017" s="273"/>
      <c r="K1017" s="273"/>
      <c r="L1017" s="273"/>
      <c r="M1017" s="273"/>
      <c r="N1017" s="273"/>
      <c r="O1017" s="273"/>
      <c r="P1017" s="273"/>
      <c r="Q1017" s="273"/>
      <c r="R1017" s="273"/>
      <c r="S1017" s="273"/>
      <c r="T1017" s="273"/>
      <c r="U1017" s="273"/>
      <c r="V1017" s="273"/>
      <c r="W1017" s="273">
        <f t="shared" si="223"/>
        <v>82892.84</v>
      </c>
      <c r="Z1017" s="271"/>
      <c r="AA1017" s="271"/>
      <c r="AB1017" s="13"/>
      <c r="AC1017" s="271">
        <v>82892.84</v>
      </c>
      <c r="AE1017" s="271"/>
      <c r="AF1017" s="271"/>
      <c r="AI1017" s="13"/>
      <c r="AJ1017" s="13"/>
    </row>
    <row r="1018" spans="1:36" x14ac:dyDescent="0.3">
      <c r="A1018" s="10">
        <f t="shared" si="226"/>
        <v>909</v>
      </c>
      <c r="B1018" s="124" t="s">
        <v>1245</v>
      </c>
      <c r="C1018" s="273">
        <f t="shared" si="224"/>
        <v>133856.1</v>
      </c>
      <c r="D1018" s="273">
        <f t="shared" si="225"/>
        <v>0</v>
      </c>
      <c r="E1018" s="273"/>
      <c r="F1018" s="273"/>
      <c r="G1018" s="273"/>
      <c r="H1018" s="273"/>
      <c r="I1018" s="273"/>
      <c r="J1018" s="273"/>
      <c r="K1018" s="273"/>
      <c r="L1018" s="273"/>
      <c r="M1018" s="273"/>
      <c r="N1018" s="273"/>
      <c r="O1018" s="273"/>
      <c r="P1018" s="273"/>
      <c r="Q1018" s="273"/>
      <c r="R1018" s="273"/>
      <c r="S1018" s="273"/>
      <c r="T1018" s="273"/>
      <c r="U1018" s="273"/>
      <c r="V1018" s="273"/>
      <c r="W1018" s="273">
        <f t="shared" si="223"/>
        <v>133856.1</v>
      </c>
      <c r="Z1018" s="271"/>
      <c r="AA1018" s="271"/>
      <c r="AB1018" s="13"/>
      <c r="AC1018" s="271">
        <v>133856.1</v>
      </c>
      <c r="AE1018" s="271"/>
      <c r="AF1018" s="271"/>
      <c r="AI1018" s="13"/>
      <c r="AJ1018" s="13"/>
    </row>
    <row r="1019" spans="1:36" x14ac:dyDescent="0.3">
      <c r="A1019" s="10">
        <f t="shared" si="226"/>
        <v>910</v>
      </c>
      <c r="B1019" s="124" t="s">
        <v>1246</v>
      </c>
      <c r="C1019" s="273">
        <f t="shared" si="224"/>
        <v>108226.73</v>
      </c>
      <c r="D1019" s="273">
        <f t="shared" si="225"/>
        <v>0</v>
      </c>
      <c r="E1019" s="273"/>
      <c r="F1019" s="273"/>
      <c r="G1019" s="273"/>
      <c r="H1019" s="273"/>
      <c r="I1019" s="273"/>
      <c r="J1019" s="273"/>
      <c r="K1019" s="273"/>
      <c r="L1019" s="273"/>
      <c r="M1019" s="273"/>
      <c r="N1019" s="273"/>
      <c r="O1019" s="273"/>
      <c r="P1019" s="273"/>
      <c r="Q1019" s="273"/>
      <c r="R1019" s="273"/>
      <c r="S1019" s="273"/>
      <c r="T1019" s="273"/>
      <c r="U1019" s="273"/>
      <c r="V1019" s="273"/>
      <c r="W1019" s="273">
        <f t="shared" si="223"/>
        <v>108226.73</v>
      </c>
      <c r="Z1019" s="271"/>
      <c r="AA1019" s="271"/>
      <c r="AB1019" s="13"/>
      <c r="AC1019" s="271">
        <v>108226.73</v>
      </c>
      <c r="AE1019" s="271"/>
      <c r="AF1019" s="271"/>
      <c r="AI1019" s="13"/>
      <c r="AJ1019" s="13"/>
    </row>
    <row r="1020" spans="1:36" x14ac:dyDescent="0.3">
      <c r="A1020" s="10">
        <f t="shared" si="226"/>
        <v>911</v>
      </c>
      <c r="B1020" s="124" t="s">
        <v>1248</v>
      </c>
      <c r="C1020" s="273">
        <f t="shared" si="224"/>
        <v>235729</v>
      </c>
      <c r="D1020" s="273">
        <f t="shared" si="225"/>
        <v>0</v>
      </c>
      <c r="E1020" s="273"/>
      <c r="F1020" s="273"/>
      <c r="G1020" s="273"/>
      <c r="H1020" s="273"/>
      <c r="I1020" s="273"/>
      <c r="J1020" s="273"/>
      <c r="K1020" s="273"/>
      <c r="L1020" s="273"/>
      <c r="M1020" s="273">
        <v>13</v>
      </c>
      <c r="N1020" s="273">
        <f>6243*M1020</f>
        <v>81159</v>
      </c>
      <c r="O1020" s="261"/>
      <c r="P1020" s="273"/>
      <c r="Q1020" s="273"/>
      <c r="R1020" s="273"/>
      <c r="S1020" s="273"/>
      <c r="T1020" s="273">
        <v>13</v>
      </c>
      <c r="U1020" s="273">
        <f>T1020*11890</f>
        <v>154570</v>
      </c>
      <c r="V1020" s="273"/>
      <c r="W1020" s="273">
        <f t="shared" si="223"/>
        <v>0</v>
      </c>
      <c r="Z1020" s="271"/>
      <c r="AA1020" s="271"/>
      <c r="AB1020" s="13"/>
      <c r="AC1020" s="271"/>
      <c r="AE1020" s="271"/>
      <c r="AF1020" s="271"/>
      <c r="AI1020" s="13"/>
      <c r="AJ1020" s="13"/>
    </row>
    <row r="1021" spans="1:36" x14ac:dyDescent="0.3">
      <c r="A1021" s="10">
        <f t="shared" si="226"/>
        <v>912</v>
      </c>
      <c r="B1021" s="124" t="s">
        <v>1249</v>
      </c>
      <c r="C1021" s="273">
        <f t="shared" si="224"/>
        <v>184061.24</v>
      </c>
      <c r="D1021" s="273">
        <f t="shared" si="225"/>
        <v>0</v>
      </c>
      <c r="E1021" s="273"/>
      <c r="F1021" s="273"/>
      <c r="G1021" s="273"/>
      <c r="H1021" s="273"/>
      <c r="I1021" s="273"/>
      <c r="J1021" s="273"/>
      <c r="K1021" s="273"/>
      <c r="L1021" s="273"/>
      <c r="M1021" s="273"/>
      <c r="N1021" s="273"/>
      <c r="O1021" s="273"/>
      <c r="P1021" s="273"/>
      <c r="Q1021" s="273"/>
      <c r="R1021" s="273"/>
      <c r="S1021" s="273"/>
      <c r="T1021" s="273"/>
      <c r="U1021" s="273"/>
      <c r="V1021" s="273"/>
      <c r="W1021" s="273">
        <f t="shared" si="223"/>
        <v>184061.24</v>
      </c>
      <c r="Z1021" s="271"/>
      <c r="AA1021" s="271"/>
      <c r="AB1021" s="13"/>
      <c r="AC1021" s="271"/>
      <c r="AE1021" s="271">
        <v>184061.24</v>
      </c>
      <c r="AF1021" s="271"/>
      <c r="AI1021" s="13"/>
      <c r="AJ1021" s="13"/>
    </row>
    <row r="1022" spans="1:36" x14ac:dyDescent="0.3">
      <c r="A1022" s="10">
        <f t="shared" si="226"/>
        <v>913</v>
      </c>
      <c r="B1022" s="124" t="s">
        <v>1250</v>
      </c>
      <c r="C1022" s="273">
        <f t="shared" si="224"/>
        <v>146189.24</v>
      </c>
      <c r="D1022" s="273">
        <f t="shared" si="225"/>
        <v>0</v>
      </c>
      <c r="E1022" s="273"/>
      <c r="F1022" s="273"/>
      <c r="G1022" s="273"/>
      <c r="H1022" s="273"/>
      <c r="I1022" s="273"/>
      <c r="J1022" s="273"/>
      <c r="K1022" s="273"/>
      <c r="L1022" s="273"/>
      <c r="M1022" s="273"/>
      <c r="N1022" s="273"/>
      <c r="O1022" s="273"/>
      <c r="P1022" s="273"/>
      <c r="Q1022" s="273"/>
      <c r="R1022" s="273"/>
      <c r="S1022" s="273"/>
      <c r="T1022" s="273"/>
      <c r="U1022" s="273"/>
      <c r="V1022" s="273"/>
      <c r="W1022" s="273">
        <f t="shared" si="223"/>
        <v>146189.24</v>
      </c>
      <c r="Z1022" s="271"/>
      <c r="AA1022" s="271"/>
      <c r="AB1022" s="13"/>
      <c r="AC1022" s="271"/>
      <c r="AE1022" s="271">
        <v>146189.24</v>
      </c>
      <c r="AF1022" s="271"/>
      <c r="AI1022" s="13"/>
      <c r="AJ1022" s="13"/>
    </row>
    <row r="1023" spans="1:36" x14ac:dyDescent="0.3">
      <c r="A1023" s="10">
        <f t="shared" si="226"/>
        <v>914</v>
      </c>
      <c r="B1023" s="124" t="s">
        <v>1251</v>
      </c>
      <c r="C1023" s="273">
        <f t="shared" si="224"/>
        <v>203273.47</v>
      </c>
      <c r="D1023" s="273">
        <f t="shared" si="225"/>
        <v>0</v>
      </c>
      <c r="E1023" s="273"/>
      <c r="F1023" s="273"/>
      <c r="G1023" s="273"/>
      <c r="H1023" s="273"/>
      <c r="I1023" s="273"/>
      <c r="J1023" s="273"/>
      <c r="K1023" s="273"/>
      <c r="L1023" s="273"/>
      <c r="M1023" s="273"/>
      <c r="N1023" s="273"/>
      <c r="O1023" s="273"/>
      <c r="P1023" s="273"/>
      <c r="Q1023" s="273"/>
      <c r="R1023" s="273"/>
      <c r="S1023" s="273"/>
      <c r="T1023" s="273"/>
      <c r="U1023" s="273"/>
      <c r="V1023" s="273"/>
      <c r="W1023" s="273">
        <f t="shared" si="223"/>
        <v>203273.47</v>
      </c>
      <c r="Z1023" s="271"/>
      <c r="AA1023" s="271"/>
      <c r="AB1023" s="13"/>
      <c r="AC1023" s="271">
        <v>203273.47</v>
      </c>
      <c r="AE1023" s="271"/>
      <c r="AF1023" s="271"/>
      <c r="AI1023" s="13"/>
      <c r="AJ1023" s="13"/>
    </row>
    <row r="1024" spans="1:36" x14ac:dyDescent="0.3">
      <c r="A1024" s="10">
        <f t="shared" si="226"/>
        <v>915</v>
      </c>
      <c r="B1024" s="124" t="s">
        <v>1252</v>
      </c>
      <c r="C1024" s="273">
        <f t="shared" si="224"/>
        <v>179018.53</v>
      </c>
      <c r="D1024" s="273">
        <f t="shared" si="225"/>
        <v>0</v>
      </c>
      <c r="E1024" s="273"/>
      <c r="F1024" s="273"/>
      <c r="G1024" s="273"/>
      <c r="H1024" s="273"/>
      <c r="I1024" s="273"/>
      <c r="J1024" s="273"/>
      <c r="K1024" s="273"/>
      <c r="L1024" s="273"/>
      <c r="M1024" s="273"/>
      <c r="N1024" s="273"/>
      <c r="O1024" s="273"/>
      <c r="P1024" s="273"/>
      <c r="Q1024" s="273"/>
      <c r="R1024" s="273"/>
      <c r="S1024" s="273"/>
      <c r="T1024" s="273"/>
      <c r="U1024" s="273"/>
      <c r="V1024" s="273"/>
      <c r="W1024" s="273">
        <f t="shared" si="223"/>
        <v>179018.53</v>
      </c>
      <c r="Z1024" s="271"/>
      <c r="AA1024" s="271"/>
      <c r="AB1024" s="13"/>
      <c r="AC1024" s="271">
        <v>179018.53</v>
      </c>
      <c r="AE1024" s="271"/>
      <c r="AF1024" s="271"/>
      <c r="AI1024" s="13"/>
      <c r="AJ1024" s="13"/>
    </row>
    <row r="1025" spans="1:36" x14ac:dyDescent="0.3">
      <c r="A1025" s="10">
        <f t="shared" si="226"/>
        <v>916</v>
      </c>
      <c r="B1025" s="124" t="s">
        <v>1253</v>
      </c>
      <c r="C1025" s="273">
        <f t="shared" si="224"/>
        <v>166076.68</v>
      </c>
      <c r="D1025" s="273">
        <f t="shared" si="225"/>
        <v>0</v>
      </c>
      <c r="E1025" s="273"/>
      <c r="F1025" s="273"/>
      <c r="G1025" s="273"/>
      <c r="H1025" s="273"/>
      <c r="I1025" s="273"/>
      <c r="J1025" s="273"/>
      <c r="K1025" s="273"/>
      <c r="L1025" s="273"/>
      <c r="M1025" s="273"/>
      <c r="N1025" s="273"/>
      <c r="O1025" s="273"/>
      <c r="P1025" s="273"/>
      <c r="Q1025" s="273"/>
      <c r="R1025" s="273"/>
      <c r="S1025" s="273"/>
      <c r="T1025" s="273"/>
      <c r="U1025" s="273"/>
      <c r="V1025" s="273"/>
      <c r="W1025" s="273">
        <f t="shared" si="223"/>
        <v>166076.68</v>
      </c>
      <c r="Z1025" s="271"/>
      <c r="AA1025" s="271"/>
      <c r="AB1025" s="13"/>
      <c r="AC1025" s="271">
        <v>166076.68</v>
      </c>
      <c r="AE1025" s="271"/>
      <c r="AF1025" s="271"/>
      <c r="AI1025" s="13"/>
      <c r="AJ1025" s="13"/>
    </row>
    <row r="1026" spans="1:36" x14ac:dyDescent="0.3">
      <c r="A1026" s="10">
        <f t="shared" si="226"/>
        <v>917</v>
      </c>
      <c r="B1026" s="124" t="s">
        <v>1254</v>
      </c>
      <c r="C1026" s="273">
        <f t="shared" si="224"/>
        <v>113522.3</v>
      </c>
      <c r="D1026" s="273">
        <f t="shared" si="225"/>
        <v>0</v>
      </c>
      <c r="E1026" s="273"/>
      <c r="F1026" s="273"/>
      <c r="G1026" s="273"/>
      <c r="H1026" s="273"/>
      <c r="I1026" s="273"/>
      <c r="J1026" s="273"/>
      <c r="K1026" s="273"/>
      <c r="L1026" s="273"/>
      <c r="M1026" s="273"/>
      <c r="N1026" s="273"/>
      <c r="O1026" s="273"/>
      <c r="P1026" s="273"/>
      <c r="Q1026" s="273"/>
      <c r="R1026" s="273"/>
      <c r="S1026" s="273"/>
      <c r="T1026" s="273"/>
      <c r="U1026" s="273"/>
      <c r="V1026" s="273"/>
      <c r="W1026" s="273">
        <f t="shared" si="223"/>
        <v>113522.3</v>
      </c>
      <c r="Z1026" s="271"/>
      <c r="AA1026" s="271"/>
      <c r="AB1026" s="13"/>
      <c r="AC1026" s="271">
        <v>113522.3</v>
      </c>
      <c r="AE1026" s="271"/>
      <c r="AF1026" s="271"/>
      <c r="AI1026" s="13"/>
      <c r="AJ1026" s="13"/>
    </row>
    <row r="1027" spans="1:36" x14ac:dyDescent="0.3">
      <c r="A1027" s="10">
        <f t="shared" si="226"/>
        <v>918</v>
      </c>
      <c r="B1027" s="124" t="s">
        <v>1255</v>
      </c>
      <c r="C1027" s="273">
        <f t="shared" si="224"/>
        <v>103827.53</v>
      </c>
      <c r="D1027" s="273">
        <f t="shared" si="225"/>
        <v>0</v>
      </c>
      <c r="E1027" s="273"/>
      <c r="F1027" s="273"/>
      <c r="G1027" s="273"/>
      <c r="H1027" s="273"/>
      <c r="I1027" s="273"/>
      <c r="J1027" s="273"/>
      <c r="K1027" s="273"/>
      <c r="L1027" s="273"/>
      <c r="M1027" s="273"/>
      <c r="N1027" s="273"/>
      <c r="O1027" s="273"/>
      <c r="P1027" s="273"/>
      <c r="Q1027" s="273"/>
      <c r="R1027" s="273"/>
      <c r="S1027" s="273"/>
      <c r="T1027" s="273"/>
      <c r="U1027" s="273"/>
      <c r="V1027" s="273"/>
      <c r="W1027" s="273">
        <f t="shared" si="223"/>
        <v>103827.53</v>
      </c>
      <c r="Z1027" s="271"/>
      <c r="AA1027" s="271"/>
      <c r="AB1027" s="13"/>
      <c r="AC1027" s="271">
        <v>103827.53</v>
      </c>
      <c r="AE1027" s="271"/>
      <c r="AF1027" s="271"/>
      <c r="AI1027" s="13"/>
      <c r="AJ1027" s="13"/>
    </row>
    <row r="1028" spans="1:36" x14ac:dyDescent="0.3">
      <c r="A1028" s="10">
        <f t="shared" si="226"/>
        <v>919</v>
      </c>
      <c r="B1028" s="124" t="s">
        <v>1256</v>
      </c>
      <c r="C1028" s="273">
        <f t="shared" si="224"/>
        <v>7597283.6799999997</v>
      </c>
      <c r="D1028" s="273">
        <f t="shared" si="225"/>
        <v>0</v>
      </c>
      <c r="E1028" s="273"/>
      <c r="F1028" s="273"/>
      <c r="G1028" s="273"/>
      <c r="H1028" s="273"/>
      <c r="I1028" s="273"/>
      <c r="J1028" s="273"/>
      <c r="K1028" s="273"/>
      <c r="L1028" s="273"/>
      <c r="M1028" s="273"/>
      <c r="N1028" s="273"/>
      <c r="O1028" s="261">
        <v>437.9</v>
      </c>
      <c r="P1028" s="273">
        <v>7597283.6799999997</v>
      </c>
      <c r="Q1028" s="273"/>
      <c r="R1028" s="273"/>
      <c r="S1028" s="273"/>
      <c r="T1028" s="273"/>
      <c r="U1028" s="273"/>
      <c r="V1028" s="273"/>
      <c r="W1028" s="273">
        <f t="shared" si="223"/>
        <v>0</v>
      </c>
      <c r="Z1028" s="271"/>
      <c r="AA1028" s="271"/>
      <c r="AB1028" s="13"/>
      <c r="AC1028" s="271"/>
      <c r="AE1028" s="271"/>
      <c r="AF1028" s="271"/>
      <c r="AI1028" s="13"/>
      <c r="AJ1028" s="13"/>
    </row>
    <row r="1029" spans="1:36" x14ac:dyDescent="0.3">
      <c r="A1029" s="10">
        <f t="shared" si="226"/>
        <v>920</v>
      </c>
      <c r="B1029" s="124" t="s">
        <v>1257</v>
      </c>
      <c r="C1029" s="273">
        <f t="shared" si="224"/>
        <v>123849.7</v>
      </c>
      <c r="D1029" s="273">
        <f t="shared" si="225"/>
        <v>0</v>
      </c>
      <c r="E1029" s="273"/>
      <c r="F1029" s="273"/>
      <c r="G1029" s="273"/>
      <c r="H1029" s="273"/>
      <c r="I1029" s="273"/>
      <c r="J1029" s="273"/>
      <c r="K1029" s="273"/>
      <c r="L1029" s="273"/>
      <c r="M1029" s="273"/>
      <c r="N1029" s="273"/>
      <c r="O1029" s="273"/>
      <c r="P1029" s="273"/>
      <c r="Q1029" s="273"/>
      <c r="R1029" s="273"/>
      <c r="S1029" s="273"/>
      <c r="T1029" s="273"/>
      <c r="U1029" s="273"/>
      <c r="V1029" s="273"/>
      <c r="W1029" s="273">
        <f t="shared" si="223"/>
        <v>123849.7</v>
      </c>
      <c r="Z1029" s="271"/>
      <c r="AA1029" s="271"/>
      <c r="AB1029" s="13"/>
      <c r="AC1029" s="271">
        <v>123849.7</v>
      </c>
      <c r="AE1029" s="271"/>
      <c r="AF1029" s="271"/>
      <c r="AI1029" s="13"/>
      <c r="AJ1029" s="13"/>
    </row>
    <row r="1030" spans="1:36" x14ac:dyDescent="0.3">
      <c r="A1030" s="10">
        <f t="shared" si="226"/>
        <v>921</v>
      </c>
      <c r="B1030" s="124" t="s">
        <v>1258</v>
      </c>
      <c r="C1030" s="273">
        <f t="shared" si="224"/>
        <v>243339.5</v>
      </c>
      <c r="D1030" s="273">
        <f t="shared" si="225"/>
        <v>0</v>
      </c>
      <c r="E1030" s="273"/>
      <c r="F1030" s="273"/>
      <c r="G1030" s="273"/>
      <c r="H1030" s="273"/>
      <c r="I1030" s="273"/>
      <c r="J1030" s="273"/>
      <c r="K1030" s="273"/>
      <c r="L1030" s="273"/>
      <c r="M1030" s="273"/>
      <c r="N1030" s="273"/>
      <c r="O1030" s="273"/>
      <c r="P1030" s="273"/>
      <c r="Q1030" s="273"/>
      <c r="R1030" s="273"/>
      <c r="S1030" s="273"/>
      <c r="T1030" s="273"/>
      <c r="U1030" s="273"/>
      <c r="V1030" s="273"/>
      <c r="W1030" s="273">
        <f t="shared" si="223"/>
        <v>243339.5</v>
      </c>
      <c r="Z1030" s="271"/>
      <c r="AA1030" s="271"/>
      <c r="AB1030" s="13"/>
      <c r="AC1030" s="271"/>
      <c r="AE1030" s="271">
        <v>243339.5</v>
      </c>
      <c r="AF1030" s="271"/>
      <c r="AI1030" s="13"/>
      <c r="AJ1030" s="13"/>
    </row>
    <row r="1031" spans="1:36" x14ac:dyDescent="0.3">
      <c r="A1031" s="10">
        <f t="shared" si="226"/>
        <v>922</v>
      </c>
      <c r="B1031" s="124" t="s">
        <v>1259</v>
      </c>
      <c r="C1031" s="273">
        <f t="shared" si="224"/>
        <v>180534.61</v>
      </c>
      <c r="D1031" s="273">
        <f t="shared" si="225"/>
        <v>0</v>
      </c>
      <c r="E1031" s="273"/>
      <c r="F1031" s="273"/>
      <c r="G1031" s="273"/>
      <c r="H1031" s="273"/>
      <c r="I1031" s="273"/>
      <c r="J1031" s="273"/>
      <c r="K1031" s="273"/>
      <c r="L1031" s="273"/>
      <c r="M1031" s="273"/>
      <c r="N1031" s="273"/>
      <c r="O1031" s="273"/>
      <c r="P1031" s="273"/>
      <c r="Q1031" s="273"/>
      <c r="R1031" s="273"/>
      <c r="S1031" s="273"/>
      <c r="T1031" s="273"/>
      <c r="U1031" s="273"/>
      <c r="V1031" s="273"/>
      <c r="W1031" s="273">
        <f t="shared" si="223"/>
        <v>180534.61</v>
      </c>
      <c r="Z1031" s="271"/>
      <c r="AA1031" s="271"/>
      <c r="AB1031" s="13"/>
      <c r="AC1031" s="271">
        <v>180534.61</v>
      </c>
      <c r="AE1031" s="271"/>
      <c r="AF1031" s="271"/>
      <c r="AI1031" s="13"/>
      <c r="AJ1031" s="13"/>
    </row>
    <row r="1032" spans="1:36" x14ac:dyDescent="0.3">
      <c r="A1032" s="10">
        <f t="shared" si="226"/>
        <v>923</v>
      </c>
      <c r="B1032" s="124" t="s">
        <v>1260</v>
      </c>
      <c r="C1032" s="273">
        <f t="shared" si="224"/>
        <v>205988.27</v>
      </c>
      <c r="D1032" s="273">
        <f t="shared" si="225"/>
        <v>0</v>
      </c>
      <c r="E1032" s="273"/>
      <c r="F1032" s="273"/>
      <c r="G1032" s="273"/>
      <c r="H1032" s="273"/>
      <c r="I1032" s="273"/>
      <c r="J1032" s="273"/>
      <c r="K1032" s="273"/>
      <c r="L1032" s="273"/>
      <c r="M1032" s="273"/>
      <c r="N1032" s="273"/>
      <c r="O1032" s="273"/>
      <c r="P1032" s="273"/>
      <c r="Q1032" s="273"/>
      <c r="R1032" s="273"/>
      <c r="S1032" s="273"/>
      <c r="T1032" s="273"/>
      <c r="U1032" s="273"/>
      <c r="V1032" s="273"/>
      <c r="W1032" s="273">
        <f t="shared" si="223"/>
        <v>205988.27</v>
      </c>
      <c r="Z1032" s="271"/>
      <c r="AA1032" s="271"/>
      <c r="AB1032" s="13"/>
      <c r="AC1032" s="271"/>
      <c r="AE1032" s="271">
        <v>205988.27</v>
      </c>
      <c r="AF1032" s="271"/>
      <c r="AI1032" s="13"/>
      <c r="AJ1032" s="13"/>
    </row>
    <row r="1033" spans="1:36" x14ac:dyDescent="0.3">
      <c r="A1033" s="10">
        <f t="shared" si="226"/>
        <v>924</v>
      </c>
      <c r="B1033" s="124" t="s">
        <v>1261</v>
      </c>
      <c r="C1033" s="273">
        <f t="shared" si="224"/>
        <v>124137.74</v>
      </c>
      <c r="D1033" s="273">
        <f t="shared" si="225"/>
        <v>0</v>
      </c>
      <c r="E1033" s="273"/>
      <c r="F1033" s="273"/>
      <c r="G1033" s="273"/>
      <c r="H1033" s="273"/>
      <c r="I1033" s="273"/>
      <c r="J1033" s="273"/>
      <c r="K1033" s="273"/>
      <c r="L1033" s="273"/>
      <c r="M1033" s="273"/>
      <c r="N1033" s="273"/>
      <c r="O1033" s="273"/>
      <c r="P1033" s="273"/>
      <c r="Q1033" s="273"/>
      <c r="R1033" s="273"/>
      <c r="S1033" s="273"/>
      <c r="T1033" s="273"/>
      <c r="U1033" s="273"/>
      <c r="V1033" s="273"/>
      <c r="W1033" s="273">
        <f t="shared" si="223"/>
        <v>124137.74</v>
      </c>
      <c r="Z1033" s="271"/>
      <c r="AA1033" s="271"/>
      <c r="AB1033" s="13"/>
      <c r="AC1033" s="271">
        <v>124137.74</v>
      </c>
      <c r="AE1033" s="271"/>
      <c r="AF1033" s="271"/>
      <c r="AI1033" s="13"/>
      <c r="AJ1033" s="13"/>
    </row>
    <row r="1034" spans="1:36" x14ac:dyDescent="0.3">
      <c r="A1034" s="10">
        <f t="shared" si="226"/>
        <v>925</v>
      </c>
      <c r="B1034" s="124" t="s">
        <v>1262</v>
      </c>
      <c r="C1034" s="273">
        <f t="shared" si="224"/>
        <v>110175.43</v>
      </c>
      <c r="D1034" s="273">
        <f t="shared" si="225"/>
        <v>0</v>
      </c>
      <c r="E1034" s="273"/>
      <c r="F1034" s="273"/>
      <c r="G1034" s="273"/>
      <c r="H1034" s="273"/>
      <c r="I1034" s="273"/>
      <c r="J1034" s="273"/>
      <c r="K1034" s="273"/>
      <c r="L1034" s="273"/>
      <c r="M1034" s="273"/>
      <c r="N1034" s="273"/>
      <c r="O1034" s="273"/>
      <c r="P1034" s="273"/>
      <c r="Q1034" s="273"/>
      <c r="R1034" s="273"/>
      <c r="S1034" s="273"/>
      <c r="T1034" s="273"/>
      <c r="U1034" s="273"/>
      <c r="V1034" s="273"/>
      <c r="W1034" s="273">
        <f t="shared" si="223"/>
        <v>110175.43</v>
      </c>
      <c r="Z1034" s="271"/>
      <c r="AA1034" s="271"/>
      <c r="AB1034" s="13"/>
      <c r="AC1034" s="271">
        <v>110175.43</v>
      </c>
      <c r="AE1034" s="271"/>
      <c r="AF1034" s="271"/>
      <c r="AI1034" s="13"/>
      <c r="AJ1034" s="13"/>
    </row>
    <row r="1035" spans="1:36" x14ac:dyDescent="0.3">
      <c r="A1035" s="10">
        <f t="shared" si="226"/>
        <v>926</v>
      </c>
      <c r="B1035" s="124" t="s">
        <v>1265</v>
      </c>
      <c r="C1035" s="273">
        <f t="shared" si="224"/>
        <v>816219.56</v>
      </c>
      <c r="D1035" s="273">
        <f t="shared" si="225"/>
        <v>0</v>
      </c>
      <c r="E1035" s="273"/>
      <c r="F1035" s="273"/>
      <c r="G1035" s="273"/>
      <c r="H1035" s="273"/>
      <c r="I1035" s="273"/>
      <c r="J1035" s="273"/>
      <c r="K1035" s="273"/>
      <c r="L1035" s="273"/>
      <c r="M1035" s="273"/>
      <c r="N1035" s="273"/>
      <c r="O1035" s="273"/>
      <c r="P1035" s="273"/>
      <c r="Q1035" s="273"/>
      <c r="R1035" s="273"/>
      <c r="S1035" s="273"/>
      <c r="T1035" s="273"/>
      <c r="U1035" s="273"/>
      <c r="V1035" s="273"/>
      <c r="W1035" s="273">
        <f t="shared" si="223"/>
        <v>816219.56</v>
      </c>
      <c r="Z1035" s="271"/>
      <c r="AA1035" s="13"/>
      <c r="AB1035" s="13"/>
      <c r="AC1035" s="271"/>
      <c r="AE1035" s="271">
        <v>816219.56</v>
      </c>
      <c r="AF1035" s="271"/>
      <c r="AI1035" s="13"/>
      <c r="AJ1035" s="13"/>
    </row>
    <row r="1036" spans="1:36" x14ac:dyDescent="0.3">
      <c r="A1036" s="10">
        <f t="shared" si="226"/>
        <v>927</v>
      </c>
      <c r="B1036" s="124" t="s">
        <v>1267</v>
      </c>
      <c r="C1036" s="273">
        <f t="shared" si="224"/>
        <v>142983.28</v>
      </c>
      <c r="D1036" s="273">
        <f t="shared" si="225"/>
        <v>0</v>
      </c>
      <c r="E1036" s="273"/>
      <c r="F1036" s="273"/>
      <c r="G1036" s="273"/>
      <c r="H1036" s="273"/>
      <c r="I1036" s="273"/>
      <c r="J1036" s="273"/>
      <c r="K1036" s="273"/>
      <c r="L1036" s="273"/>
      <c r="M1036" s="273"/>
      <c r="N1036" s="273"/>
      <c r="O1036" s="273"/>
      <c r="P1036" s="273"/>
      <c r="Q1036" s="273"/>
      <c r="R1036" s="273"/>
      <c r="S1036" s="273"/>
      <c r="T1036" s="273"/>
      <c r="U1036" s="273"/>
      <c r="V1036" s="273"/>
      <c r="W1036" s="273">
        <f t="shared" si="223"/>
        <v>142983.28</v>
      </c>
      <c r="Y1036" s="36">
        <v>142983.28</v>
      </c>
      <c r="Z1036" s="13"/>
      <c r="AA1036" s="271"/>
      <c r="AB1036" s="13"/>
      <c r="AC1036" s="271"/>
      <c r="AE1036" s="269"/>
      <c r="AF1036" s="7"/>
      <c r="AI1036" s="13"/>
      <c r="AJ1036" s="13"/>
    </row>
    <row r="1037" spans="1:36" x14ac:dyDescent="0.3">
      <c r="A1037" s="10">
        <f t="shared" si="226"/>
        <v>928</v>
      </c>
      <c r="B1037" s="124" t="s">
        <v>1268</v>
      </c>
      <c r="C1037" s="273">
        <f t="shared" ref="C1037:C1050" si="227">D1037+K1037+L1037+N1037+P1037+R1037+U1037+S1037+V1037+W1037</f>
        <v>164094.95000000001</v>
      </c>
      <c r="D1037" s="273">
        <f t="shared" ref="D1037:D1050" si="228">E1037+F1037+G1037+H1037+I1037</f>
        <v>0</v>
      </c>
      <c r="E1037" s="273"/>
      <c r="F1037" s="273"/>
      <c r="G1037" s="273"/>
      <c r="H1037" s="273"/>
      <c r="I1037" s="273"/>
      <c r="J1037" s="273"/>
      <c r="K1037" s="273"/>
      <c r="L1037" s="273"/>
      <c r="M1037" s="273"/>
      <c r="N1037" s="273"/>
      <c r="O1037" s="273"/>
      <c r="P1037" s="273"/>
      <c r="Q1037" s="273"/>
      <c r="R1037" s="273"/>
      <c r="S1037" s="273"/>
      <c r="T1037" s="273"/>
      <c r="U1037" s="273"/>
      <c r="V1037" s="273"/>
      <c r="W1037" s="273">
        <f t="shared" si="223"/>
        <v>164094.95000000001</v>
      </c>
      <c r="Z1037" s="271"/>
      <c r="AA1037" s="13"/>
      <c r="AB1037" s="13"/>
      <c r="AC1037" s="271">
        <v>164094.95000000001</v>
      </c>
      <c r="AE1037" s="271"/>
      <c r="AF1037" s="271"/>
      <c r="AI1037" s="13"/>
      <c r="AJ1037" s="13"/>
    </row>
    <row r="1038" spans="1:36" x14ac:dyDescent="0.3">
      <c r="A1038" s="10">
        <f t="shared" si="226"/>
        <v>929</v>
      </c>
      <c r="B1038" s="124" t="s">
        <v>1269</v>
      </c>
      <c r="C1038" s="273">
        <f t="shared" si="227"/>
        <v>156948.91</v>
      </c>
      <c r="D1038" s="273">
        <f t="shared" si="228"/>
        <v>0</v>
      </c>
      <c r="E1038" s="273"/>
      <c r="F1038" s="273"/>
      <c r="G1038" s="273"/>
      <c r="H1038" s="273"/>
      <c r="I1038" s="273"/>
      <c r="J1038" s="273"/>
      <c r="K1038" s="273"/>
      <c r="L1038" s="273"/>
      <c r="M1038" s="273"/>
      <c r="N1038" s="273"/>
      <c r="O1038" s="273"/>
      <c r="P1038" s="273"/>
      <c r="Q1038" s="273"/>
      <c r="R1038" s="273"/>
      <c r="S1038" s="273"/>
      <c r="T1038" s="273"/>
      <c r="U1038" s="273"/>
      <c r="V1038" s="273"/>
      <c r="W1038" s="273">
        <f t="shared" si="223"/>
        <v>156948.91</v>
      </c>
      <c r="Z1038" s="271"/>
      <c r="AA1038" s="13"/>
      <c r="AB1038" s="13"/>
      <c r="AC1038" s="271">
        <v>156948.91</v>
      </c>
      <c r="AE1038" s="271"/>
      <c r="AF1038" s="271"/>
      <c r="AI1038" s="13"/>
      <c r="AJ1038" s="13"/>
    </row>
    <row r="1039" spans="1:36" x14ac:dyDescent="0.3">
      <c r="A1039" s="10">
        <f t="shared" si="226"/>
        <v>930</v>
      </c>
      <c r="B1039" s="124" t="s">
        <v>1270</v>
      </c>
      <c r="C1039" s="273">
        <f t="shared" si="227"/>
        <v>295693.98</v>
      </c>
      <c r="D1039" s="273">
        <f t="shared" si="228"/>
        <v>0</v>
      </c>
      <c r="E1039" s="273"/>
      <c r="F1039" s="273"/>
      <c r="G1039" s="273"/>
      <c r="H1039" s="273"/>
      <c r="I1039" s="273"/>
      <c r="J1039" s="273"/>
      <c r="K1039" s="273"/>
      <c r="L1039" s="273"/>
      <c r="M1039" s="273"/>
      <c r="N1039" s="273"/>
      <c r="O1039" s="273"/>
      <c r="P1039" s="273"/>
      <c r="Q1039" s="273"/>
      <c r="R1039" s="273"/>
      <c r="S1039" s="273"/>
      <c r="T1039" s="273"/>
      <c r="U1039" s="273"/>
      <c r="V1039" s="273"/>
      <c r="W1039" s="273">
        <f t="shared" si="223"/>
        <v>295693.98</v>
      </c>
      <c r="Z1039" s="271"/>
      <c r="AA1039" s="271"/>
      <c r="AB1039" s="13"/>
      <c r="AC1039" s="271"/>
      <c r="AE1039" s="271">
        <v>295693.98</v>
      </c>
      <c r="AF1039" s="271"/>
      <c r="AI1039" s="13"/>
      <c r="AJ1039" s="13"/>
    </row>
    <row r="1040" spans="1:36" x14ac:dyDescent="0.3">
      <c r="A1040" s="10">
        <f t="shared" si="226"/>
        <v>931</v>
      </c>
      <c r="B1040" s="124" t="s">
        <v>1272</v>
      </c>
      <c r="C1040" s="273">
        <f t="shared" si="227"/>
        <v>253082.83</v>
      </c>
      <c r="D1040" s="273">
        <f t="shared" si="228"/>
        <v>0</v>
      </c>
      <c r="E1040" s="273"/>
      <c r="F1040" s="273"/>
      <c r="G1040" s="273"/>
      <c r="H1040" s="273"/>
      <c r="I1040" s="273"/>
      <c r="J1040" s="273"/>
      <c r="K1040" s="273"/>
      <c r="L1040" s="273"/>
      <c r="M1040" s="273"/>
      <c r="N1040" s="273"/>
      <c r="O1040" s="273"/>
      <c r="P1040" s="273"/>
      <c r="Q1040" s="273"/>
      <c r="R1040" s="273"/>
      <c r="S1040" s="273"/>
      <c r="T1040" s="273"/>
      <c r="U1040" s="273"/>
      <c r="V1040" s="273"/>
      <c r="W1040" s="273">
        <f t="shared" ref="W1040:W1102" si="229">SUM(X1040:AH1040)</f>
        <v>253082.83</v>
      </c>
      <c r="Z1040" s="271"/>
      <c r="AA1040" s="271"/>
      <c r="AB1040" s="13"/>
      <c r="AC1040" s="271">
        <f>137749.58+115333.25</f>
        <v>253082.83</v>
      </c>
      <c r="AE1040" s="271"/>
      <c r="AF1040" s="271"/>
      <c r="AI1040" s="13"/>
      <c r="AJ1040" s="13"/>
    </row>
    <row r="1041" spans="1:36" x14ac:dyDescent="0.3">
      <c r="A1041" s="10">
        <f t="shared" si="226"/>
        <v>932</v>
      </c>
      <c r="B1041" s="124" t="s">
        <v>1273</v>
      </c>
      <c r="C1041" s="273">
        <f t="shared" si="227"/>
        <v>283437.73</v>
      </c>
      <c r="D1041" s="273">
        <f t="shared" si="228"/>
        <v>0</v>
      </c>
      <c r="E1041" s="273"/>
      <c r="F1041" s="273"/>
      <c r="G1041" s="273"/>
      <c r="H1041" s="273"/>
      <c r="I1041" s="273"/>
      <c r="J1041" s="273"/>
      <c r="K1041" s="273"/>
      <c r="L1041" s="273"/>
      <c r="M1041" s="273"/>
      <c r="N1041" s="273"/>
      <c r="O1041" s="273"/>
      <c r="P1041" s="273"/>
      <c r="Q1041" s="273"/>
      <c r="R1041" s="273"/>
      <c r="S1041" s="273"/>
      <c r="T1041" s="273"/>
      <c r="U1041" s="273"/>
      <c r="V1041" s="273"/>
      <c r="W1041" s="273">
        <f t="shared" si="229"/>
        <v>283437.73</v>
      </c>
      <c r="Z1041" s="271"/>
      <c r="AA1041" s="271"/>
      <c r="AB1041" s="13"/>
      <c r="AC1041" s="271">
        <f>160817.94+122619.79</f>
        <v>283437.73</v>
      </c>
      <c r="AE1041" s="271"/>
      <c r="AF1041" s="271"/>
      <c r="AI1041" s="13"/>
      <c r="AJ1041" s="13"/>
    </row>
    <row r="1042" spans="1:36" x14ac:dyDescent="0.3">
      <c r="A1042" s="10">
        <f t="shared" si="226"/>
        <v>933</v>
      </c>
      <c r="B1042" s="124" t="s">
        <v>1274</v>
      </c>
      <c r="C1042" s="273">
        <f t="shared" si="227"/>
        <v>225956.47999999998</v>
      </c>
      <c r="D1042" s="273">
        <f t="shared" si="228"/>
        <v>0</v>
      </c>
      <c r="E1042" s="273"/>
      <c r="F1042" s="273"/>
      <c r="G1042" s="273"/>
      <c r="H1042" s="273"/>
      <c r="I1042" s="273"/>
      <c r="J1042" s="273"/>
      <c r="K1042" s="273"/>
      <c r="L1042" s="273"/>
      <c r="M1042" s="273">
        <v>13</v>
      </c>
      <c r="N1042" s="273">
        <f>8094*M1042</f>
        <v>105222</v>
      </c>
      <c r="O1042" s="273"/>
      <c r="P1042" s="273"/>
      <c r="Q1042" s="273"/>
      <c r="R1042" s="273"/>
      <c r="S1042" s="273"/>
      <c r="T1042" s="273"/>
      <c r="U1042" s="273"/>
      <c r="V1042" s="273"/>
      <c r="W1042" s="273">
        <f t="shared" si="229"/>
        <v>120734.48</v>
      </c>
      <c r="Z1042" s="271"/>
      <c r="AA1042" s="271"/>
      <c r="AB1042" s="13"/>
      <c r="AC1042" s="271">
        <v>120734.48</v>
      </c>
      <c r="AE1042" s="271"/>
      <c r="AF1042" s="271"/>
      <c r="AI1042" s="13"/>
      <c r="AJ1042" s="13"/>
    </row>
    <row r="1043" spans="1:36" x14ac:dyDescent="0.3">
      <c r="A1043" s="10">
        <f t="shared" si="226"/>
        <v>934</v>
      </c>
      <c r="B1043" s="124" t="s">
        <v>1275</v>
      </c>
      <c r="C1043" s="273">
        <f t="shared" si="227"/>
        <v>429217.18</v>
      </c>
      <c r="D1043" s="273">
        <f t="shared" si="228"/>
        <v>0</v>
      </c>
      <c r="E1043" s="273"/>
      <c r="F1043" s="273"/>
      <c r="G1043" s="273"/>
      <c r="H1043" s="273"/>
      <c r="I1043" s="273"/>
      <c r="J1043" s="273"/>
      <c r="K1043" s="273"/>
      <c r="L1043" s="273"/>
      <c r="M1043" s="273"/>
      <c r="N1043" s="273"/>
      <c r="O1043" s="273"/>
      <c r="P1043" s="273"/>
      <c r="Q1043" s="273"/>
      <c r="R1043" s="273"/>
      <c r="S1043" s="273"/>
      <c r="T1043" s="273"/>
      <c r="U1043" s="273"/>
      <c r="V1043" s="273"/>
      <c r="W1043" s="273">
        <f t="shared" si="229"/>
        <v>429217.18</v>
      </c>
      <c r="Z1043" s="271"/>
      <c r="AA1043" s="271"/>
      <c r="AB1043" s="13"/>
      <c r="AC1043" s="271"/>
      <c r="AE1043" s="271">
        <v>429217.18</v>
      </c>
      <c r="AF1043" s="271"/>
      <c r="AI1043" s="13"/>
      <c r="AJ1043" s="13"/>
    </row>
    <row r="1044" spans="1:36" x14ac:dyDescent="0.3">
      <c r="A1044" s="10">
        <f t="shared" si="226"/>
        <v>935</v>
      </c>
      <c r="B1044" s="124" t="s">
        <v>1276</v>
      </c>
      <c r="C1044" s="273">
        <f t="shared" si="227"/>
        <v>264647.87</v>
      </c>
      <c r="D1044" s="273">
        <f t="shared" si="228"/>
        <v>0</v>
      </c>
      <c r="E1044" s="273"/>
      <c r="F1044" s="273"/>
      <c r="G1044" s="273"/>
      <c r="H1044" s="273"/>
      <c r="I1044" s="273"/>
      <c r="J1044" s="273"/>
      <c r="K1044" s="273"/>
      <c r="L1044" s="273"/>
      <c r="M1044" s="273"/>
      <c r="N1044" s="273"/>
      <c r="O1044" s="273"/>
      <c r="P1044" s="273"/>
      <c r="Q1044" s="273"/>
      <c r="R1044" s="273"/>
      <c r="S1044" s="273"/>
      <c r="T1044" s="273"/>
      <c r="U1044" s="273"/>
      <c r="V1044" s="273"/>
      <c r="W1044" s="273">
        <f t="shared" si="229"/>
        <v>264647.87</v>
      </c>
      <c r="Z1044" s="271"/>
      <c r="AA1044" s="271"/>
      <c r="AB1044" s="13"/>
      <c r="AC1044" s="271"/>
      <c r="AE1044" s="271">
        <v>264647.87</v>
      </c>
      <c r="AF1044" s="271"/>
      <c r="AI1044" s="13"/>
      <c r="AJ1044" s="13"/>
    </row>
    <row r="1045" spans="1:36" x14ac:dyDescent="0.3">
      <c r="A1045" s="10">
        <f t="shared" ref="A1045:A1056" si="230">A1044+1</f>
        <v>936</v>
      </c>
      <c r="B1045" s="124" t="s">
        <v>1277</v>
      </c>
      <c r="C1045" s="273">
        <f t="shared" si="227"/>
        <v>192996.37</v>
      </c>
      <c r="D1045" s="273">
        <f t="shared" si="228"/>
        <v>0</v>
      </c>
      <c r="E1045" s="273"/>
      <c r="F1045" s="273"/>
      <c r="G1045" s="273"/>
      <c r="H1045" s="273"/>
      <c r="I1045" s="273"/>
      <c r="J1045" s="273"/>
      <c r="K1045" s="273"/>
      <c r="L1045" s="273"/>
      <c r="M1045" s="273"/>
      <c r="N1045" s="273"/>
      <c r="O1045" s="273"/>
      <c r="P1045" s="273"/>
      <c r="Q1045" s="273"/>
      <c r="R1045" s="273"/>
      <c r="S1045" s="273"/>
      <c r="T1045" s="273"/>
      <c r="U1045" s="273"/>
      <c r="V1045" s="273"/>
      <c r="W1045" s="273">
        <f t="shared" si="229"/>
        <v>192996.37</v>
      </c>
      <c r="Z1045" s="271"/>
      <c r="AA1045" s="271"/>
      <c r="AB1045" s="13"/>
      <c r="AC1045" s="271">
        <v>192996.37</v>
      </c>
      <c r="AE1045" s="271"/>
      <c r="AF1045" s="271"/>
      <c r="AI1045" s="13"/>
      <c r="AJ1045" s="13"/>
    </row>
    <row r="1046" spans="1:36" x14ac:dyDescent="0.3">
      <c r="A1046" s="10">
        <f t="shared" si="230"/>
        <v>937</v>
      </c>
      <c r="B1046" s="124" t="s">
        <v>1278</v>
      </c>
      <c r="C1046" s="273">
        <f t="shared" si="227"/>
        <v>393829.01</v>
      </c>
      <c r="D1046" s="273">
        <f t="shared" si="228"/>
        <v>0</v>
      </c>
      <c r="E1046" s="273"/>
      <c r="F1046" s="273"/>
      <c r="G1046" s="273"/>
      <c r="H1046" s="273"/>
      <c r="I1046" s="273"/>
      <c r="J1046" s="273"/>
      <c r="K1046" s="273"/>
      <c r="L1046" s="273"/>
      <c r="M1046" s="273">
        <v>13</v>
      </c>
      <c r="N1046" s="273">
        <f>8094*M1046</f>
        <v>105222</v>
      </c>
      <c r="O1046" s="273"/>
      <c r="P1046" s="273"/>
      <c r="Q1046" s="273"/>
      <c r="R1046" s="273"/>
      <c r="S1046" s="273"/>
      <c r="T1046" s="273"/>
      <c r="U1046" s="273"/>
      <c r="V1046" s="273"/>
      <c r="W1046" s="273">
        <f t="shared" si="229"/>
        <v>288607.01</v>
      </c>
      <c r="Z1046" s="271"/>
      <c r="AA1046" s="271"/>
      <c r="AB1046" s="13"/>
      <c r="AC1046" s="271">
        <f>125053.2+163553.81</f>
        <v>288607.01</v>
      </c>
      <c r="AE1046" s="271"/>
      <c r="AF1046" s="271"/>
      <c r="AI1046" s="13"/>
      <c r="AJ1046" s="13"/>
    </row>
    <row r="1047" spans="1:36" x14ac:dyDescent="0.3">
      <c r="A1047" s="10">
        <f t="shared" si="230"/>
        <v>938</v>
      </c>
      <c r="B1047" s="124" t="s">
        <v>1279</v>
      </c>
      <c r="C1047" s="273">
        <f t="shared" si="227"/>
        <v>102014</v>
      </c>
      <c r="D1047" s="273">
        <f t="shared" si="228"/>
        <v>0</v>
      </c>
      <c r="E1047" s="273"/>
      <c r="F1047" s="273"/>
      <c r="G1047" s="273"/>
      <c r="H1047" s="273"/>
      <c r="I1047" s="273"/>
      <c r="J1047" s="273"/>
      <c r="K1047" s="273"/>
      <c r="L1047" s="273"/>
      <c r="M1047" s="273"/>
      <c r="N1047" s="273"/>
      <c r="O1047" s="273"/>
      <c r="P1047" s="273"/>
      <c r="Q1047" s="273"/>
      <c r="R1047" s="273"/>
      <c r="S1047" s="273"/>
      <c r="T1047" s="273"/>
      <c r="U1047" s="273"/>
      <c r="V1047" s="273"/>
      <c r="W1047" s="273">
        <f t="shared" si="229"/>
        <v>102014</v>
      </c>
      <c r="Z1047" s="271"/>
      <c r="AA1047" s="271"/>
      <c r="AB1047" s="13"/>
      <c r="AC1047" s="271">
        <v>102014</v>
      </c>
      <c r="AE1047" s="271"/>
      <c r="AF1047" s="271"/>
      <c r="AI1047" s="13"/>
      <c r="AJ1047" s="13"/>
    </row>
    <row r="1048" spans="1:36" x14ac:dyDescent="0.3">
      <c r="A1048" s="10">
        <f t="shared" si="230"/>
        <v>939</v>
      </c>
      <c r="B1048" s="124" t="s">
        <v>1280</v>
      </c>
      <c r="C1048" s="273">
        <f t="shared" si="227"/>
        <v>838599.64</v>
      </c>
      <c r="D1048" s="273">
        <f t="shared" si="228"/>
        <v>716506.8</v>
      </c>
      <c r="E1048" s="273">
        <v>478902</v>
      </c>
      <c r="F1048" s="273">
        <f>5502*13</f>
        <v>71526</v>
      </c>
      <c r="G1048" s="273">
        <v>166078.79999999999</v>
      </c>
      <c r="H1048" s="273"/>
      <c r="I1048" s="273"/>
      <c r="J1048" s="273"/>
      <c r="K1048" s="273"/>
      <c r="L1048" s="273"/>
      <c r="M1048" s="273"/>
      <c r="N1048" s="273"/>
      <c r="O1048" s="273"/>
      <c r="P1048" s="273"/>
      <c r="Q1048" s="273"/>
      <c r="R1048" s="273"/>
      <c r="S1048" s="273"/>
      <c r="T1048" s="273"/>
      <c r="U1048" s="273"/>
      <c r="V1048" s="273"/>
      <c r="W1048" s="273">
        <f t="shared" si="229"/>
        <v>122092.84</v>
      </c>
      <c r="Z1048" s="13"/>
      <c r="AA1048" s="13"/>
      <c r="AB1048" s="13"/>
      <c r="AC1048" s="271">
        <v>122092.84</v>
      </c>
      <c r="AE1048" s="269"/>
      <c r="AF1048" s="7"/>
      <c r="AI1048" s="13"/>
      <c r="AJ1048" s="13"/>
    </row>
    <row r="1049" spans="1:36" x14ac:dyDescent="0.3">
      <c r="A1049" s="10">
        <f t="shared" si="230"/>
        <v>940</v>
      </c>
      <c r="B1049" s="124" t="s">
        <v>1281</v>
      </c>
      <c r="C1049" s="273">
        <f t="shared" si="227"/>
        <v>331675.15000000002</v>
      </c>
      <c r="D1049" s="273">
        <f t="shared" si="228"/>
        <v>0</v>
      </c>
      <c r="E1049" s="273"/>
      <c r="F1049" s="273"/>
      <c r="G1049" s="273"/>
      <c r="H1049" s="273"/>
      <c r="I1049" s="273"/>
      <c r="J1049" s="273"/>
      <c r="K1049" s="273"/>
      <c r="L1049" s="273"/>
      <c r="M1049" s="273">
        <v>13</v>
      </c>
      <c r="N1049" s="273">
        <f>8094*M1049</f>
        <v>105222</v>
      </c>
      <c r="O1049" s="273"/>
      <c r="P1049" s="273"/>
      <c r="Q1049" s="273"/>
      <c r="R1049" s="273"/>
      <c r="S1049" s="273"/>
      <c r="T1049" s="273"/>
      <c r="U1049" s="273"/>
      <c r="V1049" s="273"/>
      <c r="W1049" s="273">
        <f t="shared" si="229"/>
        <v>226453.15</v>
      </c>
      <c r="Z1049" s="13"/>
      <c r="AA1049" s="13"/>
      <c r="AB1049" s="13"/>
      <c r="AC1049" s="271">
        <v>226453.15</v>
      </c>
      <c r="AE1049" s="269"/>
      <c r="AF1049" s="7"/>
      <c r="AI1049" s="13"/>
      <c r="AJ1049" s="13"/>
    </row>
    <row r="1050" spans="1:36" x14ac:dyDescent="0.3">
      <c r="A1050" s="10">
        <f t="shared" si="230"/>
        <v>941</v>
      </c>
      <c r="B1050" s="124" t="s">
        <v>1282</v>
      </c>
      <c r="C1050" s="273">
        <f t="shared" si="227"/>
        <v>316952.5</v>
      </c>
      <c r="D1050" s="273">
        <f t="shared" si="228"/>
        <v>0</v>
      </c>
      <c r="E1050" s="273"/>
      <c r="F1050" s="273"/>
      <c r="G1050" s="273"/>
      <c r="H1050" s="273"/>
      <c r="I1050" s="273"/>
      <c r="J1050" s="273"/>
      <c r="K1050" s="273"/>
      <c r="L1050" s="273"/>
      <c r="M1050" s="273"/>
      <c r="N1050" s="273"/>
      <c r="O1050" s="273"/>
      <c r="P1050" s="273"/>
      <c r="Q1050" s="273"/>
      <c r="R1050" s="273"/>
      <c r="S1050" s="273"/>
      <c r="T1050" s="273"/>
      <c r="U1050" s="273"/>
      <c r="V1050" s="273"/>
      <c r="W1050" s="273">
        <f t="shared" si="229"/>
        <v>316952.5</v>
      </c>
      <c r="Z1050" s="271"/>
      <c r="AA1050" s="271"/>
      <c r="AB1050" s="13"/>
      <c r="AC1050" s="271"/>
      <c r="AE1050" s="271">
        <v>316952.5</v>
      </c>
      <c r="AF1050" s="271"/>
      <c r="AI1050" s="13"/>
      <c r="AJ1050" s="13"/>
    </row>
    <row r="1051" spans="1:36" x14ac:dyDescent="0.3">
      <c r="A1051" s="10">
        <f t="shared" si="230"/>
        <v>942</v>
      </c>
      <c r="B1051" s="124" t="s">
        <v>1284</v>
      </c>
      <c r="C1051" s="273">
        <f t="shared" ref="C1051:C1109" si="231">D1051+K1051+L1051+N1051+P1051+R1051+U1051+S1051+V1051+W1051</f>
        <v>169377.32</v>
      </c>
      <c r="D1051" s="273">
        <f t="shared" ref="D1051:D1079" si="232">E1051+F1051+G1051+H1051+I1051</f>
        <v>0</v>
      </c>
      <c r="E1051" s="273"/>
      <c r="F1051" s="273"/>
      <c r="G1051" s="273"/>
      <c r="H1051" s="273"/>
      <c r="I1051" s="273"/>
      <c r="J1051" s="273"/>
      <c r="K1051" s="273"/>
      <c r="L1051" s="273"/>
      <c r="M1051" s="273"/>
      <c r="N1051" s="273"/>
      <c r="O1051" s="273"/>
      <c r="P1051" s="273"/>
      <c r="Q1051" s="273"/>
      <c r="R1051" s="273"/>
      <c r="S1051" s="273"/>
      <c r="T1051" s="273"/>
      <c r="U1051" s="273"/>
      <c r="V1051" s="273"/>
      <c r="W1051" s="273">
        <f t="shared" si="229"/>
        <v>169377.32</v>
      </c>
      <c r="Z1051" s="271"/>
      <c r="AA1051" s="271"/>
      <c r="AB1051" s="13"/>
      <c r="AC1051" s="271">
        <v>169377.32</v>
      </c>
      <c r="AE1051" s="271"/>
      <c r="AF1051" s="271"/>
      <c r="AI1051" s="13"/>
      <c r="AJ1051" s="13"/>
    </row>
    <row r="1052" spans="1:36" x14ac:dyDescent="0.3">
      <c r="A1052" s="10">
        <f t="shared" si="230"/>
        <v>943</v>
      </c>
      <c r="B1052" s="124" t="s">
        <v>1285</v>
      </c>
      <c r="C1052" s="273">
        <f t="shared" si="231"/>
        <v>349532.95</v>
      </c>
      <c r="D1052" s="273">
        <f t="shared" si="232"/>
        <v>0</v>
      </c>
      <c r="E1052" s="273"/>
      <c r="F1052" s="273"/>
      <c r="G1052" s="273"/>
      <c r="H1052" s="273"/>
      <c r="I1052" s="273"/>
      <c r="J1052" s="273"/>
      <c r="K1052" s="273"/>
      <c r="L1052" s="273"/>
      <c r="M1052" s="273"/>
      <c r="N1052" s="273"/>
      <c r="O1052" s="273"/>
      <c r="P1052" s="273"/>
      <c r="Q1052" s="273"/>
      <c r="R1052" s="273"/>
      <c r="S1052" s="273"/>
      <c r="T1052" s="273"/>
      <c r="U1052" s="273"/>
      <c r="V1052" s="273"/>
      <c r="W1052" s="273">
        <f t="shared" si="229"/>
        <v>349532.95</v>
      </c>
      <c r="Z1052" s="271"/>
      <c r="AA1052" s="271"/>
      <c r="AB1052" s="13"/>
      <c r="AC1052" s="271"/>
      <c r="AE1052" s="271">
        <v>349532.95</v>
      </c>
      <c r="AF1052" s="271"/>
      <c r="AI1052" s="13"/>
      <c r="AJ1052" s="13"/>
    </row>
    <row r="1053" spans="1:36" x14ac:dyDescent="0.3">
      <c r="A1053" s="10">
        <f t="shared" si="230"/>
        <v>944</v>
      </c>
      <c r="B1053" s="124" t="s">
        <v>1286</v>
      </c>
      <c r="C1053" s="273">
        <f t="shared" si="231"/>
        <v>952515.23</v>
      </c>
      <c r="D1053" s="273">
        <f t="shared" si="232"/>
        <v>0</v>
      </c>
      <c r="E1053" s="273"/>
      <c r="F1053" s="273"/>
      <c r="G1053" s="273"/>
      <c r="H1053" s="273"/>
      <c r="I1053" s="273"/>
      <c r="J1053" s="273"/>
      <c r="K1053" s="273"/>
      <c r="L1053" s="273"/>
      <c r="M1053" s="273"/>
      <c r="N1053" s="273"/>
      <c r="O1053" s="273"/>
      <c r="P1053" s="273"/>
      <c r="Q1053" s="273"/>
      <c r="R1053" s="273"/>
      <c r="S1053" s="273"/>
      <c r="T1053" s="273"/>
      <c r="U1053" s="273"/>
      <c r="V1053" s="273"/>
      <c r="W1053" s="273">
        <f t="shared" si="229"/>
        <v>952515.23</v>
      </c>
      <c r="Z1053" s="271"/>
      <c r="AA1053" s="13"/>
      <c r="AB1053" s="13"/>
      <c r="AC1053" s="271"/>
      <c r="AE1053" s="271">
        <v>952515.23</v>
      </c>
      <c r="AF1053" s="271"/>
      <c r="AI1053" s="13"/>
      <c r="AJ1053" s="13"/>
    </row>
    <row r="1054" spans="1:36" x14ac:dyDescent="0.3">
      <c r="A1054" s="10">
        <f t="shared" si="230"/>
        <v>945</v>
      </c>
      <c r="B1054" s="124" t="s">
        <v>1287</v>
      </c>
      <c r="C1054" s="273">
        <f t="shared" si="231"/>
        <v>185357.65</v>
      </c>
      <c r="D1054" s="273">
        <f t="shared" si="232"/>
        <v>0</v>
      </c>
      <c r="E1054" s="273"/>
      <c r="F1054" s="273"/>
      <c r="G1054" s="273"/>
      <c r="H1054" s="273"/>
      <c r="I1054" s="273"/>
      <c r="J1054" s="273"/>
      <c r="K1054" s="273"/>
      <c r="L1054" s="273"/>
      <c r="M1054" s="273"/>
      <c r="N1054" s="273"/>
      <c r="O1054" s="273"/>
      <c r="P1054" s="273"/>
      <c r="Q1054" s="273"/>
      <c r="R1054" s="273"/>
      <c r="S1054" s="273"/>
      <c r="T1054" s="273"/>
      <c r="U1054" s="273"/>
      <c r="V1054" s="273"/>
      <c r="W1054" s="273">
        <f t="shared" si="229"/>
        <v>185357.65</v>
      </c>
      <c r="Z1054" s="271"/>
      <c r="AA1054" s="271"/>
      <c r="AB1054" s="13"/>
      <c r="AC1054" s="271"/>
      <c r="AE1054" s="271"/>
      <c r="AF1054" s="271">
        <v>185357.65</v>
      </c>
      <c r="AI1054" s="13"/>
      <c r="AJ1054" s="13"/>
    </row>
    <row r="1055" spans="1:36" x14ac:dyDescent="0.3">
      <c r="A1055" s="10">
        <f t="shared" si="230"/>
        <v>946</v>
      </c>
      <c r="B1055" s="124" t="s">
        <v>1288</v>
      </c>
      <c r="C1055" s="273">
        <f t="shared" si="231"/>
        <v>163022.48000000001</v>
      </c>
      <c r="D1055" s="273">
        <f t="shared" si="232"/>
        <v>0</v>
      </c>
      <c r="E1055" s="273"/>
      <c r="F1055" s="273"/>
      <c r="G1055" s="273"/>
      <c r="H1055" s="273"/>
      <c r="I1055" s="273"/>
      <c r="J1055" s="273"/>
      <c r="K1055" s="273"/>
      <c r="L1055" s="273"/>
      <c r="M1055" s="273"/>
      <c r="N1055" s="273"/>
      <c r="O1055" s="273"/>
      <c r="P1055" s="273"/>
      <c r="Q1055" s="273"/>
      <c r="R1055" s="273"/>
      <c r="S1055" s="273"/>
      <c r="T1055" s="273"/>
      <c r="U1055" s="273"/>
      <c r="V1055" s="273"/>
      <c r="W1055" s="273">
        <f t="shared" si="229"/>
        <v>163022.48000000001</v>
      </c>
      <c r="Z1055" s="271"/>
      <c r="AA1055" s="271"/>
      <c r="AB1055" s="13"/>
      <c r="AC1055" s="271">
        <v>163022.48000000001</v>
      </c>
      <c r="AE1055" s="271"/>
      <c r="AF1055" s="271"/>
      <c r="AI1055" s="13"/>
      <c r="AJ1055" s="13"/>
    </row>
    <row r="1056" spans="1:36" x14ac:dyDescent="0.3">
      <c r="A1056" s="10">
        <f t="shared" si="230"/>
        <v>947</v>
      </c>
      <c r="B1056" s="124" t="s">
        <v>1289</v>
      </c>
      <c r="C1056" s="273">
        <f t="shared" si="231"/>
        <v>166983.91</v>
      </c>
      <c r="D1056" s="273">
        <f t="shared" si="232"/>
        <v>0</v>
      </c>
      <c r="E1056" s="273"/>
      <c r="F1056" s="273"/>
      <c r="G1056" s="273"/>
      <c r="H1056" s="273"/>
      <c r="I1056" s="273"/>
      <c r="J1056" s="273"/>
      <c r="K1056" s="273"/>
      <c r="L1056" s="273"/>
      <c r="M1056" s="273"/>
      <c r="N1056" s="273"/>
      <c r="O1056" s="273"/>
      <c r="P1056" s="273"/>
      <c r="Q1056" s="273"/>
      <c r="R1056" s="273"/>
      <c r="S1056" s="273"/>
      <c r="T1056" s="273"/>
      <c r="U1056" s="273"/>
      <c r="V1056" s="273"/>
      <c r="W1056" s="273">
        <f t="shared" si="229"/>
        <v>166983.91</v>
      </c>
      <c r="Z1056" s="271"/>
      <c r="AA1056" s="271"/>
      <c r="AB1056" s="13"/>
      <c r="AC1056" s="271"/>
      <c r="AE1056" s="271"/>
      <c r="AF1056" s="271">
        <v>166983.91</v>
      </c>
      <c r="AI1056" s="13"/>
      <c r="AJ1056" s="13"/>
    </row>
    <row r="1057" spans="1:36" x14ac:dyDescent="0.3">
      <c r="A1057" s="10">
        <f t="shared" ref="A1057:A1110" si="233">A1056+1</f>
        <v>948</v>
      </c>
      <c r="B1057" s="124" t="s">
        <v>1290</v>
      </c>
      <c r="C1057" s="273">
        <f t="shared" si="231"/>
        <v>476945.81</v>
      </c>
      <c r="D1057" s="273">
        <f t="shared" si="232"/>
        <v>0</v>
      </c>
      <c r="E1057" s="273"/>
      <c r="F1057" s="273"/>
      <c r="G1057" s="273"/>
      <c r="H1057" s="273"/>
      <c r="I1057" s="273"/>
      <c r="J1057" s="273"/>
      <c r="K1057" s="273"/>
      <c r="L1057" s="273"/>
      <c r="M1057" s="273"/>
      <c r="N1057" s="273"/>
      <c r="O1057" s="273"/>
      <c r="P1057" s="273"/>
      <c r="Q1057" s="273"/>
      <c r="R1057" s="273"/>
      <c r="S1057" s="273"/>
      <c r="T1057" s="273"/>
      <c r="U1057" s="273"/>
      <c r="V1057" s="273"/>
      <c r="W1057" s="273">
        <f t="shared" si="229"/>
        <v>476945.81</v>
      </c>
      <c r="Z1057" s="271"/>
      <c r="AA1057" s="271"/>
      <c r="AB1057" s="13"/>
      <c r="AC1057" s="271">
        <f>136500.73+113635.5+113635.5+113174.08</f>
        <v>476945.81</v>
      </c>
      <c r="AE1057" s="271"/>
      <c r="AF1057" s="271"/>
      <c r="AI1057" s="13"/>
      <c r="AJ1057" s="13"/>
    </row>
    <row r="1058" spans="1:36" x14ac:dyDescent="0.3">
      <c r="A1058" s="10">
        <f t="shared" si="233"/>
        <v>949</v>
      </c>
      <c r="B1058" s="124" t="s">
        <v>1291</v>
      </c>
      <c r="C1058" s="273">
        <f t="shared" si="231"/>
        <v>169420.21</v>
      </c>
      <c r="D1058" s="273">
        <f t="shared" si="232"/>
        <v>0</v>
      </c>
      <c r="E1058" s="273"/>
      <c r="F1058" s="273"/>
      <c r="G1058" s="273"/>
      <c r="H1058" s="273"/>
      <c r="I1058" s="273"/>
      <c r="J1058" s="273"/>
      <c r="K1058" s="273"/>
      <c r="L1058" s="273"/>
      <c r="M1058" s="273"/>
      <c r="N1058" s="273"/>
      <c r="O1058" s="273"/>
      <c r="P1058" s="273"/>
      <c r="Q1058" s="273"/>
      <c r="R1058" s="273"/>
      <c r="S1058" s="273"/>
      <c r="T1058" s="273"/>
      <c r="U1058" s="273"/>
      <c r="V1058" s="273"/>
      <c r="W1058" s="273">
        <f t="shared" si="229"/>
        <v>169420.21</v>
      </c>
      <c r="Z1058" s="271"/>
      <c r="AA1058" s="271"/>
      <c r="AB1058" s="13"/>
      <c r="AC1058" s="271">
        <f>83772.06+85648.15</f>
        <v>169420.21</v>
      </c>
      <c r="AE1058" s="271"/>
      <c r="AF1058" s="271"/>
      <c r="AI1058" s="13"/>
      <c r="AJ1058" s="13"/>
    </row>
    <row r="1059" spans="1:36" x14ac:dyDescent="0.3">
      <c r="A1059" s="10">
        <f t="shared" si="233"/>
        <v>950</v>
      </c>
      <c r="B1059" s="124" t="s">
        <v>1294</v>
      </c>
      <c r="C1059" s="273">
        <f t="shared" si="231"/>
        <v>73787.8</v>
      </c>
      <c r="D1059" s="273">
        <f t="shared" si="232"/>
        <v>0</v>
      </c>
      <c r="E1059" s="273"/>
      <c r="F1059" s="273"/>
      <c r="G1059" s="273"/>
      <c r="H1059" s="273"/>
      <c r="I1059" s="273"/>
      <c r="J1059" s="273"/>
      <c r="K1059" s="273"/>
      <c r="L1059" s="273"/>
      <c r="M1059" s="273"/>
      <c r="N1059" s="273"/>
      <c r="O1059" s="273"/>
      <c r="P1059" s="273"/>
      <c r="Q1059" s="273"/>
      <c r="R1059" s="273"/>
      <c r="S1059" s="273"/>
      <c r="T1059" s="273"/>
      <c r="U1059" s="273"/>
      <c r="V1059" s="273"/>
      <c r="W1059" s="273">
        <f t="shared" si="229"/>
        <v>73787.8</v>
      </c>
      <c r="Z1059" s="271"/>
      <c r="AA1059" s="271"/>
      <c r="AB1059" s="13"/>
      <c r="AC1059" s="271">
        <v>73787.8</v>
      </c>
      <c r="AE1059" s="271"/>
      <c r="AF1059" s="271"/>
      <c r="AI1059" s="13"/>
      <c r="AJ1059" s="13"/>
    </row>
    <row r="1060" spans="1:36" x14ac:dyDescent="0.3">
      <c r="A1060" s="10">
        <f t="shared" si="233"/>
        <v>951</v>
      </c>
      <c r="B1060" s="124" t="s">
        <v>1295</v>
      </c>
      <c r="C1060" s="273">
        <f t="shared" si="231"/>
        <v>158687.82999999999</v>
      </c>
      <c r="D1060" s="273">
        <f t="shared" si="232"/>
        <v>0</v>
      </c>
      <c r="E1060" s="273"/>
      <c r="F1060" s="273"/>
      <c r="G1060" s="273"/>
      <c r="H1060" s="273"/>
      <c r="I1060" s="273"/>
      <c r="J1060" s="273"/>
      <c r="K1060" s="273"/>
      <c r="L1060" s="273"/>
      <c r="M1060" s="273"/>
      <c r="N1060" s="273"/>
      <c r="O1060" s="273"/>
      <c r="P1060" s="273"/>
      <c r="Q1060" s="273"/>
      <c r="R1060" s="273"/>
      <c r="S1060" s="273"/>
      <c r="T1060" s="273"/>
      <c r="U1060" s="273"/>
      <c r="V1060" s="273"/>
      <c r="W1060" s="273">
        <f t="shared" si="229"/>
        <v>158687.82999999999</v>
      </c>
      <c r="Z1060" s="271"/>
      <c r="AA1060" s="271"/>
      <c r="AB1060" s="13"/>
      <c r="AC1060" s="271"/>
      <c r="AE1060" s="271">
        <v>158687.82999999999</v>
      </c>
      <c r="AF1060" s="271"/>
      <c r="AI1060" s="13"/>
      <c r="AJ1060" s="13"/>
    </row>
    <row r="1061" spans="1:36" x14ac:dyDescent="0.3">
      <c r="A1061" s="10">
        <f t="shared" si="233"/>
        <v>952</v>
      </c>
      <c r="B1061" s="124" t="s">
        <v>1296</v>
      </c>
      <c r="C1061" s="273">
        <f t="shared" si="231"/>
        <v>113825.74</v>
      </c>
      <c r="D1061" s="273">
        <f t="shared" si="232"/>
        <v>0</v>
      </c>
      <c r="E1061" s="273"/>
      <c r="F1061" s="273"/>
      <c r="G1061" s="273"/>
      <c r="H1061" s="273"/>
      <c r="I1061" s="273"/>
      <c r="J1061" s="273"/>
      <c r="K1061" s="273"/>
      <c r="L1061" s="273"/>
      <c r="M1061" s="273"/>
      <c r="N1061" s="273"/>
      <c r="O1061" s="273"/>
      <c r="P1061" s="273"/>
      <c r="Q1061" s="273"/>
      <c r="R1061" s="273"/>
      <c r="S1061" s="273"/>
      <c r="T1061" s="273"/>
      <c r="U1061" s="273"/>
      <c r="V1061" s="273"/>
      <c r="W1061" s="273">
        <f t="shared" si="229"/>
        <v>113825.74</v>
      </c>
      <c r="Z1061" s="271"/>
      <c r="AA1061" s="271"/>
      <c r="AB1061" s="13"/>
      <c r="AC1061" s="271">
        <v>113825.74</v>
      </c>
      <c r="AE1061" s="271"/>
      <c r="AF1061" s="271"/>
      <c r="AI1061" s="13"/>
      <c r="AJ1061" s="13"/>
    </row>
    <row r="1062" spans="1:36" x14ac:dyDescent="0.3">
      <c r="A1062" s="10">
        <f t="shared" si="233"/>
        <v>953</v>
      </c>
      <c r="B1062" s="124" t="s">
        <v>1297</v>
      </c>
      <c r="C1062" s="273">
        <f t="shared" si="231"/>
        <v>110108.47</v>
      </c>
      <c r="D1062" s="273">
        <f t="shared" si="232"/>
        <v>0</v>
      </c>
      <c r="E1062" s="273"/>
      <c r="F1062" s="273"/>
      <c r="G1062" s="273"/>
      <c r="H1062" s="273"/>
      <c r="I1062" s="273"/>
      <c r="J1062" s="273"/>
      <c r="K1062" s="273"/>
      <c r="L1062" s="273"/>
      <c r="M1062" s="273"/>
      <c r="N1062" s="273"/>
      <c r="O1062" s="273"/>
      <c r="P1062" s="273"/>
      <c r="Q1062" s="273"/>
      <c r="R1062" s="273"/>
      <c r="S1062" s="273"/>
      <c r="T1062" s="273"/>
      <c r="U1062" s="273"/>
      <c r="V1062" s="273"/>
      <c r="W1062" s="273">
        <f t="shared" si="229"/>
        <v>110108.47</v>
      </c>
      <c r="Z1062" s="271"/>
      <c r="AA1062" s="271"/>
      <c r="AB1062" s="13"/>
      <c r="AC1062" s="271">
        <v>110108.47</v>
      </c>
      <c r="AE1062" s="271"/>
      <c r="AF1062" s="271"/>
      <c r="AI1062" s="13"/>
      <c r="AJ1062" s="13"/>
    </row>
    <row r="1063" spans="1:36" x14ac:dyDescent="0.3">
      <c r="A1063" s="10">
        <f t="shared" si="233"/>
        <v>954</v>
      </c>
      <c r="B1063" s="124" t="s">
        <v>1298</v>
      </c>
      <c r="C1063" s="273">
        <f t="shared" si="231"/>
        <v>194675.63</v>
      </c>
      <c r="D1063" s="273">
        <f t="shared" si="232"/>
        <v>0</v>
      </c>
      <c r="E1063" s="273"/>
      <c r="F1063" s="273"/>
      <c r="G1063" s="273"/>
      <c r="H1063" s="273"/>
      <c r="I1063" s="273"/>
      <c r="J1063" s="273"/>
      <c r="K1063" s="273"/>
      <c r="L1063" s="273"/>
      <c r="M1063" s="273"/>
      <c r="N1063" s="273"/>
      <c r="O1063" s="273"/>
      <c r="P1063" s="273"/>
      <c r="Q1063" s="273"/>
      <c r="R1063" s="273"/>
      <c r="S1063" s="273"/>
      <c r="T1063" s="273"/>
      <c r="U1063" s="273"/>
      <c r="V1063" s="273"/>
      <c r="W1063" s="273">
        <f t="shared" si="229"/>
        <v>194675.63</v>
      </c>
      <c r="Z1063" s="271"/>
      <c r="AA1063" s="271"/>
      <c r="AB1063" s="13"/>
      <c r="AC1063" s="271"/>
      <c r="AE1063" s="271">
        <v>194675.63</v>
      </c>
      <c r="AF1063" s="271"/>
      <c r="AI1063" s="13"/>
      <c r="AJ1063" s="13"/>
    </row>
    <row r="1064" spans="1:36" x14ac:dyDescent="0.3">
      <c r="A1064" s="10">
        <f t="shared" si="233"/>
        <v>955</v>
      </c>
      <c r="B1064" s="124" t="s">
        <v>1299</v>
      </c>
      <c r="C1064" s="273">
        <f t="shared" si="231"/>
        <v>356958.42</v>
      </c>
      <c r="D1064" s="273">
        <f t="shared" si="232"/>
        <v>0</v>
      </c>
      <c r="E1064" s="273"/>
      <c r="F1064" s="273"/>
      <c r="G1064" s="273"/>
      <c r="H1064" s="273"/>
      <c r="I1064" s="273"/>
      <c r="J1064" s="273"/>
      <c r="K1064" s="273"/>
      <c r="L1064" s="273"/>
      <c r="M1064" s="273"/>
      <c r="N1064" s="273"/>
      <c r="O1064" s="273"/>
      <c r="P1064" s="273"/>
      <c r="Q1064" s="273"/>
      <c r="R1064" s="273"/>
      <c r="S1064" s="273"/>
      <c r="T1064" s="273"/>
      <c r="U1064" s="273"/>
      <c r="V1064" s="273"/>
      <c r="W1064" s="273">
        <f t="shared" si="229"/>
        <v>356958.42</v>
      </c>
      <c r="Z1064" s="271"/>
      <c r="AA1064" s="271"/>
      <c r="AB1064" s="13"/>
      <c r="AC1064" s="271"/>
      <c r="AE1064" s="271">
        <v>356958.42</v>
      </c>
      <c r="AF1064" s="271"/>
      <c r="AI1064" s="13"/>
      <c r="AJ1064" s="13"/>
    </row>
    <row r="1065" spans="1:36" x14ac:dyDescent="0.3">
      <c r="A1065" s="10">
        <f t="shared" si="233"/>
        <v>956</v>
      </c>
      <c r="B1065" s="124" t="s">
        <v>1300</v>
      </c>
      <c r="C1065" s="273">
        <f t="shared" si="231"/>
        <v>232125.12</v>
      </c>
      <c r="D1065" s="273">
        <f t="shared" si="232"/>
        <v>0</v>
      </c>
      <c r="E1065" s="273"/>
      <c r="F1065" s="273"/>
      <c r="G1065" s="273"/>
      <c r="H1065" s="273"/>
      <c r="I1065" s="273"/>
      <c r="J1065" s="273"/>
      <c r="K1065" s="273"/>
      <c r="L1065" s="273"/>
      <c r="M1065" s="273"/>
      <c r="N1065" s="273"/>
      <c r="O1065" s="273"/>
      <c r="P1065" s="273"/>
      <c r="Q1065" s="273"/>
      <c r="R1065" s="273"/>
      <c r="S1065" s="273"/>
      <c r="T1065" s="273"/>
      <c r="U1065" s="273"/>
      <c r="V1065" s="273"/>
      <c r="W1065" s="273">
        <f t="shared" si="229"/>
        <v>232125.12</v>
      </c>
      <c r="Z1065" s="271"/>
      <c r="AA1065" s="271"/>
      <c r="AB1065" s="13"/>
      <c r="AC1065" s="271"/>
      <c r="AE1065" s="271"/>
      <c r="AF1065" s="271">
        <v>232125.12</v>
      </c>
      <c r="AI1065" s="13"/>
      <c r="AJ1065" s="13"/>
    </row>
    <row r="1066" spans="1:36" x14ac:dyDescent="0.3">
      <c r="A1066" s="10">
        <f t="shared" si="233"/>
        <v>957</v>
      </c>
      <c r="B1066" s="124" t="s">
        <v>1301</v>
      </c>
      <c r="C1066" s="273">
        <f t="shared" si="231"/>
        <v>621739.61</v>
      </c>
      <c r="D1066" s="273">
        <f t="shared" si="232"/>
        <v>0</v>
      </c>
      <c r="E1066" s="273"/>
      <c r="F1066" s="273"/>
      <c r="G1066" s="273"/>
      <c r="H1066" s="273"/>
      <c r="I1066" s="273"/>
      <c r="J1066" s="273"/>
      <c r="K1066" s="273"/>
      <c r="L1066" s="273"/>
      <c r="M1066" s="273"/>
      <c r="N1066" s="273"/>
      <c r="O1066" s="273"/>
      <c r="P1066" s="273"/>
      <c r="Q1066" s="273"/>
      <c r="R1066" s="273"/>
      <c r="S1066" s="273"/>
      <c r="T1066" s="273"/>
      <c r="U1066" s="273"/>
      <c r="V1066" s="273"/>
      <c r="W1066" s="273">
        <f t="shared" si="229"/>
        <v>621739.61</v>
      </c>
      <c r="Z1066" s="271"/>
      <c r="AA1066" s="271"/>
      <c r="AB1066" s="13"/>
      <c r="AC1066" s="271"/>
      <c r="AE1066" s="115">
        <v>621739.61</v>
      </c>
      <c r="AF1066" s="271"/>
      <c r="AI1066" s="13"/>
      <c r="AJ1066" s="13"/>
    </row>
    <row r="1067" spans="1:36" x14ac:dyDescent="0.3">
      <c r="A1067" s="10">
        <f t="shared" si="233"/>
        <v>958</v>
      </c>
      <c r="B1067" s="124" t="s">
        <v>1302</v>
      </c>
      <c r="C1067" s="273">
        <f t="shared" si="231"/>
        <v>186056.09</v>
      </c>
      <c r="D1067" s="273">
        <f t="shared" si="232"/>
        <v>0</v>
      </c>
      <c r="E1067" s="273"/>
      <c r="F1067" s="273"/>
      <c r="G1067" s="273"/>
      <c r="H1067" s="273"/>
      <c r="I1067" s="273"/>
      <c r="J1067" s="273"/>
      <c r="K1067" s="273"/>
      <c r="L1067" s="273"/>
      <c r="M1067" s="273"/>
      <c r="N1067" s="273"/>
      <c r="O1067" s="273"/>
      <c r="P1067" s="273"/>
      <c r="Q1067" s="273"/>
      <c r="R1067" s="273"/>
      <c r="S1067" s="273"/>
      <c r="T1067" s="273"/>
      <c r="U1067" s="273"/>
      <c r="V1067" s="273"/>
      <c r="W1067" s="273">
        <f t="shared" si="229"/>
        <v>186056.09</v>
      </c>
      <c r="Z1067" s="271"/>
      <c r="AA1067" s="271"/>
      <c r="AB1067" s="13"/>
      <c r="AC1067" s="271"/>
      <c r="AE1067" s="271"/>
      <c r="AF1067" s="271">
        <v>186056.09</v>
      </c>
      <c r="AI1067" s="13"/>
      <c r="AJ1067" s="13"/>
    </row>
    <row r="1068" spans="1:36" x14ac:dyDescent="0.3">
      <c r="A1068" s="10">
        <f t="shared" si="233"/>
        <v>959</v>
      </c>
      <c r="B1068" s="124" t="s">
        <v>1304</v>
      </c>
      <c r="C1068" s="273">
        <f t="shared" si="231"/>
        <v>336193.88</v>
      </c>
      <c r="D1068" s="273">
        <f t="shared" si="232"/>
        <v>0</v>
      </c>
      <c r="E1068" s="273"/>
      <c r="F1068" s="273"/>
      <c r="G1068" s="273"/>
      <c r="H1068" s="273"/>
      <c r="I1068" s="273"/>
      <c r="J1068" s="273"/>
      <c r="K1068" s="273"/>
      <c r="L1068" s="273"/>
      <c r="M1068" s="273"/>
      <c r="N1068" s="273"/>
      <c r="O1068" s="273"/>
      <c r="P1068" s="273"/>
      <c r="Q1068" s="273"/>
      <c r="R1068" s="273"/>
      <c r="S1068" s="273"/>
      <c r="T1068" s="273"/>
      <c r="U1068" s="273"/>
      <c r="V1068" s="273"/>
      <c r="W1068" s="273">
        <f t="shared" si="229"/>
        <v>336193.88</v>
      </c>
      <c r="Z1068" s="271"/>
      <c r="AA1068" s="271"/>
      <c r="AB1068" s="13"/>
      <c r="AC1068" s="271"/>
      <c r="AE1068" s="271">
        <v>336193.88</v>
      </c>
      <c r="AF1068" s="271"/>
      <c r="AI1068" s="13"/>
      <c r="AJ1068" s="13"/>
    </row>
    <row r="1069" spans="1:36" x14ac:dyDescent="0.3">
      <c r="A1069" s="10">
        <f t="shared" si="233"/>
        <v>960</v>
      </c>
      <c r="B1069" s="124" t="s">
        <v>1305</v>
      </c>
      <c r="C1069" s="273">
        <f t="shared" si="231"/>
        <v>479185.09</v>
      </c>
      <c r="D1069" s="273">
        <f t="shared" si="232"/>
        <v>0</v>
      </c>
      <c r="E1069" s="273"/>
      <c r="F1069" s="273"/>
      <c r="G1069" s="273"/>
      <c r="H1069" s="273"/>
      <c r="I1069" s="273"/>
      <c r="J1069" s="273"/>
      <c r="K1069" s="273"/>
      <c r="L1069" s="273"/>
      <c r="M1069" s="273"/>
      <c r="N1069" s="273"/>
      <c r="O1069" s="273"/>
      <c r="P1069" s="273"/>
      <c r="Q1069" s="273"/>
      <c r="R1069" s="273"/>
      <c r="S1069" s="273"/>
      <c r="T1069" s="273"/>
      <c r="U1069" s="273"/>
      <c r="V1069" s="273"/>
      <c r="W1069" s="273">
        <f t="shared" si="229"/>
        <v>479185.09</v>
      </c>
      <c r="Z1069" s="271"/>
      <c r="AA1069" s="271"/>
      <c r="AB1069" s="13"/>
      <c r="AC1069" s="271"/>
      <c r="AE1069" s="271">
        <v>479185.09</v>
      </c>
      <c r="AF1069" s="271"/>
      <c r="AI1069" s="13"/>
      <c r="AJ1069" s="13"/>
    </row>
    <row r="1070" spans="1:36" x14ac:dyDescent="0.3">
      <c r="A1070" s="10">
        <f t="shared" si="233"/>
        <v>961</v>
      </c>
      <c r="B1070" s="124" t="s">
        <v>1306</v>
      </c>
      <c r="C1070" s="273">
        <f t="shared" si="231"/>
        <v>295964.98</v>
      </c>
      <c r="D1070" s="273">
        <f t="shared" si="232"/>
        <v>0</v>
      </c>
      <c r="E1070" s="273"/>
      <c r="F1070" s="273"/>
      <c r="G1070" s="273"/>
      <c r="H1070" s="273"/>
      <c r="I1070" s="273"/>
      <c r="J1070" s="273"/>
      <c r="K1070" s="273"/>
      <c r="L1070" s="273"/>
      <c r="M1070" s="273"/>
      <c r="N1070" s="273"/>
      <c r="O1070" s="273"/>
      <c r="P1070" s="273"/>
      <c r="Q1070" s="273"/>
      <c r="R1070" s="273"/>
      <c r="S1070" s="273"/>
      <c r="T1070" s="273"/>
      <c r="U1070" s="273"/>
      <c r="V1070" s="273"/>
      <c r="W1070" s="273">
        <f t="shared" si="229"/>
        <v>295964.98</v>
      </c>
      <c r="Z1070" s="271"/>
      <c r="AA1070" s="271"/>
      <c r="AB1070" s="13"/>
      <c r="AC1070" s="271"/>
      <c r="AE1070" s="271">
        <v>295964.98</v>
      </c>
      <c r="AF1070" s="271"/>
      <c r="AI1070" s="13"/>
      <c r="AJ1070" s="13"/>
    </row>
    <row r="1071" spans="1:36" x14ac:dyDescent="0.3">
      <c r="A1071" s="10">
        <f t="shared" si="233"/>
        <v>962</v>
      </c>
      <c r="B1071" s="124" t="s">
        <v>1307</v>
      </c>
      <c r="C1071" s="273">
        <f t="shared" si="231"/>
        <v>299010.74</v>
      </c>
      <c r="D1071" s="273">
        <f t="shared" si="232"/>
        <v>0</v>
      </c>
      <c r="E1071" s="273"/>
      <c r="F1071" s="273"/>
      <c r="G1071" s="273"/>
      <c r="H1071" s="273"/>
      <c r="I1071" s="273"/>
      <c r="J1071" s="273"/>
      <c r="K1071" s="273"/>
      <c r="L1071" s="273"/>
      <c r="M1071" s="273"/>
      <c r="N1071" s="273"/>
      <c r="O1071" s="273"/>
      <c r="P1071" s="273"/>
      <c r="Q1071" s="273"/>
      <c r="R1071" s="273"/>
      <c r="S1071" s="273"/>
      <c r="T1071" s="273"/>
      <c r="U1071" s="273"/>
      <c r="V1071" s="273"/>
      <c r="W1071" s="273">
        <f t="shared" si="229"/>
        <v>299010.74</v>
      </c>
      <c r="Z1071" s="271"/>
      <c r="AA1071" s="271"/>
      <c r="AB1071" s="13"/>
      <c r="AC1071" s="271"/>
      <c r="AE1071" s="271">
        <v>299010.74</v>
      </c>
      <c r="AF1071" s="271"/>
      <c r="AI1071" s="13"/>
      <c r="AJ1071" s="13"/>
    </row>
    <row r="1072" spans="1:36" x14ac:dyDescent="0.3">
      <c r="A1072" s="10">
        <f t="shared" si="233"/>
        <v>963</v>
      </c>
      <c r="B1072" s="124" t="s">
        <v>1308</v>
      </c>
      <c r="C1072" s="273">
        <f t="shared" si="231"/>
        <v>117848.23</v>
      </c>
      <c r="D1072" s="273">
        <f t="shared" si="232"/>
        <v>0</v>
      </c>
      <c r="E1072" s="273"/>
      <c r="F1072" s="273"/>
      <c r="G1072" s="273"/>
      <c r="H1072" s="273"/>
      <c r="I1072" s="273"/>
      <c r="J1072" s="273"/>
      <c r="K1072" s="273"/>
      <c r="L1072" s="273"/>
      <c r="M1072" s="273"/>
      <c r="N1072" s="273"/>
      <c r="O1072" s="273"/>
      <c r="P1072" s="273"/>
      <c r="Q1072" s="273"/>
      <c r="R1072" s="273"/>
      <c r="S1072" s="273"/>
      <c r="T1072" s="273"/>
      <c r="U1072" s="273"/>
      <c r="V1072" s="273"/>
      <c r="W1072" s="273">
        <f t="shared" si="229"/>
        <v>117848.23</v>
      </c>
      <c r="Z1072" s="271"/>
      <c r="AA1072" s="271"/>
      <c r="AB1072" s="13"/>
      <c r="AC1072" s="271">
        <v>117848.23</v>
      </c>
      <c r="AE1072" s="271"/>
      <c r="AF1072" s="271"/>
      <c r="AI1072" s="13"/>
      <c r="AJ1072" s="13"/>
    </row>
    <row r="1073" spans="1:36" x14ac:dyDescent="0.3">
      <c r="A1073" s="10">
        <f t="shared" si="233"/>
        <v>964</v>
      </c>
      <c r="B1073" s="124" t="s">
        <v>1309</v>
      </c>
      <c r="C1073" s="273">
        <f t="shared" si="231"/>
        <v>143773.57</v>
      </c>
      <c r="D1073" s="273">
        <f t="shared" si="232"/>
        <v>0</v>
      </c>
      <c r="E1073" s="273"/>
      <c r="F1073" s="273"/>
      <c r="G1073" s="273"/>
      <c r="H1073" s="273"/>
      <c r="I1073" s="273"/>
      <c r="J1073" s="273"/>
      <c r="K1073" s="273"/>
      <c r="L1073" s="273"/>
      <c r="M1073" s="273"/>
      <c r="N1073" s="273"/>
      <c r="O1073" s="273"/>
      <c r="P1073" s="273"/>
      <c r="Q1073" s="273"/>
      <c r="R1073" s="273"/>
      <c r="S1073" s="273"/>
      <c r="T1073" s="273"/>
      <c r="U1073" s="273"/>
      <c r="V1073" s="273"/>
      <c r="W1073" s="273">
        <f t="shared" si="229"/>
        <v>143773.57</v>
      </c>
      <c r="Z1073" s="271"/>
      <c r="AA1073" s="271"/>
      <c r="AB1073" s="13"/>
      <c r="AC1073" s="271">
        <v>143773.57</v>
      </c>
      <c r="AE1073" s="271"/>
      <c r="AF1073" s="271"/>
      <c r="AI1073" s="13"/>
      <c r="AJ1073" s="13"/>
    </row>
    <row r="1074" spans="1:36" x14ac:dyDescent="0.3">
      <c r="A1074" s="10">
        <f t="shared" si="233"/>
        <v>965</v>
      </c>
      <c r="B1074" s="124" t="s">
        <v>1310</v>
      </c>
      <c r="C1074" s="273">
        <f t="shared" si="231"/>
        <v>202609.01</v>
      </c>
      <c r="D1074" s="273">
        <f t="shared" si="232"/>
        <v>0</v>
      </c>
      <c r="E1074" s="273"/>
      <c r="F1074" s="273"/>
      <c r="G1074" s="273"/>
      <c r="H1074" s="273"/>
      <c r="I1074" s="273"/>
      <c r="J1074" s="273"/>
      <c r="K1074" s="273"/>
      <c r="L1074" s="273"/>
      <c r="M1074" s="273"/>
      <c r="N1074" s="273"/>
      <c r="O1074" s="273"/>
      <c r="P1074" s="273"/>
      <c r="Q1074" s="273"/>
      <c r="R1074" s="273"/>
      <c r="S1074" s="273"/>
      <c r="T1074" s="273"/>
      <c r="U1074" s="273"/>
      <c r="V1074" s="273"/>
      <c r="W1074" s="273">
        <f t="shared" si="229"/>
        <v>202609.01</v>
      </c>
      <c r="Z1074" s="271"/>
      <c r="AA1074" s="271"/>
      <c r="AB1074" s="13"/>
      <c r="AC1074" s="271">
        <v>202609.01</v>
      </c>
      <c r="AE1074" s="271"/>
      <c r="AF1074" s="271"/>
      <c r="AI1074" s="13"/>
      <c r="AJ1074" s="13"/>
    </row>
    <row r="1075" spans="1:36" x14ac:dyDescent="0.3">
      <c r="A1075" s="10">
        <f t="shared" si="233"/>
        <v>966</v>
      </c>
      <c r="B1075" s="124" t="s">
        <v>1311</v>
      </c>
      <c r="C1075" s="273">
        <f t="shared" si="231"/>
        <v>479185.09</v>
      </c>
      <c r="D1075" s="273">
        <f t="shared" si="232"/>
        <v>0</v>
      </c>
      <c r="E1075" s="273"/>
      <c r="F1075" s="273"/>
      <c r="G1075" s="273"/>
      <c r="H1075" s="273"/>
      <c r="I1075" s="273"/>
      <c r="J1075" s="273"/>
      <c r="K1075" s="273"/>
      <c r="L1075" s="273"/>
      <c r="M1075" s="273"/>
      <c r="N1075" s="273"/>
      <c r="O1075" s="273"/>
      <c r="P1075" s="273"/>
      <c r="Q1075" s="273"/>
      <c r="R1075" s="273"/>
      <c r="S1075" s="273"/>
      <c r="T1075" s="273"/>
      <c r="U1075" s="273"/>
      <c r="V1075" s="273"/>
      <c r="W1075" s="273">
        <f t="shared" si="229"/>
        <v>479185.09</v>
      </c>
      <c r="Z1075" s="271"/>
      <c r="AA1075" s="271"/>
      <c r="AB1075" s="13"/>
      <c r="AC1075" s="271"/>
      <c r="AE1075" s="271">
        <v>479185.09</v>
      </c>
      <c r="AF1075" s="271"/>
      <c r="AI1075" s="13"/>
      <c r="AJ1075" s="13"/>
    </row>
    <row r="1076" spans="1:36" x14ac:dyDescent="0.3">
      <c r="A1076" s="10">
        <f t="shared" si="233"/>
        <v>967</v>
      </c>
      <c r="B1076" s="124" t="s">
        <v>1312</v>
      </c>
      <c r="C1076" s="273">
        <f t="shared" si="231"/>
        <v>306130.90000000002</v>
      </c>
      <c r="D1076" s="273">
        <f t="shared" si="232"/>
        <v>0</v>
      </c>
      <c r="E1076" s="273"/>
      <c r="F1076" s="273"/>
      <c r="G1076" s="273"/>
      <c r="H1076" s="273"/>
      <c r="I1076" s="273"/>
      <c r="J1076" s="273"/>
      <c r="K1076" s="273"/>
      <c r="L1076" s="273"/>
      <c r="M1076" s="273"/>
      <c r="N1076" s="273"/>
      <c r="O1076" s="273"/>
      <c r="P1076" s="273"/>
      <c r="Q1076" s="273"/>
      <c r="R1076" s="273"/>
      <c r="S1076" s="273"/>
      <c r="T1076" s="273"/>
      <c r="U1076" s="273"/>
      <c r="V1076" s="273"/>
      <c r="W1076" s="273">
        <f t="shared" si="229"/>
        <v>306130.90000000002</v>
      </c>
      <c r="Z1076" s="271"/>
      <c r="AA1076" s="271"/>
      <c r="AB1076" s="13"/>
      <c r="AC1076" s="271"/>
      <c r="AE1076" s="271">
        <v>306130.90000000002</v>
      </c>
      <c r="AF1076" s="271"/>
      <c r="AI1076" s="13"/>
      <c r="AJ1076" s="13"/>
    </row>
    <row r="1077" spans="1:36" x14ac:dyDescent="0.3">
      <c r="A1077" s="10">
        <f t="shared" si="233"/>
        <v>968</v>
      </c>
      <c r="B1077" s="124" t="s">
        <v>1313</v>
      </c>
      <c r="C1077" s="273">
        <f t="shared" si="231"/>
        <v>135606.04999999999</v>
      </c>
      <c r="D1077" s="273">
        <f t="shared" si="232"/>
        <v>0</v>
      </c>
      <c r="E1077" s="273"/>
      <c r="F1077" s="273"/>
      <c r="G1077" s="273"/>
      <c r="H1077" s="273"/>
      <c r="I1077" s="273"/>
      <c r="J1077" s="273"/>
      <c r="K1077" s="273"/>
      <c r="L1077" s="273"/>
      <c r="M1077" s="273"/>
      <c r="N1077" s="273"/>
      <c r="O1077" s="273"/>
      <c r="P1077" s="273"/>
      <c r="Q1077" s="273"/>
      <c r="R1077" s="273"/>
      <c r="S1077" s="273"/>
      <c r="T1077" s="273"/>
      <c r="U1077" s="273"/>
      <c r="V1077" s="273"/>
      <c r="W1077" s="273">
        <f t="shared" si="229"/>
        <v>135606.04999999999</v>
      </c>
      <c r="Z1077" s="271"/>
      <c r="AA1077" s="115"/>
      <c r="AB1077" s="13"/>
      <c r="AC1077" s="271"/>
      <c r="AE1077" s="271">
        <v>135606.04999999999</v>
      </c>
      <c r="AF1077" s="271"/>
      <c r="AI1077" s="13"/>
      <c r="AJ1077" s="13"/>
    </row>
    <row r="1078" spans="1:36" x14ac:dyDescent="0.3">
      <c r="A1078" s="10">
        <f t="shared" si="233"/>
        <v>969</v>
      </c>
      <c r="B1078" s="124" t="s">
        <v>1314</v>
      </c>
      <c r="C1078" s="273">
        <f t="shared" si="231"/>
        <v>237338.03</v>
      </c>
      <c r="D1078" s="273">
        <f t="shared" si="232"/>
        <v>0</v>
      </c>
      <c r="E1078" s="273"/>
      <c r="F1078" s="273"/>
      <c r="G1078" s="273"/>
      <c r="H1078" s="273"/>
      <c r="I1078" s="273"/>
      <c r="J1078" s="273"/>
      <c r="K1078" s="273"/>
      <c r="L1078" s="273"/>
      <c r="M1078" s="273"/>
      <c r="N1078" s="273"/>
      <c r="O1078" s="273"/>
      <c r="P1078" s="273"/>
      <c r="Q1078" s="273"/>
      <c r="R1078" s="273"/>
      <c r="S1078" s="273"/>
      <c r="T1078" s="273"/>
      <c r="U1078" s="273"/>
      <c r="V1078" s="273"/>
      <c r="W1078" s="273">
        <f t="shared" si="229"/>
        <v>237338.03</v>
      </c>
      <c r="Z1078" s="271"/>
      <c r="AA1078" s="271"/>
      <c r="AB1078" s="13"/>
      <c r="AC1078" s="271"/>
      <c r="AE1078" s="271"/>
      <c r="AF1078" s="271">
        <v>237338.03</v>
      </c>
      <c r="AI1078" s="13"/>
      <c r="AJ1078" s="13"/>
    </row>
    <row r="1079" spans="1:36" ht="20.25" customHeight="1" x14ac:dyDescent="0.3">
      <c r="A1079" s="10">
        <f t="shared" si="233"/>
        <v>970</v>
      </c>
      <c r="B1079" s="124" t="s">
        <v>1315</v>
      </c>
      <c r="C1079" s="273">
        <f t="shared" si="231"/>
        <v>329350.03000000003</v>
      </c>
      <c r="D1079" s="273">
        <f t="shared" si="232"/>
        <v>0</v>
      </c>
      <c r="E1079" s="273"/>
      <c r="F1079" s="273"/>
      <c r="G1079" s="273"/>
      <c r="H1079" s="273"/>
      <c r="I1079" s="273"/>
      <c r="J1079" s="273"/>
      <c r="K1079" s="273"/>
      <c r="L1079" s="273"/>
      <c r="M1079" s="273"/>
      <c r="N1079" s="273"/>
      <c r="O1079" s="273"/>
      <c r="P1079" s="273"/>
      <c r="Q1079" s="273"/>
      <c r="R1079" s="273"/>
      <c r="S1079" s="273"/>
      <c r="T1079" s="273"/>
      <c r="U1079" s="273"/>
      <c r="V1079" s="273"/>
      <c r="W1079" s="273">
        <f t="shared" si="229"/>
        <v>329350.03000000003</v>
      </c>
      <c r="Z1079" s="271"/>
      <c r="AA1079" s="13"/>
      <c r="AB1079" s="13"/>
      <c r="AC1079" s="271"/>
      <c r="AE1079" s="271">
        <v>329350.03000000003</v>
      </c>
      <c r="AF1079" s="271"/>
      <c r="AI1079" s="13"/>
      <c r="AJ1079" s="13"/>
    </row>
    <row r="1080" spans="1:36" ht="16.5" customHeight="1" x14ac:dyDescent="0.3">
      <c r="A1080" s="10">
        <f t="shared" si="233"/>
        <v>971</v>
      </c>
      <c r="B1080" s="124" t="s">
        <v>1316</v>
      </c>
      <c r="C1080" s="273">
        <f t="shared" si="231"/>
        <v>245602.3</v>
      </c>
      <c r="D1080" s="273">
        <f t="shared" ref="D1080:D1109" si="234">E1080+F1080+G1080+H1080+I1080</f>
        <v>0</v>
      </c>
      <c r="E1080" s="273"/>
      <c r="F1080" s="273"/>
      <c r="G1080" s="273"/>
      <c r="H1080" s="273"/>
      <c r="I1080" s="273"/>
      <c r="J1080" s="273"/>
      <c r="K1080" s="273"/>
      <c r="L1080" s="273"/>
      <c r="M1080" s="273"/>
      <c r="N1080" s="273"/>
      <c r="O1080" s="273"/>
      <c r="P1080" s="273"/>
      <c r="Q1080" s="273"/>
      <c r="R1080" s="273"/>
      <c r="S1080" s="273"/>
      <c r="T1080" s="273"/>
      <c r="U1080" s="273"/>
      <c r="V1080" s="273"/>
      <c r="W1080" s="273">
        <f t="shared" si="229"/>
        <v>245602.3</v>
      </c>
      <c r="Z1080" s="271"/>
      <c r="AA1080" s="271"/>
      <c r="AB1080" s="13"/>
      <c r="AC1080" s="271"/>
      <c r="AE1080" s="271">
        <v>245602.3</v>
      </c>
      <c r="AF1080" s="271"/>
      <c r="AI1080" s="13"/>
      <c r="AJ1080" s="13"/>
    </row>
    <row r="1081" spans="1:36" x14ac:dyDescent="0.3">
      <c r="A1081" s="10">
        <f t="shared" si="233"/>
        <v>972</v>
      </c>
      <c r="B1081" s="124" t="s">
        <v>1317</v>
      </c>
      <c r="C1081" s="273">
        <f t="shared" si="231"/>
        <v>418019.06</v>
      </c>
      <c r="D1081" s="273">
        <f t="shared" si="234"/>
        <v>0</v>
      </c>
      <c r="E1081" s="273"/>
      <c r="F1081" s="273"/>
      <c r="G1081" s="273"/>
      <c r="H1081" s="273"/>
      <c r="I1081" s="273"/>
      <c r="J1081" s="273"/>
      <c r="K1081" s="273"/>
      <c r="L1081" s="273"/>
      <c r="M1081" s="22"/>
      <c r="N1081" s="273"/>
      <c r="O1081" s="273"/>
      <c r="P1081" s="273"/>
      <c r="Q1081" s="273"/>
      <c r="R1081" s="273"/>
      <c r="S1081" s="273"/>
      <c r="T1081" s="273"/>
      <c r="U1081" s="273"/>
      <c r="V1081" s="273"/>
      <c r="W1081" s="273">
        <f t="shared" si="229"/>
        <v>418019.06</v>
      </c>
      <c r="Z1081" s="271"/>
      <c r="AA1081" s="271"/>
      <c r="AB1081" s="13"/>
      <c r="AC1081" s="271"/>
      <c r="AE1081" s="271">
        <v>418019.06</v>
      </c>
      <c r="AF1081" s="271"/>
      <c r="AI1081" s="13"/>
      <c r="AJ1081" s="13"/>
    </row>
    <row r="1082" spans="1:36" x14ac:dyDescent="0.3">
      <c r="A1082" s="10">
        <f t="shared" si="233"/>
        <v>973</v>
      </c>
      <c r="B1082" s="124" t="s">
        <v>1318</v>
      </c>
      <c r="C1082" s="273">
        <f t="shared" si="231"/>
        <v>423800.11</v>
      </c>
      <c r="D1082" s="273">
        <f t="shared" si="234"/>
        <v>0</v>
      </c>
      <c r="E1082" s="273"/>
      <c r="F1082" s="273"/>
      <c r="G1082" s="273"/>
      <c r="H1082" s="273"/>
      <c r="I1082" s="273"/>
      <c r="J1082" s="273"/>
      <c r="K1082" s="273"/>
      <c r="L1082" s="273"/>
      <c r="M1082" s="273"/>
      <c r="N1082" s="273"/>
      <c r="O1082" s="273"/>
      <c r="P1082" s="273"/>
      <c r="Q1082" s="273"/>
      <c r="R1082" s="273"/>
      <c r="S1082" s="273"/>
      <c r="T1082" s="273"/>
      <c r="U1082" s="273"/>
      <c r="V1082" s="273"/>
      <c r="W1082" s="273">
        <f t="shared" si="229"/>
        <v>423800.11</v>
      </c>
      <c r="Z1082" s="271"/>
      <c r="AA1082" s="271"/>
      <c r="AB1082" s="13"/>
      <c r="AC1082" s="271"/>
      <c r="AE1082" s="271">
        <v>423800.11</v>
      </c>
      <c r="AF1082" s="271"/>
      <c r="AI1082" s="13"/>
      <c r="AJ1082" s="13"/>
    </row>
    <row r="1083" spans="1:36" x14ac:dyDescent="0.3">
      <c r="A1083" s="10">
        <f t="shared" si="233"/>
        <v>974</v>
      </c>
      <c r="B1083" s="124" t="s">
        <v>1320</v>
      </c>
      <c r="C1083" s="273">
        <f t="shared" si="231"/>
        <v>198665.38</v>
      </c>
      <c r="D1083" s="273">
        <f t="shared" si="234"/>
        <v>0</v>
      </c>
      <c r="E1083" s="273"/>
      <c r="F1083" s="273"/>
      <c r="G1083" s="273"/>
      <c r="H1083" s="273"/>
      <c r="I1083" s="273"/>
      <c r="J1083" s="273"/>
      <c r="K1083" s="273"/>
      <c r="L1083" s="273"/>
      <c r="M1083" s="273"/>
      <c r="N1083" s="273"/>
      <c r="O1083" s="273"/>
      <c r="P1083" s="273"/>
      <c r="Q1083" s="273"/>
      <c r="R1083" s="273"/>
      <c r="S1083" s="273"/>
      <c r="T1083" s="273"/>
      <c r="U1083" s="273"/>
      <c r="V1083" s="273"/>
      <c r="W1083" s="273">
        <f t="shared" si="229"/>
        <v>198665.38</v>
      </c>
      <c r="Z1083" s="271"/>
      <c r="AA1083" s="271"/>
      <c r="AB1083" s="13"/>
      <c r="AC1083" s="271">
        <v>198665.38</v>
      </c>
      <c r="AE1083" s="271"/>
      <c r="AF1083" s="271"/>
      <c r="AI1083" s="13"/>
      <c r="AJ1083" s="13"/>
    </row>
    <row r="1084" spans="1:36" x14ac:dyDescent="0.3">
      <c r="A1084" s="10">
        <f t="shared" si="233"/>
        <v>975</v>
      </c>
      <c r="B1084" s="124" t="s">
        <v>1321</v>
      </c>
      <c r="C1084" s="273">
        <f t="shared" si="231"/>
        <v>120997.88</v>
      </c>
      <c r="D1084" s="273">
        <f t="shared" si="234"/>
        <v>0</v>
      </c>
      <c r="E1084" s="273"/>
      <c r="F1084" s="273"/>
      <c r="G1084" s="273"/>
      <c r="H1084" s="273"/>
      <c r="I1084" s="273"/>
      <c r="J1084" s="273"/>
      <c r="K1084" s="273"/>
      <c r="L1084" s="273"/>
      <c r="M1084" s="273"/>
      <c r="N1084" s="273"/>
      <c r="O1084" s="273"/>
      <c r="P1084" s="273"/>
      <c r="Q1084" s="273"/>
      <c r="R1084" s="273"/>
      <c r="S1084" s="273"/>
      <c r="T1084" s="273"/>
      <c r="U1084" s="273"/>
      <c r="V1084" s="273"/>
      <c r="W1084" s="273">
        <f t="shared" si="229"/>
        <v>120997.88</v>
      </c>
      <c r="Z1084" s="271"/>
      <c r="AA1084" s="271"/>
      <c r="AB1084" s="13"/>
      <c r="AC1084" s="271">
        <v>120997.88</v>
      </c>
      <c r="AE1084" s="271"/>
      <c r="AF1084" s="271"/>
      <c r="AI1084" s="13"/>
      <c r="AJ1084" s="13"/>
    </row>
    <row r="1085" spans="1:36" x14ac:dyDescent="0.3">
      <c r="A1085" s="10">
        <f t="shared" si="233"/>
        <v>976</v>
      </c>
      <c r="B1085" s="124" t="s">
        <v>1322</v>
      </c>
      <c r="C1085" s="273">
        <f t="shared" si="231"/>
        <v>150903.56</v>
      </c>
      <c r="D1085" s="273">
        <f t="shared" si="234"/>
        <v>0</v>
      </c>
      <c r="E1085" s="273"/>
      <c r="F1085" s="273"/>
      <c r="G1085" s="273"/>
      <c r="H1085" s="273"/>
      <c r="I1085" s="273"/>
      <c r="J1085" s="273"/>
      <c r="K1085" s="273"/>
      <c r="L1085" s="273"/>
      <c r="M1085" s="273"/>
      <c r="N1085" s="273"/>
      <c r="O1085" s="273"/>
      <c r="P1085" s="273"/>
      <c r="Q1085" s="273"/>
      <c r="R1085" s="273"/>
      <c r="S1085" s="273"/>
      <c r="T1085" s="273"/>
      <c r="U1085" s="273"/>
      <c r="V1085" s="273"/>
      <c r="W1085" s="273">
        <f t="shared" si="229"/>
        <v>150903.56</v>
      </c>
      <c r="Z1085" s="271"/>
      <c r="AA1085" s="271"/>
      <c r="AB1085" s="13"/>
      <c r="AC1085" s="271"/>
      <c r="AE1085" s="271">
        <v>150903.56</v>
      </c>
      <c r="AF1085" s="271"/>
      <c r="AI1085" s="13"/>
      <c r="AJ1085" s="13"/>
    </row>
    <row r="1086" spans="1:36" x14ac:dyDescent="0.3">
      <c r="A1086" s="10">
        <f t="shared" si="233"/>
        <v>977</v>
      </c>
      <c r="B1086" s="124" t="s">
        <v>1323</v>
      </c>
      <c r="C1086" s="273">
        <f t="shared" si="231"/>
        <v>274388.34000000003</v>
      </c>
      <c r="D1086" s="273">
        <f t="shared" si="234"/>
        <v>0</v>
      </c>
      <c r="E1086" s="273"/>
      <c r="F1086" s="273"/>
      <c r="G1086" s="273"/>
      <c r="H1086" s="273"/>
      <c r="I1086" s="273"/>
      <c r="J1086" s="273"/>
      <c r="K1086" s="273"/>
      <c r="L1086" s="273"/>
      <c r="M1086" s="273"/>
      <c r="N1086" s="273"/>
      <c r="O1086" s="273"/>
      <c r="P1086" s="273"/>
      <c r="Q1086" s="273"/>
      <c r="R1086" s="273"/>
      <c r="S1086" s="273"/>
      <c r="T1086" s="273"/>
      <c r="U1086" s="273"/>
      <c r="V1086" s="273"/>
      <c r="W1086" s="273">
        <f t="shared" si="229"/>
        <v>274388.34000000003</v>
      </c>
      <c r="Z1086" s="271"/>
      <c r="AA1086" s="271"/>
      <c r="AB1086" s="13"/>
      <c r="AC1086" s="271"/>
      <c r="AE1086" s="271"/>
      <c r="AF1086" s="271">
        <v>274388.34000000003</v>
      </c>
      <c r="AI1086" s="13"/>
      <c r="AJ1086" s="13"/>
    </row>
    <row r="1087" spans="1:36" x14ac:dyDescent="0.3">
      <c r="A1087" s="10">
        <f t="shared" si="233"/>
        <v>978</v>
      </c>
      <c r="B1087" s="124" t="s">
        <v>1324</v>
      </c>
      <c r="C1087" s="273">
        <f t="shared" si="231"/>
        <v>112884.8</v>
      </c>
      <c r="D1087" s="273">
        <f t="shared" si="234"/>
        <v>0</v>
      </c>
      <c r="E1087" s="273"/>
      <c r="F1087" s="273"/>
      <c r="G1087" s="273"/>
      <c r="H1087" s="273"/>
      <c r="I1087" s="273"/>
      <c r="J1087" s="273"/>
      <c r="K1087" s="273"/>
      <c r="L1087" s="273"/>
      <c r="M1087" s="273"/>
      <c r="N1087" s="273"/>
      <c r="O1087" s="273"/>
      <c r="P1087" s="273"/>
      <c r="Q1087" s="273"/>
      <c r="R1087" s="273"/>
      <c r="S1087" s="273"/>
      <c r="T1087" s="273"/>
      <c r="U1087" s="273"/>
      <c r="V1087" s="273"/>
      <c r="W1087" s="273">
        <f t="shared" si="229"/>
        <v>112884.8</v>
      </c>
      <c r="Z1087" s="271"/>
      <c r="AA1087" s="271"/>
      <c r="AB1087" s="13"/>
      <c r="AC1087" s="271">
        <v>112884.8</v>
      </c>
      <c r="AE1087" s="271"/>
      <c r="AF1087" s="271"/>
      <c r="AI1087" s="13"/>
      <c r="AJ1087" s="13"/>
    </row>
    <row r="1088" spans="1:36" x14ac:dyDescent="0.3">
      <c r="A1088" s="10">
        <f t="shared" si="233"/>
        <v>979</v>
      </c>
      <c r="B1088" s="124" t="s">
        <v>1325</v>
      </c>
      <c r="C1088" s="273">
        <f t="shared" si="231"/>
        <v>1019466</v>
      </c>
      <c r="D1088" s="273">
        <f t="shared" si="234"/>
        <v>0</v>
      </c>
      <c r="E1088" s="273"/>
      <c r="F1088" s="273"/>
      <c r="G1088" s="273"/>
      <c r="H1088" s="273"/>
      <c r="I1088" s="273"/>
      <c r="J1088" s="273"/>
      <c r="K1088" s="273"/>
      <c r="L1088" s="273"/>
      <c r="M1088" s="273"/>
      <c r="N1088" s="273"/>
      <c r="O1088" s="273"/>
      <c r="P1088" s="273"/>
      <c r="Q1088" s="273"/>
      <c r="R1088" s="273"/>
      <c r="S1088" s="273"/>
      <c r="T1088" s="273"/>
      <c r="U1088" s="273">
        <v>1019466</v>
      </c>
      <c r="V1088" s="273"/>
      <c r="W1088" s="273">
        <f t="shared" si="229"/>
        <v>0</v>
      </c>
      <c r="Z1088" s="271"/>
      <c r="AA1088" s="271"/>
      <c r="AB1088" s="13"/>
      <c r="AC1088" s="271"/>
      <c r="AE1088" s="271"/>
      <c r="AF1088" s="271"/>
      <c r="AI1088" s="13"/>
      <c r="AJ1088" s="13"/>
    </row>
    <row r="1089" spans="1:36" x14ac:dyDescent="0.3">
      <c r="A1089" s="10">
        <f t="shared" si="233"/>
        <v>980</v>
      </c>
      <c r="B1089" s="124" t="s">
        <v>1326</v>
      </c>
      <c r="C1089" s="273">
        <f t="shared" si="231"/>
        <v>224224.1</v>
      </c>
      <c r="D1089" s="273">
        <f t="shared" si="234"/>
        <v>0</v>
      </c>
      <c r="E1089" s="273"/>
      <c r="F1089" s="273"/>
      <c r="G1089" s="273"/>
      <c r="H1089" s="273"/>
      <c r="I1089" s="273"/>
      <c r="J1089" s="273"/>
      <c r="K1089" s="273"/>
      <c r="L1089" s="273"/>
      <c r="M1089" s="273"/>
      <c r="N1089" s="273"/>
      <c r="O1089" s="273"/>
      <c r="P1089" s="273"/>
      <c r="Q1089" s="273"/>
      <c r="R1089" s="273"/>
      <c r="S1089" s="273"/>
      <c r="T1089" s="273"/>
      <c r="U1089" s="273"/>
      <c r="V1089" s="273"/>
      <c r="W1089" s="273">
        <f t="shared" si="229"/>
        <v>224224.1</v>
      </c>
      <c r="Z1089" s="271"/>
      <c r="AA1089" s="13"/>
      <c r="AB1089" s="13"/>
      <c r="AC1089" s="271">
        <v>224224.1</v>
      </c>
      <c r="AE1089" s="271"/>
      <c r="AF1089" s="271"/>
      <c r="AI1089" s="13"/>
      <c r="AJ1089" s="13"/>
    </row>
    <row r="1090" spans="1:36" x14ac:dyDescent="0.3">
      <c r="A1090" s="10">
        <f t="shared" si="233"/>
        <v>981</v>
      </c>
      <c r="B1090" s="124" t="s">
        <v>1327</v>
      </c>
      <c r="C1090" s="273">
        <f t="shared" si="231"/>
        <v>226453.15</v>
      </c>
      <c r="D1090" s="273">
        <f t="shared" si="234"/>
        <v>0</v>
      </c>
      <c r="E1090" s="273"/>
      <c r="F1090" s="273"/>
      <c r="G1090" s="273"/>
      <c r="H1090" s="273"/>
      <c r="I1090" s="273"/>
      <c r="J1090" s="273"/>
      <c r="K1090" s="273"/>
      <c r="L1090" s="273"/>
      <c r="M1090" s="273"/>
      <c r="N1090" s="273"/>
      <c r="O1090" s="273"/>
      <c r="P1090" s="273"/>
      <c r="Q1090" s="273"/>
      <c r="R1090" s="273"/>
      <c r="S1090" s="273"/>
      <c r="T1090" s="273"/>
      <c r="U1090" s="273"/>
      <c r="V1090" s="273"/>
      <c r="W1090" s="273">
        <f t="shared" si="229"/>
        <v>226453.15</v>
      </c>
      <c r="Z1090" s="271"/>
      <c r="AA1090" s="13"/>
      <c r="AB1090" s="13"/>
      <c r="AC1090" s="271">
        <v>226453.15</v>
      </c>
      <c r="AE1090" s="271"/>
      <c r="AF1090" s="271"/>
      <c r="AI1090" s="13"/>
      <c r="AJ1090" s="13"/>
    </row>
    <row r="1091" spans="1:36" x14ac:dyDescent="0.3">
      <c r="A1091" s="10">
        <f t="shared" si="233"/>
        <v>982</v>
      </c>
      <c r="B1091" s="124" t="s">
        <v>1328</v>
      </c>
      <c r="C1091" s="273">
        <f t="shared" si="231"/>
        <v>236494.42</v>
      </c>
      <c r="D1091" s="273">
        <f t="shared" si="234"/>
        <v>0</v>
      </c>
      <c r="E1091" s="273"/>
      <c r="F1091" s="273"/>
      <c r="G1091" s="273"/>
      <c r="H1091" s="273"/>
      <c r="I1091" s="273"/>
      <c r="J1091" s="273"/>
      <c r="K1091" s="273"/>
      <c r="L1091" s="273"/>
      <c r="M1091" s="273"/>
      <c r="N1091" s="273"/>
      <c r="O1091" s="273"/>
      <c r="P1091" s="273"/>
      <c r="Q1091" s="273"/>
      <c r="R1091" s="273"/>
      <c r="S1091" s="273"/>
      <c r="T1091" s="273"/>
      <c r="U1091" s="273"/>
      <c r="V1091" s="273"/>
      <c r="W1091" s="273">
        <f t="shared" si="229"/>
        <v>236494.42</v>
      </c>
      <c r="Z1091" s="271"/>
      <c r="AA1091" s="13"/>
      <c r="AB1091" s="13"/>
      <c r="AC1091" s="271">
        <v>236494.42</v>
      </c>
      <c r="AE1091" s="271"/>
      <c r="AF1091" s="271"/>
      <c r="AI1091" s="13"/>
      <c r="AJ1091" s="13"/>
    </row>
    <row r="1092" spans="1:36" x14ac:dyDescent="0.3">
      <c r="A1092" s="10">
        <f t="shared" si="233"/>
        <v>983</v>
      </c>
      <c r="B1092" s="124" t="s">
        <v>1329</v>
      </c>
      <c r="C1092" s="273">
        <f t="shared" si="231"/>
        <v>236494.42</v>
      </c>
      <c r="D1092" s="273">
        <f t="shared" si="234"/>
        <v>0</v>
      </c>
      <c r="E1092" s="273"/>
      <c r="F1092" s="273"/>
      <c r="G1092" s="273"/>
      <c r="H1092" s="273"/>
      <c r="I1092" s="273"/>
      <c r="J1092" s="273"/>
      <c r="K1092" s="273"/>
      <c r="L1092" s="273"/>
      <c r="M1092" s="273"/>
      <c r="N1092" s="273"/>
      <c r="O1092" s="273"/>
      <c r="P1092" s="273"/>
      <c r="Q1092" s="273"/>
      <c r="R1092" s="273"/>
      <c r="S1092" s="273"/>
      <c r="T1092" s="273"/>
      <c r="U1092" s="273"/>
      <c r="V1092" s="273"/>
      <c r="W1092" s="273">
        <f t="shared" si="229"/>
        <v>236494.42</v>
      </c>
      <c r="Z1092" s="271"/>
      <c r="AA1092" s="13"/>
      <c r="AB1092" s="13"/>
      <c r="AC1092" s="271">
        <v>236494.42</v>
      </c>
      <c r="AE1092" s="271"/>
      <c r="AF1092" s="271"/>
      <c r="AI1092" s="13"/>
      <c r="AJ1092" s="13"/>
    </row>
    <row r="1093" spans="1:36" x14ac:dyDescent="0.3">
      <c r="A1093" s="10">
        <f t="shared" si="233"/>
        <v>984</v>
      </c>
      <c r="B1093" s="124" t="s">
        <v>1330</v>
      </c>
      <c r="C1093" s="273">
        <f t="shared" si="231"/>
        <v>123676.82</v>
      </c>
      <c r="D1093" s="273">
        <f t="shared" si="234"/>
        <v>0</v>
      </c>
      <c r="E1093" s="273"/>
      <c r="F1093" s="273"/>
      <c r="G1093" s="273"/>
      <c r="H1093" s="273"/>
      <c r="I1093" s="273"/>
      <c r="J1093" s="273"/>
      <c r="K1093" s="273"/>
      <c r="L1093" s="273"/>
      <c r="M1093" s="273"/>
      <c r="N1093" s="273"/>
      <c r="O1093" s="273"/>
      <c r="P1093" s="273"/>
      <c r="Q1093" s="273"/>
      <c r="R1093" s="273"/>
      <c r="S1093" s="273"/>
      <c r="T1093" s="273"/>
      <c r="U1093" s="273"/>
      <c r="V1093" s="273"/>
      <c r="W1093" s="273">
        <f t="shared" si="229"/>
        <v>123676.82</v>
      </c>
      <c r="Z1093" s="271"/>
      <c r="AA1093" s="13"/>
      <c r="AB1093" s="13"/>
      <c r="AC1093" s="271">
        <v>123676.82</v>
      </c>
      <c r="AE1093" s="271"/>
      <c r="AF1093" s="271"/>
      <c r="AI1093" s="13"/>
      <c r="AJ1093" s="13"/>
    </row>
    <row r="1094" spans="1:36" x14ac:dyDescent="0.3">
      <c r="A1094" s="10">
        <f t="shared" si="233"/>
        <v>985</v>
      </c>
      <c r="B1094" s="124" t="s">
        <v>1331</v>
      </c>
      <c r="C1094" s="273">
        <f t="shared" si="231"/>
        <v>5463453.5999999996</v>
      </c>
      <c r="D1094" s="273">
        <f t="shared" si="234"/>
        <v>0</v>
      </c>
      <c r="E1094" s="273"/>
      <c r="F1094" s="273"/>
      <c r="G1094" s="273"/>
      <c r="H1094" s="273"/>
      <c r="I1094" s="273"/>
      <c r="J1094" s="273"/>
      <c r="K1094" s="273"/>
      <c r="L1094" s="273"/>
      <c r="M1094" s="273">
        <v>1250.5</v>
      </c>
      <c r="N1094" s="273">
        <v>5463453.5999999996</v>
      </c>
      <c r="O1094" s="273"/>
      <c r="P1094" s="273"/>
      <c r="Q1094" s="273"/>
      <c r="R1094" s="273"/>
      <c r="S1094" s="273"/>
      <c r="T1094" s="273"/>
      <c r="U1094" s="273"/>
      <c r="V1094" s="273"/>
      <c r="W1094" s="273">
        <f t="shared" si="229"/>
        <v>0</v>
      </c>
      <c r="Z1094" s="271"/>
      <c r="AA1094" s="271"/>
      <c r="AB1094" s="13"/>
      <c r="AC1094" s="271"/>
      <c r="AE1094" s="271"/>
      <c r="AF1094" s="271"/>
      <c r="AI1094" s="13"/>
      <c r="AJ1094" s="13"/>
    </row>
    <row r="1095" spans="1:36" x14ac:dyDescent="0.3">
      <c r="A1095" s="10">
        <f t="shared" si="233"/>
        <v>986</v>
      </c>
      <c r="B1095" s="124" t="s">
        <v>1332</v>
      </c>
      <c r="C1095" s="273">
        <f t="shared" si="231"/>
        <v>2042945.45</v>
      </c>
      <c r="D1095" s="273">
        <f t="shared" si="234"/>
        <v>0</v>
      </c>
      <c r="E1095" s="273"/>
      <c r="F1095" s="273"/>
      <c r="G1095" s="273"/>
      <c r="H1095" s="273"/>
      <c r="I1095" s="273"/>
      <c r="J1095" s="273"/>
      <c r="K1095" s="273"/>
      <c r="L1095" s="273"/>
      <c r="M1095" s="273">
        <v>307.8</v>
      </c>
      <c r="N1095" s="273">
        <v>2042945.45</v>
      </c>
      <c r="O1095" s="273"/>
      <c r="P1095" s="273"/>
      <c r="Q1095" s="273"/>
      <c r="R1095" s="273"/>
      <c r="S1095" s="273"/>
      <c r="T1095" s="273"/>
      <c r="U1095" s="273"/>
      <c r="V1095" s="273"/>
      <c r="W1095" s="273">
        <f t="shared" si="229"/>
        <v>0</v>
      </c>
      <c r="Z1095" s="271"/>
      <c r="AA1095" s="271"/>
      <c r="AB1095" s="13"/>
      <c r="AC1095" s="271"/>
      <c r="AE1095" s="271"/>
      <c r="AF1095" s="271"/>
      <c r="AI1095" s="13"/>
      <c r="AJ1095" s="13"/>
    </row>
    <row r="1096" spans="1:36" x14ac:dyDescent="0.3">
      <c r="A1096" s="10">
        <f t="shared" si="233"/>
        <v>987</v>
      </c>
      <c r="B1096" s="124" t="s">
        <v>1333</v>
      </c>
      <c r="C1096" s="273">
        <f t="shared" si="231"/>
        <v>389697.15</v>
      </c>
      <c r="D1096" s="273">
        <f t="shared" si="234"/>
        <v>0</v>
      </c>
      <c r="E1096" s="273"/>
      <c r="F1096" s="273"/>
      <c r="G1096" s="273"/>
      <c r="H1096" s="273"/>
      <c r="I1096" s="273"/>
      <c r="J1096" s="273"/>
      <c r="K1096" s="273"/>
      <c r="L1096" s="273"/>
      <c r="M1096" s="273"/>
      <c r="N1096" s="273"/>
      <c r="O1096" s="273"/>
      <c r="P1096" s="273"/>
      <c r="Q1096" s="273"/>
      <c r="R1096" s="273"/>
      <c r="S1096" s="273"/>
      <c r="T1096" s="273"/>
      <c r="U1096" s="273"/>
      <c r="V1096" s="273"/>
      <c r="W1096" s="273">
        <f t="shared" si="229"/>
        <v>389697.15</v>
      </c>
      <c r="Z1096" s="271"/>
      <c r="AA1096" s="271"/>
      <c r="AB1096" s="13"/>
      <c r="AC1096" s="271">
        <v>201644.53</v>
      </c>
      <c r="AE1096" s="271"/>
      <c r="AF1096" s="271">
        <v>188052.62</v>
      </c>
      <c r="AI1096" s="13"/>
      <c r="AJ1096" s="13"/>
    </row>
    <row r="1097" spans="1:36" x14ac:dyDescent="0.3">
      <c r="A1097" s="10">
        <f t="shared" si="233"/>
        <v>988</v>
      </c>
      <c r="B1097" s="124" t="s">
        <v>1334</v>
      </c>
      <c r="C1097" s="273">
        <f t="shared" si="231"/>
        <v>394712.18999999994</v>
      </c>
      <c r="D1097" s="273">
        <f t="shared" si="234"/>
        <v>0</v>
      </c>
      <c r="E1097" s="273"/>
      <c r="F1097" s="273"/>
      <c r="G1097" s="273"/>
      <c r="H1097" s="273"/>
      <c r="I1097" s="273"/>
      <c r="J1097" s="273"/>
      <c r="K1097" s="273"/>
      <c r="L1097" s="273"/>
      <c r="M1097" s="273"/>
      <c r="N1097" s="273"/>
      <c r="O1097" s="273"/>
      <c r="P1097" s="273"/>
      <c r="Q1097" s="273"/>
      <c r="R1097" s="273"/>
      <c r="S1097" s="273"/>
      <c r="T1097" s="273"/>
      <c r="U1097" s="273"/>
      <c r="V1097" s="273"/>
      <c r="W1097" s="273">
        <f t="shared" si="229"/>
        <v>394712.18999999994</v>
      </c>
      <c r="Z1097" s="271"/>
      <c r="AA1097" s="271"/>
      <c r="AB1097" s="13"/>
      <c r="AC1097" s="271">
        <f>76902.89+75290.4+94792.61</f>
        <v>246985.89999999997</v>
      </c>
      <c r="AE1097" s="271">
        <v>147726.29</v>
      </c>
      <c r="AF1097" s="271"/>
      <c r="AI1097" s="13"/>
      <c r="AJ1097" s="13"/>
    </row>
    <row r="1098" spans="1:36" x14ac:dyDescent="0.3">
      <c r="A1098" s="10">
        <f t="shared" si="233"/>
        <v>989</v>
      </c>
      <c r="B1098" s="124" t="s">
        <v>1335</v>
      </c>
      <c r="C1098" s="273">
        <f t="shared" si="231"/>
        <v>176725.18</v>
      </c>
      <c r="D1098" s="273">
        <f t="shared" si="234"/>
        <v>0</v>
      </c>
      <c r="E1098" s="273"/>
      <c r="F1098" s="273"/>
      <c r="G1098" s="273"/>
      <c r="H1098" s="273"/>
      <c r="I1098" s="273"/>
      <c r="J1098" s="273"/>
      <c r="K1098" s="273"/>
      <c r="L1098" s="273"/>
      <c r="M1098" s="273"/>
      <c r="N1098" s="273"/>
      <c r="O1098" s="273"/>
      <c r="P1098" s="273"/>
      <c r="Q1098" s="273"/>
      <c r="R1098" s="273"/>
      <c r="S1098" s="273"/>
      <c r="T1098" s="273"/>
      <c r="U1098" s="273"/>
      <c r="V1098" s="273"/>
      <c r="W1098" s="273">
        <f t="shared" si="229"/>
        <v>176725.18</v>
      </c>
      <c r="Z1098" s="271"/>
      <c r="AA1098" s="271"/>
      <c r="AB1098" s="13"/>
      <c r="AC1098" s="271"/>
      <c r="AE1098" s="271"/>
      <c r="AF1098" s="271">
        <v>176725.18</v>
      </c>
      <c r="AI1098" s="13"/>
      <c r="AJ1098" s="13"/>
    </row>
    <row r="1099" spans="1:36" x14ac:dyDescent="0.3">
      <c r="A1099" s="10">
        <f t="shared" si="233"/>
        <v>990</v>
      </c>
      <c r="B1099" s="124" t="s">
        <v>1336</v>
      </c>
      <c r="C1099" s="273">
        <f t="shared" si="231"/>
        <v>197664.23</v>
      </c>
      <c r="D1099" s="273">
        <f t="shared" si="234"/>
        <v>0</v>
      </c>
      <c r="E1099" s="273"/>
      <c r="F1099" s="273"/>
      <c r="G1099" s="273"/>
      <c r="H1099" s="273"/>
      <c r="I1099" s="273"/>
      <c r="J1099" s="273"/>
      <c r="K1099" s="273"/>
      <c r="L1099" s="273"/>
      <c r="M1099" s="273"/>
      <c r="N1099" s="273"/>
      <c r="O1099" s="273"/>
      <c r="P1099" s="273"/>
      <c r="Q1099" s="273"/>
      <c r="R1099" s="273"/>
      <c r="S1099" s="273"/>
      <c r="T1099" s="273"/>
      <c r="U1099" s="273"/>
      <c r="V1099" s="273"/>
      <c r="W1099" s="273">
        <f t="shared" si="229"/>
        <v>197664.23</v>
      </c>
      <c r="Z1099" s="271"/>
      <c r="AA1099" s="271"/>
      <c r="AB1099" s="13"/>
      <c r="AC1099" s="271">
        <v>66291.47</v>
      </c>
      <c r="AE1099" s="271">
        <v>131372.76</v>
      </c>
      <c r="AF1099" s="271"/>
      <c r="AI1099" s="13"/>
      <c r="AJ1099" s="13"/>
    </row>
    <row r="1100" spans="1:36" x14ac:dyDescent="0.3">
      <c r="A1100" s="10">
        <f t="shared" si="233"/>
        <v>991</v>
      </c>
      <c r="B1100" s="124" t="s">
        <v>1337</v>
      </c>
      <c r="C1100" s="273">
        <f t="shared" si="231"/>
        <v>191397.92</v>
      </c>
      <c r="D1100" s="273">
        <f t="shared" si="234"/>
        <v>0</v>
      </c>
      <c r="E1100" s="273"/>
      <c r="F1100" s="273"/>
      <c r="G1100" s="273"/>
      <c r="H1100" s="273"/>
      <c r="I1100" s="273"/>
      <c r="J1100" s="273"/>
      <c r="K1100" s="273"/>
      <c r="L1100" s="273"/>
      <c r="M1100" s="273"/>
      <c r="N1100" s="273"/>
      <c r="O1100" s="273"/>
      <c r="P1100" s="273"/>
      <c r="Q1100" s="273"/>
      <c r="R1100" s="273"/>
      <c r="S1100" s="273"/>
      <c r="T1100" s="273"/>
      <c r="U1100" s="273"/>
      <c r="V1100" s="273"/>
      <c r="W1100" s="273">
        <f t="shared" si="229"/>
        <v>191397.92</v>
      </c>
      <c r="Z1100" s="271"/>
      <c r="AA1100" s="271"/>
      <c r="AB1100" s="13"/>
      <c r="AC1100" s="271">
        <v>191397.92</v>
      </c>
      <c r="AE1100" s="271"/>
      <c r="AF1100" s="271"/>
      <c r="AI1100" s="13"/>
      <c r="AJ1100" s="13"/>
    </row>
    <row r="1101" spans="1:36" x14ac:dyDescent="0.3">
      <c r="A1101" s="10">
        <f t="shared" si="233"/>
        <v>992</v>
      </c>
      <c r="B1101" s="124" t="s">
        <v>1338</v>
      </c>
      <c r="C1101" s="273">
        <f t="shared" si="231"/>
        <v>5453464.4199999999</v>
      </c>
      <c r="D1101" s="273">
        <f t="shared" si="234"/>
        <v>0</v>
      </c>
      <c r="E1101" s="273"/>
      <c r="F1101" s="273"/>
      <c r="G1101" s="273"/>
      <c r="H1101" s="273"/>
      <c r="I1101" s="273"/>
      <c r="J1101" s="273"/>
      <c r="K1101" s="273"/>
      <c r="L1101" s="273"/>
      <c r="M1101" s="273"/>
      <c r="N1101" s="273"/>
      <c r="O1101" s="273">
        <v>348</v>
      </c>
      <c r="P1101" s="273">
        <v>5453464.4199999999</v>
      </c>
      <c r="Q1101" s="273"/>
      <c r="R1101" s="273"/>
      <c r="S1101" s="273"/>
      <c r="T1101" s="273"/>
      <c r="U1101" s="273"/>
      <c r="V1101" s="273"/>
      <c r="W1101" s="273">
        <f t="shared" si="229"/>
        <v>0</v>
      </c>
      <c r="Z1101" s="271"/>
      <c r="AA1101" s="271"/>
      <c r="AB1101" s="13"/>
      <c r="AC1101" s="271"/>
      <c r="AE1101" s="271"/>
      <c r="AF1101" s="271"/>
      <c r="AI1101" s="13"/>
      <c r="AJ1101" s="13"/>
    </row>
    <row r="1102" spans="1:36" x14ac:dyDescent="0.3">
      <c r="A1102" s="10">
        <f t="shared" si="233"/>
        <v>993</v>
      </c>
      <c r="B1102" s="124" t="s">
        <v>1339</v>
      </c>
      <c r="C1102" s="273">
        <f t="shared" si="231"/>
        <v>9794619.5999999996</v>
      </c>
      <c r="D1102" s="273">
        <f t="shared" si="234"/>
        <v>0</v>
      </c>
      <c r="E1102" s="273"/>
      <c r="F1102" s="273"/>
      <c r="G1102" s="273"/>
      <c r="H1102" s="273"/>
      <c r="I1102" s="273"/>
      <c r="J1102" s="273"/>
      <c r="K1102" s="273"/>
      <c r="L1102" s="273"/>
      <c r="M1102" s="273"/>
      <c r="N1102" s="273"/>
      <c r="O1102" s="273">
        <v>559</v>
      </c>
      <c r="P1102" s="273">
        <v>9794619.5999999996</v>
      </c>
      <c r="Q1102" s="273"/>
      <c r="R1102" s="273"/>
      <c r="S1102" s="273"/>
      <c r="T1102" s="273"/>
      <c r="U1102" s="273"/>
      <c r="V1102" s="273"/>
      <c r="W1102" s="273">
        <f t="shared" si="229"/>
        <v>0</v>
      </c>
      <c r="Z1102" s="271"/>
      <c r="AA1102" s="271"/>
      <c r="AB1102" s="13"/>
      <c r="AC1102" s="271"/>
      <c r="AE1102" s="271"/>
      <c r="AF1102" s="271"/>
      <c r="AI1102" s="13"/>
      <c r="AJ1102" s="13"/>
    </row>
    <row r="1103" spans="1:36" x14ac:dyDescent="0.3">
      <c r="A1103" s="10">
        <f t="shared" si="233"/>
        <v>994</v>
      </c>
      <c r="B1103" s="124" t="s">
        <v>1340</v>
      </c>
      <c r="C1103" s="273">
        <f t="shared" si="231"/>
        <v>4531667.2</v>
      </c>
      <c r="D1103" s="273">
        <f t="shared" si="234"/>
        <v>0</v>
      </c>
      <c r="E1103" s="273"/>
      <c r="F1103" s="273"/>
      <c r="G1103" s="273"/>
      <c r="H1103" s="273"/>
      <c r="I1103" s="273"/>
      <c r="J1103" s="273"/>
      <c r="K1103" s="273"/>
      <c r="L1103" s="273"/>
      <c r="M1103" s="273"/>
      <c r="N1103" s="273"/>
      <c r="O1103" s="273">
        <v>346</v>
      </c>
      <c r="P1103" s="273">
        <v>4531667.2</v>
      </c>
      <c r="Q1103" s="273"/>
      <c r="R1103" s="273"/>
      <c r="S1103" s="273"/>
      <c r="T1103" s="273"/>
      <c r="U1103" s="273"/>
      <c r="V1103" s="273"/>
      <c r="W1103" s="273">
        <f t="shared" ref="W1103:W1160" si="235">SUM(X1103:AH1103)</f>
        <v>0</v>
      </c>
      <c r="Z1103" s="13"/>
      <c r="AA1103" s="13"/>
      <c r="AB1103" s="13"/>
      <c r="AC1103" s="271"/>
      <c r="AE1103" s="269"/>
      <c r="AF1103" s="7"/>
      <c r="AI1103" s="13"/>
      <c r="AJ1103" s="13"/>
    </row>
    <row r="1104" spans="1:36" x14ac:dyDescent="0.3">
      <c r="A1104" s="10">
        <f t="shared" si="233"/>
        <v>995</v>
      </c>
      <c r="B1104" s="124" t="s">
        <v>1341</v>
      </c>
      <c r="C1104" s="273">
        <f t="shared" si="231"/>
        <v>3977897.5</v>
      </c>
      <c r="D1104" s="273">
        <f t="shared" si="234"/>
        <v>0</v>
      </c>
      <c r="E1104" s="273"/>
      <c r="F1104" s="273"/>
      <c r="G1104" s="273"/>
      <c r="H1104" s="273"/>
      <c r="I1104" s="273"/>
      <c r="J1104" s="273"/>
      <c r="K1104" s="273"/>
      <c r="L1104" s="273"/>
      <c r="M1104" s="273"/>
      <c r="N1104" s="273"/>
      <c r="O1104" s="273">
        <v>688</v>
      </c>
      <c r="P1104" s="273">
        <v>3977897.5</v>
      </c>
      <c r="Q1104" s="273"/>
      <c r="R1104" s="273"/>
      <c r="S1104" s="273"/>
      <c r="T1104" s="273"/>
      <c r="U1104" s="273"/>
      <c r="V1104" s="273"/>
      <c r="W1104" s="273">
        <f t="shared" si="235"/>
        <v>0</v>
      </c>
      <c r="Z1104" s="13"/>
      <c r="AA1104" s="13"/>
      <c r="AB1104" s="13"/>
      <c r="AC1104" s="271"/>
      <c r="AE1104" s="269"/>
      <c r="AF1104" s="7"/>
      <c r="AI1104" s="13"/>
      <c r="AJ1104" s="13"/>
    </row>
    <row r="1105" spans="1:36" x14ac:dyDescent="0.3">
      <c r="A1105" s="10">
        <f t="shared" si="233"/>
        <v>996</v>
      </c>
      <c r="B1105" s="124" t="s">
        <v>1343</v>
      </c>
      <c r="C1105" s="273">
        <f t="shared" si="231"/>
        <v>173524.58</v>
      </c>
      <c r="D1105" s="273">
        <f t="shared" si="234"/>
        <v>0</v>
      </c>
      <c r="E1105" s="273"/>
      <c r="F1105" s="273"/>
      <c r="G1105" s="273"/>
      <c r="H1105" s="273"/>
      <c r="I1105" s="273"/>
      <c r="J1105" s="273"/>
      <c r="K1105" s="273"/>
      <c r="L1105" s="273"/>
      <c r="M1105" s="273"/>
      <c r="N1105" s="273"/>
      <c r="O1105" s="273"/>
      <c r="P1105" s="273"/>
      <c r="Q1105" s="273"/>
      <c r="R1105" s="273"/>
      <c r="S1105" s="273"/>
      <c r="T1105" s="273"/>
      <c r="U1105" s="273"/>
      <c r="V1105" s="273"/>
      <c r="W1105" s="273">
        <f t="shared" si="235"/>
        <v>173524.58</v>
      </c>
      <c r="Z1105" s="271"/>
      <c r="AA1105" s="13"/>
      <c r="AB1105" s="13"/>
      <c r="AC1105" s="271">
        <v>173524.58</v>
      </c>
      <c r="AE1105" s="271"/>
      <c r="AF1105" s="271"/>
      <c r="AI1105" s="13"/>
      <c r="AJ1105" s="13"/>
    </row>
    <row r="1106" spans="1:36" x14ac:dyDescent="0.3">
      <c r="A1106" s="10">
        <f t="shared" si="233"/>
        <v>997</v>
      </c>
      <c r="B1106" s="124" t="s">
        <v>1344</v>
      </c>
      <c r="C1106" s="273">
        <f t="shared" si="231"/>
        <v>139172.14000000001</v>
      </c>
      <c r="D1106" s="273">
        <f t="shared" si="234"/>
        <v>0</v>
      </c>
      <c r="E1106" s="273"/>
      <c r="F1106" s="273"/>
      <c r="G1106" s="273"/>
      <c r="H1106" s="273"/>
      <c r="I1106" s="273"/>
      <c r="J1106" s="273"/>
      <c r="K1106" s="273"/>
      <c r="L1106" s="273"/>
      <c r="M1106" s="273"/>
      <c r="N1106" s="273"/>
      <c r="O1106" s="273"/>
      <c r="P1106" s="273"/>
      <c r="Q1106" s="273"/>
      <c r="R1106" s="273"/>
      <c r="S1106" s="273"/>
      <c r="T1106" s="273"/>
      <c r="U1106" s="273"/>
      <c r="V1106" s="273"/>
      <c r="W1106" s="273">
        <f t="shared" si="235"/>
        <v>139172.14000000001</v>
      </c>
      <c r="Z1106" s="271"/>
      <c r="AA1106" s="271"/>
      <c r="AB1106" s="13"/>
      <c r="AC1106" s="271">
        <v>139172.14000000001</v>
      </c>
      <c r="AE1106" s="271"/>
      <c r="AF1106" s="271"/>
      <c r="AI1106" s="13"/>
      <c r="AJ1106" s="13"/>
    </row>
    <row r="1107" spans="1:36" x14ac:dyDescent="0.3">
      <c r="A1107" s="10">
        <f t="shared" si="233"/>
        <v>998</v>
      </c>
      <c r="B1107" s="124" t="s">
        <v>1345</v>
      </c>
      <c r="C1107" s="273">
        <f t="shared" si="231"/>
        <v>5394588.8300000001</v>
      </c>
      <c r="D1107" s="273">
        <f t="shared" si="234"/>
        <v>0</v>
      </c>
      <c r="E1107" s="273"/>
      <c r="F1107" s="273"/>
      <c r="G1107" s="273"/>
      <c r="H1107" s="273"/>
      <c r="I1107" s="273"/>
      <c r="J1107" s="273"/>
      <c r="K1107" s="273"/>
      <c r="L1107" s="273"/>
      <c r="M1107" s="273"/>
      <c r="N1107" s="273"/>
      <c r="O1107" s="273">
        <v>516</v>
      </c>
      <c r="P1107" s="273">
        <v>5236281.6100000003</v>
      </c>
      <c r="Q1107" s="273"/>
      <c r="R1107" s="273"/>
      <c r="S1107" s="273"/>
      <c r="T1107" s="273"/>
      <c r="U1107" s="273"/>
      <c r="V1107" s="273"/>
      <c r="W1107" s="273">
        <f t="shared" si="235"/>
        <v>158307.22</v>
      </c>
      <c r="Z1107" s="271"/>
      <c r="AA1107" s="271"/>
      <c r="AB1107" s="13"/>
      <c r="AC1107" s="271">
        <v>158307.22</v>
      </c>
      <c r="AE1107" s="271"/>
      <c r="AF1107" s="271"/>
      <c r="AI1107" s="13"/>
      <c r="AJ1107" s="13"/>
    </row>
    <row r="1108" spans="1:36" x14ac:dyDescent="0.3">
      <c r="A1108" s="10">
        <f t="shared" si="233"/>
        <v>999</v>
      </c>
      <c r="B1108" s="124" t="s">
        <v>1346</v>
      </c>
      <c r="C1108" s="273">
        <f t="shared" si="231"/>
        <v>65075.89</v>
      </c>
      <c r="D1108" s="273">
        <f t="shared" si="234"/>
        <v>0</v>
      </c>
      <c r="E1108" s="273"/>
      <c r="F1108" s="273"/>
      <c r="G1108" s="273"/>
      <c r="H1108" s="273"/>
      <c r="I1108" s="273"/>
      <c r="J1108" s="273"/>
      <c r="K1108" s="273"/>
      <c r="L1108" s="273"/>
      <c r="M1108" s="273"/>
      <c r="N1108" s="273"/>
      <c r="O1108" s="273"/>
      <c r="P1108" s="273"/>
      <c r="Q1108" s="273"/>
      <c r="R1108" s="273"/>
      <c r="S1108" s="273"/>
      <c r="T1108" s="273"/>
      <c r="U1108" s="273"/>
      <c r="V1108" s="273"/>
      <c r="W1108" s="273">
        <f t="shared" si="235"/>
        <v>65075.89</v>
      </c>
      <c r="Z1108" s="271"/>
      <c r="AA1108" s="271"/>
      <c r="AB1108" s="13"/>
      <c r="AC1108" s="271">
        <v>65075.89</v>
      </c>
      <c r="AE1108" s="271"/>
      <c r="AF1108" s="271"/>
      <c r="AI1108" s="13"/>
      <c r="AJ1108" s="13"/>
    </row>
    <row r="1109" spans="1:36" x14ac:dyDescent="0.3">
      <c r="A1109" s="10">
        <f t="shared" si="233"/>
        <v>1000</v>
      </c>
      <c r="B1109" s="124" t="s">
        <v>1347</v>
      </c>
      <c r="C1109" s="273">
        <f t="shared" si="231"/>
        <v>4403994.0199999996</v>
      </c>
      <c r="D1109" s="273">
        <f t="shared" si="234"/>
        <v>0</v>
      </c>
      <c r="E1109" s="273"/>
      <c r="F1109" s="273"/>
      <c r="G1109" s="273"/>
      <c r="H1109" s="273"/>
      <c r="I1109" s="273"/>
      <c r="J1109" s="273"/>
      <c r="K1109" s="273"/>
      <c r="L1109" s="273"/>
      <c r="M1109" s="273">
        <v>900.9</v>
      </c>
      <c r="N1109" s="273">
        <v>4213065.88</v>
      </c>
      <c r="O1109" s="273"/>
      <c r="P1109" s="273"/>
      <c r="Q1109" s="273"/>
      <c r="R1109" s="273"/>
      <c r="S1109" s="273"/>
      <c r="T1109" s="273"/>
      <c r="U1109" s="273"/>
      <c r="V1109" s="273"/>
      <c r="W1109" s="273">
        <f t="shared" si="235"/>
        <v>190928.14</v>
      </c>
      <c r="Z1109" s="271"/>
      <c r="AA1109" s="271"/>
      <c r="AB1109" s="13"/>
      <c r="AC1109" s="271">
        <v>190928.14</v>
      </c>
      <c r="AE1109" s="271"/>
      <c r="AF1109" s="271"/>
      <c r="AI1109" s="13"/>
      <c r="AJ1109" s="13"/>
    </row>
    <row r="1110" spans="1:36" x14ac:dyDescent="0.3">
      <c r="A1110" s="10">
        <f t="shared" si="233"/>
        <v>1001</v>
      </c>
      <c r="B1110" s="124" t="s">
        <v>1348</v>
      </c>
      <c r="C1110" s="273">
        <f t="shared" ref="C1110:C1173" si="236">D1110+K1110+L1110+N1110+P1110+R1110+U1110+S1110+V1110+W1110</f>
        <v>154252.92000000001</v>
      </c>
      <c r="D1110" s="273">
        <f t="shared" ref="D1110:D1141" si="237">E1110+F1110+G1110+H1110+I1110</f>
        <v>0</v>
      </c>
      <c r="E1110" s="273"/>
      <c r="F1110" s="273"/>
      <c r="G1110" s="273"/>
      <c r="H1110" s="273"/>
      <c r="I1110" s="273"/>
      <c r="J1110" s="273"/>
      <c r="K1110" s="273"/>
      <c r="L1110" s="273"/>
      <c r="M1110" s="273"/>
      <c r="N1110" s="273"/>
      <c r="O1110" s="273"/>
      <c r="P1110" s="273"/>
      <c r="Q1110" s="273"/>
      <c r="R1110" s="273"/>
      <c r="S1110" s="273"/>
      <c r="T1110" s="273"/>
      <c r="U1110" s="273"/>
      <c r="V1110" s="273"/>
      <c r="W1110" s="273">
        <f t="shared" si="235"/>
        <v>154252.92000000001</v>
      </c>
      <c r="Z1110" s="271"/>
      <c r="AA1110" s="271"/>
      <c r="AB1110" s="13"/>
      <c r="AC1110" s="271" t="s">
        <v>352</v>
      </c>
      <c r="AE1110" s="271">
        <v>154252.92000000001</v>
      </c>
      <c r="AF1110" s="271"/>
      <c r="AI1110" s="13"/>
      <c r="AJ1110" s="13"/>
    </row>
    <row r="1111" spans="1:36" x14ac:dyDescent="0.3">
      <c r="A1111" s="10">
        <f t="shared" ref="A1111:A1174" si="238">A1110+1</f>
        <v>1002</v>
      </c>
      <c r="B1111" s="124" t="s">
        <v>1349</v>
      </c>
      <c r="C1111" s="273">
        <f t="shared" si="236"/>
        <v>4940069.9000000004</v>
      </c>
      <c r="D1111" s="273">
        <f t="shared" si="237"/>
        <v>0</v>
      </c>
      <c r="E1111" s="273"/>
      <c r="F1111" s="273"/>
      <c r="G1111" s="273"/>
      <c r="H1111" s="273"/>
      <c r="I1111" s="273"/>
      <c r="J1111" s="273"/>
      <c r="K1111" s="273"/>
      <c r="L1111" s="273"/>
      <c r="M1111" s="273">
        <v>900.9</v>
      </c>
      <c r="N1111" s="273">
        <v>4940069.9000000004</v>
      </c>
      <c r="O1111" s="273"/>
      <c r="P1111" s="273"/>
      <c r="Q1111" s="273"/>
      <c r="R1111" s="273"/>
      <c r="S1111" s="273"/>
      <c r="T1111" s="273"/>
      <c r="U1111" s="273"/>
      <c r="V1111" s="273"/>
      <c r="W1111" s="273">
        <f t="shared" si="235"/>
        <v>0</v>
      </c>
      <c r="Z1111" s="271"/>
      <c r="AA1111" s="271"/>
      <c r="AB1111" s="13"/>
      <c r="AC1111" s="271"/>
      <c r="AE1111" s="271"/>
      <c r="AF1111" s="271"/>
      <c r="AI1111" s="13"/>
      <c r="AJ1111" s="13"/>
    </row>
    <row r="1112" spans="1:36" x14ac:dyDescent="0.3">
      <c r="A1112" s="10">
        <f t="shared" si="238"/>
        <v>1003</v>
      </c>
      <c r="B1112" s="124" t="s">
        <v>1351</v>
      </c>
      <c r="C1112" s="273">
        <f t="shared" si="236"/>
        <v>222273.74</v>
      </c>
      <c r="D1112" s="273">
        <f t="shared" si="237"/>
        <v>0</v>
      </c>
      <c r="E1112" s="273"/>
      <c r="F1112" s="273"/>
      <c r="G1112" s="273"/>
      <c r="H1112" s="273"/>
      <c r="I1112" s="273"/>
      <c r="J1112" s="273"/>
      <c r="K1112" s="273"/>
      <c r="L1112" s="273"/>
      <c r="M1112" s="273"/>
      <c r="N1112" s="273"/>
      <c r="O1112" s="273"/>
      <c r="P1112" s="273"/>
      <c r="Q1112" s="273"/>
      <c r="R1112" s="273"/>
      <c r="S1112" s="273"/>
      <c r="T1112" s="273"/>
      <c r="U1112" s="273"/>
      <c r="V1112" s="273"/>
      <c r="W1112" s="273">
        <f t="shared" si="235"/>
        <v>222273.74</v>
      </c>
      <c r="Z1112" s="271"/>
      <c r="AA1112" s="271"/>
      <c r="AB1112" s="13"/>
      <c r="AC1112" s="271">
        <v>222273.74</v>
      </c>
      <c r="AE1112" s="271"/>
      <c r="AF1112" s="271"/>
      <c r="AI1112" s="13"/>
      <c r="AJ1112" s="13"/>
    </row>
    <row r="1113" spans="1:36" x14ac:dyDescent="0.3">
      <c r="A1113" s="10">
        <f t="shared" si="238"/>
        <v>1004</v>
      </c>
      <c r="B1113" s="124" t="s">
        <v>1352</v>
      </c>
      <c r="C1113" s="273">
        <f t="shared" si="236"/>
        <v>4044409.2</v>
      </c>
      <c r="D1113" s="273">
        <f t="shared" si="237"/>
        <v>0</v>
      </c>
      <c r="E1113" s="273"/>
      <c r="F1113" s="273"/>
      <c r="G1113" s="273"/>
      <c r="H1113" s="273"/>
      <c r="I1113" s="273"/>
      <c r="J1113" s="273"/>
      <c r="K1113" s="273"/>
      <c r="L1113" s="273"/>
      <c r="M1113" s="273">
        <v>433</v>
      </c>
      <c r="N1113" s="273">
        <v>2778463.2</v>
      </c>
      <c r="O1113" s="273"/>
      <c r="P1113" s="273"/>
      <c r="Q1113" s="273"/>
      <c r="R1113" s="273"/>
      <c r="S1113" s="273"/>
      <c r="T1113" s="273"/>
      <c r="U1113" s="273">
        <v>1265946</v>
      </c>
      <c r="V1113" s="273"/>
      <c r="W1113" s="273">
        <f t="shared" si="235"/>
        <v>0</v>
      </c>
      <c r="Z1113" s="271"/>
      <c r="AA1113" s="271"/>
      <c r="AB1113" s="13"/>
      <c r="AC1113" s="271"/>
      <c r="AE1113" s="271"/>
      <c r="AF1113" s="271"/>
      <c r="AI1113" s="13"/>
      <c r="AJ1113" s="13"/>
    </row>
    <row r="1114" spans="1:36" x14ac:dyDescent="0.3">
      <c r="A1114" s="10">
        <f t="shared" si="238"/>
        <v>1005</v>
      </c>
      <c r="B1114" s="124" t="s">
        <v>1353</v>
      </c>
      <c r="C1114" s="273">
        <f t="shared" si="236"/>
        <v>121078.22</v>
      </c>
      <c r="D1114" s="273">
        <f t="shared" si="237"/>
        <v>0</v>
      </c>
      <c r="E1114" s="273"/>
      <c r="F1114" s="273"/>
      <c r="G1114" s="273"/>
      <c r="H1114" s="273"/>
      <c r="I1114" s="273"/>
      <c r="J1114" s="273"/>
      <c r="K1114" s="273"/>
      <c r="L1114" s="273"/>
      <c r="M1114" s="273"/>
      <c r="N1114" s="273"/>
      <c r="O1114" s="273"/>
      <c r="P1114" s="273"/>
      <c r="Q1114" s="273"/>
      <c r="R1114" s="273"/>
      <c r="S1114" s="273"/>
      <c r="T1114" s="273"/>
      <c r="U1114" s="273"/>
      <c r="V1114" s="273"/>
      <c r="W1114" s="273">
        <f t="shared" si="235"/>
        <v>121078.22</v>
      </c>
      <c r="Z1114" s="271"/>
      <c r="AA1114" s="271"/>
      <c r="AB1114" s="13"/>
      <c r="AC1114" s="271"/>
      <c r="AE1114" s="271">
        <v>121078.22</v>
      </c>
      <c r="AF1114" s="271"/>
      <c r="AI1114" s="13"/>
      <c r="AJ1114" s="13"/>
    </row>
    <row r="1115" spans="1:36" x14ac:dyDescent="0.3">
      <c r="A1115" s="10">
        <f t="shared" si="238"/>
        <v>1006</v>
      </c>
      <c r="B1115" s="124" t="s">
        <v>1354</v>
      </c>
      <c r="C1115" s="273">
        <f t="shared" si="236"/>
        <v>151546.75</v>
      </c>
      <c r="D1115" s="273">
        <f t="shared" si="237"/>
        <v>0</v>
      </c>
      <c r="E1115" s="273"/>
      <c r="F1115" s="273"/>
      <c r="G1115" s="273"/>
      <c r="H1115" s="273"/>
      <c r="I1115" s="273"/>
      <c r="J1115" s="273"/>
      <c r="K1115" s="273"/>
      <c r="L1115" s="273"/>
      <c r="M1115" s="273"/>
      <c r="N1115" s="273"/>
      <c r="O1115" s="273"/>
      <c r="P1115" s="273"/>
      <c r="Q1115" s="273"/>
      <c r="R1115" s="273"/>
      <c r="S1115" s="273"/>
      <c r="T1115" s="273"/>
      <c r="U1115" s="273"/>
      <c r="V1115" s="273"/>
      <c r="W1115" s="273">
        <f t="shared" si="235"/>
        <v>151546.75</v>
      </c>
      <c r="Z1115" s="271"/>
      <c r="AA1115" s="13"/>
      <c r="AB1115" s="13"/>
      <c r="AC1115" s="271"/>
      <c r="AE1115" s="271">
        <v>151546.75</v>
      </c>
      <c r="AF1115" s="7"/>
      <c r="AI1115" s="13"/>
      <c r="AJ1115" s="13"/>
    </row>
    <row r="1116" spans="1:36" x14ac:dyDescent="0.3">
      <c r="A1116" s="10">
        <f t="shared" si="238"/>
        <v>1007</v>
      </c>
      <c r="B1116" s="124" t="s">
        <v>1355</v>
      </c>
      <c r="C1116" s="273">
        <f t="shared" si="236"/>
        <v>227405.35</v>
      </c>
      <c r="D1116" s="273">
        <f t="shared" si="237"/>
        <v>0</v>
      </c>
      <c r="E1116" s="273"/>
      <c r="F1116" s="273"/>
      <c r="G1116" s="273"/>
      <c r="H1116" s="273"/>
      <c r="I1116" s="273"/>
      <c r="J1116" s="273"/>
      <c r="K1116" s="273"/>
      <c r="L1116" s="273"/>
      <c r="M1116" s="273"/>
      <c r="N1116" s="273"/>
      <c r="O1116" s="273"/>
      <c r="P1116" s="273"/>
      <c r="Q1116" s="273"/>
      <c r="R1116" s="273"/>
      <c r="S1116" s="273"/>
      <c r="T1116" s="273"/>
      <c r="U1116" s="273"/>
      <c r="V1116" s="273"/>
      <c r="W1116" s="273">
        <f t="shared" si="235"/>
        <v>227405.35</v>
      </c>
      <c r="Z1116" s="271"/>
      <c r="AA1116" s="271"/>
      <c r="AB1116" s="13"/>
      <c r="AC1116" s="271"/>
      <c r="AE1116" s="271">
        <v>227405.35</v>
      </c>
      <c r="AF1116" s="271"/>
      <c r="AI1116" s="13"/>
      <c r="AJ1116" s="13"/>
    </row>
    <row r="1117" spans="1:36" x14ac:dyDescent="0.3">
      <c r="A1117" s="10">
        <f t="shared" si="238"/>
        <v>1008</v>
      </c>
      <c r="B1117" s="124" t="s">
        <v>1356</v>
      </c>
      <c r="C1117" s="273">
        <f t="shared" si="236"/>
        <v>118741.12</v>
      </c>
      <c r="D1117" s="273">
        <f t="shared" si="237"/>
        <v>0</v>
      </c>
      <c r="E1117" s="273"/>
      <c r="F1117" s="273"/>
      <c r="G1117" s="273"/>
      <c r="H1117" s="273"/>
      <c r="I1117" s="273"/>
      <c r="J1117" s="273"/>
      <c r="K1117" s="273"/>
      <c r="L1117" s="273"/>
      <c r="M1117" s="273"/>
      <c r="N1117" s="273"/>
      <c r="O1117" s="273"/>
      <c r="P1117" s="273"/>
      <c r="Q1117" s="273"/>
      <c r="R1117" s="273"/>
      <c r="S1117" s="273"/>
      <c r="T1117" s="273"/>
      <c r="U1117" s="273"/>
      <c r="V1117" s="273"/>
      <c r="W1117" s="273">
        <f t="shared" si="235"/>
        <v>118741.12</v>
      </c>
      <c r="Z1117" s="271"/>
      <c r="AA1117" s="13"/>
      <c r="AB1117" s="13"/>
      <c r="AC1117" s="271">
        <v>118741.12</v>
      </c>
      <c r="AE1117" s="271"/>
      <c r="AF1117" s="271"/>
      <c r="AI1117" s="13"/>
      <c r="AJ1117" s="13"/>
    </row>
    <row r="1118" spans="1:36" x14ac:dyDescent="0.3">
      <c r="A1118" s="10">
        <f t="shared" si="238"/>
        <v>1009</v>
      </c>
      <c r="B1118" s="124" t="s">
        <v>1357</v>
      </c>
      <c r="C1118" s="273">
        <f t="shared" si="236"/>
        <v>315237.62</v>
      </c>
      <c r="D1118" s="273">
        <f t="shared" si="237"/>
        <v>0</v>
      </c>
      <c r="E1118" s="273"/>
      <c r="F1118" s="273"/>
      <c r="G1118" s="273"/>
      <c r="H1118" s="273"/>
      <c r="I1118" s="273"/>
      <c r="J1118" s="273"/>
      <c r="K1118" s="273"/>
      <c r="L1118" s="273"/>
      <c r="M1118" s="273"/>
      <c r="N1118" s="273"/>
      <c r="O1118" s="273"/>
      <c r="P1118" s="273"/>
      <c r="Q1118" s="273"/>
      <c r="R1118" s="273"/>
      <c r="S1118" s="273"/>
      <c r="T1118" s="273"/>
      <c r="U1118" s="273"/>
      <c r="V1118" s="273"/>
      <c r="W1118" s="273">
        <f t="shared" si="235"/>
        <v>315237.62</v>
      </c>
      <c r="Z1118" s="271"/>
      <c r="AA1118" s="13"/>
      <c r="AB1118" s="13"/>
      <c r="AC1118" s="271">
        <v>112990.21</v>
      </c>
      <c r="AE1118" s="271">
        <v>202247.41</v>
      </c>
      <c r="AF1118" s="271"/>
      <c r="AI1118" s="13"/>
      <c r="AJ1118" s="13"/>
    </row>
    <row r="1119" spans="1:36" x14ac:dyDescent="0.3">
      <c r="A1119" s="10">
        <f t="shared" si="238"/>
        <v>1010</v>
      </c>
      <c r="B1119" s="124" t="s">
        <v>1358</v>
      </c>
      <c r="C1119" s="273">
        <f t="shared" si="236"/>
        <v>215886.67</v>
      </c>
      <c r="D1119" s="273">
        <f t="shared" si="237"/>
        <v>0</v>
      </c>
      <c r="E1119" s="273"/>
      <c r="F1119" s="273"/>
      <c r="G1119" s="273"/>
      <c r="H1119" s="273"/>
      <c r="I1119" s="273"/>
      <c r="J1119" s="273"/>
      <c r="K1119" s="273"/>
      <c r="L1119" s="273"/>
      <c r="M1119" s="273"/>
      <c r="N1119" s="273"/>
      <c r="O1119" s="273"/>
      <c r="P1119" s="273"/>
      <c r="Q1119" s="273"/>
      <c r="R1119" s="273"/>
      <c r="S1119" s="273"/>
      <c r="T1119" s="273"/>
      <c r="U1119" s="273"/>
      <c r="V1119" s="273"/>
      <c r="W1119" s="273">
        <f t="shared" si="235"/>
        <v>215886.67</v>
      </c>
      <c r="Z1119" s="271"/>
      <c r="AA1119" s="271"/>
      <c r="AB1119" s="13"/>
      <c r="AC1119" s="271">
        <v>215886.67</v>
      </c>
      <c r="AE1119" s="271"/>
      <c r="AF1119" s="271"/>
      <c r="AI1119" s="13"/>
      <c r="AJ1119" s="13"/>
    </row>
    <row r="1120" spans="1:36" x14ac:dyDescent="0.3">
      <c r="A1120" s="10">
        <f t="shared" si="238"/>
        <v>1011</v>
      </c>
      <c r="B1120" s="124" t="s">
        <v>1359</v>
      </c>
      <c r="C1120" s="273">
        <f t="shared" si="236"/>
        <v>207977.94</v>
      </c>
      <c r="D1120" s="273">
        <f t="shared" si="237"/>
        <v>0</v>
      </c>
      <c r="E1120" s="273"/>
      <c r="F1120" s="273"/>
      <c r="G1120" s="273"/>
      <c r="H1120" s="273"/>
      <c r="I1120" s="273"/>
      <c r="J1120" s="273"/>
      <c r="K1120" s="273"/>
      <c r="L1120" s="273"/>
      <c r="M1120" s="273"/>
      <c r="N1120" s="273"/>
      <c r="O1120" s="273"/>
      <c r="P1120" s="273"/>
      <c r="Q1120" s="273"/>
      <c r="R1120" s="273"/>
      <c r="S1120" s="273"/>
      <c r="T1120" s="273"/>
      <c r="U1120" s="273"/>
      <c r="V1120" s="273"/>
      <c r="W1120" s="273">
        <f t="shared" si="235"/>
        <v>207977.94</v>
      </c>
      <c r="Z1120" s="271"/>
      <c r="AA1120" s="271"/>
      <c r="AB1120" s="13"/>
      <c r="AC1120" s="271">
        <v>207977.94</v>
      </c>
      <c r="AE1120" s="271"/>
      <c r="AF1120" s="271"/>
      <c r="AI1120" s="13"/>
      <c r="AJ1120" s="13"/>
    </row>
    <row r="1121" spans="1:36" x14ac:dyDescent="0.3">
      <c r="A1121" s="10">
        <f t="shared" si="238"/>
        <v>1012</v>
      </c>
      <c r="B1121" s="124" t="s">
        <v>1360</v>
      </c>
      <c r="C1121" s="273">
        <f t="shared" si="236"/>
        <v>605870.04</v>
      </c>
      <c r="D1121" s="273">
        <f t="shared" si="237"/>
        <v>0</v>
      </c>
      <c r="E1121" s="273"/>
      <c r="F1121" s="273"/>
      <c r="G1121" s="273"/>
      <c r="H1121" s="273"/>
      <c r="I1121" s="273"/>
      <c r="J1121" s="273"/>
      <c r="K1121" s="273"/>
      <c r="L1121" s="273"/>
      <c r="M1121" s="273"/>
      <c r="N1121" s="273"/>
      <c r="O1121" s="273"/>
      <c r="P1121" s="273"/>
      <c r="Q1121" s="273"/>
      <c r="R1121" s="273"/>
      <c r="S1121" s="273"/>
      <c r="T1121" s="273"/>
      <c r="U1121" s="273"/>
      <c r="V1121" s="273"/>
      <c r="W1121" s="273">
        <f t="shared" si="235"/>
        <v>605870.04</v>
      </c>
      <c r="Z1121" s="271"/>
      <c r="AA1121" s="271"/>
      <c r="AB1121" s="13"/>
      <c r="AC1121" s="271"/>
      <c r="AE1121" s="271"/>
      <c r="AF1121" s="271">
        <v>605870.04</v>
      </c>
      <c r="AI1121" s="13"/>
      <c r="AJ1121" s="13"/>
    </row>
    <row r="1122" spans="1:36" x14ac:dyDescent="0.3">
      <c r="A1122" s="10">
        <f t="shared" si="238"/>
        <v>1013</v>
      </c>
      <c r="B1122" s="124" t="s">
        <v>1361</v>
      </c>
      <c r="C1122" s="273">
        <f t="shared" si="236"/>
        <v>223088.15</v>
      </c>
      <c r="D1122" s="273">
        <f t="shared" si="237"/>
        <v>0</v>
      </c>
      <c r="E1122" s="273"/>
      <c r="F1122" s="273"/>
      <c r="G1122" s="273"/>
      <c r="H1122" s="273"/>
      <c r="I1122" s="273"/>
      <c r="J1122" s="273"/>
      <c r="K1122" s="273"/>
      <c r="L1122" s="273"/>
      <c r="M1122" s="273"/>
      <c r="N1122" s="273"/>
      <c r="O1122" s="273"/>
      <c r="P1122" s="273"/>
      <c r="Q1122" s="273"/>
      <c r="R1122" s="273"/>
      <c r="S1122" s="273"/>
      <c r="T1122" s="273"/>
      <c r="U1122" s="273"/>
      <c r="V1122" s="273"/>
      <c r="W1122" s="273">
        <f t="shared" si="235"/>
        <v>223088.15</v>
      </c>
      <c r="Z1122" s="271"/>
      <c r="AA1122" s="271"/>
      <c r="AB1122" s="13"/>
      <c r="AC1122" s="271">
        <v>223088.15</v>
      </c>
      <c r="AE1122" s="271"/>
      <c r="AF1122" s="271"/>
      <c r="AI1122" s="13"/>
      <c r="AJ1122" s="13"/>
    </row>
    <row r="1123" spans="1:36" x14ac:dyDescent="0.3">
      <c r="A1123" s="10">
        <f t="shared" si="238"/>
        <v>1014</v>
      </c>
      <c r="B1123" s="124" t="s">
        <v>1363</v>
      </c>
      <c r="C1123" s="273">
        <f t="shared" si="236"/>
        <v>244842.58</v>
      </c>
      <c r="D1123" s="273">
        <f t="shared" si="237"/>
        <v>0</v>
      </c>
      <c r="E1123" s="273"/>
      <c r="F1123" s="273"/>
      <c r="G1123" s="273"/>
      <c r="H1123" s="273"/>
      <c r="I1123" s="273"/>
      <c r="J1123" s="273"/>
      <c r="K1123" s="273"/>
      <c r="L1123" s="273"/>
      <c r="M1123" s="273"/>
      <c r="N1123" s="273"/>
      <c r="O1123" s="273"/>
      <c r="P1123" s="273"/>
      <c r="Q1123" s="273"/>
      <c r="R1123" s="273"/>
      <c r="S1123" s="273"/>
      <c r="T1123" s="273"/>
      <c r="U1123" s="273"/>
      <c r="V1123" s="273"/>
      <c r="W1123" s="273">
        <f t="shared" si="235"/>
        <v>244842.58</v>
      </c>
      <c r="Z1123" s="271"/>
      <c r="AA1123" s="13"/>
      <c r="AB1123" s="13"/>
      <c r="AC1123" s="271">
        <v>244842.58</v>
      </c>
      <c r="AE1123" s="271"/>
      <c r="AF1123" s="271"/>
      <c r="AI1123" s="13"/>
      <c r="AJ1123" s="13"/>
    </row>
    <row r="1124" spans="1:36" x14ac:dyDescent="0.3">
      <c r="A1124" s="10">
        <f t="shared" si="238"/>
        <v>1015</v>
      </c>
      <c r="B1124" s="124" t="s">
        <v>1364</v>
      </c>
      <c r="C1124" s="273">
        <f t="shared" si="236"/>
        <v>230707.54</v>
      </c>
      <c r="D1124" s="273">
        <f t="shared" si="237"/>
        <v>0</v>
      </c>
      <c r="E1124" s="273"/>
      <c r="F1124" s="273"/>
      <c r="G1124" s="273"/>
      <c r="H1124" s="273"/>
      <c r="I1124" s="273"/>
      <c r="J1124" s="273"/>
      <c r="K1124" s="273"/>
      <c r="L1124" s="273"/>
      <c r="M1124" s="273"/>
      <c r="N1124" s="273"/>
      <c r="O1124" s="273"/>
      <c r="P1124" s="273"/>
      <c r="Q1124" s="273"/>
      <c r="R1124" s="273"/>
      <c r="S1124" s="273"/>
      <c r="T1124" s="273"/>
      <c r="U1124" s="273"/>
      <c r="V1124" s="273"/>
      <c r="W1124" s="273">
        <f t="shared" si="235"/>
        <v>230707.54</v>
      </c>
      <c r="Z1124" s="271"/>
      <c r="AA1124" s="13"/>
      <c r="AB1124" s="13"/>
      <c r="AC1124" s="271">
        <v>230707.54</v>
      </c>
      <c r="AE1124" s="271"/>
      <c r="AF1124" s="271"/>
      <c r="AI1124" s="13"/>
      <c r="AJ1124" s="13"/>
    </row>
    <row r="1125" spans="1:36" x14ac:dyDescent="0.3">
      <c r="A1125" s="10">
        <f t="shared" si="238"/>
        <v>1016</v>
      </c>
      <c r="B1125" s="124" t="s">
        <v>1365</v>
      </c>
      <c r="C1125" s="273">
        <f t="shared" si="236"/>
        <v>160804.19</v>
      </c>
      <c r="D1125" s="273">
        <f t="shared" si="237"/>
        <v>0</v>
      </c>
      <c r="E1125" s="273"/>
      <c r="F1125" s="273"/>
      <c r="G1125" s="273"/>
      <c r="H1125" s="273"/>
      <c r="I1125" s="273"/>
      <c r="J1125" s="273"/>
      <c r="K1125" s="273"/>
      <c r="L1125" s="273"/>
      <c r="M1125" s="273"/>
      <c r="N1125" s="273"/>
      <c r="O1125" s="273"/>
      <c r="P1125" s="273"/>
      <c r="Q1125" s="273"/>
      <c r="R1125" s="273"/>
      <c r="S1125" s="273"/>
      <c r="T1125" s="273"/>
      <c r="U1125" s="273"/>
      <c r="V1125" s="273"/>
      <c r="W1125" s="273">
        <f t="shared" si="235"/>
        <v>160804.19</v>
      </c>
      <c r="Z1125" s="271"/>
      <c r="AA1125" s="13"/>
      <c r="AB1125" s="13"/>
      <c r="AC1125" s="271">
        <v>160804.19</v>
      </c>
      <c r="AE1125" s="271"/>
      <c r="AF1125" s="271"/>
      <c r="AI1125" s="13"/>
      <c r="AJ1125" s="13"/>
    </row>
    <row r="1126" spans="1:36" x14ac:dyDescent="0.3">
      <c r="A1126" s="10">
        <f t="shared" si="238"/>
        <v>1017</v>
      </c>
      <c r="B1126" s="124" t="s">
        <v>1366</v>
      </c>
      <c r="C1126" s="273">
        <f t="shared" si="236"/>
        <v>10895175.6</v>
      </c>
      <c r="D1126" s="273">
        <f t="shared" si="237"/>
        <v>0</v>
      </c>
      <c r="E1126" s="273"/>
      <c r="F1126" s="273"/>
      <c r="G1126" s="273"/>
      <c r="H1126" s="273"/>
      <c r="I1126" s="273"/>
      <c r="J1126" s="273"/>
      <c r="K1126" s="273"/>
      <c r="L1126" s="273"/>
      <c r="M1126" s="273"/>
      <c r="N1126" s="273"/>
      <c r="O1126" s="273">
        <v>484.8</v>
      </c>
      <c r="P1126" s="273">
        <v>10895175.6</v>
      </c>
      <c r="Q1126" s="273"/>
      <c r="R1126" s="273"/>
      <c r="S1126" s="273"/>
      <c r="T1126" s="273"/>
      <c r="U1126" s="273"/>
      <c r="V1126" s="273"/>
      <c r="W1126" s="273">
        <f t="shared" si="235"/>
        <v>0</v>
      </c>
      <c r="Z1126" s="271"/>
      <c r="AA1126" s="13"/>
      <c r="AB1126" s="13"/>
      <c r="AC1126" s="271"/>
      <c r="AE1126" s="271"/>
      <c r="AF1126" s="271"/>
      <c r="AI1126" s="13"/>
      <c r="AJ1126" s="13"/>
    </row>
    <row r="1127" spans="1:36" x14ac:dyDescent="0.3">
      <c r="A1127" s="10">
        <f t="shared" si="238"/>
        <v>1018</v>
      </c>
      <c r="B1127" s="124" t="s">
        <v>1367</v>
      </c>
      <c r="C1127" s="273">
        <f t="shared" si="236"/>
        <v>612484.39</v>
      </c>
      <c r="D1127" s="273">
        <f t="shared" si="237"/>
        <v>0</v>
      </c>
      <c r="E1127" s="273"/>
      <c r="F1127" s="273"/>
      <c r="G1127" s="273"/>
      <c r="H1127" s="273"/>
      <c r="I1127" s="273"/>
      <c r="J1127" s="273"/>
      <c r="K1127" s="273"/>
      <c r="L1127" s="273"/>
      <c r="M1127" s="273"/>
      <c r="N1127" s="273"/>
      <c r="O1127" s="273"/>
      <c r="P1127" s="273"/>
      <c r="Q1127" s="273"/>
      <c r="R1127" s="273"/>
      <c r="S1127" s="273"/>
      <c r="T1127" s="273"/>
      <c r="U1127" s="273"/>
      <c r="V1127" s="273"/>
      <c r="W1127" s="273">
        <f t="shared" si="235"/>
        <v>612484.39</v>
      </c>
      <c r="Z1127" s="271"/>
      <c r="AA1127" s="13"/>
      <c r="AB1127" s="13"/>
      <c r="AC1127" s="271"/>
      <c r="AE1127" s="271">
        <v>612484.39</v>
      </c>
      <c r="AF1127" s="271"/>
      <c r="AI1127" s="13"/>
      <c r="AJ1127" s="13"/>
    </row>
    <row r="1128" spans="1:36" x14ac:dyDescent="0.3">
      <c r="A1128" s="10">
        <f t="shared" si="238"/>
        <v>1019</v>
      </c>
      <c r="B1128" s="124" t="s">
        <v>1368</v>
      </c>
      <c r="C1128" s="273">
        <f t="shared" si="236"/>
        <v>12854416.800000001</v>
      </c>
      <c r="D1128" s="273">
        <f t="shared" si="237"/>
        <v>0</v>
      </c>
      <c r="E1128" s="273"/>
      <c r="F1128" s="273"/>
      <c r="G1128" s="273"/>
      <c r="H1128" s="273"/>
      <c r="I1128" s="273"/>
      <c r="J1128" s="273"/>
      <c r="K1128" s="273"/>
      <c r="L1128" s="273"/>
      <c r="M1128" s="273"/>
      <c r="N1128" s="273"/>
      <c r="O1128" s="273">
        <v>752</v>
      </c>
      <c r="P1128" s="273">
        <v>12854416.800000001</v>
      </c>
      <c r="Q1128" s="273"/>
      <c r="R1128" s="273"/>
      <c r="S1128" s="273"/>
      <c r="T1128" s="273"/>
      <c r="U1128" s="273"/>
      <c r="V1128" s="273"/>
      <c r="W1128" s="273">
        <f t="shared" si="235"/>
        <v>0</v>
      </c>
      <c r="Z1128" s="271"/>
      <c r="AA1128" s="13"/>
      <c r="AB1128" s="13"/>
      <c r="AC1128" s="271"/>
      <c r="AE1128" s="271"/>
      <c r="AF1128" s="271"/>
      <c r="AI1128" s="13"/>
      <c r="AJ1128" s="13"/>
    </row>
    <row r="1129" spans="1:36" x14ac:dyDescent="0.3">
      <c r="A1129" s="10">
        <f t="shared" si="238"/>
        <v>1020</v>
      </c>
      <c r="B1129" s="124" t="s">
        <v>1369</v>
      </c>
      <c r="C1129" s="273">
        <f t="shared" si="236"/>
        <v>15241273.15</v>
      </c>
      <c r="D1129" s="273">
        <f t="shared" si="237"/>
        <v>0</v>
      </c>
      <c r="E1129" s="273"/>
      <c r="F1129" s="273"/>
      <c r="G1129" s="273"/>
      <c r="H1129" s="273"/>
      <c r="I1129" s="273"/>
      <c r="J1129" s="273"/>
      <c r="K1129" s="273"/>
      <c r="L1129" s="273"/>
      <c r="M1129" s="273"/>
      <c r="N1129" s="273"/>
      <c r="O1129" s="273">
        <v>1023.2</v>
      </c>
      <c r="P1129" s="273">
        <v>14985114</v>
      </c>
      <c r="Q1129" s="273"/>
      <c r="R1129" s="273"/>
      <c r="S1129" s="273"/>
      <c r="T1129" s="273"/>
      <c r="U1129" s="273"/>
      <c r="V1129" s="273"/>
      <c r="W1129" s="273">
        <f t="shared" si="235"/>
        <v>256159.15</v>
      </c>
      <c r="Z1129" s="271"/>
      <c r="AA1129" s="13"/>
      <c r="AB1129" s="13"/>
      <c r="AC1129" s="271">
        <v>256159.15</v>
      </c>
      <c r="AE1129" s="271"/>
      <c r="AF1129" s="271"/>
      <c r="AI1129" s="13"/>
      <c r="AJ1129" s="13"/>
    </row>
    <row r="1130" spans="1:36" x14ac:dyDescent="0.3">
      <c r="A1130" s="10">
        <f t="shared" si="238"/>
        <v>1021</v>
      </c>
      <c r="B1130" s="124" t="s">
        <v>1370</v>
      </c>
      <c r="C1130" s="273">
        <f t="shared" si="236"/>
        <v>1193112</v>
      </c>
      <c r="D1130" s="273">
        <f t="shared" si="237"/>
        <v>0</v>
      </c>
      <c r="E1130" s="273"/>
      <c r="F1130" s="273"/>
      <c r="G1130" s="273"/>
      <c r="H1130" s="273"/>
      <c r="I1130" s="273"/>
      <c r="J1130" s="273"/>
      <c r="K1130" s="273"/>
      <c r="L1130" s="273"/>
      <c r="M1130" s="273"/>
      <c r="N1130" s="273"/>
      <c r="O1130" s="273"/>
      <c r="P1130" s="273"/>
      <c r="Q1130" s="273"/>
      <c r="R1130" s="273"/>
      <c r="S1130" s="273"/>
      <c r="T1130" s="273"/>
      <c r="U1130" s="273">
        <v>1193112</v>
      </c>
      <c r="V1130" s="273"/>
      <c r="W1130" s="273">
        <f t="shared" si="235"/>
        <v>0</v>
      </c>
      <c r="Z1130" s="271"/>
      <c r="AA1130" s="13"/>
      <c r="AB1130" s="13"/>
      <c r="AC1130" s="271"/>
      <c r="AE1130" s="271"/>
      <c r="AF1130" s="271"/>
      <c r="AI1130" s="13"/>
      <c r="AJ1130" s="13"/>
    </row>
    <row r="1131" spans="1:36" x14ac:dyDescent="0.3">
      <c r="A1131" s="10">
        <f t="shared" si="238"/>
        <v>1022</v>
      </c>
      <c r="B1131" s="124" t="s">
        <v>1371</v>
      </c>
      <c r="C1131" s="273">
        <f t="shared" si="236"/>
        <v>212778.92</v>
      </c>
      <c r="D1131" s="273">
        <f t="shared" si="237"/>
        <v>0</v>
      </c>
      <c r="E1131" s="273"/>
      <c r="F1131" s="273"/>
      <c r="G1131" s="273"/>
      <c r="H1131" s="273"/>
      <c r="I1131" s="273"/>
      <c r="J1131" s="273"/>
      <c r="K1131" s="273"/>
      <c r="L1131" s="273"/>
      <c r="M1131" s="273"/>
      <c r="N1131" s="273"/>
      <c r="O1131" s="273"/>
      <c r="P1131" s="273"/>
      <c r="Q1131" s="273"/>
      <c r="R1131" s="273"/>
      <c r="S1131" s="273"/>
      <c r="T1131" s="273"/>
      <c r="U1131" s="273"/>
      <c r="V1131" s="273"/>
      <c r="W1131" s="273">
        <f t="shared" si="235"/>
        <v>212778.92</v>
      </c>
      <c r="Z1131" s="271"/>
      <c r="AA1131" s="271"/>
      <c r="AB1131" s="13"/>
      <c r="AC1131" s="271">
        <v>212778.92</v>
      </c>
      <c r="AE1131" s="271"/>
      <c r="AF1131" s="271"/>
      <c r="AI1131" s="13"/>
      <c r="AJ1131" s="13"/>
    </row>
    <row r="1132" spans="1:36" x14ac:dyDescent="0.3">
      <c r="A1132" s="10">
        <f t="shared" si="238"/>
        <v>1023</v>
      </c>
      <c r="B1132" s="124" t="s">
        <v>1372</v>
      </c>
      <c r="C1132" s="273">
        <f t="shared" si="236"/>
        <v>224159.82</v>
      </c>
      <c r="D1132" s="273">
        <f t="shared" si="237"/>
        <v>0</v>
      </c>
      <c r="E1132" s="273"/>
      <c r="F1132" s="273"/>
      <c r="G1132" s="273"/>
      <c r="H1132" s="273"/>
      <c r="I1132" s="273"/>
      <c r="J1132" s="273"/>
      <c r="K1132" s="273"/>
      <c r="L1132" s="273"/>
      <c r="M1132" s="273"/>
      <c r="N1132" s="273"/>
      <c r="O1132" s="273"/>
      <c r="P1132" s="273"/>
      <c r="Q1132" s="273"/>
      <c r="R1132" s="273"/>
      <c r="S1132" s="273"/>
      <c r="T1132" s="273"/>
      <c r="U1132" s="273"/>
      <c r="V1132" s="273"/>
      <c r="W1132" s="273">
        <f t="shared" si="235"/>
        <v>224159.82</v>
      </c>
      <c r="Z1132" s="271"/>
      <c r="AA1132" s="271"/>
      <c r="AB1132" s="13"/>
      <c r="AC1132" s="271">
        <v>224159.82</v>
      </c>
      <c r="AE1132" s="271"/>
      <c r="AF1132" s="271"/>
      <c r="AI1132" s="13"/>
      <c r="AJ1132" s="13"/>
    </row>
    <row r="1133" spans="1:36" x14ac:dyDescent="0.3">
      <c r="A1133" s="10">
        <f t="shared" si="238"/>
        <v>1024</v>
      </c>
      <c r="B1133" s="124" t="s">
        <v>1373</v>
      </c>
      <c r="C1133" s="273">
        <f t="shared" si="236"/>
        <v>176698.1</v>
      </c>
      <c r="D1133" s="273">
        <f t="shared" si="237"/>
        <v>0</v>
      </c>
      <c r="E1133" s="273"/>
      <c r="F1133" s="273"/>
      <c r="G1133" s="273"/>
      <c r="H1133" s="273"/>
      <c r="I1133" s="273"/>
      <c r="J1133" s="273"/>
      <c r="K1133" s="273"/>
      <c r="L1133" s="273"/>
      <c r="M1133" s="273"/>
      <c r="N1133" s="273"/>
      <c r="O1133" s="273"/>
      <c r="P1133" s="273"/>
      <c r="Q1133" s="273"/>
      <c r="R1133" s="273"/>
      <c r="S1133" s="273"/>
      <c r="T1133" s="273"/>
      <c r="U1133" s="273"/>
      <c r="V1133" s="273"/>
      <c r="W1133" s="273">
        <f t="shared" si="235"/>
        <v>176698.1</v>
      </c>
      <c r="Z1133" s="271"/>
      <c r="AA1133" s="271"/>
      <c r="AB1133" s="13"/>
      <c r="AC1133" s="271"/>
      <c r="AE1133" s="271">
        <v>176698.1</v>
      </c>
      <c r="AF1133" s="271"/>
      <c r="AI1133" s="13"/>
      <c r="AJ1133" s="13"/>
    </row>
    <row r="1134" spans="1:36" x14ac:dyDescent="0.3">
      <c r="A1134" s="10">
        <f t="shared" si="238"/>
        <v>1025</v>
      </c>
      <c r="B1134" s="124" t="s">
        <v>1374</v>
      </c>
      <c r="C1134" s="273">
        <f t="shared" si="236"/>
        <v>192771.3</v>
      </c>
      <c r="D1134" s="273">
        <f t="shared" si="237"/>
        <v>0</v>
      </c>
      <c r="E1134" s="273"/>
      <c r="F1134" s="273"/>
      <c r="G1134" s="273"/>
      <c r="H1134" s="273"/>
      <c r="I1134" s="273"/>
      <c r="J1134" s="273"/>
      <c r="K1134" s="273"/>
      <c r="L1134" s="273"/>
      <c r="M1134" s="273"/>
      <c r="N1134" s="273"/>
      <c r="O1134" s="273"/>
      <c r="P1134" s="273"/>
      <c r="Q1134" s="273"/>
      <c r="R1134" s="273"/>
      <c r="S1134" s="273"/>
      <c r="T1134" s="273"/>
      <c r="U1134" s="273"/>
      <c r="V1134" s="273"/>
      <c r="W1134" s="273">
        <f t="shared" si="235"/>
        <v>192771.3</v>
      </c>
      <c r="Z1134" s="271"/>
      <c r="AA1134" s="271"/>
      <c r="AB1134" s="13"/>
      <c r="AC1134" s="271">
        <v>192771.3</v>
      </c>
      <c r="AE1134" s="271"/>
      <c r="AF1134" s="271"/>
      <c r="AI1134" s="13"/>
      <c r="AJ1134" s="13"/>
    </row>
    <row r="1135" spans="1:36" x14ac:dyDescent="0.3">
      <c r="A1135" s="10">
        <f t="shared" si="238"/>
        <v>1026</v>
      </c>
      <c r="B1135" s="124" t="s">
        <v>1375</v>
      </c>
      <c r="C1135" s="273">
        <f t="shared" si="236"/>
        <v>97175.35</v>
      </c>
      <c r="D1135" s="273">
        <f t="shared" si="237"/>
        <v>0</v>
      </c>
      <c r="E1135" s="273"/>
      <c r="F1135" s="273"/>
      <c r="G1135" s="273"/>
      <c r="H1135" s="273"/>
      <c r="I1135" s="273"/>
      <c r="J1135" s="273"/>
      <c r="K1135" s="273"/>
      <c r="L1135" s="273"/>
      <c r="M1135" s="273"/>
      <c r="N1135" s="273"/>
      <c r="O1135" s="273"/>
      <c r="P1135" s="273"/>
      <c r="Q1135" s="273"/>
      <c r="R1135" s="273"/>
      <c r="S1135" s="273"/>
      <c r="T1135" s="273"/>
      <c r="U1135" s="273"/>
      <c r="V1135" s="273"/>
      <c r="W1135" s="273">
        <f t="shared" si="235"/>
        <v>97175.35</v>
      </c>
      <c r="Z1135" s="271"/>
      <c r="AA1135" s="271"/>
      <c r="AB1135" s="13"/>
      <c r="AC1135" s="271">
        <v>97175.35</v>
      </c>
      <c r="AE1135" s="271"/>
      <c r="AF1135" s="271"/>
      <c r="AI1135" s="13"/>
      <c r="AJ1135" s="13"/>
    </row>
    <row r="1136" spans="1:36" x14ac:dyDescent="0.3">
      <c r="A1136" s="10">
        <f t="shared" si="238"/>
        <v>1027</v>
      </c>
      <c r="B1136" s="124" t="s">
        <v>1376</v>
      </c>
      <c r="C1136" s="273">
        <f t="shared" si="236"/>
        <v>137870.41</v>
      </c>
      <c r="D1136" s="273">
        <f t="shared" si="237"/>
        <v>0</v>
      </c>
      <c r="E1136" s="273"/>
      <c r="F1136" s="273"/>
      <c r="G1136" s="273"/>
      <c r="H1136" s="273"/>
      <c r="I1136" s="273"/>
      <c r="J1136" s="273"/>
      <c r="K1136" s="273"/>
      <c r="L1136" s="273"/>
      <c r="M1136" s="273"/>
      <c r="N1136" s="273"/>
      <c r="O1136" s="273"/>
      <c r="P1136" s="273"/>
      <c r="Q1136" s="273"/>
      <c r="R1136" s="273"/>
      <c r="S1136" s="273"/>
      <c r="T1136" s="273"/>
      <c r="U1136" s="273"/>
      <c r="V1136" s="273"/>
      <c r="W1136" s="273">
        <f t="shared" si="235"/>
        <v>137870.41</v>
      </c>
      <c r="Z1136" s="82"/>
      <c r="AA1136" s="13"/>
      <c r="AB1136" s="13"/>
      <c r="AC1136" s="271"/>
      <c r="AE1136" s="269"/>
      <c r="AF1136" s="84">
        <v>137870.41</v>
      </c>
      <c r="AI1136" s="13"/>
      <c r="AJ1136" s="13"/>
    </row>
    <row r="1137" spans="1:36" x14ac:dyDescent="0.3">
      <c r="A1137" s="10">
        <f t="shared" si="238"/>
        <v>1028</v>
      </c>
      <c r="B1137" s="124" t="s">
        <v>1377</v>
      </c>
      <c r="C1137" s="273">
        <f t="shared" si="236"/>
        <v>292169.42</v>
      </c>
      <c r="D1137" s="273">
        <f t="shared" si="237"/>
        <v>0</v>
      </c>
      <c r="E1137" s="273"/>
      <c r="F1137" s="273"/>
      <c r="G1137" s="273"/>
      <c r="H1137" s="273"/>
      <c r="I1137" s="273"/>
      <c r="J1137" s="273"/>
      <c r="K1137" s="273"/>
      <c r="L1137" s="273"/>
      <c r="M1137" s="273"/>
      <c r="N1137" s="273"/>
      <c r="O1137" s="273"/>
      <c r="P1137" s="273"/>
      <c r="Q1137" s="273"/>
      <c r="R1137" s="273"/>
      <c r="S1137" s="273"/>
      <c r="T1137" s="273"/>
      <c r="U1137" s="273"/>
      <c r="V1137" s="273"/>
      <c r="W1137" s="273">
        <f t="shared" si="235"/>
        <v>292169.42</v>
      </c>
      <c r="Z1137" s="82"/>
      <c r="AA1137" s="13"/>
      <c r="AB1137" s="13"/>
      <c r="AC1137" s="271"/>
      <c r="AE1137" s="269"/>
      <c r="AF1137" s="84">
        <v>292169.42</v>
      </c>
      <c r="AI1137" s="13"/>
      <c r="AJ1137" s="13"/>
    </row>
    <row r="1138" spans="1:36" x14ac:dyDescent="0.3">
      <c r="A1138" s="10">
        <f t="shared" si="238"/>
        <v>1029</v>
      </c>
      <c r="B1138" s="124" t="s">
        <v>1378</v>
      </c>
      <c r="C1138" s="273">
        <f t="shared" si="236"/>
        <v>16039218</v>
      </c>
      <c r="D1138" s="273">
        <f t="shared" si="237"/>
        <v>0</v>
      </c>
      <c r="E1138" s="273"/>
      <c r="F1138" s="273"/>
      <c r="G1138" s="273"/>
      <c r="H1138" s="273"/>
      <c r="I1138" s="273"/>
      <c r="J1138" s="273"/>
      <c r="K1138" s="273"/>
      <c r="L1138" s="273"/>
      <c r="M1138" s="273"/>
      <c r="N1138" s="273"/>
      <c r="O1138" s="273">
        <v>2859.9</v>
      </c>
      <c r="P1138" s="273">
        <v>16039218</v>
      </c>
      <c r="Q1138" s="273"/>
      <c r="R1138" s="273"/>
      <c r="S1138" s="273"/>
      <c r="T1138" s="273"/>
      <c r="U1138" s="273"/>
      <c r="V1138" s="273"/>
      <c r="W1138" s="273">
        <f t="shared" si="235"/>
        <v>0</v>
      </c>
      <c r="Z1138" s="82"/>
      <c r="AA1138" s="13"/>
      <c r="AB1138" s="13"/>
      <c r="AC1138" s="271"/>
      <c r="AE1138" s="269"/>
      <c r="AF1138" s="84"/>
      <c r="AI1138" s="13"/>
      <c r="AJ1138" s="13"/>
    </row>
    <row r="1139" spans="1:36" x14ac:dyDescent="0.3">
      <c r="A1139" s="10">
        <f t="shared" si="238"/>
        <v>1030</v>
      </c>
      <c r="B1139" s="124" t="s">
        <v>1379</v>
      </c>
      <c r="C1139" s="273">
        <f t="shared" si="236"/>
        <v>119270.35</v>
      </c>
      <c r="D1139" s="273">
        <f t="shared" si="237"/>
        <v>0</v>
      </c>
      <c r="E1139" s="273"/>
      <c r="F1139" s="273"/>
      <c r="G1139" s="273"/>
      <c r="H1139" s="273"/>
      <c r="I1139" s="273"/>
      <c r="J1139" s="273"/>
      <c r="K1139" s="273"/>
      <c r="L1139" s="273"/>
      <c r="M1139" s="273"/>
      <c r="N1139" s="273"/>
      <c r="O1139" s="273"/>
      <c r="P1139" s="273"/>
      <c r="Q1139" s="273"/>
      <c r="R1139" s="273"/>
      <c r="S1139" s="273"/>
      <c r="T1139" s="273"/>
      <c r="U1139" s="273"/>
      <c r="V1139" s="273"/>
      <c r="W1139" s="273">
        <f t="shared" si="235"/>
        <v>119270.35</v>
      </c>
      <c r="Z1139" s="271"/>
      <c r="AA1139" s="13"/>
      <c r="AB1139" s="13"/>
      <c r="AC1139" s="271">
        <v>119270.35</v>
      </c>
      <c r="AE1139" s="271"/>
      <c r="AF1139" s="271"/>
      <c r="AI1139" s="13"/>
      <c r="AJ1139" s="13"/>
    </row>
    <row r="1140" spans="1:36" x14ac:dyDescent="0.3">
      <c r="A1140" s="10">
        <f t="shared" si="238"/>
        <v>1031</v>
      </c>
      <c r="B1140" s="124" t="s">
        <v>1380</v>
      </c>
      <c r="C1140" s="273">
        <f t="shared" si="236"/>
        <v>119647.94</v>
      </c>
      <c r="D1140" s="273">
        <f t="shared" si="237"/>
        <v>0</v>
      </c>
      <c r="E1140" s="273"/>
      <c r="F1140" s="273"/>
      <c r="G1140" s="273"/>
      <c r="H1140" s="273"/>
      <c r="I1140" s="273"/>
      <c r="J1140" s="273"/>
      <c r="K1140" s="273"/>
      <c r="L1140" s="273"/>
      <c r="M1140" s="273"/>
      <c r="N1140" s="273"/>
      <c r="O1140" s="273"/>
      <c r="P1140" s="273"/>
      <c r="Q1140" s="273"/>
      <c r="R1140" s="273"/>
      <c r="S1140" s="273"/>
      <c r="T1140" s="273"/>
      <c r="U1140" s="273"/>
      <c r="V1140" s="273"/>
      <c r="W1140" s="273">
        <f t="shared" si="235"/>
        <v>119647.94</v>
      </c>
      <c r="Z1140" s="271"/>
      <c r="AA1140" s="13"/>
      <c r="AB1140" s="13"/>
      <c r="AC1140" s="271">
        <v>119647.94</v>
      </c>
      <c r="AE1140" s="269"/>
      <c r="AF1140" s="271"/>
      <c r="AI1140" s="13"/>
      <c r="AJ1140" s="13"/>
    </row>
    <row r="1141" spans="1:36" x14ac:dyDescent="0.3">
      <c r="A1141" s="10">
        <f t="shared" si="238"/>
        <v>1032</v>
      </c>
      <c r="B1141" s="124" t="s">
        <v>1381</v>
      </c>
      <c r="C1141" s="273">
        <f t="shared" si="236"/>
        <v>112635.29</v>
      </c>
      <c r="D1141" s="273">
        <f t="shared" si="237"/>
        <v>0</v>
      </c>
      <c r="E1141" s="273"/>
      <c r="F1141" s="273"/>
      <c r="G1141" s="273"/>
      <c r="H1141" s="273"/>
      <c r="I1141" s="273"/>
      <c r="J1141" s="273"/>
      <c r="K1141" s="273"/>
      <c r="L1141" s="273"/>
      <c r="M1141" s="273"/>
      <c r="N1141" s="273"/>
      <c r="O1141" s="273"/>
      <c r="P1141" s="273"/>
      <c r="Q1141" s="273"/>
      <c r="R1141" s="273"/>
      <c r="S1141" s="273"/>
      <c r="T1141" s="273"/>
      <c r="U1141" s="273"/>
      <c r="V1141" s="273"/>
      <c r="W1141" s="273">
        <f t="shared" si="235"/>
        <v>112635.29</v>
      </c>
      <c r="Z1141" s="271"/>
      <c r="AA1141" s="13"/>
      <c r="AB1141" s="13"/>
      <c r="AC1141" s="271">
        <v>112635.29</v>
      </c>
      <c r="AE1141" s="271"/>
      <c r="AF1141" s="271"/>
      <c r="AI1141" s="13"/>
      <c r="AJ1141" s="13"/>
    </row>
    <row r="1142" spans="1:36" x14ac:dyDescent="0.3">
      <c r="A1142" s="10">
        <f t="shared" si="238"/>
        <v>1033</v>
      </c>
      <c r="B1142" s="124" t="s">
        <v>1382</v>
      </c>
      <c r="C1142" s="273">
        <f t="shared" si="236"/>
        <v>113976.89</v>
      </c>
      <c r="D1142" s="273">
        <f t="shared" ref="D1142:D1173" si="239">E1142+F1142+G1142+H1142+I1142</f>
        <v>0</v>
      </c>
      <c r="E1142" s="273"/>
      <c r="F1142" s="273"/>
      <c r="G1142" s="273"/>
      <c r="H1142" s="273"/>
      <c r="I1142" s="273"/>
      <c r="J1142" s="273"/>
      <c r="K1142" s="273"/>
      <c r="L1142" s="273"/>
      <c r="M1142" s="273"/>
      <c r="N1142" s="273"/>
      <c r="O1142" s="273"/>
      <c r="P1142" s="273"/>
      <c r="Q1142" s="273"/>
      <c r="R1142" s="273"/>
      <c r="S1142" s="273"/>
      <c r="T1142" s="273"/>
      <c r="U1142" s="273"/>
      <c r="V1142" s="273"/>
      <c r="W1142" s="273">
        <f t="shared" si="235"/>
        <v>113976.89</v>
      </c>
      <c r="Z1142" s="271"/>
      <c r="AA1142" s="13"/>
      <c r="AB1142" s="13"/>
      <c r="AC1142" s="271">
        <v>113976.89</v>
      </c>
      <c r="AE1142" s="271"/>
      <c r="AF1142" s="271"/>
      <c r="AI1142" s="13"/>
      <c r="AJ1142" s="13"/>
    </row>
    <row r="1143" spans="1:36" x14ac:dyDescent="0.3">
      <c r="A1143" s="10">
        <f t="shared" si="238"/>
        <v>1034</v>
      </c>
      <c r="B1143" s="124" t="s">
        <v>1383</v>
      </c>
      <c r="C1143" s="273">
        <f t="shared" si="236"/>
        <v>230474.12</v>
      </c>
      <c r="D1143" s="273">
        <f t="shared" si="239"/>
        <v>0</v>
      </c>
      <c r="E1143" s="273"/>
      <c r="F1143" s="273"/>
      <c r="G1143" s="273"/>
      <c r="H1143" s="273"/>
      <c r="I1143" s="273"/>
      <c r="J1143" s="273"/>
      <c r="K1143" s="273"/>
      <c r="L1143" s="273"/>
      <c r="M1143" s="273"/>
      <c r="N1143" s="273"/>
      <c r="O1143" s="273"/>
      <c r="P1143" s="273"/>
      <c r="Q1143" s="273"/>
      <c r="R1143" s="273"/>
      <c r="S1143" s="273"/>
      <c r="T1143" s="273"/>
      <c r="U1143" s="273"/>
      <c r="V1143" s="273"/>
      <c r="W1143" s="273">
        <f t="shared" si="235"/>
        <v>230474.12</v>
      </c>
      <c r="Z1143" s="82"/>
      <c r="AA1143" s="13"/>
      <c r="AB1143" s="13"/>
      <c r="AC1143" s="271"/>
      <c r="AE1143" s="269">
        <v>230474.12</v>
      </c>
      <c r="AF1143" s="84"/>
      <c r="AI1143" s="13"/>
      <c r="AJ1143" s="13"/>
    </row>
    <row r="1144" spans="1:36" x14ac:dyDescent="0.3">
      <c r="A1144" s="10">
        <f t="shared" si="238"/>
        <v>1035</v>
      </c>
      <c r="B1144" s="124" t="s">
        <v>1384</v>
      </c>
      <c r="C1144" s="273">
        <f t="shared" si="236"/>
        <v>111203.15</v>
      </c>
      <c r="D1144" s="273">
        <f t="shared" si="239"/>
        <v>0</v>
      </c>
      <c r="E1144" s="273"/>
      <c r="F1144" s="273"/>
      <c r="G1144" s="273"/>
      <c r="H1144" s="273"/>
      <c r="I1144" s="273"/>
      <c r="J1144" s="273"/>
      <c r="K1144" s="273"/>
      <c r="L1144" s="273"/>
      <c r="M1144" s="273"/>
      <c r="N1144" s="273"/>
      <c r="O1144" s="273"/>
      <c r="P1144" s="273"/>
      <c r="Q1144" s="273"/>
      <c r="R1144" s="273"/>
      <c r="S1144" s="273"/>
      <c r="T1144" s="273"/>
      <c r="U1144" s="273"/>
      <c r="V1144" s="273"/>
      <c r="W1144" s="273">
        <f t="shared" si="235"/>
        <v>111203.15</v>
      </c>
      <c r="Z1144" s="271"/>
      <c r="AA1144" s="271"/>
      <c r="AB1144" s="13"/>
      <c r="AC1144" s="271">
        <v>111203.15</v>
      </c>
      <c r="AE1144" s="271"/>
      <c r="AF1144" s="271"/>
      <c r="AI1144" s="13"/>
      <c r="AJ1144" s="13"/>
    </row>
    <row r="1145" spans="1:36" x14ac:dyDescent="0.3">
      <c r="A1145" s="10">
        <f t="shared" si="238"/>
        <v>1036</v>
      </c>
      <c r="B1145" s="124" t="s">
        <v>1385</v>
      </c>
      <c r="C1145" s="273">
        <f t="shared" si="236"/>
        <v>110192.05</v>
      </c>
      <c r="D1145" s="273">
        <f t="shared" si="239"/>
        <v>0</v>
      </c>
      <c r="E1145" s="273"/>
      <c r="F1145" s="273"/>
      <c r="G1145" s="273"/>
      <c r="H1145" s="273"/>
      <c r="I1145" s="273"/>
      <c r="J1145" s="273"/>
      <c r="K1145" s="273"/>
      <c r="L1145" s="273"/>
      <c r="M1145" s="273"/>
      <c r="N1145" s="273"/>
      <c r="O1145" s="273"/>
      <c r="P1145" s="273"/>
      <c r="Q1145" s="273"/>
      <c r="R1145" s="273"/>
      <c r="S1145" s="273"/>
      <c r="T1145" s="273"/>
      <c r="U1145" s="273"/>
      <c r="V1145" s="273"/>
      <c r="W1145" s="273">
        <f t="shared" si="235"/>
        <v>110192.05</v>
      </c>
      <c r="Z1145" s="271"/>
      <c r="AA1145" s="271"/>
      <c r="AB1145" s="13"/>
      <c r="AC1145" s="271">
        <v>110192.05</v>
      </c>
      <c r="AE1145" s="271"/>
      <c r="AF1145" s="271"/>
      <c r="AI1145" s="13"/>
      <c r="AJ1145" s="13"/>
    </row>
    <row r="1146" spans="1:36" x14ac:dyDescent="0.3">
      <c r="A1146" s="10">
        <f t="shared" si="238"/>
        <v>1037</v>
      </c>
      <c r="B1146" s="124" t="s">
        <v>1386</v>
      </c>
      <c r="C1146" s="273">
        <f t="shared" si="236"/>
        <v>112850.9</v>
      </c>
      <c r="D1146" s="273">
        <f t="shared" si="239"/>
        <v>0</v>
      </c>
      <c r="E1146" s="273"/>
      <c r="F1146" s="273"/>
      <c r="G1146" s="273"/>
      <c r="H1146" s="273"/>
      <c r="I1146" s="273"/>
      <c r="J1146" s="273"/>
      <c r="K1146" s="273"/>
      <c r="L1146" s="273"/>
      <c r="M1146" s="273"/>
      <c r="N1146" s="273"/>
      <c r="O1146" s="273"/>
      <c r="P1146" s="273"/>
      <c r="Q1146" s="273"/>
      <c r="R1146" s="273"/>
      <c r="S1146" s="273"/>
      <c r="T1146" s="273"/>
      <c r="U1146" s="273"/>
      <c r="V1146" s="273"/>
      <c r="W1146" s="273">
        <f t="shared" si="235"/>
        <v>112850.9</v>
      </c>
      <c r="Z1146" s="271"/>
      <c r="AA1146" s="271"/>
      <c r="AB1146" s="13"/>
      <c r="AC1146" s="271">
        <v>112850.9</v>
      </c>
      <c r="AE1146" s="271"/>
      <c r="AF1146" s="271"/>
      <c r="AI1146" s="13"/>
      <c r="AJ1146" s="13"/>
    </row>
    <row r="1147" spans="1:36" x14ac:dyDescent="0.3">
      <c r="A1147" s="10">
        <f t="shared" si="238"/>
        <v>1038</v>
      </c>
      <c r="B1147" s="124" t="s">
        <v>1387</v>
      </c>
      <c r="C1147" s="273">
        <f t="shared" si="236"/>
        <v>119997.36</v>
      </c>
      <c r="D1147" s="273">
        <f t="shared" si="239"/>
        <v>0</v>
      </c>
      <c r="E1147" s="273"/>
      <c r="F1147" s="273"/>
      <c r="G1147" s="273"/>
      <c r="H1147" s="273"/>
      <c r="I1147" s="273"/>
      <c r="J1147" s="273"/>
      <c r="K1147" s="273"/>
      <c r="L1147" s="273"/>
      <c r="M1147" s="273"/>
      <c r="N1147" s="273"/>
      <c r="O1147" s="273"/>
      <c r="P1147" s="273"/>
      <c r="Q1147" s="273"/>
      <c r="R1147" s="273"/>
      <c r="S1147" s="273"/>
      <c r="T1147" s="273"/>
      <c r="U1147" s="273"/>
      <c r="V1147" s="273"/>
      <c r="W1147" s="273">
        <f t="shared" si="235"/>
        <v>119997.36</v>
      </c>
      <c r="Z1147" s="271"/>
      <c r="AA1147" s="271"/>
      <c r="AB1147" s="13"/>
      <c r="AC1147" s="271">
        <v>119997.36</v>
      </c>
      <c r="AE1147" s="271"/>
      <c r="AF1147" s="271"/>
      <c r="AI1147" s="13"/>
      <c r="AJ1147" s="13"/>
    </row>
    <row r="1148" spans="1:36" x14ac:dyDescent="0.3">
      <c r="A1148" s="10">
        <f t="shared" si="238"/>
        <v>1039</v>
      </c>
      <c r="B1148" s="124" t="s">
        <v>1388</v>
      </c>
      <c r="C1148" s="273">
        <f t="shared" si="236"/>
        <v>114464.3</v>
      </c>
      <c r="D1148" s="273">
        <f t="shared" si="239"/>
        <v>0</v>
      </c>
      <c r="E1148" s="273"/>
      <c r="F1148" s="273"/>
      <c r="G1148" s="273"/>
      <c r="H1148" s="273"/>
      <c r="I1148" s="273"/>
      <c r="J1148" s="273"/>
      <c r="K1148" s="273"/>
      <c r="L1148" s="273"/>
      <c r="M1148" s="273"/>
      <c r="N1148" s="273"/>
      <c r="O1148" s="273"/>
      <c r="P1148" s="273"/>
      <c r="Q1148" s="273"/>
      <c r="R1148" s="273"/>
      <c r="S1148" s="273"/>
      <c r="T1148" s="273"/>
      <c r="U1148" s="273"/>
      <c r="V1148" s="273"/>
      <c r="W1148" s="273">
        <f t="shared" si="235"/>
        <v>114464.3</v>
      </c>
      <c r="Z1148" s="271"/>
      <c r="AA1148" s="13"/>
      <c r="AB1148" s="13"/>
      <c r="AC1148" s="271">
        <v>114464.3</v>
      </c>
      <c r="AE1148" s="271"/>
      <c r="AF1148" s="271"/>
      <c r="AI1148" s="13"/>
      <c r="AJ1148" s="13"/>
    </row>
    <row r="1149" spans="1:36" x14ac:dyDescent="0.3">
      <c r="A1149" s="10">
        <f t="shared" si="238"/>
        <v>1040</v>
      </c>
      <c r="B1149" s="124" t="s">
        <v>1389</v>
      </c>
      <c r="C1149" s="273">
        <f t="shared" si="236"/>
        <v>241465.16</v>
      </c>
      <c r="D1149" s="273">
        <f t="shared" si="239"/>
        <v>0</v>
      </c>
      <c r="E1149" s="273"/>
      <c r="F1149" s="273"/>
      <c r="G1149" s="273"/>
      <c r="H1149" s="273"/>
      <c r="I1149" s="273"/>
      <c r="J1149" s="273"/>
      <c r="K1149" s="273"/>
      <c r="L1149" s="273"/>
      <c r="M1149" s="273"/>
      <c r="N1149" s="273"/>
      <c r="O1149" s="273"/>
      <c r="P1149" s="273"/>
      <c r="Q1149" s="273"/>
      <c r="R1149" s="273"/>
      <c r="S1149" s="273"/>
      <c r="T1149" s="273"/>
      <c r="U1149" s="273"/>
      <c r="V1149" s="273"/>
      <c r="W1149" s="273">
        <f t="shared" si="235"/>
        <v>241465.16</v>
      </c>
      <c r="Z1149" s="271"/>
      <c r="AA1149" s="13"/>
      <c r="AB1149" s="13"/>
      <c r="AC1149" s="271"/>
      <c r="AE1149" s="271">
        <v>241465.16</v>
      </c>
      <c r="AF1149" s="271"/>
      <c r="AI1149" s="13"/>
      <c r="AJ1149" s="13"/>
    </row>
    <row r="1150" spans="1:36" x14ac:dyDescent="0.3">
      <c r="A1150" s="10">
        <f t="shared" si="238"/>
        <v>1041</v>
      </c>
      <c r="B1150" s="124" t="s">
        <v>1390</v>
      </c>
      <c r="C1150" s="273">
        <f t="shared" si="236"/>
        <v>114464.3</v>
      </c>
      <c r="D1150" s="273">
        <f t="shared" si="239"/>
        <v>0</v>
      </c>
      <c r="E1150" s="273"/>
      <c r="F1150" s="273"/>
      <c r="G1150" s="273"/>
      <c r="H1150" s="273"/>
      <c r="I1150" s="273"/>
      <c r="J1150" s="273"/>
      <c r="K1150" s="273"/>
      <c r="L1150" s="273"/>
      <c r="M1150" s="273"/>
      <c r="N1150" s="273"/>
      <c r="O1150" s="273"/>
      <c r="P1150" s="273"/>
      <c r="Q1150" s="273"/>
      <c r="R1150" s="273"/>
      <c r="S1150" s="273"/>
      <c r="T1150" s="273"/>
      <c r="U1150" s="273"/>
      <c r="V1150" s="273"/>
      <c r="W1150" s="273">
        <f t="shared" si="235"/>
        <v>114464.3</v>
      </c>
      <c r="Z1150" s="271"/>
      <c r="AA1150" s="13"/>
      <c r="AB1150" s="13"/>
      <c r="AC1150" s="271">
        <v>114464.3</v>
      </c>
      <c r="AE1150" s="271"/>
      <c r="AF1150" s="271" t="s">
        <v>352</v>
      </c>
      <c r="AI1150" s="13"/>
      <c r="AJ1150" s="13"/>
    </row>
    <row r="1151" spans="1:36" x14ac:dyDescent="0.3">
      <c r="A1151" s="10">
        <f t="shared" si="238"/>
        <v>1042</v>
      </c>
      <c r="B1151" s="124" t="s">
        <v>1391</v>
      </c>
      <c r="C1151" s="273">
        <f t="shared" si="236"/>
        <v>114464.3</v>
      </c>
      <c r="D1151" s="273">
        <f t="shared" si="239"/>
        <v>0</v>
      </c>
      <c r="E1151" s="273"/>
      <c r="F1151" s="273"/>
      <c r="G1151" s="273"/>
      <c r="H1151" s="273"/>
      <c r="I1151" s="273"/>
      <c r="J1151" s="273"/>
      <c r="K1151" s="273"/>
      <c r="L1151" s="273"/>
      <c r="M1151" s="273"/>
      <c r="N1151" s="273"/>
      <c r="O1151" s="273"/>
      <c r="P1151" s="273"/>
      <c r="Q1151" s="273"/>
      <c r="R1151" s="273"/>
      <c r="S1151" s="273"/>
      <c r="T1151" s="273"/>
      <c r="U1151" s="273"/>
      <c r="V1151" s="273"/>
      <c r="W1151" s="273">
        <f t="shared" si="235"/>
        <v>114464.3</v>
      </c>
      <c r="Z1151" s="271"/>
      <c r="AA1151" s="13"/>
      <c r="AB1151" s="13"/>
      <c r="AC1151" s="271">
        <v>114464.3</v>
      </c>
      <c r="AE1151" s="271"/>
      <c r="AF1151" s="271" t="s">
        <v>352</v>
      </c>
      <c r="AI1151" s="13"/>
      <c r="AJ1151" s="13"/>
    </row>
    <row r="1152" spans="1:36" x14ac:dyDescent="0.3">
      <c r="A1152" s="10">
        <f t="shared" si="238"/>
        <v>1043</v>
      </c>
      <c r="B1152" s="124" t="s">
        <v>1392</v>
      </c>
      <c r="C1152" s="273">
        <f t="shared" si="236"/>
        <v>107323</v>
      </c>
      <c r="D1152" s="273">
        <f t="shared" si="239"/>
        <v>0</v>
      </c>
      <c r="E1152" s="273"/>
      <c r="F1152" s="273"/>
      <c r="G1152" s="273"/>
      <c r="H1152" s="273"/>
      <c r="I1152" s="273"/>
      <c r="J1152" s="273"/>
      <c r="K1152" s="273"/>
      <c r="L1152" s="273"/>
      <c r="M1152" s="273"/>
      <c r="N1152" s="273"/>
      <c r="O1152" s="273"/>
      <c r="P1152" s="273"/>
      <c r="Q1152" s="273"/>
      <c r="R1152" s="273"/>
      <c r="S1152" s="273"/>
      <c r="T1152" s="273"/>
      <c r="U1152" s="273"/>
      <c r="V1152" s="273"/>
      <c r="W1152" s="273">
        <f t="shared" si="235"/>
        <v>107323</v>
      </c>
      <c r="Z1152" s="13"/>
      <c r="AA1152" s="13"/>
      <c r="AB1152" s="13"/>
      <c r="AC1152" s="271">
        <v>107323</v>
      </c>
      <c r="AE1152" s="269"/>
      <c r="AF1152" s="7"/>
      <c r="AI1152" s="13"/>
      <c r="AJ1152" s="13"/>
    </row>
    <row r="1153" spans="1:36" x14ac:dyDescent="0.3">
      <c r="A1153" s="10">
        <f t="shared" si="238"/>
        <v>1044</v>
      </c>
      <c r="B1153" s="124" t="s">
        <v>1393</v>
      </c>
      <c r="C1153" s="273">
        <f t="shared" si="236"/>
        <v>199576.9</v>
      </c>
      <c r="D1153" s="273">
        <f t="shared" si="239"/>
        <v>0</v>
      </c>
      <c r="E1153" s="273"/>
      <c r="F1153" s="273"/>
      <c r="G1153" s="273"/>
      <c r="H1153" s="273"/>
      <c r="I1153" s="273"/>
      <c r="J1153" s="273"/>
      <c r="K1153" s="273"/>
      <c r="L1153" s="273"/>
      <c r="M1153" s="273"/>
      <c r="N1153" s="273"/>
      <c r="O1153" s="273"/>
      <c r="P1153" s="273"/>
      <c r="Q1153" s="273"/>
      <c r="R1153" s="273"/>
      <c r="S1153" s="273"/>
      <c r="T1153" s="273"/>
      <c r="U1153" s="273"/>
      <c r="V1153" s="273"/>
      <c r="W1153" s="273">
        <f t="shared" si="235"/>
        <v>199576.9</v>
      </c>
      <c r="Z1153" s="13"/>
      <c r="AA1153" s="13"/>
      <c r="AB1153" s="13"/>
      <c r="AC1153" s="271"/>
      <c r="AE1153" s="269">
        <v>199576.9</v>
      </c>
      <c r="AF1153" s="7"/>
      <c r="AI1153" s="13"/>
      <c r="AJ1153" s="13"/>
    </row>
    <row r="1154" spans="1:36" x14ac:dyDescent="0.3">
      <c r="A1154" s="10">
        <f t="shared" si="238"/>
        <v>1045</v>
      </c>
      <c r="B1154" s="124" t="s">
        <v>1394</v>
      </c>
      <c r="C1154" s="273">
        <f t="shared" si="236"/>
        <v>207254.83</v>
      </c>
      <c r="D1154" s="273">
        <f t="shared" si="239"/>
        <v>0</v>
      </c>
      <c r="E1154" s="273"/>
      <c r="F1154" s="273"/>
      <c r="G1154" s="273"/>
      <c r="H1154" s="273"/>
      <c r="I1154" s="273"/>
      <c r="J1154" s="273"/>
      <c r="K1154" s="273"/>
      <c r="L1154" s="273"/>
      <c r="M1154" s="273"/>
      <c r="N1154" s="273"/>
      <c r="O1154" s="273"/>
      <c r="P1154" s="273"/>
      <c r="Q1154" s="273"/>
      <c r="R1154" s="273"/>
      <c r="S1154" s="273"/>
      <c r="T1154" s="273"/>
      <c r="U1154" s="273"/>
      <c r="V1154" s="273"/>
      <c r="W1154" s="273">
        <f t="shared" si="235"/>
        <v>207254.83</v>
      </c>
      <c r="Z1154" s="13"/>
      <c r="AA1154" s="13"/>
      <c r="AB1154" s="13"/>
      <c r="AC1154" s="271"/>
      <c r="AE1154" s="269">
        <v>207254.83</v>
      </c>
      <c r="AF1154" s="7"/>
      <c r="AI1154" s="13"/>
      <c r="AJ1154" s="13"/>
    </row>
    <row r="1155" spans="1:36" x14ac:dyDescent="0.3">
      <c r="A1155" s="10">
        <f t="shared" si="238"/>
        <v>1046</v>
      </c>
      <c r="B1155" s="124" t="s">
        <v>1395</v>
      </c>
      <c r="C1155" s="273">
        <f t="shared" si="236"/>
        <v>206466.02</v>
      </c>
      <c r="D1155" s="273">
        <f t="shared" si="239"/>
        <v>0</v>
      </c>
      <c r="E1155" s="273"/>
      <c r="F1155" s="273"/>
      <c r="G1155" s="273"/>
      <c r="H1155" s="273"/>
      <c r="I1155" s="273"/>
      <c r="J1155" s="273"/>
      <c r="K1155" s="273"/>
      <c r="L1155" s="273"/>
      <c r="M1155" s="273"/>
      <c r="N1155" s="273"/>
      <c r="O1155" s="273"/>
      <c r="P1155" s="273"/>
      <c r="Q1155" s="273"/>
      <c r="R1155" s="273"/>
      <c r="S1155" s="273"/>
      <c r="T1155" s="273"/>
      <c r="U1155" s="273"/>
      <c r="V1155" s="273"/>
      <c r="W1155" s="273">
        <f t="shared" si="235"/>
        <v>206466.02</v>
      </c>
      <c r="Z1155" s="271"/>
      <c r="AA1155" s="13"/>
      <c r="AB1155" s="13"/>
      <c r="AC1155" s="271"/>
      <c r="AE1155" s="271">
        <v>206466.02</v>
      </c>
      <c r="AF1155" s="271" t="s">
        <v>352</v>
      </c>
      <c r="AI1155" s="13"/>
      <c r="AJ1155" s="13"/>
    </row>
    <row r="1156" spans="1:36" x14ac:dyDescent="0.3">
      <c r="A1156" s="10">
        <f t="shared" si="238"/>
        <v>1047</v>
      </c>
      <c r="B1156" s="124" t="s">
        <v>1396</v>
      </c>
      <c r="C1156" s="273">
        <f t="shared" si="236"/>
        <v>244515.32</v>
      </c>
      <c r="D1156" s="273">
        <f t="shared" si="239"/>
        <v>0</v>
      </c>
      <c r="E1156" s="273"/>
      <c r="F1156" s="273"/>
      <c r="G1156" s="273"/>
      <c r="H1156" s="273"/>
      <c r="I1156" s="273"/>
      <c r="J1156" s="273"/>
      <c r="K1156" s="273"/>
      <c r="L1156" s="273"/>
      <c r="M1156" s="273"/>
      <c r="N1156" s="273"/>
      <c r="O1156" s="273"/>
      <c r="P1156" s="273"/>
      <c r="Q1156" s="273"/>
      <c r="R1156" s="273"/>
      <c r="S1156" s="273"/>
      <c r="T1156" s="273"/>
      <c r="U1156" s="273"/>
      <c r="V1156" s="273"/>
      <c r="W1156" s="273">
        <f t="shared" si="235"/>
        <v>244515.32</v>
      </c>
      <c r="Z1156" s="13"/>
      <c r="AA1156" s="13"/>
      <c r="AB1156" s="13"/>
      <c r="AC1156" s="271"/>
      <c r="AE1156" s="269">
        <v>244515.32</v>
      </c>
      <c r="AF1156" s="7"/>
      <c r="AI1156" s="13"/>
      <c r="AJ1156" s="13"/>
    </row>
    <row r="1157" spans="1:36" x14ac:dyDescent="0.3">
      <c r="A1157" s="10">
        <f t="shared" si="238"/>
        <v>1048</v>
      </c>
      <c r="B1157" s="124" t="s">
        <v>1397</v>
      </c>
      <c r="C1157" s="273">
        <f t="shared" si="236"/>
        <v>115183.19</v>
      </c>
      <c r="D1157" s="273">
        <f t="shared" si="239"/>
        <v>0</v>
      </c>
      <c r="E1157" s="273"/>
      <c r="F1157" s="273"/>
      <c r="G1157" s="273"/>
      <c r="H1157" s="273"/>
      <c r="I1157" s="273"/>
      <c r="J1157" s="273"/>
      <c r="K1157" s="273"/>
      <c r="L1157" s="273"/>
      <c r="M1157" s="273"/>
      <c r="N1157" s="273"/>
      <c r="O1157" s="273"/>
      <c r="P1157" s="273"/>
      <c r="Q1157" s="273"/>
      <c r="R1157" s="273"/>
      <c r="S1157" s="273"/>
      <c r="T1157" s="273"/>
      <c r="U1157" s="273"/>
      <c r="V1157" s="273"/>
      <c r="W1157" s="273">
        <f t="shared" si="235"/>
        <v>115183.19</v>
      </c>
      <c r="Z1157" s="13"/>
      <c r="AA1157" s="13"/>
      <c r="AB1157" s="13"/>
      <c r="AC1157" s="271">
        <v>115183.19</v>
      </c>
      <c r="AE1157" s="269"/>
      <c r="AF1157" s="7"/>
      <c r="AI1157" s="13"/>
      <c r="AJ1157" s="13"/>
    </row>
    <row r="1158" spans="1:36" x14ac:dyDescent="0.3">
      <c r="A1158" s="10">
        <f t="shared" si="238"/>
        <v>1049</v>
      </c>
      <c r="B1158" s="124" t="s">
        <v>1398</v>
      </c>
      <c r="C1158" s="273">
        <f t="shared" si="236"/>
        <v>147407.94</v>
      </c>
      <c r="D1158" s="273">
        <f t="shared" si="239"/>
        <v>0</v>
      </c>
      <c r="E1158" s="273"/>
      <c r="F1158" s="273"/>
      <c r="G1158" s="273"/>
      <c r="H1158" s="273"/>
      <c r="I1158" s="273"/>
      <c r="J1158" s="273"/>
      <c r="K1158" s="273"/>
      <c r="L1158" s="273"/>
      <c r="M1158" s="273"/>
      <c r="N1158" s="273"/>
      <c r="O1158" s="273"/>
      <c r="P1158" s="273"/>
      <c r="Q1158" s="273"/>
      <c r="R1158" s="273"/>
      <c r="S1158" s="273"/>
      <c r="T1158" s="273"/>
      <c r="U1158" s="273"/>
      <c r="V1158" s="273"/>
      <c r="W1158" s="273">
        <f t="shared" si="235"/>
        <v>147407.94</v>
      </c>
      <c r="Z1158" s="82"/>
      <c r="AA1158" s="82"/>
      <c r="AB1158" s="13"/>
      <c r="AC1158" s="271"/>
      <c r="AE1158" s="269">
        <v>147407.94</v>
      </c>
      <c r="AF1158" s="84"/>
      <c r="AI1158" s="13"/>
      <c r="AJ1158" s="13"/>
    </row>
    <row r="1159" spans="1:36" x14ac:dyDescent="0.3">
      <c r="A1159" s="10">
        <f t="shared" si="238"/>
        <v>1050</v>
      </c>
      <c r="B1159" s="124" t="s">
        <v>1399</v>
      </c>
      <c r="C1159" s="273">
        <f t="shared" si="236"/>
        <v>144553.66</v>
      </c>
      <c r="D1159" s="273">
        <f t="shared" si="239"/>
        <v>0</v>
      </c>
      <c r="E1159" s="273"/>
      <c r="F1159" s="273"/>
      <c r="G1159" s="273"/>
      <c r="H1159" s="273"/>
      <c r="I1159" s="273"/>
      <c r="J1159" s="273"/>
      <c r="K1159" s="273"/>
      <c r="L1159" s="273"/>
      <c r="M1159" s="273"/>
      <c r="N1159" s="273"/>
      <c r="O1159" s="273"/>
      <c r="P1159" s="273"/>
      <c r="Q1159" s="273"/>
      <c r="R1159" s="273"/>
      <c r="S1159" s="273"/>
      <c r="T1159" s="273"/>
      <c r="U1159" s="273"/>
      <c r="V1159" s="273"/>
      <c r="W1159" s="273">
        <f t="shared" si="235"/>
        <v>144553.66</v>
      </c>
      <c r="Z1159" s="82"/>
      <c r="AA1159" s="82"/>
      <c r="AB1159" s="13"/>
      <c r="AC1159" s="271"/>
      <c r="AE1159" s="269">
        <v>144553.66</v>
      </c>
      <c r="AF1159" s="84"/>
      <c r="AI1159" s="13"/>
      <c r="AJ1159" s="13"/>
    </row>
    <row r="1160" spans="1:36" x14ac:dyDescent="0.3">
      <c r="A1160" s="10">
        <f t="shared" si="238"/>
        <v>1051</v>
      </c>
      <c r="B1160" s="124" t="s">
        <v>1400</v>
      </c>
      <c r="C1160" s="273">
        <f t="shared" si="236"/>
        <v>148035.67000000001</v>
      </c>
      <c r="D1160" s="273">
        <f t="shared" si="239"/>
        <v>0</v>
      </c>
      <c r="E1160" s="273"/>
      <c r="F1160" s="273"/>
      <c r="G1160" s="273"/>
      <c r="H1160" s="273"/>
      <c r="I1160" s="273"/>
      <c r="J1160" s="273"/>
      <c r="K1160" s="273"/>
      <c r="L1160" s="273"/>
      <c r="M1160" s="273"/>
      <c r="N1160" s="273"/>
      <c r="O1160" s="273"/>
      <c r="P1160" s="273"/>
      <c r="Q1160" s="273"/>
      <c r="R1160" s="273"/>
      <c r="S1160" s="273"/>
      <c r="T1160" s="273"/>
      <c r="U1160" s="273"/>
      <c r="V1160" s="273"/>
      <c r="W1160" s="273">
        <f t="shared" si="235"/>
        <v>148035.67000000001</v>
      </c>
      <c r="Z1160" s="82"/>
      <c r="AA1160" s="82"/>
      <c r="AB1160" s="13"/>
      <c r="AC1160" s="271"/>
      <c r="AE1160" s="269">
        <v>148035.67000000001</v>
      </c>
      <c r="AF1160" s="84"/>
      <c r="AI1160" s="13"/>
      <c r="AJ1160" s="13"/>
    </row>
    <row r="1161" spans="1:36" x14ac:dyDescent="0.3">
      <c r="A1161" s="10">
        <f t="shared" si="238"/>
        <v>1052</v>
      </c>
      <c r="B1161" s="124" t="s">
        <v>1401</v>
      </c>
      <c r="C1161" s="273">
        <f t="shared" si="236"/>
        <v>130000</v>
      </c>
      <c r="D1161" s="273">
        <f t="shared" si="239"/>
        <v>0</v>
      </c>
      <c r="E1161" s="273"/>
      <c r="F1161" s="273"/>
      <c r="G1161" s="273"/>
      <c r="H1161" s="273"/>
      <c r="I1161" s="273"/>
      <c r="J1161" s="273"/>
      <c r="K1161" s="273"/>
      <c r="L1161" s="273"/>
      <c r="M1161" s="273"/>
      <c r="N1161" s="273"/>
      <c r="O1161" s="273"/>
      <c r="P1161" s="273"/>
      <c r="Q1161" s="273"/>
      <c r="R1161" s="273"/>
      <c r="S1161" s="273"/>
      <c r="T1161" s="273"/>
      <c r="U1161" s="273"/>
      <c r="V1161" s="273"/>
      <c r="W1161" s="273">
        <v>130000</v>
      </c>
      <c r="Z1161" s="82"/>
      <c r="AA1161" s="82"/>
      <c r="AB1161" s="13"/>
      <c r="AC1161" s="271"/>
      <c r="AE1161" s="269"/>
      <c r="AF1161" s="84"/>
      <c r="AI1161" s="13"/>
      <c r="AJ1161" s="13"/>
    </row>
    <row r="1162" spans="1:36" x14ac:dyDescent="0.3">
      <c r="A1162" s="10">
        <f t="shared" si="238"/>
        <v>1053</v>
      </c>
      <c r="B1162" s="124" t="s">
        <v>1402</v>
      </c>
      <c r="C1162" s="273">
        <f t="shared" si="236"/>
        <v>208573.08</v>
      </c>
      <c r="D1162" s="273">
        <f t="shared" si="239"/>
        <v>0</v>
      </c>
      <c r="E1162" s="273"/>
      <c r="F1162" s="273"/>
      <c r="G1162" s="273"/>
      <c r="H1162" s="273"/>
      <c r="I1162" s="273"/>
      <c r="J1162" s="273"/>
      <c r="K1162" s="273"/>
      <c r="L1162" s="273"/>
      <c r="M1162" s="273"/>
      <c r="N1162" s="273"/>
      <c r="O1162" s="273"/>
      <c r="P1162" s="273"/>
      <c r="Q1162" s="273"/>
      <c r="R1162" s="273"/>
      <c r="S1162" s="273"/>
      <c r="T1162" s="273"/>
      <c r="U1162" s="273"/>
      <c r="V1162" s="273"/>
      <c r="W1162" s="273">
        <f t="shared" ref="W1162:W1182" si="240">SUM(X1162:AH1162)</f>
        <v>208573.08</v>
      </c>
      <c r="Z1162" s="82"/>
      <c r="AA1162" s="82"/>
      <c r="AB1162" s="13"/>
      <c r="AC1162" s="271"/>
      <c r="AE1162" s="269">
        <v>208573.08</v>
      </c>
      <c r="AF1162" s="84"/>
      <c r="AI1162" s="13"/>
      <c r="AJ1162" s="13"/>
    </row>
    <row r="1163" spans="1:36" x14ac:dyDescent="0.3">
      <c r="A1163" s="10">
        <f t="shared" si="238"/>
        <v>1054</v>
      </c>
      <c r="B1163" s="124" t="s">
        <v>1403</v>
      </c>
      <c r="C1163" s="273">
        <f t="shared" si="236"/>
        <v>125424.56</v>
      </c>
      <c r="D1163" s="273">
        <f t="shared" si="239"/>
        <v>0</v>
      </c>
      <c r="E1163" s="273"/>
      <c r="F1163" s="273"/>
      <c r="G1163" s="273"/>
      <c r="H1163" s="273"/>
      <c r="I1163" s="273"/>
      <c r="J1163" s="273"/>
      <c r="K1163" s="273"/>
      <c r="L1163" s="273"/>
      <c r="M1163" s="273"/>
      <c r="N1163" s="273"/>
      <c r="O1163" s="273"/>
      <c r="P1163" s="273"/>
      <c r="Q1163" s="273"/>
      <c r="R1163" s="273"/>
      <c r="S1163" s="273"/>
      <c r="T1163" s="273"/>
      <c r="U1163" s="273"/>
      <c r="V1163" s="273"/>
      <c r="W1163" s="273">
        <f t="shared" si="240"/>
        <v>125424.56</v>
      </c>
      <c r="Z1163" s="13"/>
      <c r="AA1163" s="13"/>
      <c r="AB1163" s="13"/>
      <c r="AC1163" s="271">
        <v>125424.56</v>
      </c>
      <c r="AE1163" s="269"/>
      <c r="AF1163" s="7"/>
      <c r="AI1163" s="13"/>
      <c r="AJ1163" s="13"/>
    </row>
    <row r="1164" spans="1:36" x14ac:dyDescent="0.3">
      <c r="A1164" s="10">
        <f t="shared" si="238"/>
        <v>1055</v>
      </c>
      <c r="B1164" s="124" t="s">
        <v>1405</v>
      </c>
      <c r="C1164" s="273">
        <f t="shared" si="236"/>
        <v>124838.88</v>
      </c>
      <c r="D1164" s="273">
        <f t="shared" si="239"/>
        <v>0</v>
      </c>
      <c r="E1164" s="273"/>
      <c r="F1164" s="273"/>
      <c r="G1164" s="273"/>
      <c r="H1164" s="273"/>
      <c r="I1164" s="273"/>
      <c r="J1164" s="273"/>
      <c r="K1164" s="273"/>
      <c r="L1164" s="273"/>
      <c r="M1164" s="273"/>
      <c r="N1164" s="273"/>
      <c r="O1164" s="273"/>
      <c r="P1164" s="273"/>
      <c r="Q1164" s="273"/>
      <c r="R1164" s="273"/>
      <c r="S1164" s="273"/>
      <c r="T1164" s="273"/>
      <c r="U1164" s="273"/>
      <c r="V1164" s="273"/>
      <c r="W1164" s="273">
        <f t="shared" si="240"/>
        <v>124838.88</v>
      </c>
      <c r="Z1164" s="13"/>
      <c r="AA1164" s="13"/>
      <c r="AB1164" s="13"/>
      <c r="AC1164" s="271">
        <v>124838.88</v>
      </c>
      <c r="AE1164" s="269"/>
      <c r="AF1164" s="7"/>
      <c r="AI1164" s="13"/>
      <c r="AJ1164" s="13"/>
    </row>
    <row r="1165" spans="1:36" x14ac:dyDescent="0.3">
      <c r="A1165" s="10">
        <f t="shared" si="238"/>
        <v>1056</v>
      </c>
      <c r="B1165" s="124" t="s">
        <v>1406</v>
      </c>
      <c r="C1165" s="273">
        <f t="shared" si="236"/>
        <v>190946.49</v>
      </c>
      <c r="D1165" s="273">
        <f t="shared" si="239"/>
        <v>0</v>
      </c>
      <c r="E1165" s="273"/>
      <c r="F1165" s="273"/>
      <c r="G1165" s="273"/>
      <c r="H1165" s="273"/>
      <c r="I1165" s="273"/>
      <c r="J1165" s="273"/>
      <c r="K1165" s="273"/>
      <c r="L1165" s="273"/>
      <c r="M1165" s="273"/>
      <c r="N1165" s="273"/>
      <c r="O1165" s="273"/>
      <c r="P1165" s="273"/>
      <c r="Q1165" s="273"/>
      <c r="R1165" s="273"/>
      <c r="S1165" s="273"/>
      <c r="T1165" s="273"/>
      <c r="U1165" s="273"/>
      <c r="V1165" s="273"/>
      <c r="W1165" s="273">
        <f t="shared" si="240"/>
        <v>190946.49</v>
      </c>
      <c r="Z1165" s="82"/>
      <c r="AA1165" s="82"/>
      <c r="AB1165" s="13"/>
      <c r="AC1165" s="271"/>
      <c r="AE1165" s="269"/>
      <c r="AF1165" s="84">
        <v>190946.49</v>
      </c>
      <c r="AI1165" s="13"/>
      <c r="AJ1165" s="13"/>
    </row>
    <row r="1166" spans="1:36" x14ac:dyDescent="0.3">
      <c r="A1166" s="10">
        <f t="shared" si="238"/>
        <v>1057</v>
      </c>
      <c r="B1166" s="124" t="s">
        <v>1408</v>
      </c>
      <c r="C1166" s="273">
        <f t="shared" si="236"/>
        <v>964344.67</v>
      </c>
      <c r="D1166" s="273">
        <f t="shared" si="239"/>
        <v>730368</v>
      </c>
      <c r="E1166" s="273">
        <v>730368</v>
      </c>
      <c r="F1166" s="273"/>
      <c r="G1166" s="273"/>
      <c r="H1166" s="273"/>
      <c r="I1166" s="273"/>
      <c r="J1166" s="273"/>
      <c r="K1166" s="273"/>
      <c r="L1166" s="273"/>
      <c r="M1166" s="273"/>
      <c r="N1166" s="273"/>
      <c r="O1166" s="273"/>
      <c r="P1166" s="273"/>
      <c r="Q1166" s="273"/>
      <c r="R1166" s="273"/>
      <c r="S1166" s="273"/>
      <c r="T1166" s="273"/>
      <c r="U1166" s="273"/>
      <c r="V1166" s="273"/>
      <c r="W1166" s="273">
        <f t="shared" si="240"/>
        <v>233976.67</v>
      </c>
      <c r="Z1166" s="82"/>
      <c r="AA1166" s="82"/>
      <c r="AB1166" s="13"/>
      <c r="AC1166" s="271"/>
      <c r="AE1166" s="84">
        <v>233976.67</v>
      </c>
      <c r="AI1166" s="13"/>
      <c r="AJ1166" s="13"/>
    </row>
    <row r="1167" spans="1:36" x14ac:dyDescent="0.3">
      <c r="A1167" s="10">
        <f t="shared" si="238"/>
        <v>1058</v>
      </c>
      <c r="B1167" s="124" t="s">
        <v>1409</v>
      </c>
      <c r="C1167" s="273">
        <f t="shared" si="236"/>
        <v>4180844.4000000004</v>
      </c>
      <c r="D1167" s="273">
        <f t="shared" si="239"/>
        <v>1964943.6000000003</v>
      </c>
      <c r="E1167" s="273">
        <v>448510.8</v>
      </c>
      <c r="F1167" s="273">
        <v>1143129.6000000001</v>
      </c>
      <c r="G1167" s="273">
        <v>237831.6</v>
      </c>
      <c r="H1167" s="273"/>
      <c r="I1167" s="273">
        <v>135471.6</v>
      </c>
      <c r="J1167" s="273"/>
      <c r="K1167" s="273"/>
      <c r="L1167" s="273"/>
      <c r="M1167" s="273">
        <v>283</v>
      </c>
      <c r="N1167" s="273">
        <v>1086283.2</v>
      </c>
      <c r="O1167" s="273"/>
      <c r="P1167" s="273"/>
      <c r="Q1167" s="273"/>
      <c r="R1167" s="273"/>
      <c r="S1167" s="273"/>
      <c r="T1167" s="273">
        <v>573.1</v>
      </c>
      <c r="U1167" s="273">
        <v>1129617.6000000001</v>
      </c>
      <c r="V1167" s="273"/>
      <c r="W1167" s="273">
        <f t="shared" si="240"/>
        <v>0</v>
      </c>
      <c r="Z1167" s="82"/>
      <c r="AA1167" s="82"/>
      <c r="AB1167" s="13"/>
      <c r="AC1167" s="271"/>
      <c r="AE1167" s="269"/>
      <c r="AF1167" s="84"/>
      <c r="AI1167" s="13"/>
      <c r="AJ1167" s="13"/>
    </row>
    <row r="1168" spans="1:36" x14ac:dyDescent="0.3">
      <c r="A1168" s="10">
        <f t="shared" si="238"/>
        <v>1059</v>
      </c>
      <c r="B1168" s="124" t="s">
        <v>1410</v>
      </c>
      <c r="C1168" s="273">
        <f t="shared" si="236"/>
        <v>10798331.4</v>
      </c>
      <c r="D1168" s="273">
        <f t="shared" si="239"/>
        <v>3974521.8000000003</v>
      </c>
      <c r="E1168" s="273">
        <f>(2688*13)+(358323*1)</f>
        <v>393267</v>
      </c>
      <c r="F1168" s="273">
        <v>2570436</v>
      </c>
      <c r="G1168" s="273">
        <v>469675.2</v>
      </c>
      <c r="H1168" s="273"/>
      <c r="I1168" s="273">
        <v>541143.6</v>
      </c>
      <c r="J1168" s="273"/>
      <c r="K1168" s="273"/>
      <c r="L1168" s="273"/>
      <c r="M1168" s="273">
        <v>810</v>
      </c>
      <c r="N1168" s="273">
        <v>5090798.4000000004</v>
      </c>
      <c r="O1168" s="273"/>
      <c r="P1168" s="273"/>
      <c r="Q1168" s="273"/>
      <c r="R1168" s="273"/>
      <c r="S1168" s="273"/>
      <c r="T1168" s="273">
        <v>1456</v>
      </c>
      <c r="U1168" s="273">
        <v>1733011.2</v>
      </c>
      <c r="V1168" s="273"/>
      <c r="W1168" s="273">
        <f t="shared" si="240"/>
        <v>0</v>
      </c>
      <c r="Z1168" s="82"/>
      <c r="AA1168" s="82"/>
      <c r="AB1168" s="13"/>
      <c r="AC1168" s="271"/>
      <c r="AE1168" s="269"/>
      <c r="AF1168" s="84"/>
      <c r="AI1168" s="13"/>
      <c r="AJ1168" s="13"/>
    </row>
    <row r="1169" spans="1:36" x14ac:dyDescent="0.3">
      <c r="A1169" s="10">
        <f t="shared" si="238"/>
        <v>1060</v>
      </c>
      <c r="B1169" s="124" t="s">
        <v>1411</v>
      </c>
      <c r="C1169" s="273">
        <f t="shared" si="236"/>
        <v>1834986.6099999999</v>
      </c>
      <c r="D1169" s="273">
        <f t="shared" si="239"/>
        <v>1397489.4</v>
      </c>
      <c r="E1169" s="273">
        <v>1004222.4</v>
      </c>
      <c r="F1169" s="273">
        <f>(2688*13)+(358323*1)</f>
        <v>393267</v>
      </c>
      <c r="G1169" s="273"/>
      <c r="H1169" s="273"/>
      <c r="I1169" s="273"/>
      <c r="J1169" s="273"/>
      <c r="K1169" s="273"/>
      <c r="L1169" s="273"/>
      <c r="M1169" s="273"/>
      <c r="N1169" s="273"/>
      <c r="O1169" s="273"/>
      <c r="P1169" s="273"/>
      <c r="Q1169" s="273"/>
      <c r="R1169" s="273"/>
      <c r="S1169" s="273"/>
      <c r="T1169" s="273"/>
      <c r="U1169" s="273"/>
      <c r="V1169" s="273"/>
      <c r="W1169" s="273">
        <f t="shared" si="240"/>
        <v>437497.21</v>
      </c>
      <c r="Z1169" s="82"/>
      <c r="AA1169" s="82"/>
      <c r="AB1169" s="13"/>
      <c r="AC1169" s="271">
        <f>112526.71+112526.71</f>
        <v>225053.42</v>
      </c>
      <c r="AE1169" s="269">
        <v>212443.79</v>
      </c>
      <c r="AF1169" s="84"/>
      <c r="AI1169" s="13"/>
      <c r="AJ1169" s="13"/>
    </row>
    <row r="1170" spans="1:36" x14ac:dyDescent="0.3">
      <c r="A1170" s="10">
        <f t="shared" si="238"/>
        <v>1061</v>
      </c>
      <c r="B1170" s="124" t="s">
        <v>1412</v>
      </c>
      <c r="C1170" s="273">
        <f t="shared" si="236"/>
        <v>186914.14</v>
      </c>
      <c r="D1170" s="273">
        <f t="shared" si="239"/>
        <v>0</v>
      </c>
      <c r="E1170" s="273"/>
      <c r="F1170" s="273"/>
      <c r="G1170" s="273"/>
      <c r="H1170" s="273"/>
      <c r="I1170" s="273"/>
      <c r="J1170" s="273"/>
      <c r="K1170" s="273"/>
      <c r="L1170" s="273"/>
      <c r="M1170" s="273"/>
      <c r="N1170" s="273"/>
      <c r="O1170" s="273"/>
      <c r="P1170" s="273"/>
      <c r="Q1170" s="273"/>
      <c r="R1170" s="273"/>
      <c r="S1170" s="273"/>
      <c r="T1170" s="273"/>
      <c r="U1170" s="273"/>
      <c r="V1170" s="273"/>
      <c r="W1170" s="273">
        <f t="shared" si="240"/>
        <v>186914.14</v>
      </c>
      <c r="Y1170" s="36">
        <v>186914.14</v>
      </c>
      <c r="Z1170" s="82"/>
      <c r="AA1170" s="82"/>
      <c r="AB1170" s="13"/>
      <c r="AC1170" s="271"/>
      <c r="AE1170" s="269"/>
      <c r="AF1170" s="84"/>
      <c r="AI1170" s="13"/>
      <c r="AJ1170" s="13"/>
    </row>
    <row r="1171" spans="1:36" x14ac:dyDescent="0.3">
      <c r="A1171" s="10">
        <f t="shared" si="238"/>
        <v>1062</v>
      </c>
      <c r="B1171" s="124" t="s">
        <v>1414</v>
      </c>
      <c r="C1171" s="273">
        <f t="shared" si="236"/>
        <v>145912.32999999999</v>
      </c>
      <c r="D1171" s="273">
        <f t="shared" si="239"/>
        <v>0</v>
      </c>
      <c r="E1171" s="273"/>
      <c r="F1171" s="273"/>
      <c r="G1171" s="273"/>
      <c r="H1171" s="273"/>
      <c r="I1171" s="273"/>
      <c r="J1171" s="273"/>
      <c r="K1171" s="273"/>
      <c r="L1171" s="273"/>
      <c r="M1171" s="273"/>
      <c r="N1171" s="273"/>
      <c r="O1171" s="273"/>
      <c r="P1171" s="273"/>
      <c r="Q1171" s="273"/>
      <c r="R1171" s="273"/>
      <c r="S1171" s="273"/>
      <c r="T1171" s="273"/>
      <c r="U1171" s="273"/>
      <c r="V1171" s="273"/>
      <c r="W1171" s="273">
        <f t="shared" si="240"/>
        <v>145912.32999999999</v>
      </c>
      <c r="Z1171" s="82"/>
      <c r="AA1171" s="82"/>
      <c r="AB1171" s="13"/>
      <c r="AC1171" s="271">
        <v>145912.32999999999</v>
      </c>
      <c r="AE1171" s="269"/>
      <c r="AF1171" s="84"/>
      <c r="AI1171" s="13"/>
      <c r="AJ1171" s="13"/>
    </row>
    <row r="1172" spans="1:36" x14ac:dyDescent="0.3">
      <c r="A1172" s="10">
        <f t="shared" si="238"/>
        <v>1063</v>
      </c>
      <c r="B1172" s="124" t="s">
        <v>1415</v>
      </c>
      <c r="C1172" s="273">
        <f t="shared" si="236"/>
        <v>139886.45000000001</v>
      </c>
      <c r="D1172" s="273">
        <f t="shared" si="239"/>
        <v>0</v>
      </c>
      <c r="E1172" s="273"/>
      <c r="F1172" s="273"/>
      <c r="G1172" s="273"/>
      <c r="H1172" s="273"/>
      <c r="I1172" s="273"/>
      <c r="J1172" s="273"/>
      <c r="K1172" s="273"/>
      <c r="L1172" s="273"/>
      <c r="M1172" s="273"/>
      <c r="N1172" s="273"/>
      <c r="O1172" s="273"/>
      <c r="P1172" s="273"/>
      <c r="Q1172" s="273"/>
      <c r="R1172" s="273"/>
      <c r="S1172" s="273"/>
      <c r="T1172" s="273"/>
      <c r="U1172" s="273"/>
      <c r="V1172" s="273"/>
      <c r="W1172" s="273">
        <f t="shared" si="240"/>
        <v>139886.45000000001</v>
      </c>
      <c r="Z1172" s="82"/>
      <c r="AA1172" s="82"/>
      <c r="AB1172" s="13"/>
      <c r="AC1172" s="271">
        <v>139886.45000000001</v>
      </c>
      <c r="AE1172" s="269"/>
      <c r="AF1172" s="84"/>
      <c r="AI1172" s="13"/>
      <c r="AJ1172" s="13"/>
    </row>
    <row r="1173" spans="1:36" x14ac:dyDescent="0.3">
      <c r="A1173" s="10">
        <f t="shared" si="238"/>
        <v>1064</v>
      </c>
      <c r="B1173" s="124" t="s">
        <v>1416</v>
      </c>
      <c r="C1173" s="273">
        <f t="shared" si="236"/>
        <v>179720.92</v>
      </c>
      <c r="D1173" s="273">
        <f t="shared" si="239"/>
        <v>0</v>
      </c>
      <c r="E1173" s="273"/>
      <c r="F1173" s="273"/>
      <c r="G1173" s="273"/>
      <c r="H1173" s="273"/>
      <c r="I1173" s="273"/>
      <c r="J1173" s="273"/>
      <c r="K1173" s="273"/>
      <c r="L1173" s="273"/>
      <c r="M1173" s="273"/>
      <c r="N1173" s="273"/>
      <c r="O1173" s="273"/>
      <c r="P1173" s="273"/>
      <c r="Q1173" s="273"/>
      <c r="R1173" s="273"/>
      <c r="S1173" s="273"/>
      <c r="T1173" s="273"/>
      <c r="U1173" s="273"/>
      <c r="V1173" s="273"/>
      <c r="W1173" s="273">
        <f t="shared" si="240"/>
        <v>179720.92</v>
      </c>
      <c r="Y1173" s="36">
        <v>179720.92</v>
      </c>
      <c r="Z1173" s="82"/>
      <c r="AA1173" s="82"/>
      <c r="AB1173" s="13"/>
      <c r="AC1173" s="271"/>
      <c r="AE1173" s="269"/>
      <c r="AF1173" s="84"/>
      <c r="AI1173" s="13"/>
      <c r="AJ1173" s="13"/>
    </row>
    <row r="1174" spans="1:36" x14ac:dyDescent="0.3">
      <c r="A1174" s="10">
        <f t="shared" si="238"/>
        <v>1065</v>
      </c>
      <c r="B1174" s="124" t="s">
        <v>1417</v>
      </c>
      <c r="C1174" s="273">
        <f t="shared" ref="C1174:C1237" si="241">D1174+K1174+L1174+N1174+P1174+R1174+U1174+S1174+V1174+W1174</f>
        <v>129018.08</v>
      </c>
      <c r="D1174" s="273">
        <f t="shared" ref="D1174:D1189" si="242">E1174+F1174+G1174+H1174+I1174</f>
        <v>0</v>
      </c>
      <c r="E1174" s="273"/>
      <c r="F1174" s="273"/>
      <c r="G1174" s="273"/>
      <c r="H1174" s="273"/>
      <c r="I1174" s="273"/>
      <c r="J1174" s="273"/>
      <c r="K1174" s="273"/>
      <c r="L1174" s="273"/>
      <c r="M1174" s="273"/>
      <c r="N1174" s="273"/>
      <c r="O1174" s="273"/>
      <c r="P1174" s="273"/>
      <c r="Q1174" s="273"/>
      <c r="R1174" s="273"/>
      <c r="S1174" s="273"/>
      <c r="T1174" s="273"/>
      <c r="U1174" s="273"/>
      <c r="V1174" s="273"/>
      <c r="W1174" s="273">
        <f t="shared" si="240"/>
        <v>129018.08</v>
      </c>
      <c r="Y1174" s="36">
        <v>129018.08</v>
      </c>
      <c r="Z1174" s="82"/>
      <c r="AA1174" s="82"/>
      <c r="AB1174" s="13"/>
      <c r="AC1174" s="271"/>
      <c r="AE1174" s="269"/>
      <c r="AF1174" s="84"/>
      <c r="AI1174" s="13"/>
      <c r="AJ1174" s="13"/>
    </row>
    <row r="1175" spans="1:36" x14ac:dyDescent="0.3">
      <c r="A1175" s="10">
        <f t="shared" ref="A1175:A1238" si="243">A1174+1</f>
        <v>1066</v>
      </c>
      <c r="B1175" s="124" t="s">
        <v>1418</v>
      </c>
      <c r="C1175" s="273">
        <f t="shared" si="241"/>
        <v>134994.16</v>
      </c>
      <c r="D1175" s="273">
        <f t="shared" si="242"/>
        <v>0</v>
      </c>
      <c r="E1175" s="273"/>
      <c r="F1175" s="273"/>
      <c r="G1175" s="273"/>
      <c r="H1175" s="273"/>
      <c r="I1175" s="273"/>
      <c r="J1175" s="273"/>
      <c r="K1175" s="273"/>
      <c r="L1175" s="273"/>
      <c r="M1175" s="273"/>
      <c r="N1175" s="273"/>
      <c r="O1175" s="273"/>
      <c r="P1175" s="273"/>
      <c r="Q1175" s="273"/>
      <c r="R1175" s="273"/>
      <c r="S1175" s="273"/>
      <c r="T1175" s="273"/>
      <c r="U1175" s="273"/>
      <c r="V1175" s="273"/>
      <c r="W1175" s="273">
        <f t="shared" si="240"/>
        <v>134994.16</v>
      </c>
      <c r="Z1175" s="82"/>
      <c r="AA1175" s="82"/>
      <c r="AB1175" s="13"/>
      <c r="AC1175" s="271">
        <v>134994.16</v>
      </c>
      <c r="AE1175" s="269"/>
      <c r="AF1175" s="84"/>
      <c r="AI1175" s="13"/>
      <c r="AJ1175" s="13"/>
    </row>
    <row r="1176" spans="1:36" x14ac:dyDescent="0.3">
      <c r="A1176" s="10">
        <f t="shared" si="243"/>
        <v>1067</v>
      </c>
      <c r="B1176" s="124" t="s">
        <v>1419</v>
      </c>
      <c r="C1176" s="273">
        <f t="shared" si="241"/>
        <v>5188445.1099999994</v>
      </c>
      <c r="D1176" s="273">
        <f t="shared" si="242"/>
        <v>0</v>
      </c>
      <c r="E1176" s="273"/>
      <c r="F1176" s="273"/>
      <c r="G1176" s="273"/>
      <c r="H1176" s="273"/>
      <c r="I1176" s="273"/>
      <c r="J1176" s="273"/>
      <c r="K1176" s="273"/>
      <c r="L1176" s="273"/>
      <c r="M1176" s="273">
        <v>1060.5999999999999</v>
      </c>
      <c r="N1176" s="273">
        <v>4980820.8</v>
      </c>
      <c r="O1176" s="273"/>
      <c r="P1176" s="273"/>
      <c r="Q1176" s="273"/>
      <c r="R1176" s="273"/>
      <c r="S1176" s="273"/>
      <c r="T1176" s="273"/>
      <c r="U1176" s="273"/>
      <c r="V1176" s="273"/>
      <c r="W1176" s="273">
        <f t="shared" si="240"/>
        <v>207624.31</v>
      </c>
      <c r="Z1176" s="82"/>
      <c r="AA1176" s="82"/>
      <c r="AB1176" s="13"/>
      <c r="AC1176" s="271">
        <v>207624.31</v>
      </c>
      <c r="AE1176" s="269"/>
      <c r="AF1176" s="84"/>
      <c r="AI1176" s="13"/>
      <c r="AJ1176" s="13"/>
    </row>
    <row r="1177" spans="1:36" x14ac:dyDescent="0.3">
      <c r="A1177" s="10">
        <f t="shared" si="243"/>
        <v>1068</v>
      </c>
      <c r="B1177" s="124" t="s">
        <v>1420</v>
      </c>
      <c r="C1177" s="273">
        <f t="shared" si="241"/>
        <v>139701</v>
      </c>
      <c r="D1177" s="273">
        <f t="shared" si="242"/>
        <v>0</v>
      </c>
      <c r="E1177" s="273"/>
      <c r="F1177" s="273"/>
      <c r="G1177" s="273"/>
      <c r="H1177" s="273"/>
      <c r="I1177" s="273"/>
      <c r="J1177" s="273"/>
      <c r="K1177" s="273"/>
      <c r="L1177" s="273"/>
      <c r="M1177" s="273"/>
      <c r="N1177" s="273"/>
      <c r="O1177" s="273"/>
      <c r="P1177" s="273"/>
      <c r="Q1177" s="273"/>
      <c r="R1177" s="273"/>
      <c r="S1177" s="273"/>
      <c r="T1177" s="273"/>
      <c r="U1177" s="273"/>
      <c r="V1177" s="273"/>
      <c r="W1177" s="273">
        <f t="shared" si="240"/>
        <v>139701</v>
      </c>
      <c r="Z1177" s="82"/>
      <c r="AA1177" s="82"/>
      <c r="AB1177" s="13"/>
      <c r="AC1177" s="271"/>
      <c r="AE1177" s="269">
        <v>139701</v>
      </c>
      <c r="AF1177" s="84"/>
      <c r="AI1177" s="13"/>
      <c r="AJ1177" s="13"/>
    </row>
    <row r="1178" spans="1:36" x14ac:dyDescent="0.3">
      <c r="A1178" s="10">
        <f t="shared" si="243"/>
        <v>1069</v>
      </c>
      <c r="B1178" s="124" t="s">
        <v>1421</v>
      </c>
      <c r="C1178" s="273">
        <f t="shared" si="241"/>
        <v>149036.93</v>
      </c>
      <c r="D1178" s="273">
        <f t="shared" si="242"/>
        <v>0</v>
      </c>
      <c r="E1178" s="273"/>
      <c r="F1178" s="273"/>
      <c r="G1178" s="273"/>
      <c r="H1178" s="273"/>
      <c r="I1178" s="273"/>
      <c r="J1178" s="273"/>
      <c r="K1178" s="273"/>
      <c r="L1178" s="273"/>
      <c r="M1178" s="273"/>
      <c r="N1178" s="273"/>
      <c r="O1178" s="273"/>
      <c r="P1178" s="273"/>
      <c r="Q1178" s="273"/>
      <c r="R1178" s="273"/>
      <c r="S1178" s="273"/>
      <c r="T1178" s="273"/>
      <c r="U1178" s="273"/>
      <c r="V1178" s="273"/>
      <c r="W1178" s="273">
        <f t="shared" si="240"/>
        <v>149036.93</v>
      </c>
      <c r="Z1178" s="82"/>
      <c r="AA1178" s="82"/>
      <c r="AB1178" s="13"/>
      <c r="AC1178" s="271"/>
      <c r="AE1178" s="269">
        <v>149036.93</v>
      </c>
      <c r="AF1178" s="84"/>
      <c r="AI1178" s="13"/>
      <c r="AJ1178" s="13"/>
    </row>
    <row r="1179" spans="1:36" x14ac:dyDescent="0.3">
      <c r="A1179" s="10">
        <f t="shared" si="243"/>
        <v>1070</v>
      </c>
      <c r="B1179" s="124" t="s">
        <v>1422</v>
      </c>
      <c r="C1179" s="273">
        <f t="shared" si="241"/>
        <v>2853943.2</v>
      </c>
      <c r="D1179" s="273">
        <f t="shared" si="242"/>
        <v>0</v>
      </c>
      <c r="E1179" s="273"/>
      <c r="F1179" s="273"/>
      <c r="G1179" s="273"/>
      <c r="H1179" s="273"/>
      <c r="I1179" s="273"/>
      <c r="J1179" s="273"/>
      <c r="K1179" s="273"/>
      <c r="L1179" s="273"/>
      <c r="M1179" s="273">
        <v>273</v>
      </c>
      <c r="N1179" s="273">
        <v>1931223.6</v>
      </c>
      <c r="O1179" s="273"/>
      <c r="P1179" s="273"/>
      <c r="Q1179" s="273"/>
      <c r="R1179" s="273"/>
      <c r="S1179" s="273"/>
      <c r="T1179" s="273">
        <v>315.60000000000002</v>
      </c>
      <c r="U1179" s="273">
        <v>922719.6</v>
      </c>
      <c r="V1179" s="273"/>
      <c r="W1179" s="273">
        <f t="shared" si="240"/>
        <v>0</v>
      </c>
      <c r="Z1179" s="82"/>
      <c r="AA1179" s="82"/>
      <c r="AB1179" s="13"/>
      <c r="AC1179" s="271"/>
      <c r="AE1179" s="269"/>
      <c r="AF1179" s="84"/>
      <c r="AI1179" s="13"/>
      <c r="AJ1179" s="13"/>
    </row>
    <row r="1180" spans="1:36" x14ac:dyDescent="0.3">
      <c r="A1180" s="10">
        <f t="shared" si="243"/>
        <v>1071</v>
      </c>
      <c r="B1180" s="124" t="s">
        <v>1423</v>
      </c>
      <c r="C1180" s="273">
        <f t="shared" si="241"/>
        <v>173333</v>
      </c>
      <c r="D1180" s="273">
        <f t="shared" si="242"/>
        <v>0</v>
      </c>
      <c r="E1180" s="273"/>
      <c r="F1180" s="273"/>
      <c r="G1180" s="273"/>
      <c r="H1180" s="273"/>
      <c r="I1180" s="273"/>
      <c r="J1180" s="273"/>
      <c r="K1180" s="273"/>
      <c r="L1180" s="273"/>
      <c r="M1180" s="273"/>
      <c r="N1180" s="273"/>
      <c r="O1180" s="273"/>
      <c r="P1180" s="273"/>
      <c r="Q1180" s="273"/>
      <c r="R1180" s="273"/>
      <c r="S1180" s="273"/>
      <c r="T1180" s="273"/>
      <c r="U1180" s="273"/>
      <c r="V1180" s="273"/>
      <c r="W1180" s="273">
        <f t="shared" si="240"/>
        <v>173333</v>
      </c>
      <c r="Z1180" s="82"/>
      <c r="AA1180" s="82"/>
      <c r="AB1180" s="13"/>
      <c r="AC1180" s="271">
        <f>86666.5+86666.5</f>
        <v>173333</v>
      </c>
      <c r="AE1180" s="269"/>
      <c r="AF1180" s="84"/>
      <c r="AI1180" s="13"/>
      <c r="AJ1180" s="13"/>
    </row>
    <row r="1181" spans="1:36" x14ac:dyDescent="0.3">
      <c r="A1181" s="10">
        <f t="shared" si="243"/>
        <v>1072</v>
      </c>
      <c r="B1181" s="124" t="s">
        <v>1424</v>
      </c>
      <c r="C1181" s="273">
        <f t="shared" si="241"/>
        <v>159405.6</v>
      </c>
      <c r="D1181" s="273">
        <f t="shared" si="242"/>
        <v>0</v>
      </c>
      <c r="E1181" s="273"/>
      <c r="F1181" s="273"/>
      <c r="G1181" s="273"/>
      <c r="H1181" s="273"/>
      <c r="I1181" s="273"/>
      <c r="J1181" s="273"/>
      <c r="K1181" s="273"/>
      <c r="L1181" s="273"/>
      <c r="M1181" s="273"/>
      <c r="N1181" s="273"/>
      <c r="O1181" s="273"/>
      <c r="P1181" s="273"/>
      <c r="Q1181" s="273"/>
      <c r="R1181" s="273"/>
      <c r="S1181" s="273"/>
      <c r="T1181" s="273"/>
      <c r="U1181" s="273"/>
      <c r="V1181" s="273"/>
      <c r="W1181" s="273">
        <f t="shared" si="240"/>
        <v>159405.6</v>
      </c>
      <c r="Z1181" s="82"/>
      <c r="AA1181" s="82"/>
      <c r="AB1181" s="13"/>
      <c r="AC1181" s="271"/>
      <c r="AE1181" s="269">
        <v>159405.6</v>
      </c>
      <c r="AF1181" s="84"/>
      <c r="AI1181" s="13"/>
      <c r="AJ1181" s="13"/>
    </row>
    <row r="1182" spans="1:36" x14ac:dyDescent="0.3">
      <c r="A1182" s="10">
        <f t="shared" si="243"/>
        <v>1073</v>
      </c>
      <c r="B1182" s="124" t="s">
        <v>1425</v>
      </c>
      <c r="C1182" s="273">
        <f t="shared" si="241"/>
        <v>301836.21999999997</v>
      </c>
      <c r="D1182" s="273">
        <f t="shared" si="242"/>
        <v>0</v>
      </c>
      <c r="E1182" s="273"/>
      <c r="F1182" s="273"/>
      <c r="G1182" s="273"/>
      <c r="H1182" s="273"/>
      <c r="I1182" s="273"/>
      <c r="J1182" s="273"/>
      <c r="K1182" s="273"/>
      <c r="L1182" s="273"/>
      <c r="M1182" s="273"/>
      <c r="N1182" s="273"/>
      <c r="O1182" s="273"/>
      <c r="P1182" s="273"/>
      <c r="Q1182" s="273"/>
      <c r="R1182" s="273"/>
      <c r="S1182" s="273"/>
      <c r="T1182" s="273"/>
      <c r="U1182" s="273"/>
      <c r="V1182" s="273"/>
      <c r="W1182" s="273">
        <f t="shared" si="240"/>
        <v>301836.21999999997</v>
      </c>
      <c r="Z1182" s="82"/>
      <c r="AA1182" s="82"/>
      <c r="AB1182" s="13"/>
      <c r="AC1182" s="271">
        <v>136843.70000000001</v>
      </c>
      <c r="AE1182" s="269"/>
      <c r="AF1182" s="84">
        <v>164992.51999999999</v>
      </c>
      <c r="AI1182" s="13"/>
      <c r="AJ1182" s="13"/>
    </row>
    <row r="1183" spans="1:36" x14ac:dyDescent="0.3">
      <c r="A1183" s="10">
        <f t="shared" si="243"/>
        <v>1074</v>
      </c>
      <c r="B1183" s="124" t="s">
        <v>1426</v>
      </c>
      <c r="C1183" s="273">
        <f t="shared" si="241"/>
        <v>130000</v>
      </c>
      <c r="D1183" s="273">
        <f t="shared" si="242"/>
        <v>0</v>
      </c>
      <c r="E1183" s="273"/>
      <c r="F1183" s="273"/>
      <c r="G1183" s="273"/>
      <c r="H1183" s="273"/>
      <c r="I1183" s="273"/>
      <c r="J1183" s="273"/>
      <c r="K1183" s="273"/>
      <c r="L1183" s="273"/>
      <c r="M1183" s="273"/>
      <c r="N1183" s="273"/>
      <c r="O1183" s="273"/>
      <c r="P1183" s="273"/>
      <c r="Q1183" s="273"/>
      <c r="R1183" s="273"/>
      <c r="S1183" s="273"/>
      <c r="T1183" s="273"/>
      <c r="U1183" s="273"/>
      <c r="V1183" s="273"/>
      <c r="W1183" s="273">
        <v>130000</v>
      </c>
      <c r="Z1183" s="82"/>
      <c r="AA1183" s="82"/>
      <c r="AB1183" s="13"/>
      <c r="AC1183" s="271">
        <v>130000</v>
      </c>
      <c r="AE1183" s="269"/>
      <c r="AF1183" s="84"/>
      <c r="AI1183" s="13"/>
      <c r="AJ1183" s="13"/>
    </row>
    <row r="1184" spans="1:36" x14ac:dyDescent="0.3">
      <c r="A1184" s="10">
        <f t="shared" si="243"/>
        <v>1075</v>
      </c>
      <c r="B1184" s="124" t="s">
        <v>1427</v>
      </c>
      <c r="C1184" s="273">
        <f t="shared" si="241"/>
        <v>111559.18</v>
      </c>
      <c r="D1184" s="273">
        <f t="shared" si="242"/>
        <v>0</v>
      </c>
      <c r="E1184" s="273"/>
      <c r="F1184" s="273"/>
      <c r="G1184" s="273"/>
      <c r="H1184" s="273"/>
      <c r="I1184" s="273"/>
      <c r="J1184" s="273"/>
      <c r="K1184" s="273"/>
      <c r="L1184" s="273"/>
      <c r="M1184" s="273"/>
      <c r="N1184" s="273"/>
      <c r="O1184" s="273"/>
      <c r="P1184" s="273"/>
      <c r="Q1184" s="273"/>
      <c r="R1184" s="273"/>
      <c r="S1184" s="273"/>
      <c r="T1184" s="273"/>
      <c r="U1184" s="273"/>
      <c r="V1184" s="273"/>
      <c r="W1184" s="273">
        <f t="shared" ref="W1184:W1197" si="244">SUM(X1184:AH1184)</f>
        <v>111559.18</v>
      </c>
      <c r="Z1184" s="82"/>
      <c r="AA1184" s="82"/>
      <c r="AB1184" s="13"/>
      <c r="AC1184" s="271">
        <v>111559.18</v>
      </c>
      <c r="AE1184" s="269"/>
      <c r="AF1184" s="84"/>
      <c r="AI1184" s="13"/>
      <c r="AJ1184" s="13"/>
    </row>
    <row r="1185" spans="1:36" x14ac:dyDescent="0.3">
      <c r="A1185" s="10">
        <f t="shared" si="243"/>
        <v>1076</v>
      </c>
      <c r="B1185" s="124" t="s">
        <v>1428</v>
      </c>
      <c r="C1185" s="273">
        <f t="shared" si="241"/>
        <v>125188.38</v>
      </c>
      <c r="D1185" s="273">
        <f t="shared" si="242"/>
        <v>0</v>
      </c>
      <c r="E1185" s="273"/>
      <c r="F1185" s="273"/>
      <c r="G1185" s="273"/>
      <c r="H1185" s="273"/>
      <c r="I1185" s="273"/>
      <c r="J1185" s="273"/>
      <c r="K1185" s="273"/>
      <c r="L1185" s="273"/>
      <c r="M1185" s="273"/>
      <c r="N1185" s="273"/>
      <c r="O1185" s="273"/>
      <c r="P1185" s="273"/>
      <c r="Q1185" s="273"/>
      <c r="R1185" s="273"/>
      <c r="S1185" s="273"/>
      <c r="T1185" s="273"/>
      <c r="U1185" s="273"/>
      <c r="V1185" s="273"/>
      <c r="W1185" s="273">
        <f t="shared" si="244"/>
        <v>125188.38</v>
      </c>
      <c r="Z1185" s="82"/>
      <c r="AA1185" s="82"/>
      <c r="AB1185" s="13"/>
      <c r="AC1185" s="271">
        <v>125188.38</v>
      </c>
      <c r="AE1185" s="269"/>
      <c r="AF1185" s="84"/>
      <c r="AI1185" s="13"/>
      <c r="AJ1185" s="13"/>
    </row>
    <row r="1186" spans="1:36" x14ac:dyDescent="0.3">
      <c r="A1186" s="10">
        <f t="shared" si="243"/>
        <v>1077</v>
      </c>
      <c r="B1186" s="124" t="s">
        <v>1429</v>
      </c>
      <c r="C1186" s="273">
        <f t="shared" si="241"/>
        <v>116727.46</v>
      </c>
      <c r="D1186" s="273">
        <f t="shared" si="242"/>
        <v>0</v>
      </c>
      <c r="E1186" s="273"/>
      <c r="F1186" s="273"/>
      <c r="G1186" s="273"/>
      <c r="H1186" s="273"/>
      <c r="I1186" s="273"/>
      <c r="J1186" s="273"/>
      <c r="K1186" s="273"/>
      <c r="L1186" s="273"/>
      <c r="M1186" s="273"/>
      <c r="N1186" s="273"/>
      <c r="O1186" s="273"/>
      <c r="P1186" s="273"/>
      <c r="Q1186" s="273"/>
      <c r="R1186" s="273"/>
      <c r="S1186" s="273"/>
      <c r="T1186" s="273"/>
      <c r="U1186" s="273"/>
      <c r="V1186" s="273"/>
      <c r="W1186" s="273">
        <f t="shared" si="244"/>
        <v>116727.46</v>
      </c>
      <c r="Z1186" s="82"/>
      <c r="AA1186" s="82"/>
      <c r="AB1186" s="13"/>
      <c r="AC1186" s="271">
        <v>116727.46</v>
      </c>
      <c r="AE1186" s="269"/>
      <c r="AF1186" s="84"/>
      <c r="AI1186" s="13"/>
      <c r="AJ1186" s="13"/>
    </row>
    <row r="1187" spans="1:36" x14ac:dyDescent="0.3">
      <c r="A1187" s="10">
        <f t="shared" si="243"/>
        <v>1078</v>
      </c>
      <c r="B1187" s="124" t="s">
        <v>1430</v>
      </c>
      <c r="C1187" s="273">
        <f t="shared" si="241"/>
        <v>98323.43</v>
      </c>
      <c r="D1187" s="273">
        <f t="shared" si="242"/>
        <v>0</v>
      </c>
      <c r="E1187" s="273"/>
      <c r="F1187" s="273"/>
      <c r="G1187" s="273"/>
      <c r="H1187" s="273"/>
      <c r="I1187" s="273"/>
      <c r="J1187" s="273"/>
      <c r="K1187" s="273"/>
      <c r="L1187" s="273"/>
      <c r="M1187" s="273"/>
      <c r="N1187" s="273"/>
      <c r="O1187" s="273"/>
      <c r="P1187" s="273"/>
      <c r="Q1187" s="273"/>
      <c r="R1187" s="273"/>
      <c r="S1187" s="273"/>
      <c r="T1187" s="273"/>
      <c r="U1187" s="273"/>
      <c r="V1187" s="273"/>
      <c r="W1187" s="273">
        <f t="shared" si="244"/>
        <v>98323.43</v>
      </c>
      <c r="Z1187" s="82"/>
      <c r="AA1187" s="82"/>
      <c r="AB1187" s="13"/>
      <c r="AC1187" s="271">
        <v>98323.43</v>
      </c>
      <c r="AE1187" s="269"/>
      <c r="AF1187" s="84"/>
      <c r="AI1187" s="13"/>
      <c r="AJ1187" s="13"/>
    </row>
    <row r="1188" spans="1:36" x14ac:dyDescent="0.3">
      <c r="A1188" s="10">
        <f t="shared" si="243"/>
        <v>1079</v>
      </c>
      <c r="B1188" s="124" t="s">
        <v>1431</v>
      </c>
      <c r="C1188" s="273">
        <f t="shared" si="241"/>
        <v>338604.23</v>
      </c>
      <c r="D1188" s="273">
        <f t="shared" si="242"/>
        <v>163891</v>
      </c>
      <c r="E1188" s="273"/>
      <c r="F1188" s="273">
        <f>5502*13</f>
        <v>71526</v>
      </c>
      <c r="G1188" s="273">
        <f>3910*13</f>
        <v>50830</v>
      </c>
      <c r="H1188" s="273"/>
      <c r="I1188" s="273">
        <f>3195*13</f>
        <v>41535</v>
      </c>
      <c r="J1188" s="273"/>
      <c r="K1188" s="273"/>
      <c r="L1188" s="273"/>
      <c r="M1188" s="273">
        <v>13</v>
      </c>
      <c r="N1188" s="273">
        <f>6243*M1188</f>
        <v>81159</v>
      </c>
      <c r="O1188" s="273"/>
      <c r="P1188" s="273"/>
      <c r="Q1188" s="273"/>
      <c r="R1188" s="273"/>
      <c r="S1188" s="273"/>
      <c r="T1188" s="273"/>
      <c r="U1188" s="273"/>
      <c r="V1188" s="273"/>
      <c r="W1188" s="273">
        <f t="shared" si="244"/>
        <v>93554.23</v>
      </c>
      <c r="Z1188" s="82"/>
      <c r="AA1188" s="82"/>
      <c r="AB1188" s="13"/>
      <c r="AC1188" s="271"/>
      <c r="AE1188" s="269"/>
      <c r="AF1188" s="84">
        <v>93554.23</v>
      </c>
      <c r="AI1188" s="13"/>
      <c r="AJ1188" s="13"/>
    </row>
    <row r="1189" spans="1:36" x14ac:dyDescent="0.3">
      <c r="A1189" s="10">
        <f t="shared" si="243"/>
        <v>1080</v>
      </c>
      <c r="B1189" s="124" t="s">
        <v>1432</v>
      </c>
      <c r="C1189" s="273">
        <f t="shared" si="241"/>
        <v>141237.5</v>
      </c>
      <c r="D1189" s="273">
        <f t="shared" si="242"/>
        <v>0</v>
      </c>
      <c r="E1189" s="273"/>
      <c r="F1189" s="273"/>
      <c r="G1189" s="273"/>
      <c r="H1189" s="273"/>
      <c r="I1189" s="273"/>
      <c r="J1189" s="273"/>
      <c r="K1189" s="273"/>
      <c r="L1189" s="273"/>
      <c r="M1189" s="273"/>
      <c r="N1189" s="273"/>
      <c r="O1189" s="273"/>
      <c r="P1189" s="273"/>
      <c r="Q1189" s="273"/>
      <c r="R1189" s="273"/>
      <c r="S1189" s="273"/>
      <c r="T1189" s="273"/>
      <c r="U1189" s="273"/>
      <c r="V1189" s="273"/>
      <c r="W1189" s="273">
        <f t="shared" si="244"/>
        <v>141237.5</v>
      </c>
      <c r="Z1189" s="82"/>
      <c r="AA1189" s="82"/>
      <c r="AB1189" s="13"/>
      <c r="AC1189" s="271">
        <v>141237.5</v>
      </c>
      <c r="AE1189" s="269"/>
      <c r="AF1189" s="84"/>
      <c r="AI1189" s="13"/>
      <c r="AJ1189" s="13"/>
    </row>
    <row r="1190" spans="1:36" x14ac:dyDescent="0.3">
      <c r="A1190" s="10">
        <f t="shared" si="243"/>
        <v>1081</v>
      </c>
      <c r="B1190" s="124" t="s">
        <v>1433</v>
      </c>
      <c r="C1190" s="273">
        <f t="shared" si="241"/>
        <v>130000</v>
      </c>
      <c r="D1190" s="273"/>
      <c r="E1190" s="273"/>
      <c r="F1190" s="273"/>
      <c r="G1190" s="273"/>
      <c r="H1190" s="273"/>
      <c r="I1190" s="273"/>
      <c r="J1190" s="273"/>
      <c r="K1190" s="273"/>
      <c r="L1190" s="273"/>
      <c r="M1190" s="273"/>
      <c r="N1190" s="273"/>
      <c r="O1190" s="273"/>
      <c r="P1190" s="273"/>
      <c r="Q1190" s="273"/>
      <c r="R1190" s="273"/>
      <c r="S1190" s="273"/>
      <c r="T1190" s="273"/>
      <c r="U1190" s="273"/>
      <c r="V1190" s="273"/>
      <c r="W1190" s="273">
        <f t="shared" si="244"/>
        <v>130000</v>
      </c>
      <c r="Z1190" s="82"/>
      <c r="AA1190" s="82"/>
      <c r="AB1190" s="13"/>
      <c r="AC1190" s="271">
        <v>130000</v>
      </c>
      <c r="AE1190" s="269"/>
      <c r="AF1190" s="84"/>
      <c r="AI1190" s="13"/>
      <c r="AJ1190" s="13"/>
    </row>
    <row r="1191" spans="1:36" x14ac:dyDescent="0.3">
      <c r="A1191" s="10">
        <f t="shared" si="243"/>
        <v>1082</v>
      </c>
      <c r="B1191" s="124" t="s">
        <v>1434</v>
      </c>
      <c r="C1191" s="273">
        <f t="shared" si="241"/>
        <v>319573.38</v>
      </c>
      <c r="D1191" s="273">
        <f>E1191+F1191+G1191+H1191+I1191</f>
        <v>0</v>
      </c>
      <c r="E1191" s="273"/>
      <c r="F1191" s="273"/>
      <c r="G1191" s="273"/>
      <c r="H1191" s="273"/>
      <c r="I1191" s="273"/>
      <c r="J1191" s="273"/>
      <c r="K1191" s="273"/>
      <c r="L1191" s="273"/>
      <c r="M1191" s="273"/>
      <c r="N1191" s="273"/>
      <c r="O1191" s="273"/>
      <c r="P1191" s="273"/>
      <c r="Q1191" s="273"/>
      <c r="R1191" s="273"/>
      <c r="S1191" s="273"/>
      <c r="T1191" s="273"/>
      <c r="U1191" s="273"/>
      <c r="V1191" s="273"/>
      <c r="W1191" s="273">
        <f t="shared" si="244"/>
        <v>319573.38</v>
      </c>
      <c r="Z1191" s="82"/>
      <c r="AA1191" s="82"/>
      <c r="AB1191" s="13"/>
      <c r="AC1191" s="271">
        <f>100858.51+119235.19+99479.68</f>
        <v>319573.38</v>
      </c>
      <c r="AE1191" s="269"/>
      <c r="AF1191" s="84"/>
      <c r="AI1191" s="13"/>
      <c r="AJ1191" s="13"/>
    </row>
    <row r="1192" spans="1:36" x14ac:dyDescent="0.3">
      <c r="A1192" s="10">
        <f t="shared" si="243"/>
        <v>1083</v>
      </c>
      <c r="B1192" s="124" t="s">
        <v>1435</v>
      </c>
      <c r="C1192" s="273">
        <f t="shared" si="241"/>
        <v>159405.6</v>
      </c>
      <c r="D1192" s="273">
        <f>E1192+F1192+G1192+H1192+I1192</f>
        <v>0</v>
      </c>
      <c r="E1192" s="273"/>
      <c r="F1192" s="273"/>
      <c r="G1192" s="273"/>
      <c r="H1192" s="273"/>
      <c r="I1192" s="273"/>
      <c r="J1192" s="273"/>
      <c r="K1192" s="273"/>
      <c r="L1192" s="273"/>
      <c r="M1192" s="273"/>
      <c r="N1192" s="273"/>
      <c r="O1192" s="273"/>
      <c r="P1192" s="273"/>
      <c r="Q1192" s="273"/>
      <c r="R1192" s="273"/>
      <c r="S1192" s="273"/>
      <c r="T1192" s="273"/>
      <c r="U1192" s="273"/>
      <c r="V1192" s="273"/>
      <c r="W1192" s="273">
        <f t="shared" si="244"/>
        <v>159405.6</v>
      </c>
      <c r="Z1192" s="82"/>
      <c r="AA1192" s="82"/>
      <c r="AB1192" s="13"/>
      <c r="AC1192" s="271"/>
      <c r="AE1192" s="269">
        <v>159405.6</v>
      </c>
      <c r="AF1192" s="84"/>
      <c r="AI1192" s="13"/>
      <c r="AJ1192" s="13"/>
    </row>
    <row r="1193" spans="1:36" x14ac:dyDescent="0.3">
      <c r="A1193" s="10">
        <f t="shared" si="243"/>
        <v>1084</v>
      </c>
      <c r="B1193" s="124" t="s">
        <v>1437</v>
      </c>
      <c r="C1193" s="273">
        <f t="shared" si="241"/>
        <v>130000</v>
      </c>
      <c r="D1193" s="273"/>
      <c r="E1193" s="273"/>
      <c r="F1193" s="273"/>
      <c r="G1193" s="273"/>
      <c r="H1193" s="273"/>
      <c r="I1193" s="273"/>
      <c r="J1193" s="273"/>
      <c r="K1193" s="273"/>
      <c r="L1193" s="273"/>
      <c r="M1193" s="273"/>
      <c r="N1193" s="273"/>
      <c r="O1193" s="273"/>
      <c r="P1193" s="273"/>
      <c r="Q1193" s="273"/>
      <c r="R1193" s="273"/>
      <c r="S1193" s="273"/>
      <c r="T1193" s="273"/>
      <c r="U1193" s="273"/>
      <c r="V1193" s="273"/>
      <c r="W1193" s="273">
        <f t="shared" si="244"/>
        <v>130000</v>
      </c>
      <c r="Z1193" s="82"/>
      <c r="AA1193" s="82"/>
      <c r="AB1193" s="13"/>
      <c r="AC1193" s="271">
        <v>130000</v>
      </c>
      <c r="AE1193" s="269"/>
      <c r="AF1193" s="84"/>
      <c r="AI1193" s="13"/>
      <c r="AJ1193" s="13"/>
    </row>
    <row r="1194" spans="1:36" x14ac:dyDescent="0.3">
      <c r="A1194" s="10">
        <f t="shared" si="243"/>
        <v>1085</v>
      </c>
      <c r="B1194" s="124" t="s">
        <v>1436</v>
      </c>
      <c r="C1194" s="273">
        <f t="shared" si="241"/>
        <v>651136.30000000005</v>
      </c>
      <c r="D1194" s="273">
        <f t="shared" ref="D1194:D1224" si="245">E1194+F1194+G1194+H1194+I1194</f>
        <v>0</v>
      </c>
      <c r="E1194" s="273"/>
      <c r="F1194" s="273"/>
      <c r="G1194" s="273"/>
      <c r="H1194" s="273"/>
      <c r="I1194" s="273"/>
      <c r="J1194" s="273"/>
      <c r="K1194" s="273"/>
      <c r="L1194" s="273"/>
      <c r="M1194" s="273"/>
      <c r="N1194" s="273"/>
      <c r="O1194" s="273"/>
      <c r="P1194" s="273"/>
      <c r="Q1194" s="273"/>
      <c r="R1194" s="273"/>
      <c r="S1194" s="273"/>
      <c r="T1194" s="273"/>
      <c r="U1194" s="273"/>
      <c r="V1194" s="273"/>
      <c r="W1194" s="273">
        <f t="shared" si="244"/>
        <v>651136.30000000005</v>
      </c>
      <c r="Z1194" s="82"/>
      <c r="AA1194" s="82"/>
      <c r="AB1194" s="13"/>
      <c r="AC1194" s="271"/>
      <c r="AE1194" s="269">
        <v>421146.77</v>
      </c>
      <c r="AF1194" s="84">
        <v>229989.53</v>
      </c>
      <c r="AI1194" s="13"/>
      <c r="AJ1194" s="13"/>
    </row>
    <row r="1195" spans="1:36" x14ac:dyDescent="0.3">
      <c r="A1195" s="10">
        <f t="shared" si="243"/>
        <v>1086</v>
      </c>
      <c r="B1195" s="124" t="s">
        <v>1438</v>
      </c>
      <c r="C1195" s="273">
        <f t="shared" si="241"/>
        <v>495561.4</v>
      </c>
      <c r="D1195" s="273">
        <f t="shared" si="245"/>
        <v>0</v>
      </c>
      <c r="E1195" s="273"/>
      <c r="F1195" s="273"/>
      <c r="G1195" s="273"/>
      <c r="H1195" s="273"/>
      <c r="I1195" s="273"/>
      <c r="J1195" s="273"/>
      <c r="K1195" s="273"/>
      <c r="L1195" s="273"/>
      <c r="M1195" s="273"/>
      <c r="N1195" s="273"/>
      <c r="O1195" s="273"/>
      <c r="P1195" s="273"/>
      <c r="Q1195" s="273"/>
      <c r="R1195" s="273"/>
      <c r="S1195" s="273"/>
      <c r="T1195" s="273"/>
      <c r="U1195" s="273"/>
      <c r="V1195" s="273"/>
      <c r="W1195" s="273">
        <f t="shared" si="244"/>
        <v>495561.4</v>
      </c>
      <c r="Z1195" s="82"/>
      <c r="AA1195" s="82"/>
      <c r="AB1195" s="13"/>
      <c r="AC1195" s="271">
        <v>261603.05</v>
      </c>
      <c r="AE1195" s="269"/>
      <c r="AF1195" s="84">
        <v>233958.35</v>
      </c>
      <c r="AI1195" s="13"/>
      <c r="AJ1195" s="13"/>
    </row>
    <row r="1196" spans="1:36" x14ac:dyDescent="0.3">
      <c r="A1196" s="10">
        <f t="shared" si="243"/>
        <v>1087</v>
      </c>
      <c r="B1196" s="124" t="s">
        <v>1439</v>
      </c>
      <c r="C1196" s="273">
        <f t="shared" si="241"/>
        <v>286138.57999999996</v>
      </c>
      <c r="D1196" s="273">
        <f t="shared" si="245"/>
        <v>0</v>
      </c>
      <c r="E1196" s="273"/>
      <c r="F1196" s="273"/>
      <c r="G1196" s="273"/>
      <c r="H1196" s="273"/>
      <c r="I1196" s="273"/>
      <c r="J1196" s="273"/>
      <c r="K1196" s="273"/>
      <c r="L1196" s="273"/>
      <c r="M1196" s="273"/>
      <c r="N1196" s="273"/>
      <c r="O1196" s="273"/>
      <c r="P1196" s="273"/>
      <c r="Q1196" s="273"/>
      <c r="R1196" s="273"/>
      <c r="S1196" s="273"/>
      <c r="T1196" s="273"/>
      <c r="U1196" s="273"/>
      <c r="V1196" s="273"/>
      <c r="W1196" s="273">
        <f t="shared" si="244"/>
        <v>286138.57999999996</v>
      </c>
      <c r="Z1196" s="82"/>
      <c r="AA1196" s="82"/>
      <c r="AB1196" s="13"/>
      <c r="AC1196" s="271">
        <f>144670.06+141468.52</f>
        <v>286138.57999999996</v>
      </c>
      <c r="AE1196" s="269"/>
      <c r="AF1196" s="84"/>
      <c r="AI1196" s="13"/>
      <c r="AJ1196" s="13"/>
    </row>
    <row r="1197" spans="1:36" x14ac:dyDescent="0.3">
      <c r="A1197" s="10">
        <f t="shared" si="243"/>
        <v>1088</v>
      </c>
      <c r="B1197" s="124" t="s">
        <v>1440</v>
      </c>
      <c r="C1197" s="273">
        <f t="shared" si="241"/>
        <v>449678.81999999995</v>
      </c>
      <c r="D1197" s="273">
        <f t="shared" si="245"/>
        <v>0</v>
      </c>
      <c r="E1197" s="273"/>
      <c r="F1197" s="273"/>
      <c r="G1197" s="273"/>
      <c r="H1197" s="273"/>
      <c r="I1197" s="273"/>
      <c r="J1197" s="273"/>
      <c r="K1197" s="273"/>
      <c r="L1197" s="273"/>
      <c r="M1197" s="273"/>
      <c r="N1197" s="273"/>
      <c r="O1197" s="273"/>
      <c r="P1197" s="273"/>
      <c r="Q1197" s="273"/>
      <c r="R1197" s="273"/>
      <c r="S1197" s="273"/>
      <c r="T1197" s="273"/>
      <c r="U1197" s="273"/>
      <c r="V1197" s="273"/>
      <c r="W1197" s="273">
        <f t="shared" si="244"/>
        <v>449678.81999999995</v>
      </c>
      <c r="Z1197" s="82"/>
      <c r="AA1197" s="82"/>
      <c r="AB1197" s="13"/>
      <c r="AC1197" s="271">
        <v>224577.74</v>
      </c>
      <c r="AE1197" s="269"/>
      <c r="AF1197" s="84">
        <v>225101.08</v>
      </c>
      <c r="AI1197" s="13"/>
      <c r="AJ1197" s="13"/>
    </row>
    <row r="1198" spans="1:36" x14ac:dyDescent="0.3">
      <c r="A1198" s="10">
        <f t="shared" si="243"/>
        <v>1089</v>
      </c>
      <c r="B1198" s="124" t="s">
        <v>1441</v>
      </c>
      <c r="C1198" s="273">
        <f t="shared" si="241"/>
        <v>130000</v>
      </c>
      <c r="D1198" s="273">
        <f t="shared" si="245"/>
        <v>0</v>
      </c>
      <c r="E1198" s="273"/>
      <c r="F1198" s="273"/>
      <c r="G1198" s="273"/>
      <c r="H1198" s="273"/>
      <c r="I1198" s="273"/>
      <c r="J1198" s="273"/>
      <c r="K1198" s="273"/>
      <c r="L1198" s="273"/>
      <c r="M1198" s="273"/>
      <c r="N1198" s="273"/>
      <c r="O1198" s="273"/>
      <c r="P1198" s="273"/>
      <c r="Q1198" s="273"/>
      <c r="R1198" s="273"/>
      <c r="S1198" s="273"/>
      <c r="T1198" s="273"/>
      <c r="U1198" s="273"/>
      <c r="V1198" s="273"/>
      <c r="W1198" s="273">
        <v>130000</v>
      </c>
      <c r="Z1198" s="13"/>
      <c r="AA1198" s="13"/>
      <c r="AB1198" s="13"/>
      <c r="AC1198" s="271">
        <v>130000</v>
      </c>
      <c r="AE1198" s="269"/>
      <c r="AF1198" s="7"/>
      <c r="AI1198" s="13"/>
      <c r="AJ1198" s="13"/>
    </row>
    <row r="1199" spans="1:36" x14ac:dyDescent="0.3">
      <c r="A1199" s="10">
        <f t="shared" si="243"/>
        <v>1090</v>
      </c>
      <c r="B1199" s="124" t="s">
        <v>1442</v>
      </c>
      <c r="C1199" s="273">
        <f t="shared" si="241"/>
        <v>170356.88</v>
      </c>
      <c r="D1199" s="273">
        <f t="shared" si="245"/>
        <v>0</v>
      </c>
      <c r="E1199" s="273"/>
      <c r="F1199" s="273"/>
      <c r="G1199" s="273"/>
      <c r="H1199" s="273"/>
      <c r="I1199" s="273"/>
      <c r="J1199" s="273"/>
      <c r="K1199" s="273"/>
      <c r="L1199" s="273"/>
      <c r="M1199" s="273"/>
      <c r="N1199" s="273"/>
      <c r="O1199" s="273"/>
      <c r="P1199" s="273"/>
      <c r="Q1199" s="273"/>
      <c r="R1199" s="273"/>
      <c r="S1199" s="273"/>
      <c r="T1199" s="273"/>
      <c r="U1199" s="273"/>
      <c r="V1199" s="273"/>
      <c r="W1199" s="273">
        <f>SUM(X1199:AH1199)</f>
        <v>170356.88</v>
      </c>
      <c r="Z1199" s="82"/>
      <c r="AA1199" s="82"/>
      <c r="AB1199" s="13"/>
      <c r="AC1199" s="271"/>
      <c r="AE1199" s="269"/>
      <c r="AF1199" s="84">
        <v>170356.88</v>
      </c>
      <c r="AI1199" s="13"/>
      <c r="AJ1199" s="13"/>
    </row>
    <row r="1200" spans="1:36" x14ac:dyDescent="0.3">
      <c r="A1200" s="10">
        <f t="shared" si="243"/>
        <v>1091</v>
      </c>
      <c r="B1200" s="124" t="s">
        <v>1443</v>
      </c>
      <c r="C1200" s="273">
        <f t="shared" si="241"/>
        <v>130000</v>
      </c>
      <c r="D1200" s="273">
        <f t="shared" si="245"/>
        <v>0</v>
      </c>
      <c r="E1200" s="273"/>
      <c r="F1200" s="273"/>
      <c r="G1200" s="273"/>
      <c r="H1200" s="273"/>
      <c r="I1200" s="273"/>
      <c r="J1200" s="273"/>
      <c r="K1200" s="273"/>
      <c r="L1200" s="273"/>
      <c r="M1200" s="273"/>
      <c r="N1200" s="273"/>
      <c r="O1200" s="273"/>
      <c r="P1200" s="273"/>
      <c r="Q1200" s="273"/>
      <c r="R1200" s="273"/>
      <c r="S1200" s="273"/>
      <c r="T1200" s="273"/>
      <c r="U1200" s="273"/>
      <c r="V1200" s="273"/>
      <c r="W1200" s="273">
        <v>130000</v>
      </c>
      <c r="Z1200" s="82"/>
      <c r="AA1200" s="82"/>
      <c r="AB1200" s="13"/>
      <c r="AC1200" s="271">
        <v>130000</v>
      </c>
      <c r="AE1200" s="269"/>
      <c r="AF1200" s="84"/>
      <c r="AI1200" s="13"/>
      <c r="AJ1200" s="13"/>
    </row>
    <row r="1201" spans="1:36" x14ac:dyDescent="0.3">
      <c r="A1201" s="10">
        <f t="shared" si="243"/>
        <v>1092</v>
      </c>
      <c r="B1201" s="124" t="s">
        <v>1444</v>
      </c>
      <c r="C1201" s="273">
        <f t="shared" si="241"/>
        <v>146413.46</v>
      </c>
      <c r="D1201" s="273">
        <f t="shared" si="245"/>
        <v>0</v>
      </c>
      <c r="E1201" s="273"/>
      <c r="F1201" s="273"/>
      <c r="G1201" s="273"/>
      <c r="H1201" s="273"/>
      <c r="I1201" s="273"/>
      <c r="J1201" s="273"/>
      <c r="K1201" s="273"/>
      <c r="L1201" s="273"/>
      <c r="M1201" s="273"/>
      <c r="N1201" s="273"/>
      <c r="O1201" s="273"/>
      <c r="P1201" s="273"/>
      <c r="Q1201" s="273"/>
      <c r="R1201" s="273"/>
      <c r="S1201" s="273"/>
      <c r="T1201" s="273"/>
      <c r="U1201" s="273"/>
      <c r="V1201" s="273"/>
      <c r="W1201" s="273">
        <f t="shared" ref="W1201:W1224" si="246">SUM(X1201:AH1201)</f>
        <v>146413.46</v>
      </c>
      <c r="Z1201" s="82"/>
      <c r="AA1201" s="82"/>
      <c r="AB1201" s="13"/>
      <c r="AC1201" s="271">
        <v>146413.46</v>
      </c>
      <c r="AE1201" s="269"/>
      <c r="AF1201" s="84"/>
      <c r="AI1201" s="13"/>
      <c r="AJ1201" s="13"/>
    </row>
    <row r="1202" spans="1:36" x14ac:dyDescent="0.3">
      <c r="A1202" s="10">
        <f t="shared" si="243"/>
        <v>1093</v>
      </c>
      <c r="B1202" s="124" t="s">
        <v>1445</v>
      </c>
      <c r="C1202" s="273">
        <f t="shared" si="241"/>
        <v>169057.18</v>
      </c>
      <c r="D1202" s="273">
        <f t="shared" si="245"/>
        <v>0</v>
      </c>
      <c r="E1202" s="273"/>
      <c r="F1202" s="273"/>
      <c r="G1202" s="273"/>
      <c r="H1202" s="273"/>
      <c r="I1202" s="273"/>
      <c r="J1202" s="273"/>
      <c r="K1202" s="273"/>
      <c r="L1202" s="273"/>
      <c r="M1202" s="273"/>
      <c r="N1202" s="273"/>
      <c r="O1202" s="273"/>
      <c r="P1202" s="273"/>
      <c r="Q1202" s="273"/>
      <c r="R1202" s="273"/>
      <c r="S1202" s="273"/>
      <c r="T1202" s="273"/>
      <c r="U1202" s="273"/>
      <c r="V1202" s="273"/>
      <c r="W1202" s="273">
        <f t="shared" si="246"/>
        <v>169057.18</v>
      </c>
      <c r="Z1202" s="82"/>
      <c r="AA1202" s="82"/>
      <c r="AB1202" s="13"/>
      <c r="AC1202" s="271"/>
      <c r="AE1202" s="269">
        <v>169057.18</v>
      </c>
      <c r="AF1202" s="84"/>
      <c r="AI1202" s="13"/>
      <c r="AJ1202" s="13"/>
    </row>
    <row r="1203" spans="1:36" x14ac:dyDescent="0.3">
      <c r="A1203" s="10">
        <f t="shared" si="243"/>
        <v>1094</v>
      </c>
      <c r="B1203" s="124" t="s">
        <v>1446</v>
      </c>
      <c r="C1203" s="273">
        <f t="shared" si="241"/>
        <v>229710.91</v>
      </c>
      <c r="D1203" s="273">
        <f t="shared" si="245"/>
        <v>0</v>
      </c>
      <c r="E1203" s="273"/>
      <c r="F1203" s="273"/>
      <c r="G1203" s="273"/>
      <c r="H1203" s="273"/>
      <c r="I1203" s="273"/>
      <c r="J1203" s="273"/>
      <c r="K1203" s="273"/>
      <c r="L1203" s="273"/>
      <c r="M1203" s="273"/>
      <c r="N1203" s="273"/>
      <c r="O1203" s="273"/>
      <c r="P1203" s="273"/>
      <c r="Q1203" s="273"/>
      <c r="R1203" s="273"/>
      <c r="S1203" s="273"/>
      <c r="T1203" s="273"/>
      <c r="U1203" s="273"/>
      <c r="V1203" s="273"/>
      <c r="W1203" s="273">
        <f t="shared" si="246"/>
        <v>229710.91</v>
      </c>
      <c r="Z1203" s="82"/>
      <c r="AA1203" s="82"/>
      <c r="AB1203" s="13"/>
      <c r="AC1203" s="271">
        <v>229710.91</v>
      </c>
      <c r="AE1203" s="269"/>
      <c r="AF1203" s="84"/>
      <c r="AI1203" s="13"/>
      <c r="AJ1203" s="13"/>
    </row>
    <row r="1204" spans="1:36" x14ac:dyDescent="0.3">
      <c r="A1204" s="10">
        <f t="shared" si="243"/>
        <v>1095</v>
      </c>
      <c r="B1204" s="124" t="s">
        <v>1447</v>
      </c>
      <c r="C1204" s="273">
        <f t="shared" si="241"/>
        <v>167201.92000000001</v>
      </c>
      <c r="D1204" s="273">
        <f t="shared" si="245"/>
        <v>0</v>
      </c>
      <c r="E1204" s="273"/>
      <c r="F1204" s="273"/>
      <c r="G1204" s="273"/>
      <c r="H1204" s="273"/>
      <c r="I1204" s="273"/>
      <c r="J1204" s="273"/>
      <c r="K1204" s="273"/>
      <c r="L1204" s="273"/>
      <c r="M1204" s="273"/>
      <c r="N1204" s="273"/>
      <c r="O1204" s="273"/>
      <c r="P1204" s="273"/>
      <c r="Q1204" s="273"/>
      <c r="R1204" s="273"/>
      <c r="S1204" s="273"/>
      <c r="T1204" s="273"/>
      <c r="U1204" s="273"/>
      <c r="V1204" s="273"/>
      <c r="W1204" s="273">
        <f t="shared" si="246"/>
        <v>167201.92000000001</v>
      </c>
      <c r="Z1204" s="82"/>
      <c r="AA1204" s="82"/>
      <c r="AB1204" s="13"/>
      <c r="AC1204" s="271">
        <v>167201.92000000001</v>
      </c>
      <c r="AE1204" s="269"/>
      <c r="AF1204" s="84"/>
      <c r="AI1204" s="13"/>
      <c r="AJ1204" s="13"/>
    </row>
    <row r="1205" spans="1:36" x14ac:dyDescent="0.3">
      <c r="A1205" s="10">
        <f t="shared" si="243"/>
        <v>1096</v>
      </c>
      <c r="B1205" s="124" t="s">
        <v>1448</v>
      </c>
      <c r="C1205" s="273">
        <f t="shared" si="241"/>
        <v>419206.43</v>
      </c>
      <c r="D1205" s="273">
        <f t="shared" si="245"/>
        <v>0</v>
      </c>
      <c r="E1205" s="273"/>
      <c r="F1205" s="273"/>
      <c r="G1205" s="273"/>
      <c r="H1205" s="273"/>
      <c r="I1205" s="273"/>
      <c r="J1205" s="273"/>
      <c r="K1205" s="273"/>
      <c r="L1205" s="273"/>
      <c r="M1205" s="273"/>
      <c r="N1205" s="273"/>
      <c r="O1205" s="273"/>
      <c r="P1205" s="273"/>
      <c r="Q1205" s="273"/>
      <c r="R1205" s="273"/>
      <c r="S1205" s="273"/>
      <c r="T1205" s="273"/>
      <c r="U1205" s="273"/>
      <c r="V1205" s="273"/>
      <c r="W1205" s="273">
        <f t="shared" si="246"/>
        <v>419206.43</v>
      </c>
      <c r="Z1205" s="82"/>
      <c r="AA1205" s="82"/>
      <c r="AB1205" s="13"/>
      <c r="AC1205" s="271"/>
      <c r="AE1205" s="269">
        <v>419206.43</v>
      </c>
      <c r="AF1205" s="84"/>
      <c r="AI1205" s="13"/>
      <c r="AJ1205" s="13"/>
    </row>
    <row r="1206" spans="1:36" x14ac:dyDescent="0.3">
      <c r="A1206" s="10">
        <f t="shared" si="243"/>
        <v>1097</v>
      </c>
      <c r="B1206" s="124" t="s">
        <v>1449</v>
      </c>
      <c r="C1206" s="273">
        <f t="shared" si="241"/>
        <v>134773.91</v>
      </c>
      <c r="D1206" s="273">
        <f t="shared" si="245"/>
        <v>0</v>
      </c>
      <c r="E1206" s="273"/>
      <c r="F1206" s="273"/>
      <c r="G1206" s="273"/>
      <c r="H1206" s="273"/>
      <c r="I1206" s="273"/>
      <c r="J1206" s="273"/>
      <c r="K1206" s="273"/>
      <c r="L1206" s="273"/>
      <c r="M1206" s="273"/>
      <c r="N1206" s="273"/>
      <c r="O1206" s="273"/>
      <c r="P1206" s="273"/>
      <c r="Q1206" s="273"/>
      <c r="R1206" s="273"/>
      <c r="S1206" s="273"/>
      <c r="T1206" s="273"/>
      <c r="U1206" s="273"/>
      <c r="V1206" s="273"/>
      <c r="W1206" s="273">
        <f t="shared" si="246"/>
        <v>134773.91</v>
      </c>
      <c r="Z1206" s="82"/>
      <c r="AA1206" s="82"/>
      <c r="AB1206" s="13"/>
      <c r="AC1206" s="271">
        <v>134773.91</v>
      </c>
      <c r="AE1206" s="269"/>
      <c r="AF1206" s="84"/>
      <c r="AI1206" s="13"/>
      <c r="AJ1206" s="13"/>
    </row>
    <row r="1207" spans="1:36" x14ac:dyDescent="0.3">
      <c r="A1207" s="10">
        <f t="shared" si="243"/>
        <v>1098</v>
      </c>
      <c r="B1207" s="124" t="s">
        <v>1450</v>
      </c>
      <c r="C1207" s="273">
        <f t="shared" si="241"/>
        <v>112954.43</v>
      </c>
      <c r="D1207" s="273">
        <f t="shared" si="245"/>
        <v>0</v>
      </c>
      <c r="E1207" s="273"/>
      <c r="F1207" s="273"/>
      <c r="G1207" s="273"/>
      <c r="H1207" s="273"/>
      <c r="I1207" s="273"/>
      <c r="J1207" s="273"/>
      <c r="K1207" s="273"/>
      <c r="L1207" s="273"/>
      <c r="M1207" s="273"/>
      <c r="N1207" s="273"/>
      <c r="O1207" s="273"/>
      <c r="P1207" s="273"/>
      <c r="Q1207" s="273"/>
      <c r="R1207" s="273"/>
      <c r="S1207" s="273"/>
      <c r="T1207" s="273"/>
      <c r="U1207" s="273"/>
      <c r="V1207" s="273"/>
      <c r="W1207" s="273">
        <f t="shared" si="246"/>
        <v>112954.43</v>
      </c>
      <c r="Z1207" s="82"/>
      <c r="AA1207" s="82"/>
      <c r="AB1207" s="13"/>
      <c r="AC1207" s="271">
        <v>112954.43</v>
      </c>
      <c r="AE1207" s="269"/>
      <c r="AF1207" s="84"/>
      <c r="AI1207" s="13"/>
      <c r="AJ1207" s="13"/>
    </row>
    <row r="1208" spans="1:36" x14ac:dyDescent="0.3">
      <c r="A1208" s="10">
        <f t="shared" si="243"/>
        <v>1099</v>
      </c>
      <c r="B1208" s="124" t="s">
        <v>1451</v>
      </c>
      <c r="C1208" s="273">
        <f t="shared" si="241"/>
        <v>255851.59</v>
      </c>
      <c r="D1208" s="273">
        <f t="shared" si="245"/>
        <v>0</v>
      </c>
      <c r="E1208" s="273"/>
      <c r="F1208" s="273"/>
      <c r="G1208" s="273"/>
      <c r="H1208" s="273"/>
      <c r="I1208" s="273"/>
      <c r="J1208" s="273"/>
      <c r="K1208" s="273"/>
      <c r="L1208" s="273"/>
      <c r="M1208" s="273"/>
      <c r="N1208" s="273"/>
      <c r="O1208" s="273"/>
      <c r="P1208" s="273"/>
      <c r="Q1208" s="273"/>
      <c r="R1208" s="273"/>
      <c r="S1208" s="273"/>
      <c r="T1208" s="273"/>
      <c r="U1208" s="273"/>
      <c r="V1208" s="273"/>
      <c r="W1208" s="273">
        <f t="shared" si="246"/>
        <v>255851.59</v>
      </c>
      <c r="Z1208" s="82"/>
      <c r="AA1208" s="82"/>
      <c r="AB1208" s="13"/>
      <c r="AC1208" s="271"/>
      <c r="AE1208" s="269"/>
      <c r="AF1208" s="84">
        <v>255851.59</v>
      </c>
      <c r="AI1208" s="13"/>
      <c r="AJ1208" s="13"/>
    </row>
    <row r="1209" spans="1:36" x14ac:dyDescent="0.3">
      <c r="A1209" s="10">
        <f t="shared" si="243"/>
        <v>1100</v>
      </c>
      <c r="B1209" s="124" t="s">
        <v>1452</v>
      </c>
      <c r="C1209" s="273">
        <f t="shared" si="241"/>
        <v>209821.21</v>
      </c>
      <c r="D1209" s="273">
        <f t="shared" si="245"/>
        <v>0</v>
      </c>
      <c r="E1209" s="273"/>
      <c r="F1209" s="273"/>
      <c r="G1209" s="273"/>
      <c r="H1209" s="273"/>
      <c r="I1209" s="273"/>
      <c r="J1209" s="273"/>
      <c r="K1209" s="273"/>
      <c r="L1209" s="273"/>
      <c r="M1209" s="273"/>
      <c r="N1209" s="273"/>
      <c r="O1209" s="273"/>
      <c r="P1209" s="273"/>
      <c r="Q1209" s="273"/>
      <c r="R1209" s="273"/>
      <c r="S1209" s="273"/>
      <c r="T1209" s="273"/>
      <c r="U1209" s="273"/>
      <c r="V1209" s="273"/>
      <c r="W1209" s="273">
        <f t="shared" si="246"/>
        <v>209821.21</v>
      </c>
      <c r="Z1209" s="82"/>
      <c r="AA1209" s="82"/>
      <c r="AB1209" s="13"/>
      <c r="AC1209" s="271">
        <v>209821.21</v>
      </c>
      <c r="AE1209" s="269"/>
      <c r="AF1209" s="84"/>
      <c r="AI1209" s="13"/>
      <c r="AJ1209" s="13"/>
    </row>
    <row r="1210" spans="1:36" x14ac:dyDescent="0.3">
      <c r="A1210" s="10">
        <f t="shared" si="243"/>
        <v>1101</v>
      </c>
      <c r="B1210" s="124" t="s">
        <v>1453</v>
      </c>
      <c r="C1210" s="273">
        <f t="shared" si="241"/>
        <v>211278.66</v>
      </c>
      <c r="D1210" s="273">
        <f t="shared" si="245"/>
        <v>0</v>
      </c>
      <c r="E1210" s="273"/>
      <c r="F1210" s="273"/>
      <c r="G1210" s="273"/>
      <c r="H1210" s="273"/>
      <c r="I1210" s="273"/>
      <c r="J1210" s="273"/>
      <c r="K1210" s="273"/>
      <c r="L1210" s="273"/>
      <c r="M1210" s="273"/>
      <c r="N1210" s="273"/>
      <c r="O1210" s="273"/>
      <c r="P1210" s="273"/>
      <c r="Q1210" s="273"/>
      <c r="R1210" s="273"/>
      <c r="S1210" s="273"/>
      <c r="T1210" s="273"/>
      <c r="U1210" s="273"/>
      <c r="V1210" s="273"/>
      <c r="W1210" s="273">
        <f t="shared" si="246"/>
        <v>211278.66</v>
      </c>
      <c r="Z1210" s="82"/>
      <c r="AA1210" s="82"/>
      <c r="AB1210" s="13"/>
      <c r="AC1210" s="271">
        <v>211278.66</v>
      </c>
      <c r="AE1210" s="269"/>
      <c r="AF1210" s="84"/>
      <c r="AI1210" s="13"/>
      <c r="AJ1210" s="13"/>
    </row>
    <row r="1211" spans="1:36" x14ac:dyDescent="0.3">
      <c r="A1211" s="10">
        <f t="shared" si="243"/>
        <v>1102</v>
      </c>
      <c r="B1211" s="124" t="s">
        <v>1454</v>
      </c>
      <c r="C1211" s="273">
        <f t="shared" si="241"/>
        <v>211910.9</v>
      </c>
      <c r="D1211" s="273">
        <f t="shared" si="245"/>
        <v>0</v>
      </c>
      <c r="E1211" s="273"/>
      <c r="F1211" s="273"/>
      <c r="G1211" s="273"/>
      <c r="H1211" s="273"/>
      <c r="I1211" s="273"/>
      <c r="J1211" s="273"/>
      <c r="K1211" s="273"/>
      <c r="L1211" s="273"/>
      <c r="M1211" s="273"/>
      <c r="N1211" s="273"/>
      <c r="O1211" s="273"/>
      <c r="P1211" s="273"/>
      <c r="Q1211" s="273"/>
      <c r="R1211" s="273"/>
      <c r="S1211" s="273"/>
      <c r="T1211" s="273"/>
      <c r="U1211" s="273"/>
      <c r="V1211" s="273"/>
      <c r="W1211" s="273">
        <f t="shared" si="246"/>
        <v>211910.9</v>
      </c>
      <c r="Z1211" s="82"/>
      <c r="AA1211" s="82"/>
      <c r="AB1211" s="13"/>
      <c r="AC1211" s="271">
        <v>211910.9</v>
      </c>
      <c r="AE1211" s="269"/>
      <c r="AF1211" s="84"/>
      <c r="AI1211" s="13"/>
      <c r="AJ1211" s="13"/>
    </row>
    <row r="1212" spans="1:36" x14ac:dyDescent="0.3">
      <c r="A1212" s="10">
        <f t="shared" si="243"/>
        <v>1103</v>
      </c>
      <c r="B1212" s="124" t="s">
        <v>1455</v>
      </c>
      <c r="C1212" s="273">
        <f t="shared" si="241"/>
        <v>156687.24</v>
      </c>
      <c r="D1212" s="273">
        <f t="shared" si="245"/>
        <v>0</v>
      </c>
      <c r="E1212" s="273"/>
      <c r="F1212" s="273"/>
      <c r="G1212" s="273"/>
      <c r="H1212" s="273"/>
      <c r="I1212" s="273"/>
      <c r="J1212" s="273"/>
      <c r="K1212" s="273"/>
      <c r="L1212" s="273"/>
      <c r="M1212" s="273"/>
      <c r="N1212" s="273"/>
      <c r="O1212" s="273"/>
      <c r="P1212" s="273"/>
      <c r="Q1212" s="273"/>
      <c r="R1212" s="273"/>
      <c r="S1212" s="273"/>
      <c r="T1212" s="273"/>
      <c r="U1212" s="273"/>
      <c r="V1212" s="273"/>
      <c r="W1212" s="273">
        <f t="shared" si="246"/>
        <v>156687.24</v>
      </c>
      <c r="Z1212" s="82"/>
      <c r="AA1212" s="82"/>
      <c r="AB1212" s="13"/>
      <c r="AC1212" s="271">
        <v>156687.24</v>
      </c>
      <c r="AE1212" s="269"/>
      <c r="AF1212" s="84"/>
      <c r="AI1212" s="13"/>
      <c r="AJ1212" s="13"/>
    </row>
    <row r="1213" spans="1:36" x14ac:dyDescent="0.3">
      <c r="A1213" s="10">
        <f t="shared" si="243"/>
        <v>1104</v>
      </c>
      <c r="B1213" s="124" t="s">
        <v>1456</v>
      </c>
      <c r="C1213" s="273">
        <f t="shared" si="241"/>
        <v>77913.42</v>
      </c>
      <c r="D1213" s="273">
        <f t="shared" si="245"/>
        <v>0</v>
      </c>
      <c r="E1213" s="273"/>
      <c r="F1213" s="273"/>
      <c r="G1213" s="273"/>
      <c r="H1213" s="273"/>
      <c r="I1213" s="273"/>
      <c r="J1213" s="273"/>
      <c r="K1213" s="273"/>
      <c r="L1213" s="273"/>
      <c r="M1213" s="273"/>
      <c r="N1213" s="273"/>
      <c r="O1213" s="273"/>
      <c r="P1213" s="273"/>
      <c r="Q1213" s="273"/>
      <c r="R1213" s="273"/>
      <c r="S1213" s="273"/>
      <c r="T1213" s="273"/>
      <c r="U1213" s="273"/>
      <c r="V1213" s="273"/>
      <c r="W1213" s="273">
        <f t="shared" si="246"/>
        <v>77913.42</v>
      </c>
      <c r="Z1213" s="82"/>
      <c r="AA1213" s="82"/>
      <c r="AB1213" s="13"/>
      <c r="AC1213" s="271">
        <v>77913.42</v>
      </c>
      <c r="AE1213" s="269"/>
      <c r="AF1213" s="84"/>
      <c r="AI1213" s="13"/>
      <c r="AJ1213" s="13"/>
    </row>
    <row r="1214" spans="1:36" x14ac:dyDescent="0.3">
      <c r="A1214" s="10">
        <f t="shared" si="243"/>
        <v>1105</v>
      </c>
      <c r="B1214" s="124" t="s">
        <v>1457</v>
      </c>
      <c r="C1214" s="273">
        <f t="shared" si="241"/>
        <v>164903.85999999999</v>
      </c>
      <c r="D1214" s="273">
        <f t="shared" si="245"/>
        <v>0</v>
      </c>
      <c r="E1214" s="273"/>
      <c r="F1214" s="273"/>
      <c r="G1214" s="273"/>
      <c r="H1214" s="273"/>
      <c r="I1214" s="273"/>
      <c r="J1214" s="273"/>
      <c r="K1214" s="273"/>
      <c r="L1214" s="273"/>
      <c r="M1214" s="273"/>
      <c r="N1214" s="273"/>
      <c r="O1214" s="273"/>
      <c r="P1214" s="273"/>
      <c r="Q1214" s="273"/>
      <c r="R1214" s="273"/>
      <c r="S1214" s="273"/>
      <c r="T1214" s="273"/>
      <c r="U1214" s="273"/>
      <c r="V1214" s="273"/>
      <c r="W1214" s="273">
        <f t="shared" si="246"/>
        <v>164903.85999999999</v>
      </c>
      <c r="Y1214" s="36">
        <v>164903.85999999999</v>
      </c>
      <c r="Z1214" s="82"/>
      <c r="AA1214" s="82"/>
      <c r="AB1214" s="13"/>
      <c r="AC1214" s="271"/>
      <c r="AE1214" s="269"/>
      <c r="AF1214" s="84"/>
      <c r="AI1214" s="13"/>
      <c r="AJ1214" s="13"/>
    </row>
    <row r="1215" spans="1:36" x14ac:dyDescent="0.3">
      <c r="A1215" s="10">
        <f t="shared" si="243"/>
        <v>1106</v>
      </c>
      <c r="B1215" s="124" t="s">
        <v>1458</v>
      </c>
      <c r="C1215" s="273">
        <f t="shared" si="241"/>
        <v>149378.76</v>
      </c>
      <c r="D1215" s="273">
        <f t="shared" si="245"/>
        <v>0</v>
      </c>
      <c r="E1215" s="273"/>
      <c r="F1215" s="273"/>
      <c r="G1215" s="273"/>
      <c r="H1215" s="273"/>
      <c r="I1215" s="273"/>
      <c r="J1215" s="273"/>
      <c r="K1215" s="273"/>
      <c r="L1215" s="273"/>
      <c r="M1215" s="273"/>
      <c r="N1215" s="273"/>
      <c r="O1215" s="273"/>
      <c r="P1215" s="273"/>
      <c r="Q1215" s="273"/>
      <c r="R1215" s="273"/>
      <c r="S1215" s="273"/>
      <c r="T1215" s="273"/>
      <c r="U1215" s="273"/>
      <c r="V1215" s="273"/>
      <c r="W1215" s="273">
        <f t="shared" si="246"/>
        <v>149378.76</v>
      </c>
      <c r="Y1215" s="36">
        <v>149378.76</v>
      </c>
      <c r="Z1215" s="82"/>
      <c r="AA1215" s="82"/>
      <c r="AB1215" s="13"/>
      <c r="AC1215" s="271"/>
      <c r="AE1215" s="269"/>
      <c r="AF1215" s="84"/>
      <c r="AI1215" s="13"/>
      <c r="AJ1215" s="13"/>
    </row>
    <row r="1216" spans="1:36" x14ac:dyDescent="0.3">
      <c r="A1216" s="10">
        <f t="shared" si="243"/>
        <v>1107</v>
      </c>
      <c r="B1216" s="124" t="s">
        <v>1459</v>
      </c>
      <c r="C1216" s="273">
        <f t="shared" si="241"/>
        <v>154609.62</v>
      </c>
      <c r="D1216" s="273">
        <f t="shared" si="245"/>
        <v>0</v>
      </c>
      <c r="E1216" s="273"/>
      <c r="F1216" s="273"/>
      <c r="G1216" s="273"/>
      <c r="H1216" s="273"/>
      <c r="I1216" s="273"/>
      <c r="J1216" s="273"/>
      <c r="K1216" s="273"/>
      <c r="L1216" s="273"/>
      <c r="M1216" s="273"/>
      <c r="N1216" s="273"/>
      <c r="O1216" s="273"/>
      <c r="P1216" s="273"/>
      <c r="Q1216" s="273"/>
      <c r="R1216" s="273"/>
      <c r="S1216" s="273"/>
      <c r="T1216" s="273"/>
      <c r="U1216" s="273"/>
      <c r="V1216" s="273"/>
      <c r="W1216" s="273">
        <f t="shared" si="246"/>
        <v>154609.62</v>
      </c>
      <c r="Y1216" s="36">
        <v>154609.62</v>
      </c>
      <c r="Z1216" s="82"/>
      <c r="AA1216" s="82"/>
      <c r="AB1216" s="13"/>
      <c r="AC1216" s="271"/>
      <c r="AE1216" s="269"/>
      <c r="AF1216" s="84"/>
      <c r="AI1216" s="13"/>
      <c r="AJ1216" s="13"/>
    </row>
    <row r="1217" spans="1:36" x14ac:dyDescent="0.3">
      <c r="A1217" s="10">
        <f t="shared" si="243"/>
        <v>1108</v>
      </c>
      <c r="B1217" s="124" t="s">
        <v>1460</v>
      </c>
      <c r="C1217" s="273">
        <f t="shared" si="241"/>
        <v>153616.19</v>
      </c>
      <c r="D1217" s="273">
        <f t="shared" si="245"/>
        <v>0</v>
      </c>
      <c r="E1217" s="273"/>
      <c r="F1217" s="273"/>
      <c r="G1217" s="273"/>
      <c r="H1217" s="273"/>
      <c r="I1217" s="273"/>
      <c r="J1217" s="273"/>
      <c r="K1217" s="273"/>
      <c r="L1217" s="273"/>
      <c r="M1217" s="273"/>
      <c r="N1217" s="273"/>
      <c r="O1217" s="273"/>
      <c r="P1217" s="273"/>
      <c r="Q1217" s="273"/>
      <c r="R1217" s="273"/>
      <c r="S1217" s="273"/>
      <c r="T1217" s="273"/>
      <c r="U1217" s="273"/>
      <c r="V1217" s="273"/>
      <c r="W1217" s="273">
        <f t="shared" si="246"/>
        <v>153616.19</v>
      </c>
      <c r="Z1217" s="82"/>
      <c r="AA1217" s="82"/>
      <c r="AB1217" s="13"/>
      <c r="AC1217" s="271"/>
      <c r="AE1217" s="269">
        <v>153616.19</v>
      </c>
      <c r="AF1217" s="84"/>
      <c r="AI1217" s="13"/>
      <c r="AJ1217" s="13"/>
    </row>
    <row r="1218" spans="1:36" x14ac:dyDescent="0.3">
      <c r="A1218" s="10">
        <f t="shared" si="243"/>
        <v>1109</v>
      </c>
      <c r="B1218" s="124" t="s">
        <v>1461</v>
      </c>
      <c r="C1218" s="273">
        <f t="shared" si="241"/>
        <v>2428933.2000000002</v>
      </c>
      <c r="D1218" s="273">
        <f t="shared" si="245"/>
        <v>0</v>
      </c>
      <c r="E1218" s="273"/>
      <c r="F1218" s="273"/>
      <c r="G1218" s="273"/>
      <c r="H1218" s="273"/>
      <c r="I1218" s="273"/>
      <c r="J1218" s="273"/>
      <c r="K1218" s="273"/>
      <c r="L1218" s="273"/>
      <c r="M1218" s="273">
        <v>755</v>
      </c>
      <c r="N1218" s="273">
        <v>2428933.2000000002</v>
      </c>
      <c r="O1218" s="273"/>
      <c r="P1218" s="273"/>
      <c r="Q1218" s="273"/>
      <c r="R1218" s="273"/>
      <c r="S1218" s="273"/>
      <c r="T1218" s="273"/>
      <c r="U1218" s="273"/>
      <c r="V1218" s="273"/>
      <c r="W1218" s="273">
        <f t="shared" si="246"/>
        <v>0</v>
      </c>
      <c r="Z1218" s="82"/>
      <c r="AA1218" s="82"/>
      <c r="AB1218" s="13"/>
      <c r="AC1218" s="271"/>
      <c r="AE1218" s="269"/>
      <c r="AF1218" s="84"/>
      <c r="AI1218" s="13"/>
      <c r="AJ1218" s="13"/>
    </row>
    <row r="1219" spans="1:36" x14ac:dyDescent="0.3">
      <c r="A1219" s="10">
        <f t="shared" si="243"/>
        <v>1110</v>
      </c>
      <c r="B1219" s="124" t="s">
        <v>1462</v>
      </c>
      <c r="C1219" s="273">
        <f t="shared" si="241"/>
        <v>248902.75</v>
      </c>
      <c r="D1219" s="273">
        <f t="shared" si="245"/>
        <v>0</v>
      </c>
      <c r="E1219" s="273"/>
      <c r="F1219" s="273"/>
      <c r="G1219" s="273"/>
      <c r="H1219" s="273"/>
      <c r="I1219" s="273"/>
      <c r="J1219" s="273"/>
      <c r="K1219" s="273"/>
      <c r="L1219" s="273"/>
      <c r="M1219" s="273"/>
      <c r="N1219" s="273"/>
      <c r="O1219" s="273"/>
      <c r="P1219" s="273"/>
      <c r="Q1219" s="273"/>
      <c r="R1219" s="273"/>
      <c r="S1219" s="273"/>
      <c r="T1219" s="273"/>
      <c r="U1219" s="273"/>
      <c r="V1219" s="273"/>
      <c r="W1219" s="273">
        <f t="shared" si="246"/>
        <v>248902.75</v>
      </c>
      <c r="Z1219" s="82"/>
      <c r="AA1219" s="82"/>
      <c r="AB1219" s="13"/>
      <c r="AC1219" s="271"/>
      <c r="AE1219" s="269"/>
      <c r="AF1219" s="84">
        <v>248902.75</v>
      </c>
      <c r="AI1219" s="13"/>
      <c r="AJ1219" s="13"/>
    </row>
    <row r="1220" spans="1:36" x14ac:dyDescent="0.3">
      <c r="A1220" s="10">
        <f t="shared" si="243"/>
        <v>1111</v>
      </c>
      <c r="B1220" s="124" t="s">
        <v>1463</v>
      </c>
      <c r="C1220" s="273">
        <f t="shared" si="241"/>
        <v>162322.28</v>
      </c>
      <c r="D1220" s="273">
        <f t="shared" si="245"/>
        <v>0</v>
      </c>
      <c r="E1220" s="273"/>
      <c r="F1220" s="273"/>
      <c r="G1220" s="273"/>
      <c r="H1220" s="273"/>
      <c r="I1220" s="273"/>
      <c r="J1220" s="273"/>
      <c r="K1220" s="273"/>
      <c r="L1220" s="273"/>
      <c r="M1220" s="273"/>
      <c r="N1220" s="273"/>
      <c r="O1220" s="273"/>
      <c r="P1220" s="273"/>
      <c r="Q1220" s="273"/>
      <c r="R1220" s="273"/>
      <c r="S1220" s="273"/>
      <c r="T1220" s="273"/>
      <c r="U1220" s="273"/>
      <c r="V1220" s="273"/>
      <c r="W1220" s="273">
        <f t="shared" si="246"/>
        <v>162322.28</v>
      </c>
      <c r="Y1220" s="36">
        <v>162322.28</v>
      </c>
      <c r="Z1220" s="82"/>
      <c r="AA1220" s="82"/>
      <c r="AB1220" s="13"/>
      <c r="AC1220" s="271"/>
      <c r="AE1220" s="269"/>
      <c r="AF1220" s="84"/>
      <c r="AI1220" s="13"/>
      <c r="AJ1220" s="13"/>
    </row>
    <row r="1221" spans="1:36" x14ac:dyDescent="0.3">
      <c r="A1221" s="10">
        <f t="shared" si="243"/>
        <v>1112</v>
      </c>
      <c r="B1221" s="124" t="s">
        <v>1464</v>
      </c>
      <c r="C1221" s="273">
        <f t="shared" si="241"/>
        <v>302837.84000000003</v>
      </c>
      <c r="D1221" s="273">
        <f t="shared" si="245"/>
        <v>0</v>
      </c>
      <c r="E1221" s="273"/>
      <c r="F1221" s="273"/>
      <c r="G1221" s="273"/>
      <c r="H1221" s="273"/>
      <c r="I1221" s="273"/>
      <c r="J1221" s="273"/>
      <c r="K1221" s="273"/>
      <c r="L1221" s="273"/>
      <c r="M1221" s="273"/>
      <c r="N1221" s="273"/>
      <c r="O1221" s="273"/>
      <c r="P1221" s="273"/>
      <c r="Q1221" s="273"/>
      <c r="R1221" s="273"/>
      <c r="S1221" s="273"/>
      <c r="T1221" s="273"/>
      <c r="U1221" s="273"/>
      <c r="V1221" s="273"/>
      <c r="W1221" s="273">
        <f t="shared" si="246"/>
        <v>302837.84000000003</v>
      </c>
      <c r="Z1221" s="82"/>
      <c r="AA1221" s="82"/>
      <c r="AB1221" s="13"/>
      <c r="AC1221" s="271"/>
      <c r="AE1221" s="269">
        <v>302837.84000000003</v>
      </c>
      <c r="AF1221" s="84"/>
      <c r="AI1221" s="13"/>
      <c r="AJ1221" s="13"/>
    </row>
    <row r="1222" spans="1:36" x14ac:dyDescent="0.3">
      <c r="A1222" s="10">
        <f t="shared" si="243"/>
        <v>1113</v>
      </c>
      <c r="B1222" s="124" t="s">
        <v>1465</v>
      </c>
      <c r="C1222" s="273">
        <f t="shared" si="241"/>
        <v>153766.74</v>
      </c>
      <c r="D1222" s="273">
        <f t="shared" si="245"/>
        <v>0</v>
      </c>
      <c r="E1222" s="273"/>
      <c r="F1222" s="273"/>
      <c r="G1222" s="273"/>
      <c r="H1222" s="273"/>
      <c r="I1222" s="273"/>
      <c r="J1222" s="273"/>
      <c r="K1222" s="273"/>
      <c r="L1222" s="273"/>
      <c r="M1222" s="273"/>
      <c r="N1222" s="273"/>
      <c r="O1222" s="273"/>
      <c r="P1222" s="273"/>
      <c r="Q1222" s="273"/>
      <c r="R1222" s="273"/>
      <c r="S1222" s="273"/>
      <c r="T1222" s="273"/>
      <c r="U1222" s="273"/>
      <c r="V1222" s="273"/>
      <c r="W1222" s="273">
        <f t="shared" si="246"/>
        <v>153766.74</v>
      </c>
      <c r="Y1222" s="36">
        <v>153766.74</v>
      </c>
      <c r="Z1222" s="82"/>
      <c r="AA1222" s="82"/>
      <c r="AB1222" s="13"/>
      <c r="AC1222" s="271"/>
      <c r="AE1222" s="269"/>
      <c r="AF1222" s="84"/>
      <c r="AI1222" s="13"/>
      <c r="AJ1222" s="13"/>
    </row>
    <row r="1223" spans="1:36" x14ac:dyDescent="0.3">
      <c r="A1223" s="10">
        <f t="shared" si="243"/>
        <v>1114</v>
      </c>
      <c r="B1223" s="124" t="s">
        <v>1466</v>
      </c>
      <c r="C1223" s="273">
        <f t="shared" si="241"/>
        <v>136736.35</v>
      </c>
      <c r="D1223" s="273">
        <f t="shared" si="245"/>
        <v>0</v>
      </c>
      <c r="E1223" s="273"/>
      <c r="F1223" s="273"/>
      <c r="G1223" s="273"/>
      <c r="H1223" s="273"/>
      <c r="I1223" s="273"/>
      <c r="J1223" s="273"/>
      <c r="K1223" s="273"/>
      <c r="L1223" s="273"/>
      <c r="M1223" s="273"/>
      <c r="N1223" s="273"/>
      <c r="O1223" s="273"/>
      <c r="P1223" s="273"/>
      <c r="Q1223" s="273"/>
      <c r="R1223" s="273"/>
      <c r="S1223" s="273"/>
      <c r="T1223" s="273"/>
      <c r="U1223" s="273"/>
      <c r="V1223" s="273"/>
      <c r="W1223" s="273">
        <f t="shared" si="246"/>
        <v>136736.35</v>
      </c>
      <c r="Z1223" s="82"/>
      <c r="AA1223" s="82"/>
      <c r="AB1223" s="13"/>
      <c r="AC1223" s="271">
        <v>136736.35</v>
      </c>
      <c r="AE1223" s="269"/>
      <c r="AF1223" s="84"/>
      <c r="AI1223" s="13"/>
      <c r="AJ1223" s="13"/>
    </row>
    <row r="1224" spans="1:36" x14ac:dyDescent="0.3">
      <c r="A1224" s="10">
        <f t="shared" si="243"/>
        <v>1115</v>
      </c>
      <c r="B1224" s="124" t="s">
        <v>1467</v>
      </c>
      <c r="C1224" s="273">
        <f t="shared" si="241"/>
        <v>278662.74</v>
      </c>
      <c r="D1224" s="273">
        <f t="shared" si="245"/>
        <v>0</v>
      </c>
      <c r="E1224" s="273"/>
      <c r="F1224" s="273"/>
      <c r="G1224" s="273"/>
      <c r="H1224" s="273"/>
      <c r="I1224" s="273"/>
      <c r="J1224" s="273"/>
      <c r="K1224" s="273"/>
      <c r="L1224" s="273"/>
      <c r="M1224" s="273"/>
      <c r="N1224" s="273"/>
      <c r="O1224" s="273"/>
      <c r="P1224" s="273"/>
      <c r="Q1224" s="273"/>
      <c r="R1224" s="273"/>
      <c r="S1224" s="273"/>
      <c r="T1224" s="273"/>
      <c r="U1224" s="273"/>
      <c r="V1224" s="273"/>
      <c r="W1224" s="273">
        <f t="shared" si="246"/>
        <v>278662.74</v>
      </c>
      <c r="Z1224" s="82"/>
      <c r="AA1224" s="82"/>
      <c r="AB1224" s="13"/>
      <c r="AC1224" s="271">
        <v>278662.74</v>
      </c>
      <c r="AE1224" s="269"/>
      <c r="AF1224" s="84"/>
      <c r="AI1224" s="13"/>
      <c r="AJ1224" s="13"/>
    </row>
    <row r="1225" spans="1:36" x14ac:dyDescent="0.3">
      <c r="A1225" s="10">
        <f t="shared" si="243"/>
        <v>1116</v>
      </c>
      <c r="B1225" s="124" t="s">
        <v>1468</v>
      </c>
      <c r="C1225" s="273">
        <f t="shared" si="241"/>
        <v>130000</v>
      </c>
      <c r="D1225" s="273"/>
      <c r="E1225" s="273"/>
      <c r="F1225" s="273"/>
      <c r="G1225" s="273"/>
      <c r="H1225" s="273"/>
      <c r="I1225" s="273"/>
      <c r="J1225" s="273"/>
      <c r="K1225" s="273"/>
      <c r="L1225" s="273"/>
      <c r="M1225" s="273"/>
      <c r="N1225" s="273"/>
      <c r="O1225" s="273"/>
      <c r="P1225" s="273"/>
      <c r="Q1225" s="273"/>
      <c r="R1225" s="273"/>
      <c r="S1225" s="273"/>
      <c r="T1225" s="273"/>
      <c r="U1225" s="273"/>
      <c r="V1225" s="273"/>
      <c r="W1225" s="273">
        <v>130000</v>
      </c>
      <c r="Z1225" s="82"/>
      <c r="AA1225" s="82"/>
      <c r="AB1225" s="13"/>
      <c r="AC1225" s="271">
        <v>130000</v>
      </c>
      <c r="AE1225" s="269"/>
      <c r="AF1225" s="84"/>
      <c r="AI1225" s="13"/>
      <c r="AJ1225" s="13"/>
    </row>
    <row r="1226" spans="1:36" x14ac:dyDescent="0.3">
      <c r="A1226" s="10">
        <f t="shared" si="243"/>
        <v>1117</v>
      </c>
      <c r="B1226" s="124" t="s">
        <v>1469</v>
      </c>
      <c r="C1226" s="273">
        <f t="shared" si="241"/>
        <v>330156.19</v>
      </c>
      <c r="D1226" s="273">
        <f t="shared" ref="D1226:D1247" si="247">E1226+F1226+G1226+H1226+I1226</f>
        <v>0</v>
      </c>
      <c r="E1226" s="273"/>
      <c r="F1226" s="273"/>
      <c r="G1226" s="273"/>
      <c r="H1226" s="273"/>
      <c r="I1226" s="273"/>
      <c r="J1226" s="273"/>
      <c r="K1226" s="273"/>
      <c r="L1226" s="273"/>
      <c r="M1226" s="273"/>
      <c r="N1226" s="273"/>
      <c r="O1226" s="273"/>
      <c r="P1226" s="273"/>
      <c r="Q1226" s="273"/>
      <c r="R1226" s="273"/>
      <c r="S1226" s="273"/>
      <c r="T1226" s="273"/>
      <c r="U1226" s="273"/>
      <c r="V1226" s="273"/>
      <c r="W1226" s="273">
        <f t="shared" ref="W1226:W1245" si="248">SUM(X1226:AH1226)</f>
        <v>330156.19</v>
      </c>
      <c r="Z1226" s="82"/>
      <c r="AA1226" s="82"/>
      <c r="AB1226" s="13"/>
      <c r="AC1226" s="271">
        <v>330156.19</v>
      </c>
      <c r="AE1226" s="269"/>
      <c r="AF1226" s="84"/>
      <c r="AI1226" s="13"/>
      <c r="AJ1226" s="13"/>
    </row>
    <row r="1227" spans="1:36" x14ac:dyDescent="0.3">
      <c r="A1227" s="10">
        <f t="shared" si="243"/>
        <v>1118</v>
      </c>
      <c r="B1227" s="124" t="s">
        <v>1470</v>
      </c>
      <c r="C1227" s="273">
        <f t="shared" si="241"/>
        <v>344484.05</v>
      </c>
      <c r="D1227" s="273">
        <f t="shared" si="247"/>
        <v>0</v>
      </c>
      <c r="E1227" s="273"/>
      <c r="F1227" s="273"/>
      <c r="G1227" s="273"/>
      <c r="H1227" s="273"/>
      <c r="I1227" s="273"/>
      <c r="J1227" s="273"/>
      <c r="K1227" s="273"/>
      <c r="L1227" s="273"/>
      <c r="M1227" s="273"/>
      <c r="N1227" s="273"/>
      <c r="O1227" s="273"/>
      <c r="P1227" s="273"/>
      <c r="Q1227" s="273"/>
      <c r="R1227" s="273"/>
      <c r="S1227" s="273"/>
      <c r="T1227" s="273"/>
      <c r="U1227" s="273"/>
      <c r="V1227" s="273"/>
      <c r="W1227" s="273">
        <f t="shared" si="248"/>
        <v>344484.05</v>
      </c>
      <c r="Z1227" s="82"/>
      <c r="AA1227" s="82"/>
      <c r="AB1227" s="13"/>
      <c r="AC1227" s="271">
        <v>344484.05</v>
      </c>
      <c r="AE1227" s="269"/>
      <c r="AF1227" s="84"/>
      <c r="AI1227" s="13"/>
      <c r="AJ1227" s="13"/>
    </row>
    <row r="1228" spans="1:36" x14ac:dyDescent="0.3">
      <c r="A1228" s="10">
        <f t="shared" si="243"/>
        <v>1119</v>
      </c>
      <c r="B1228" s="124" t="s">
        <v>1471</v>
      </c>
      <c r="C1228" s="273">
        <f t="shared" si="241"/>
        <v>438485.8</v>
      </c>
      <c r="D1228" s="273">
        <f t="shared" si="247"/>
        <v>0</v>
      </c>
      <c r="E1228" s="273"/>
      <c r="F1228" s="273"/>
      <c r="G1228" s="273"/>
      <c r="H1228" s="273"/>
      <c r="I1228" s="273"/>
      <c r="J1228" s="273"/>
      <c r="K1228" s="273"/>
      <c r="L1228" s="273"/>
      <c r="M1228" s="273"/>
      <c r="N1228" s="273"/>
      <c r="O1228" s="273"/>
      <c r="P1228" s="273"/>
      <c r="Q1228" s="273"/>
      <c r="R1228" s="273"/>
      <c r="S1228" s="273"/>
      <c r="T1228" s="273"/>
      <c r="U1228" s="273"/>
      <c r="V1228" s="273"/>
      <c r="W1228" s="273">
        <f t="shared" si="248"/>
        <v>438485.8</v>
      </c>
      <c r="Z1228" s="82"/>
      <c r="AA1228" s="82"/>
      <c r="AB1228" s="13"/>
      <c r="AC1228" s="271"/>
      <c r="AE1228" s="269">
        <v>438485.8</v>
      </c>
      <c r="AF1228" s="84"/>
      <c r="AI1228" s="13"/>
      <c r="AJ1228" s="13"/>
    </row>
    <row r="1229" spans="1:36" x14ac:dyDescent="0.3">
      <c r="A1229" s="10">
        <f t="shared" si="243"/>
        <v>1120</v>
      </c>
      <c r="B1229" s="124" t="s">
        <v>1472</v>
      </c>
      <c r="C1229" s="273">
        <f t="shared" si="241"/>
        <v>222868.61</v>
      </c>
      <c r="D1229" s="273">
        <f t="shared" si="247"/>
        <v>0</v>
      </c>
      <c r="E1229" s="273"/>
      <c r="F1229" s="273"/>
      <c r="G1229" s="273"/>
      <c r="H1229" s="273"/>
      <c r="I1229" s="273"/>
      <c r="J1229" s="273"/>
      <c r="K1229" s="273"/>
      <c r="L1229" s="273"/>
      <c r="M1229" s="273"/>
      <c r="N1229" s="273"/>
      <c r="O1229" s="273"/>
      <c r="P1229" s="273"/>
      <c r="Q1229" s="273"/>
      <c r="R1229" s="273"/>
      <c r="S1229" s="273"/>
      <c r="T1229" s="273"/>
      <c r="U1229" s="273"/>
      <c r="V1229" s="273"/>
      <c r="W1229" s="273">
        <f t="shared" si="248"/>
        <v>222868.61</v>
      </c>
      <c r="Z1229" s="82"/>
      <c r="AA1229" s="82"/>
      <c r="AB1229" s="13"/>
      <c r="AC1229" s="271">
        <v>222868.61</v>
      </c>
      <c r="AE1229" s="269"/>
      <c r="AF1229" s="84"/>
      <c r="AI1229" s="13"/>
      <c r="AJ1229" s="13"/>
    </row>
    <row r="1230" spans="1:36" x14ac:dyDescent="0.3">
      <c r="A1230" s="10">
        <f t="shared" si="243"/>
        <v>1121</v>
      </c>
      <c r="B1230" s="124" t="s">
        <v>1473</v>
      </c>
      <c r="C1230" s="273">
        <f t="shared" si="241"/>
        <v>154998.22</v>
      </c>
      <c r="D1230" s="273">
        <f t="shared" si="247"/>
        <v>0</v>
      </c>
      <c r="E1230" s="273"/>
      <c r="F1230" s="273"/>
      <c r="G1230" s="273"/>
      <c r="H1230" s="273"/>
      <c r="I1230" s="273"/>
      <c r="J1230" s="273"/>
      <c r="K1230" s="273"/>
      <c r="L1230" s="273"/>
      <c r="M1230" s="273"/>
      <c r="N1230" s="273"/>
      <c r="O1230" s="273"/>
      <c r="P1230" s="273"/>
      <c r="Q1230" s="273"/>
      <c r="R1230" s="273"/>
      <c r="S1230" s="273"/>
      <c r="T1230" s="273"/>
      <c r="U1230" s="273"/>
      <c r="V1230" s="273"/>
      <c r="W1230" s="273">
        <f t="shared" si="248"/>
        <v>154998.22</v>
      </c>
      <c r="Z1230" s="82"/>
      <c r="AA1230" s="82"/>
      <c r="AB1230" s="13"/>
      <c r="AC1230" s="271">
        <v>154998.22</v>
      </c>
      <c r="AE1230" s="269"/>
      <c r="AF1230" s="84"/>
      <c r="AI1230" s="13"/>
      <c r="AJ1230" s="13"/>
    </row>
    <row r="1231" spans="1:36" x14ac:dyDescent="0.3">
      <c r="A1231" s="10">
        <f t="shared" si="243"/>
        <v>1122</v>
      </c>
      <c r="B1231" s="124" t="s">
        <v>1474</v>
      </c>
      <c r="C1231" s="273">
        <f t="shared" si="241"/>
        <v>214306.86</v>
      </c>
      <c r="D1231" s="273">
        <f t="shared" si="247"/>
        <v>0</v>
      </c>
      <c r="E1231" s="273"/>
      <c r="F1231" s="273"/>
      <c r="G1231" s="273"/>
      <c r="H1231" s="273"/>
      <c r="I1231" s="273"/>
      <c r="J1231" s="273"/>
      <c r="K1231" s="273"/>
      <c r="L1231" s="273"/>
      <c r="M1231" s="273"/>
      <c r="N1231" s="273"/>
      <c r="O1231" s="273"/>
      <c r="P1231" s="273"/>
      <c r="Q1231" s="273"/>
      <c r="R1231" s="273"/>
      <c r="S1231" s="273"/>
      <c r="T1231" s="273"/>
      <c r="U1231" s="273"/>
      <c r="V1231" s="273"/>
      <c r="W1231" s="273">
        <f t="shared" si="248"/>
        <v>214306.86</v>
      </c>
      <c r="Z1231" s="82"/>
      <c r="AA1231" s="82"/>
      <c r="AB1231" s="13"/>
      <c r="AC1231" s="271"/>
      <c r="AE1231" s="269">
        <v>214306.86</v>
      </c>
      <c r="AF1231" s="84"/>
      <c r="AI1231" s="13"/>
      <c r="AJ1231" s="13"/>
    </row>
    <row r="1232" spans="1:36" x14ac:dyDescent="0.3">
      <c r="A1232" s="10">
        <f t="shared" si="243"/>
        <v>1123</v>
      </c>
      <c r="B1232" s="124" t="s">
        <v>1475</v>
      </c>
      <c r="C1232" s="273">
        <f t="shared" si="241"/>
        <v>335033.65999999997</v>
      </c>
      <c r="D1232" s="273">
        <f t="shared" si="247"/>
        <v>0</v>
      </c>
      <c r="E1232" s="273"/>
      <c r="F1232" s="273"/>
      <c r="G1232" s="273"/>
      <c r="H1232" s="273"/>
      <c r="I1232" s="273"/>
      <c r="J1232" s="273"/>
      <c r="K1232" s="273"/>
      <c r="L1232" s="273"/>
      <c r="M1232" s="273"/>
      <c r="N1232" s="273"/>
      <c r="O1232" s="273"/>
      <c r="P1232" s="273"/>
      <c r="Q1232" s="273"/>
      <c r="R1232" s="273"/>
      <c r="S1232" s="273"/>
      <c r="T1232" s="273"/>
      <c r="U1232" s="273"/>
      <c r="V1232" s="273"/>
      <c r="W1232" s="273">
        <f t="shared" si="248"/>
        <v>335033.65999999997</v>
      </c>
      <c r="Z1232" s="82"/>
      <c r="AA1232" s="82"/>
      <c r="AB1232" s="13"/>
      <c r="AC1232" s="271"/>
      <c r="AE1232" s="269">
        <v>335033.65999999997</v>
      </c>
      <c r="AF1232" s="84"/>
      <c r="AI1232" s="13"/>
      <c r="AJ1232" s="13"/>
    </row>
    <row r="1233" spans="1:36" x14ac:dyDescent="0.3">
      <c r="A1233" s="10">
        <f t="shared" si="243"/>
        <v>1124</v>
      </c>
      <c r="B1233" s="124" t="s">
        <v>1476</v>
      </c>
      <c r="C1233" s="273">
        <f t="shared" si="241"/>
        <v>112249.15</v>
      </c>
      <c r="D1233" s="273">
        <f t="shared" si="247"/>
        <v>0</v>
      </c>
      <c r="E1233" s="273"/>
      <c r="F1233" s="273"/>
      <c r="G1233" s="273"/>
      <c r="H1233" s="273"/>
      <c r="I1233" s="273"/>
      <c r="J1233" s="273"/>
      <c r="K1233" s="273"/>
      <c r="L1233" s="273"/>
      <c r="M1233" s="273"/>
      <c r="N1233" s="273"/>
      <c r="O1233" s="273"/>
      <c r="P1233" s="273"/>
      <c r="Q1233" s="273"/>
      <c r="R1233" s="273"/>
      <c r="S1233" s="273"/>
      <c r="T1233" s="273"/>
      <c r="U1233" s="273"/>
      <c r="V1233" s="273"/>
      <c r="W1233" s="273">
        <f t="shared" si="248"/>
        <v>112249.15</v>
      </c>
      <c r="Z1233" s="82"/>
      <c r="AA1233" s="82"/>
      <c r="AB1233" s="13"/>
      <c r="AC1233" s="271">
        <v>112249.15</v>
      </c>
      <c r="AE1233" s="269"/>
      <c r="AF1233" s="84"/>
      <c r="AI1233" s="13"/>
      <c r="AJ1233" s="13"/>
    </row>
    <row r="1234" spans="1:36" x14ac:dyDescent="0.3">
      <c r="A1234" s="10">
        <f t="shared" si="243"/>
        <v>1125</v>
      </c>
      <c r="B1234" s="124" t="s">
        <v>1477</v>
      </c>
      <c r="C1234" s="273">
        <f t="shared" si="241"/>
        <v>100612.9</v>
      </c>
      <c r="D1234" s="273">
        <f t="shared" si="247"/>
        <v>0</v>
      </c>
      <c r="E1234" s="273"/>
      <c r="F1234" s="273"/>
      <c r="G1234" s="273"/>
      <c r="H1234" s="273"/>
      <c r="I1234" s="273"/>
      <c r="J1234" s="273"/>
      <c r="K1234" s="273"/>
      <c r="L1234" s="273"/>
      <c r="M1234" s="273"/>
      <c r="N1234" s="273"/>
      <c r="O1234" s="273"/>
      <c r="P1234" s="273"/>
      <c r="Q1234" s="273"/>
      <c r="R1234" s="273"/>
      <c r="S1234" s="273"/>
      <c r="T1234" s="273"/>
      <c r="U1234" s="273"/>
      <c r="V1234" s="273"/>
      <c r="W1234" s="273">
        <f t="shared" si="248"/>
        <v>100612.9</v>
      </c>
      <c r="Z1234" s="82"/>
      <c r="AA1234" s="82"/>
      <c r="AB1234" s="13"/>
      <c r="AC1234" s="271">
        <v>100612.9</v>
      </c>
      <c r="AE1234" s="269"/>
      <c r="AF1234" s="84"/>
      <c r="AI1234" s="13"/>
      <c r="AJ1234" s="13"/>
    </row>
    <row r="1235" spans="1:36" x14ac:dyDescent="0.3">
      <c r="A1235" s="10">
        <f t="shared" si="243"/>
        <v>1126</v>
      </c>
      <c r="B1235" s="124" t="s">
        <v>1478</v>
      </c>
      <c r="C1235" s="273">
        <f t="shared" si="241"/>
        <v>258905.94</v>
      </c>
      <c r="D1235" s="273">
        <f t="shared" si="247"/>
        <v>0</v>
      </c>
      <c r="E1235" s="273"/>
      <c r="F1235" s="273"/>
      <c r="G1235" s="273"/>
      <c r="H1235" s="273"/>
      <c r="I1235" s="273"/>
      <c r="J1235" s="273"/>
      <c r="K1235" s="273"/>
      <c r="L1235" s="273"/>
      <c r="M1235" s="273"/>
      <c r="N1235" s="273"/>
      <c r="O1235" s="273"/>
      <c r="P1235" s="273"/>
      <c r="Q1235" s="273"/>
      <c r="R1235" s="273"/>
      <c r="S1235" s="273"/>
      <c r="T1235" s="273"/>
      <c r="U1235" s="273"/>
      <c r="V1235" s="273"/>
      <c r="W1235" s="273">
        <f t="shared" si="248"/>
        <v>258905.94</v>
      </c>
      <c r="Z1235" s="82"/>
      <c r="AA1235" s="82"/>
      <c r="AB1235" s="13"/>
      <c r="AC1235" s="271"/>
      <c r="AE1235" s="269">
        <v>258905.94</v>
      </c>
      <c r="AF1235" s="84"/>
      <c r="AI1235" s="13"/>
      <c r="AJ1235" s="13"/>
    </row>
    <row r="1236" spans="1:36" x14ac:dyDescent="0.3">
      <c r="A1236" s="10">
        <f t="shared" si="243"/>
        <v>1127</v>
      </c>
      <c r="B1236" s="124" t="s">
        <v>1479</v>
      </c>
      <c r="C1236" s="273">
        <f t="shared" si="241"/>
        <v>204722.1</v>
      </c>
      <c r="D1236" s="273">
        <f t="shared" si="247"/>
        <v>0</v>
      </c>
      <c r="E1236" s="273"/>
      <c r="F1236" s="273"/>
      <c r="G1236" s="273"/>
      <c r="H1236" s="273"/>
      <c r="I1236" s="273"/>
      <c r="J1236" s="273"/>
      <c r="K1236" s="273"/>
      <c r="L1236" s="273"/>
      <c r="M1236" s="273"/>
      <c r="N1236" s="273"/>
      <c r="O1236" s="273"/>
      <c r="P1236" s="273"/>
      <c r="Q1236" s="273"/>
      <c r="R1236" s="273"/>
      <c r="S1236" s="273"/>
      <c r="T1236" s="273"/>
      <c r="U1236" s="273"/>
      <c r="V1236" s="273"/>
      <c r="W1236" s="273">
        <f t="shared" si="248"/>
        <v>204722.1</v>
      </c>
      <c r="Z1236" s="82"/>
      <c r="AA1236" s="82"/>
      <c r="AB1236" s="13"/>
      <c r="AC1236" s="271"/>
      <c r="AE1236" s="269">
        <v>204722.1</v>
      </c>
      <c r="AF1236" s="84"/>
      <c r="AI1236" s="13"/>
      <c r="AJ1236" s="13"/>
    </row>
    <row r="1237" spans="1:36" x14ac:dyDescent="0.3">
      <c r="A1237" s="10">
        <f t="shared" si="243"/>
        <v>1128</v>
      </c>
      <c r="B1237" s="124" t="s">
        <v>1480</v>
      </c>
      <c r="C1237" s="273">
        <f t="shared" si="241"/>
        <v>214052.02</v>
      </c>
      <c r="D1237" s="273">
        <f t="shared" si="247"/>
        <v>0</v>
      </c>
      <c r="E1237" s="273"/>
      <c r="F1237" s="273"/>
      <c r="G1237" s="273"/>
      <c r="H1237" s="273"/>
      <c r="I1237" s="273"/>
      <c r="J1237" s="273"/>
      <c r="K1237" s="273"/>
      <c r="L1237" s="273"/>
      <c r="M1237" s="273"/>
      <c r="N1237" s="273"/>
      <c r="O1237" s="273"/>
      <c r="P1237" s="273"/>
      <c r="Q1237" s="273"/>
      <c r="R1237" s="273"/>
      <c r="S1237" s="273"/>
      <c r="T1237" s="273"/>
      <c r="U1237" s="273"/>
      <c r="V1237" s="273"/>
      <c r="W1237" s="273">
        <f t="shared" si="248"/>
        <v>214052.02</v>
      </c>
      <c r="Z1237" s="82"/>
      <c r="AA1237" s="82"/>
      <c r="AB1237" s="13"/>
      <c r="AC1237" s="271"/>
      <c r="AE1237" s="269">
        <v>214052.02</v>
      </c>
      <c r="AF1237" s="84"/>
      <c r="AI1237" s="13"/>
      <c r="AJ1237" s="13"/>
    </row>
    <row r="1238" spans="1:36" x14ac:dyDescent="0.3">
      <c r="A1238" s="10">
        <f t="shared" si="243"/>
        <v>1129</v>
      </c>
      <c r="B1238" s="124" t="s">
        <v>1481</v>
      </c>
      <c r="C1238" s="273">
        <f t="shared" ref="C1238:C1248" si="249">D1238+K1238+L1238+N1238+P1238+R1238+U1238+S1238+V1238+W1238</f>
        <v>194530.02</v>
      </c>
      <c r="D1238" s="273">
        <f t="shared" si="247"/>
        <v>0</v>
      </c>
      <c r="E1238" s="273"/>
      <c r="F1238" s="273"/>
      <c r="G1238" s="273"/>
      <c r="H1238" s="273"/>
      <c r="I1238" s="273"/>
      <c r="J1238" s="273"/>
      <c r="K1238" s="273"/>
      <c r="L1238" s="273"/>
      <c r="M1238" s="273"/>
      <c r="N1238" s="273"/>
      <c r="O1238" s="273"/>
      <c r="P1238" s="273"/>
      <c r="Q1238" s="273"/>
      <c r="R1238" s="273"/>
      <c r="S1238" s="273"/>
      <c r="T1238" s="273"/>
      <c r="U1238" s="273"/>
      <c r="V1238" s="273"/>
      <c r="W1238" s="273">
        <f t="shared" si="248"/>
        <v>194530.02</v>
      </c>
      <c r="Z1238" s="82"/>
      <c r="AA1238" s="82"/>
      <c r="AB1238" s="13"/>
      <c r="AC1238" s="271"/>
      <c r="AE1238" s="269">
        <v>194530.02</v>
      </c>
      <c r="AF1238" s="84"/>
      <c r="AI1238" s="13"/>
      <c r="AJ1238" s="13"/>
    </row>
    <row r="1239" spans="1:36" x14ac:dyDescent="0.3">
      <c r="A1239" s="10">
        <f t="shared" ref="A1239:A1248" si="250">A1238+1</f>
        <v>1130</v>
      </c>
      <c r="B1239" s="124" t="s">
        <v>1482</v>
      </c>
      <c r="C1239" s="273">
        <f t="shared" si="249"/>
        <v>179382.65</v>
      </c>
      <c r="D1239" s="273">
        <f t="shared" si="247"/>
        <v>0</v>
      </c>
      <c r="E1239" s="273"/>
      <c r="F1239" s="273"/>
      <c r="G1239" s="273"/>
      <c r="H1239" s="273"/>
      <c r="I1239" s="273"/>
      <c r="J1239" s="273"/>
      <c r="K1239" s="273"/>
      <c r="L1239" s="273"/>
      <c r="M1239" s="273"/>
      <c r="N1239" s="273"/>
      <c r="O1239" s="273"/>
      <c r="P1239" s="273"/>
      <c r="Q1239" s="273"/>
      <c r="R1239" s="273"/>
      <c r="S1239" s="273"/>
      <c r="T1239" s="273"/>
      <c r="U1239" s="273"/>
      <c r="V1239" s="273"/>
      <c r="W1239" s="273">
        <f t="shared" si="248"/>
        <v>179382.65</v>
      </c>
      <c r="Z1239" s="82"/>
      <c r="AA1239" s="82"/>
      <c r="AB1239" s="13"/>
      <c r="AC1239" s="271"/>
      <c r="AE1239" s="269">
        <v>179382.65</v>
      </c>
      <c r="AF1239" s="84"/>
      <c r="AI1239" s="13"/>
      <c r="AJ1239" s="13"/>
    </row>
    <row r="1240" spans="1:36" x14ac:dyDescent="0.3">
      <c r="A1240" s="10">
        <f t="shared" si="250"/>
        <v>1131</v>
      </c>
      <c r="B1240" s="124" t="s">
        <v>1483</v>
      </c>
      <c r="C1240" s="273">
        <f t="shared" si="249"/>
        <v>104714.46</v>
      </c>
      <c r="D1240" s="273">
        <f t="shared" si="247"/>
        <v>0</v>
      </c>
      <c r="E1240" s="273"/>
      <c r="F1240" s="273"/>
      <c r="G1240" s="273"/>
      <c r="H1240" s="273"/>
      <c r="I1240" s="273"/>
      <c r="J1240" s="273"/>
      <c r="K1240" s="273"/>
      <c r="L1240" s="273"/>
      <c r="M1240" s="273"/>
      <c r="N1240" s="273"/>
      <c r="O1240" s="273"/>
      <c r="P1240" s="273"/>
      <c r="Q1240" s="273"/>
      <c r="R1240" s="273"/>
      <c r="S1240" s="273"/>
      <c r="T1240" s="273"/>
      <c r="U1240" s="273"/>
      <c r="V1240" s="273"/>
      <c r="W1240" s="273">
        <f t="shared" si="248"/>
        <v>104714.46</v>
      </c>
      <c r="Z1240" s="82"/>
      <c r="AA1240" s="82"/>
      <c r="AB1240" s="13"/>
      <c r="AC1240" s="271"/>
      <c r="AE1240" s="269">
        <v>104714.46</v>
      </c>
      <c r="AF1240" s="84"/>
      <c r="AI1240" s="13"/>
      <c r="AJ1240" s="13"/>
    </row>
    <row r="1241" spans="1:36" x14ac:dyDescent="0.3">
      <c r="A1241" s="10">
        <f t="shared" si="250"/>
        <v>1132</v>
      </c>
      <c r="B1241" s="124" t="s">
        <v>1484</v>
      </c>
      <c r="C1241" s="273">
        <f t="shared" si="249"/>
        <v>164980</v>
      </c>
      <c r="D1241" s="273">
        <f t="shared" si="247"/>
        <v>0</v>
      </c>
      <c r="E1241" s="273"/>
      <c r="F1241" s="273"/>
      <c r="G1241" s="273"/>
      <c r="H1241" s="273"/>
      <c r="I1241" s="273"/>
      <c r="J1241" s="273"/>
      <c r="K1241" s="273"/>
      <c r="L1241" s="273"/>
      <c r="M1241" s="273"/>
      <c r="N1241" s="273"/>
      <c r="O1241" s="273"/>
      <c r="P1241" s="273"/>
      <c r="Q1241" s="273"/>
      <c r="R1241" s="273"/>
      <c r="S1241" s="273"/>
      <c r="T1241" s="273"/>
      <c r="U1241" s="273"/>
      <c r="V1241" s="273"/>
      <c r="W1241" s="273">
        <f t="shared" si="248"/>
        <v>164980</v>
      </c>
      <c r="Z1241" s="82"/>
      <c r="AA1241" s="82"/>
      <c r="AB1241" s="13"/>
      <c r="AC1241" s="271"/>
      <c r="AE1241" s="269">
        <v>164980</v>
      </c>
      <c r="AF1241" s="84"/>
      <c r="AI1241" s="13"/>
      <c r="AJ1241" s="13"/>
    </row>
    <row r="1242" spans="1:36" x14ac:dyDescent="0.3">
      <c r="A1242" s="10">
        <f t="shared" si="250"/>
        <v>1133</v>
      </c>
      <c r="B1242" s="124" t="s">
        <v>1485</v>
      </c>
      <c r="C1242" s="273">
        <f t="shared" si="249"/>
        <v>195248.83000000002</v>
      </c>
      <c r="D1242" s="273">
        <f t="shared" si="247"/>
        <v>0</v>
      </c>
      <c r="E1242" s="273"/>
      <c r="F1242" s="273"/>
      <c r="G1242" s="273"/>
      <c r="H1242" s="273"/>
      <c r="I1242" s="273"/>
      <c r="J1242" s="273"/>
      <c r="K1242" s="273"/>
      <c r="L1242" s="273"/>
      <c r="M1242" s="273">
        <v>13</v>
      </c>
      <c r="N1242" s="273">
        <f>8094*M1242</f>
        <v>105222</v>
      </c>
      <c r="O1242" s="273"/>
      <c r="P1242" s="273"/>
      <c r="Q1242" s="273"/>
      <c r="R1242" s="273"/>
      <c r="S1242" s="273"/>
      <c r="T1242" s="273"/>
      <c r="U1242" s="273"/>
      <c r="V1242" s="273"/>
      <c r="W1242" s="273">
        <f t="shared" si="248"/>
        <v>90026.83</v>
      </c>
      <c r="Z1242" s="82"/>
      <c r="AA1242" s="82"/>
      <c r="AB1242" s="13"/>
      <c r="AC1242" s="271">
        <v>90026.83</v>
      </c>
      <c r="AE1242" s="269"/>
      <c r="AF1242" s="84"/>
      <c r="AI1242" s="13"/>
      <c r="AJ1242" s="13"/>
    </row>
    <row r="1243" spans="1:36" x14ac:dyDescent="0.3">
      <c r="A1243" s="10">
        <f t="shared" si="250"/>
        <v>1134</v>
      </c>
      <c r="B1243" s="124" t="s">
        <v>1486</v>
      </c>
      <c r="C1243" s="273">
        <f t="shared" si="249"/>
        <v>207594.96000000002</v>
      </c>
      <c r="D1243" s="273">
        <f t="shared" si="247"/>
        <v>0</v>
      </c>
      <c r="E1243" s="273"/>
      <c r="F1243" s="273"/>
      <c r="G1243" s="273"/>
      <c r="H1243" s="273"/>
      <c r="I1243" s="273"/>
      <c r="J1243" s="273"/>
      <c r="K1243" s="273"/>
      <c r="L1243" s="273"/>
      <c r="M1243" s="273">
        <v>13</v>
      </c>
      <c r="N1243" s="273">
        <f>8094*M1243</f>
        <v>105222</v>
      </c>
      <c r="O1243" s="273"/>
      <c r="P1243" s="273"/>
      <c r="Q1243" s="273"/>
      <c r="R1243" s="273"/>
      <c r="S1243" s="273"/>
      <c r="T1243" s="273"/>
      <c r="U1243" s="273"/>
      <c r="V1243" s="273"/>
      <c r="W1243" s="273">
        <f t="shared" si="248"/>
        <v>102372.96</v>
      </c>
      <c r="Z1243" s="82"/>
      <c r="AA1243" s="82"/>
      <c r="AB1243" s="13"/>
      <c r="AC1243" s="271">
        <v>102372.96</v>
      </c>
      <c r="AE1243" s="269"/>
      <c r="AF1243" s="84"/>
      <c r="AI1243" s="13"/>
      <c r="AJ1243" s="13"/>
    </row>
    <row r="1244" spans="1:36" x14ac:dyDescent="0.3">
      <c r="A1244" s="10">
        <f t="shared" si="250"/>
        <v>1135</v>
      </c>
      <c r="B1244" s="124" t="s">
        <v>1487</v>
      </c>
      <c r="C1244" s="273">
        <f t="shared" si="249"/>
        <v>1027447.2</v>
      </c>
      <c r="D1244" s="273">
        <f t="shared" si="247"/>
        <v>0</v>
      </c>
      <c r="E1244" s="273"/>
      <c r="F1244" s="273"/>
      <c r="G1244" s="273"/>
      <c r="H1244" s="273"/>
      <c r="I1244" s="273"/>
      <c r="J1244" s="273"/>
      <c r="K1244" s="273"/>
      <c r="L1244" s="273"/>
      <c r="M1244" s="273"/>
      <c r="N1244" s="273"/>
      <c r="O1244" s="273"/>
      <c r="P1244" s="273"/>
      <c r="Q1244" s="273"/>
      <c r="R1244" s="273"/>
      <c r="S1244" s="273"/>
      <c r="T1244" s="273">
        <v>789</v>
      </c>
      <c r="U1244" s="273">
        <v>1027447.2</v>
      </c>
      <c r="V1244" s="273"/>
      <c r="W1244" s="273">
        <f t="shared" si="248"/>
        <v>0</v>
      </c>
      <c r="Z1244" s="82"/>
      <c r="AA1244" s="82"/>
      <c r="AB1244" s="13"/>
      <c r="AC1244" s="271"/>
      <c r="AE1244" s="269"/>
      <c r="AF1244" s="84"/>
      <c r="AI1244" s="13"/>
      <c r="AJ1244" s="13"/>
    </row>
    <row r="1245" spans="1:36" x14ac:dyDescent="0.3">
      <c r="A1245" s="10">
        <f t="shared" si="250"/>
        <v>1136</v>
      </c>
      <c r="B1245" s="124" t="s">
        <v>1489</v>
      </c>
      <c r="C1245" s="273">
        <f t="shared" si="249"/>
        <v>88131.18</v>
      </c>
      <c r="D1245" s="273">
        <f t="shared" si="247"/>
        <v>0</v>
      </c>
      <c r="E1245" s="273"/>
      <c r="F1245" s="273"/>
      <c r="G1245" s="273"/>
      <c r="H1245" s="273"/>
      <c r="I1245" s="273"/>
      <c r="J1245" s="273"/>
      <c r="K1245" s="273"/>
      <c r="L1245" s="273"/>
      <c r="M1245" s="273"/>
      <c r="N1245" s="273"/>
      <c r="O1245" s="273"/>
      <c r="P1245" s="273"/>
      <c r="Q1245" s="273"/>
      <c r="R1245" s="273"/>
      <c r="S1245" s="273"/>
      <c r="T1245" s="273"/>
      <c r="U1245" s="273"/>
      <c r="V1245" s="273"/>
      <c r="W1245" s="273">
        <f t="shared" si="248"/>
        <v>88131.18</v>
      </c>
      <c r="Z1245" s="82"/>
      <c r="AA1245" s="82"/>
      <c r="AB1245" s="13"/>
      <c r="AC1245" s="271">
        <v>88131.18</v>
      </c>
      <c r="AE1245" s="269"/>
      <c r="AF1245" s="84"/>
      <c r="AI1245" s="13"/>
      <c r="AJ1245" s="13"/>
    </row>
    <row r="1246" spans="1:36" x14ac:dyDescent="0.3">
      <c r="A1246" s="10">
        <f t="shared" si="250"/>
        <v>1137</v>
      </c>
      <c r="B1246" s="124" t="s">
        <v>1490</v>
      </c>
      <c r="C1246" s="273">
        <f t="shared" si="249"/>
        <v>4296182</v>
      </c>
      <c r="D1246" s="273">
        <f t="shared" si="247"/>
        <v>0</v>
      </c>
      <c r="E1246" s="273"/>
      <c r="F1246" s="273"/>
      <c r="G1246" s="273"/>
      <c r="H1246" s="273"/>
      <c r="I1246" s="273"/>
      <c r="J1246" s="273"/>
      <c r="K1246" s="273"/>
      <c r="L1246" s="273"/>
      <c r="M1246" s="273">
        <v>380.6</v>
      </c>
      <c r="N1246" s="273">
        <v>2918821.6</v>
      </c>
      <c r="O1246" s="273"/>
      <c r="P1246" s="273"/>
      <c r="Q1246" s="273"/>
      <c r="R1246" s="273"/>
      <c r="S1246" s="273"/>
      <c r="T1246" s="273">
        <v>436</v>
      </c>
      <c r="U1246" s="273">
        <v>1247360.3999999999</v>
      </c>
      <c r="V1246" s="273"/>
      <c r="W1246" s="273">
        <v>130000</v>
      </c>
      <c r="Z1246" s="82"/>
      <c r="AA1246" s="82"/>
      <c r="AB1246" s="13"/>
      <c r="AC1246" s="271"/>
      <c r="AD1246" s="269"/>
      <c r="AE1246" s="84"/>
      <c r="AI1246" s="13"/>
      <c r="AJ1246" s="13"/>
    </row>
    <row r="1247" spans="1:36" x14ac:dyDescent="0.3">
      <c r="A1247" s="10">
        <f t="shared" si="250"/>
        <v>1138</v>
      </c>
      <c r="B1247" s="124" t="s">
        <v>1491</v>
      </c>
      <c r="C1247" s="273">
        <f t="shared" si="249"/>
        <v>2741130.4000000004</v>
      </c>
      <c r="D1247" s="273">
        <f t="shared" si="247"/>
        <v>0</v>
      </c>
      <c r="E1247" s="273"/>
      <c r="F1247" s="273"/>
      <c r="G1247" s="273"/>
      <c r="H1247" s="273"/>
      <c r="I1247" s="273"/>
      <c r="J1247" s="273"/>
      <c r="K1247" s="273"/>
      <c r="L1247" s="273"/>
      <c r="M1247" s="273">
        <v>165</v>
      </c>
      <c r="N1247" s="273">
        <v>1969827.6</v>
      </c>
      <c r="O1247" s="273"/>
      <c r="P1247" s="273"/>
      <c r="Q1247" s="273"/>
      <c r="R1247" s="273"/>
      <c r="S1247" s="273"/>
      <c r="T1247" s="273">
        <v>269.3</v>
      </c>
      <c r="U1247" s="273">
        <v>641302.80000000005</v>
      </c>
      <c r="V1247" s="273"/>
      <c r="W1247" s="273">
        <v>130000</v>
      </c>
      <c r="Z1247" s="82"/>
      <c r="AA1247" s="82"/>
      <c r="AB1247" s="13"/>
      <c r="AC1247" s="271"/>
      <c r="AD1247" s="269"/>
      <c r="AE1247" s="84"/>
      <c r="AI1247" s="13"/>
      <c r="AJ1247" s="13"/>
    </row>
    <row r="1248" spans="1:36" x14ac:dyDescent="0.3">
      <c r="A1248" s="10">
        <f t="shared" si="250"/>
        <v>1139</v>
      </c>
      <c r="B1248" s="124" t="s">
        <v>1488</v>
      </c>
      <c r="C1248" s="273">
        <f t="shared" si="249"/>
        <v>130000</v>
      </c>
      <c r="D1248" s="273"/>
      <c r="E1248" s="273"/>
      <c r="F1248" s="273"/>
      <c r="G1248" s="273"/>
      <c r="H1248" s="273"/>
      <c r="I1248" s="273"/>
      <c r="J1248" s="273"/>
      <c r="K1248" s="273"/>
      <c r="L1248" s="273"/>
      <c r="M1248" s="273"/>
      <c r="N1248" s="273"/>
      <c r="O1248" s="273"/>
      <c r="P1248" s="273"/>
      <c r="Q1248" s="273"/>
      <c r="R1248" s="273"/>
      <c r="S1248" s="273"/>
      <c r="T1248" s="273"/>
      <c r="U1248" s="273"/>
      <c r="V1248" s="273"/>
      <c r="W1248" s="273">
        <v>130000</v>
      </c>
      <c r="Z1248" s="82"/>
      <c r="AA1248" s="82"/>
      <c r="AB1248" s="13"/>
      <c r="AC1248" s="271"/>
      <c r="AD1248" s="269"/>
      <c r="AE1248" s="84"/>
      <c r="AI1248" s="13"/>
      <c r="AJ1248" s="13"/>
    </row>
    <row r="1249" spans="1:36" x14ac:dyDescent="0.3">
      <c r="A1249" s="10"/>
      <c r="B1249" s="124" t="s">
        <v>208</v>
      </c>
      <c r="C1249" s="273">
        <f t="shared" ref="C1249:W1249" si="251">SUM(C912:C1248)</f>
        <v>282104225.95999998</v>
      </c>
      <c r="D1249" s="273">
        <f t="shared" si="251"/>
        <v>23988035.040000003</v>
      </c>
      <c r="E1249" s="273">
        <f t="shared" si="251"/>
        <v>9539073.8400000017</v>
      </c>
      <c r="F1249" s="273">
        <f t="shared" si="251"/>
        <v>7533520.2000000002</v>
      </c>
      <c r="G1249" s="273">
        <f t="shared" si="251"/>
        <v>2867188.8000000003</v>
      </c>
      <c r="H1249" s="273">
        <f t="shared" si="251"/>
        <v>2388768</v>
      </c>
      <c r="I1249" s="273">
        <f t="shared" si="251"/>
        <v>1659484.2000000002</v>
      </c>
      <c r="J1249" s="273">
        <f t="shared" si="251"/>
        <v>0</v>
      </c>
      <c r="K1249" s="273">
        <f t="shared" si="251"/>
        <v>0</v>
      </c>
      <c r="L1249" s="273">
        <f t="shared" si="251"/>
        <v>0</v>
      </c>
      <c r="M1249" s="273">
        <f t="shared" si="251"/>
        <v>7676.3000000000011</v>
      </c>
      <c r="N1249" s="273">
        <f t="shared" si="251"/>
        <v>41011118.43</v>
      </c>
      <c r="O1249" s="273">
        <f t="shared" si="251"/>
        <v>9523.7999999999993</v>
      </c>
      <c r="P1249" s="273">
        <f t="shared" si="251"/>
        <v>110733925.01000001</v>
      </c>
      <c r="Q1249" s="273">
        <f t="shared" si="251"/>
        <v>0</v>
      </c>
      <c r="R1249" s="273">
        <f t="shared" si="251"/>
        <v>0</v>
      </c>
      <c r="S1249" s="273">
        <f t="shared" si="251"/>
        <v>0</v>
      </c>
      <c r="T1249" s="273">
        <f t="shared" si="251"/>
        <v>3878</v>
      </c>
      <c r="U1249" s="273">
        <f t="shared" si="251"/>
        <v>38560136.400000006</v>
      </c>
      <c r="V1249" s="273">
        <f t="shared" si="251"/>
        <v>0</v>
      </c>
      <c r="W1249" s="273">
        <f t="shared" si="251"/>
        <v>67811011.079999954</v>
      </c>
      <c r="X1249" s="269"/>
      <c r="Y1249" s="84"/>
      <c r="Z1249" s="82"/>
      <c r="AA1249" s="82"/>
      <c r="AB1249" s="13"/>
      <c r="AI1249" s="13"/>
      <c r="AJ1249" s="13"/>
    </row>
    <row r="1250" spans="1:36" ht="15" customHeight="1" x14ac:dyDescent="0.3">
      <c r="A1250" s="264" t="s">
        <v>1492</v>
      </c>
      <c r="B1250" s="124"/>
      <c r="C1250" s="273"/>
      <c r="D1250" s="273"/>
      <c r="E1250" s="273"/>
      <c r="F1250" s="273"/>
      <c r="G1250" s="273"/>
      <c r="H1250" s="273"/>
      <c r="I1250" s="273"/>
      <c r="J1250" s="273"/>
      <c r="K1250" s="273"/>
      <c r="L1250" s="273"/>
      <c r="M1250" s="273"/>
      <c r="N1250" s="273"/>
      <c r="O1250" s="273"/>
      <c r="P1250" s="273"/>
      <c r="Q1250" s="273"/>
      <c r="R1250" s="273"/>
      <c r="S1250" s="273"/>
      <c r="T1250" s="273"/>
      <c r="U1250" s="273"/>
      <c r="V1250" s="273"/>
      <c r="W1250" s="273"/>
      <c r="X1250" s="269"/>
      <c r="Y1250" s="84"/>
      <c r="Z1250" s="82"/>
      <c r="AA1250" s="82"/>
      <c r="AB1250" s="13"/>
      <c r="AI1250" s="13"/>
      <c r="AJ1250" s="13"/>
    </row>
    <row r="1251" spans="1:36" x14ac:dyDescent="0.3">
      <c r="A1251" s="10">
        <f>A1248+1</f>
        <v>1140</v>
      </c>
      <c r="B1251" s="124" t="s">
        <v>1497</v>
      </c>
      <c r="C1251" s="273">
        <f>D1251+K1251+L1251+N1251+P1251+R1251+U1251+S1251+V1251+W1251</f>
        <v>4523166.79</v>
      </c>
      <c r="D1251" s="273">
        <f>E1251+F1251+G1251+H1251+I1251</f>
        <v>0</v>
      </c>
      <c r="E1251" s="273"/>
      <c r="F1251" s="273"/>
      <c r="G1251" s="273"/>
      <c r="H1251" s="273"/>
      <c r="I1251" s="273"/>
      <c r="J1251" s="273"/>
      <c r="K1251" s="273"/>
      <c r="L1251" s="273"/>
      <c r="M1251" s="273"/>
      <c r="N1251" s="273"/>
      <c r="O1251" s="273"/>
      <c r="P1251" s="273"/>
      <c r="Q1251" s="273">
        <v>606</v>
      </c>
      <c r="R1251" s="273">
        <v>4523166.79</v>
      </c>
      <c r="S1251" s="273"/>
      <c r="T1251" s="273"/>
      <c r="U1251" s="273"/>
      <c r="V1251" s="273"/>
      <c r="W1251" s="273"/>
      <c r="X1251" s="269"/>
      <c r="Y1251" s="84"/>
      <c r="Z1251" s="82"/>
      <c r="AA1251" s="82"/>
      <c r="AB1251" s="13"/>
      <c r="AC1251" s="13"/>
      <c r="AD1251" s="13"/>
    </row>
    <row r="1252" spans="1:36" x14ac:dyDescent="0.3">
      <c r="A1252" s="10">
        <f>A1251+1</f>
        <v>1141</v>
      </c>
      <c r="B1252" s="124" t="s">
        <v>1498</v>
      </c>
      <c r="C1252" s="273">
        <f>D1252+K1252+L1252+N1252+P1252+R1252+U1252+S1252+V1252+W1252</f>
        <v>278876.59999999998</v>
      </c>
      <c r="D1252" s="273">
        <f>E1252+F1252+G1252+H1252+I1252</f>
        <v>0</v>
      </c>
      <c r="E1252" s="273"/>
      <c r="F1252" s="273"/>
      <c r="G1252" s="273"/>
      <c r="H1252" s="273"/>
      <c r="I1252" s="273"/>
      <c r="J1252" s="273"/>
      <c r="K1252" s="273"/>
      <c r="L1252" s="273"/>
      <c r="M1252" s="273"/>
      <c r="N1252" s="273"/>
      <c r="O1252" s="273"/>
      <c r="P1252" s="273"/>
      <c r="Q1252" s="273"/>
      <c r="R1252" s="273"/>
      <c r="S1252" s="273"/>
      <c r="T1252" s="273"/>
      <c r="U1252" s="273"/>
      <c r="V1252" s="273"/>
      <c r="W1252" s="273">
        <f>SUM(X1252:AH1252)</f>
        <v>278876.59999999998</v>
      </c>
      <c r="Y1252" s="84"/>
      <c r="Z1252" s="82"/>
      <c r="AA1252" s="82"/>
      <c r="AB1252" s="13"/>
      <c r="AC1252" s="271">
        <v>97916.12</v>
      </c>
      <c r="AE1252" s="269">
        <v>180960.48</v>
      </c>
    </row>
    <row r="1253" spans="1:36" x14ac:dyDescent="0.3">
      <c r="A1253" s="10"/>
      <c r="B1253" s="124" t="s">
        <v>208</v>
      </c>
      <c r="C1253" s="273">
        <f t="shared" ref="C1253:W1253" si="252">SUM(C1251:C1252)</f>
        <v>4802043.3899999997</v>
      </c>
      <c r="D1253" s="273">
        <f t="shared" si="252"/>
        <v>0</v>
      </c>
      <c r="E1253" s="273">
        <f t="shared" si="252"/>
        <v>0</v>
      </c>
      <c r="F1253" s="273">
        <f t="shared" si="252"/>
        <v>0</v>
      </c>
      <c r="G1253" s="273">
        <f t="shared" si="252"/>
        <v>0</v>
      </c>
      <c r="H1253" s="273">
        <f t="shared" si="252"/>
        <v>0</v>
      </c>
      <c r="I1253" s="273">
        <f t="shared" si="252"/>
        <v>0</v>
      </c>
      <c r="J1253" s="273">
        <f t="shared" si="252"/>
        <v>0</v>
      </c>
      <c r="K1253" s="273">
        <f t="shared" si="252"/>
        <v>0</v>
      </c>
      <c r="L1253" s="273">
        <f t="shared" si="252"/>
        <v>0</v>
      </c>
      <c r="M1253" s="273">
        <f t="shared" si="252"/>
        <v>0</v>
      </c>
      <c r="N1253" s="273">
        <f t="shared" si="252"/>
        <v>0</v>
      </c>
      <c r="O1253" s="273">
        <f t="shared" si="252"/>
        <v>0</v>
      </c>
      <c r="P1253" s="273">
        <f t="shared" si="252"/>
        <v>0</v>
      </c>
      <c r="Q1253" s="273">
        <f t="shared" si="252"/>
        <v>606</v>
      </c>
      <c r="R1253" s="273">
        <f t="shared" si="252"/>
        <v>4523166.79</v>
      </c>
      <c r="S1253" s="273">
        <f t="shared" si="252"/>
        <v>0</v>
      </c>
      <c r="T1253" s="273">
        <f t="shared" si="252"/>
        <v>0</v>
      </c>
      <c r="U1253" s="273">
        <f t="shared" si="252"/>
        <v>0</v>
      </c>
      <c r="V1253" s="273">
        <f t="shared" si="252"/>
        <v>0</v>
      </c>
      <c r="W1253" s="273">
        <f t="shared" si="252"/>
        <v>278876.59999999998</v>
      </c>
      <c r="X1253" s="269"/>
      <c r="Y1253" s="84"/>
      <c r="Z1253" s="82"/>
      <c r="AA1253" s="82"/>
      <c r="AB1253" s="13"/>
      <c r="AC1253" s="13"/>
      <c r="AD1253" s="13"/>
    </row>
    <row r="1254" spans="1:36" ht="15" customHeight="1" x14ac:dyDescent="0.3">
      <c r="A1254" s="264" t="s">
        <v>1499</v>
      </c>
      <c r="B1254" s="124"/>
      <c r="C1254" s="273"/>
      <c r="D1254" s="273"/>
      <c r="E1254" s="273"/>
      <c r="F1254" s="273"/>
      <c r="G1254" s="273"/>
      <c r="H1254" s="273"/>
      <c r="I1254" s="273"/>
      <c r="J1254" s="273"/>
      <c r="K1254" s="273"/>
      <c r="L1254" s="273"/>
      <c r="M1254" s="273"/>
      <c r="N1254" s="273"/>
      <c r="O1254" s="273"/>
      <c r="P1254" s="273"/>
      <c r="Q1254" s="273"/>
      <c r="R1254" s="273"/>
      <c r="S1254" s="273"/>
      <c r="T1254" s="273"/>
      <c r="U1254" s="273"/>
      <c r="V1254" s="273"/>
      <c r="W1254" s="273"/>
      <c r="X1254" s="269"/>
      <c r="Y1254" s="7"/>
      <c r="Z1254" s="13"/>
      <c r="AA1254" s="13"/>
      <c r="AB1254" s="13"/>
      <c r="AC1254" s="13"/>
      <c r="AD1254" s="13"/>
    </row>
    <row r="1255" spans="1:36" x14ac:dyDescent="0.3">
      <c r="A1255" s="10">
        <f>A1252+1</f>
        <v>1142</v>
      </c>
      <c r="B1255" s="124" t="s">
        <v>1501</v>
      </c>
      <c r="C1255" s="273">
        <f>D1255+K1255+L1255+N1255+P1255+R1255+U1255+S1255+V1255+W1255</f>
        <v>4410109.2</v>
      </c>
      <c r="D1255" s="273">
        <f>E1255+F1255+G1255+H1255+I1255</f>
        <v>0</v>
      </c>
      <c r="E1255" s="273"/>
      <c r="F1255" s="273"/>
      <c r="G1255" s="273"/>
      <c r="H1255" s="273"/>
      <c r="I1255" s="273"/>
      <c r="J1255" s="273"/>
      <c r="K1255" s="273"/>
      <c r="L1255" s="273"/>
      <c r="M1255" s="273"/>
      <c r="N1255" s="273"/>
      <c r="O1255" s="273"/>
      <c r="P1255" s="273"/>
      <c r="Q1255" s="273">
        <v>568.1</v>
      </c>
      <c r="R1255" s="273">
        <v>4410109.2</v>
      </c>
      <c r="S1255" s="273"/>
      <c r="T1255" s="273"/>
      <c r="U1255" s="273"/>
      <c r="V1255" s="273"/>
      <c r="W1255" s="273"/>
      <c r="X1255" s="269"/>
      <c r="Y1255" s="84"/>
      <c r="Z1255" s="82"/>
      <c r="AA1255" s="82"/>
      <c r="AB1255" s="13"/>
      <c r="AC1255" s="13"/>
      <c r="AD1255" s="13"/>
    </row>
    <row r="1256" spans="1:36" x14ac:dyDescent="0.3">
      <c r="A1256" s="10"/>
      <c r="B1256" s="124" t="s">
        <v>208</v>
      </c>
      <c r="C1256" s="273">
        <f t="shared" ref="C1256:W1256" si="253">SUM(C1255:C1255)</f>
        <v>4410109.2</v>
      </c>
      <c r="D1256" s="273">
        <f t="shared" si="253"/>
        <v>0</v>
      </c>
      <c r="E1256" s="273">
        <f t="shared" si="253"/>
        <v>0</v>
      </c>
      <c r="F1256" s="273">
        <f t="shared" si="253"/>
        <v>0</v>
      </c>
      <c r="G1256" s="273">
        <f t="shared" si="253"/>
        <v>0</v>
      </c>
      <c r="H1256" s="273">
        <f t="shared" si="253"/>
        <v>0</v>
      </c>
      <c r="I1256" s="273">
        <f t="shared" si="253"/>
        <v>0</v>
      </c>
      <c r="J1256" s="273">
        <f t="shared" si="253"/>
        <v>0</v>
      </c>
      <c r="K1256" s="273">
        <f t="shared" si="253"/>
        <v>0</v>
      </c>
      <c r="L1256" s="273">
        <f t="shared" si="253"/>
        <v>0</v>
      </c>
      <c r="M1256" s="273">
        <f t="shared" si="253"/>
        <v>0</v>
      </c>
      <c r="N1256" s="273">
        <f t="shared" si="253"/>
        <v>0</v>
      </c>
      <c r="O1256" s="273">
        <f t="shared" si="253"/>
        <v>0</v>
      </c>
      <c r="P1256" s="273">
        <f t="shared" si="253"/>
        <v>0</v>
      </c>
      <c r="Q1256" s="273">
        <f t="shared" si="253"/>
        <v>568.1</v>
      </c>
      <c r="R1256" s="273">
        <f t="shared" si="253"/>
        <v>4410109.2</v>
      </c>
      <c r="S1256" s="273">
        <f t="shared" si="253"/>
        <v>0</v>
      </c>
      <c r="T1256" s="273">
        <f t="shared" si="253"/>
        <v>0</v>
      </c>
      <c r="U1256" s="273">
        <f t="shared" si="253"/>
        <v>0</v>
      </c>
      <c r="V1256" s="273">
        <f t="shared" si="253"/>
        <v>0</v>
      </c>
      <c r="W1256" s="273">
        <f t="shared" si="253"/>
        <v>0</v>
      </c>
      <c r="X1256" s="269"/>
      <c r="Y1256" s="84"/>
      <c r="Z1256" s="82"/>
      <c r="AA1256" s="82"/>
      <c r="AB1256" s="13"/>
      <c r="AC1256" s="13"/>
      <c r="AD1256" s="13"/>
    </row>
    <row r="1257" spans="1:36" ht="15" customHeight="1" x14ac:dyDescent="0.3">
      <c r="A1257" s="264" t="s">
        <v>1504</v>
      </c>
      <c r="B1257" s="124"/>
      <c r="C1257" s="273"/>
      <c r="D1257" s="273"/>
      <c r="E1257" s="273"/>
      <c r="F1257" s="273"/>
      <c r="G1257" s="273"/>
      <c r="H1257" s="273"/>
      <c r="I1257" s="273"/>
      <c r="J1257" s="273"/>
      <c r="K1257" s="273"/>
      <c r="L1257" s="273"/>
      <c r="M1257" s="273"/>
      <c r="N1257" s="273"/>
      <c r="O1257" s="273"/>
      <c r="P1257" s="273"/>
      <c r="Q1257" s="273"/>
      <c r="R1257" s="273"/>
      <c r="S1257" s="273"/>
      <c r="T1257" s="273"/>
      <c r="U1257" s="273"/>
      <c r="V1257" s="273"/>
      <c r="W1257" s="273"/>
      <c r="X1257" s="269"/>
      <c r="Y1257" s="84"/>
      <c r="Z1257" s="82"/>
      <c r="AA1257" s="82"/>
      <c r="AB1257" s="13"/>
      <c r="AC1257" s="13"/>
      <c r="AD1257" s="13"/>
    </row>
    <row r="1258" spans="1:36" x14ac:dyDescent="0.3">
      <c r="A1258" s="10">
        <f>A1255+1</f>
        <v>1143</v>
      </c>
      <c r="B1258" s="124" t="s">
        <v>1505</v>
      </c>
      <c r="C1258" s="273">
        <f t="shared" ref="C1258:C1263" si="254">D1258+K1258+L1258+N1258+P1258+R1258+U1258+S1258+V1258+W1258</f>
        <v>105978.41</v>
      </c>
      <c r="D1258" s="273">
        <f t="shared" ref="D1258:D1263" si="255">E1258+F1258+G1258+H1258+I1258</f>
        <v>0</v>
      </c>
      <c r="E1258" s="273"/>
      <c r="F1258" s="273"/>
      <c r="G1258" s="273"/>
      <c r="H1258" s="273"/>
      <c r="I1258" s="273"/>
      <c r="J1258" s="273"/>
      <c r="K1258" s="273"/>
      <c r="L1258" s="273"/>
      <c r="M1258" s="273"/>
      <c r="N1258" s="273"/>
      <c r="O1258" s="273"/>
      <c r="P1258" s="273"/>
      <c r="Q1258" s="273"/>
      <c r="R1258" s="273"/>
      <c r="S1258" s="273"/>
      <c r="T1258" s="273"/>
      <c r="U1258" s="273"/>
      <c r="V1258" s="273"/>
      <c r="W1258" s="273">
        <f>SUM(X1258:AH1258)</f>
        <v>105978.41</v>
      </c>
      <c r="AA1258" s="82"/>
      <c r="AB1258" s="13"/>
      <c r="AC1258" s="13">
        <v>105978.41</v>
      </c>
      <c r="AD1258" s="13"/>
      <c r="AE1258" s="269"/>
      <c r="AF1258" s="84"/>
      <c r="AG1258" s="82"/>
    </row>
    <row r="1259" spans="1:36" x14ac:dyDescent="0.3">
      <c r="A1259" s="10">
        <f>A1258+1</f>
        <v>1144</v>
      </c>
      <c r="B1259" s="124" t="s">
        <v>1506</v>
      </c>
      <c r="C1259" s="273">
        <f t="shared" si="254"/>
        <v>175059.01</v>
      </c>
      <c r="D1259" s="273">
        <f t="shared" si="255"/>
        <v>0</v>
      </c>
      <c r="E1259" s="273"/>
      <c r="F1259" s="273"/>
      <c r="G1259" s="273"/>
      <c r="H1259" s="273"/>
      <c r="I1259" s="273"/>
      <c r="J1259" s="273"/>
      <c r="K1259" s="273"/>
      <c r="L1259" s="273"/>
      <c r="M1259" s="273"/>
      <c r="N1259" s="273"/>
      <c r="O1259" s="273"/>
      <c r="P1259" s="273"/>
      <c r="Q1259" s="273"/>
      <c r="R1259" s="273"/>
      <c r="S1259" s="273"/>
      <c r="T1259" s="273"/>
      <c r="U1259" s="273"/>
      <c r="V1259" s="273"/>
      <c r="W1259" s="273">
        <f>SUM(X1259:AH1259)</f>
        <v>175059.01</v>
      </c>
      <c r="AA1259" s="82"/>
      <c r="AB1259" s="13"/>
      <c r="AC1259" s="13"/>
      <c r="AD1259" s="13"/>
      <c r="AE1259" s="269">
        <v>175059.01</v>
      </c>
      <c r="AF1259" s="84"/>
      <c r="AG1259" s="82"/>
    </row>
    <row r="1260" spans="1:36" x14ac:dyDescent="0.3">
      <c r="A1260" s="10">
        <f>A1259+1</f>
        <v>1145</v>
      </c>
      <c r="B1260" s="124" t="s">
        <v>1507</v>
      </c>
      <c r="C1260" s="273">
        <f t="shared" si="254"/>
        <v>183265.39</v>
      </c>
      <c r="D1260" s="273">
        <f t="shared" si="255"/>
        <v>0</v>
      </c>
      <c r="E1260" s="273"/>
      <c r="F1260" s="273"/>
      <c r="G1260" s="273"/>
      <c r="H1260" s="273"/>
      <c r="I1260" s="273"/>
      <c r="J1260" s="273"/>
      <c r="K1260" s="273"/>
      <c r="L1260" s="273"/>
      <c r="M1260" s="273"/>
      <c r="N1260" s="273"/>
      <c r="O1260" s="273"/>
      <c r="P1260" s="273"/>
      <c r="Q1260" s="273"/>
      <c r="R1260" s="273"/>
      <c r="S1260" s="273"/>
      <c r="T1260" s="273"/>
      <c r="U1260" s="273"/>
      <c r="V1260" s="273"/>
      <c r="W1260" s="273">
        <f>SUM(X1260:AH1260)</f>
        <v>183265.39</v>
      </c>
      <c r="AA1260" s="82"/>
      <c r="AB1260" s="13"/>
      <c r="AC1260" s="13"/>
      <c r="AD1260" s="13"/>
      <c r="AE1260" s="269">
        <v>183265.39</v>
      </c>
      <c r="AF1260" s="84"/>
      <c r="AG1260" s="82"/>
    </row>
    <row r="1261" spans="1:36" x14ac:dyDescent="0.3">
      <c r="A1261" s="10">
        <f>A1260+1</f>
        <v>1146</v>
      </c>
      <c r="B1261" s="124" t="s">
        <v>1508</v>
      </c>
      <c r="C1261" s="273">
        <f t="shared" si="254"/>
        <v>180563.92</v>
      </c>
      <c r="D1261" s="273">
        <f t="shared" si="255"/>
        <v>0</v>
      </c>
      <c r="E1261" s="273"/>
      <c r="F1261" s="273"/>
      <c r="G1261" s="273"/>
      <c r="H1261" s="273"/>
      <c r="I1261" s="273"/>
      <c r="J1261" s="273"/>
      <c r="K1261" s="273"/>
      <c r="L1261" s="273"/>
      <c r="M1261" s="273"/>
      <c r="N1261" s="273"/>
      <c r="O1261" s="273"/>
      <c r="P1261" s="273"/>
      <c r="Q1261" s="273"/>
      <c r="R1261" s="273"/>
      <c r="S1261" s="273"/>
      <c r="T1261" s="273"/>
      <c r="U1261" s="273"/>
      <c r="V1261" s="273"/>
      <c r="W1261" s="273">
        <f>SUM(X1261:AH1261)</f>
        <v>180563.92</v>
      </c>
      <c r="AA1261" s="82"/>
      <c r="AB1261" s="13"/>
      <c r="AC1261" s="13"/>
      <c r="AD1261" s="13"/>
      <c r="AE1261" s="269">
        <v>180563.92</v>
      </c>
      <c r="AF1261" s="84"/>
      <c r="AG1261" s="82"/>
    </row>
    <row r="1262" spans="1:36" x14ac:dyDescent="0.3">
      <c r="A1262" s="10">
        <f>A1261+1</f>
        <v>1147</v>
      </c>
      <c r="B1262" s="124" t="s">
        <v>1509</v>
      </c>
      <c r="C1262" s="273">
        <f t="shared" si="254"/>
        <v>6751126.3600000003</v>
      </c>
      <c r="D1262" s="273">
        <f t="shared" si="255"/>
        <v>0</v>
      </c>
      <c r="E1262" s="273"/>
      <c r="F1262" s="273"/>
      <c r="G1262" s="273"/>
      <c r="H1262" s="273"/>
      <c r="I1262" s="273"/>
      <c r="J1262" s="273"/>
      <c r="K1262" s="273"/>
      <c r="L1262" s="273"/>
      <c r="M1262" s="273"/>
      <c r="N1262" s="273"/>
      <c r="O1262" s="273"/>
      <c r="P1262" s="273"/>
      <c r="Q1262" s="273">
        <v>482.12</v>
      </c>
      <c r="R1262" s="273">
        <f>14003*Q1262</f>
        <v>6751126.3600000003</v>
      </c>
      <c r="S1262" s="273"/>
      <c r="T1262" s="273"/>
      <c r="U1262" s="273"/>
      <c r="V1262" s="273"/>
      <c r="W1262" s="273">
        <f>SUM(X1262:AH1262)</f>
        <v>0</v>
      </c>
      <c r="X1262" s="269"/>
      <c r="Y1262" s="7"/>
      <c r="Z1262" s="13"/>
      <c r="AA1262" s="13"/>
      <c r="AB1262" s="13"/>
      <c r="AC1262" s="13"/>
      <c r="AD1262" s="13"/>
    </row>
    <row r="1263" spans="1:36" x14ac:dyDescent="0.3">
      <c r="A1263" s="10">
        <f>A1262+1</f>
        <v>1148</v>
      </c>
      <c r="B1263" s="124" t="s">
        <v>1510</v>
      </c>
      <c r="C1263" s="273">
        <f t="shared" si="254"/>
        <v>4070436</v>
      </c>
      <c r="D1263" s="273">
        <f t="shared" si="255"/>
        <v>0</v>
      </c>
      <c r="E1263" s="273"/>
      <c r="F1263" s="273"/>
      <c r="G1263" s="273"/>
      <c r="H1263" s="273"/>
      <c r="I1263" s="273"/>
      <c r="J1263" s="273"/>
      <c r="K1263" s="273"/>
      <c r="L1263" s="273"/>
      <c r="M1263" s="273">
        <v>652</v>
      </c>
      <c r="N1263" s="273">
        <v>4070436</v>
      </c>
      <c r="O1263" s="273"/>
      <c r="P1263" s="273"/>
      <c r="Q1263" s="273"/>
      <c r="R1263" s="273"/>
      <c r="S1263" s="273"/>
      <c r="T1263" s="273"/>
      <c r="U1263" s="273"/>
      <c r="V1263" s="273"/>
      <c r="W1263" s="273"/>
      <c r="X1263" s="269"/>
      <c r="Y1263" s="7"/>
      <c r="Z1263" s="13"/>
      <c r="AA1263" s="13"/>
      <c r="AB1263" s="13"/>
      <c r="AC1263" s="13"/>
      <c r="AD1263" s="13"/>
    </row>
    <row r="1264" spans="1:36" x14ac:dyDescent="0.3">
      <c r="A1264" s="10"/>
      <c r="B1264" s="124" t="s">
        <v>208</v>
      </c>
      <c r="C1264" s="273">
        <f t="shared" ref="C1264:W1264" si="256">SUM(C1258:C1263)</f>
        <v>11466429.09</v>
      </c>
      <c r="D1264" s="273">
        <f t="shared" si="256"/>
        <v>0</v>
      </c>
      <c r="E1264" s="273">
        <f t="shared" si="256"/>
        <v>0</v>
      </c>
      <c r="F1264" s="273">
        <f t="shared" si="256"/>
        <v>0</v>
      </c>
      <c r="G1264" s="273">
        <f t="shared" si="256"/>
        <v>0</v>
      </c>
      <c r="H1264" s="273">
        <f t="shared" si="256"/>
        <v>0</v>
      </c>
      <c r="I1264" s="273">
        <f t="shared" si="256"/>
        <v>0</v>
      </c>
      <c r="J1264" s="273">
        <f t="shared" si="256"/>
        <v>0</v>
      </c>
      <c r="K1264" s="273">
        <f t="shared" si="256"/>
        <v>0</v>
      </c>
      <c r="L1264" s="273">
        <f t="shared" si="256"/>
        <v>0</v>
      </c>
      <c r="M1264" s="273">
        <f t="shared" si="256"/>
        <v>652</v>
      </c>
      <c r="N1264" s="273">
        <f t="shared" si="256"/>
        <v>4070436</v>
      </c>
      <c r="O1264" s="273">
        <f t="shared" si="256"/>
        <v>0</v>
      </c>
      <c r="P1264" s="273">
        <f t="shared" si="256"/>
        <v>0</v>
      </c>
      <c r="Q1264" s="273">
        <f t="shared" si="256"/>
        <v>482.12</v>
      </c>
      <c r="R1264" s="273">
        <f t="shared" si="256"/>
        <v>6751126.3600000003</v>
      </c>
      <c r="S1264" s="273">
        <f t="shared" si="256"/>
        <v>0</v>
      </c>
      <c r="T1264" s="273">
        <f t="shared" si="256"/>
        <v>0</v>
      </c>
      <c r="U1264" s="273">
        <f t="shared" si="256"/>
        <v>0</v>
      </c>
      <c r="V1264" s="273">
        <f t="shared" si="256"/>
        <v>0</v>
      </c>
      <c r="W1264" s="273">
        <f t="shared" si="256"/>
        <v>644866.7300000001</v>
      </c>
      <c r="X1264" s="269"/>
      <c r="Y1264" s="7"/>
      <c r="Z1264" s="13"/>
      <c r="AA1264" s="13"/>
      <c r="AB1264" s="13"/>
      <c r="AC1264" s="13"/>
      <c r="AD1264" s="13"/>
    </row>
    <row r="1265" spans="1:34" ht="15" customHeight="1" x14ac:dyDescent="0.3">
      <c r="A1265" s="264" t="s">
        <v>1511</v>
      </c>
      <c r="B1265" s="124"/>
      <c r="C1265" s="273"/>
      <c r="D1265" s="273"/>
      <c r="E1265" s="273"/>
      <c r="F1265" s="273"/>
      <c r="G1265" s="273"/>
      <c r="H1265" s="273"/>
      <c r="I1265" s="273"/>
      <c r="J1265" s="273"/>
      <c r="K1265" s="273"/>
      <c r="L1265" s="273"/>
      <c r="M1265" s="273"/>
      <c r="N1265" s="273"/>
      <c r="O1265" s="273"/>
      <c r="P1265" s="273"/>
      <c r="Q1265" s="273"/>
      <c r="R1265" s="273"/>
      <c r="S1265" s="273"/>
      <c r="T1265" s="273"/>
      <c r="U1265" s="273"/>
      <c r="V1265" s="273"/>
      <c r="W1265" s="273"/>
      <c r="X1265" s="269"/>
      <c r="Y1265" s="7"/>
      <c r="Z1265" s="13"/>
      <c r="AA1265" s="13"/>
      <c r="AB1265" s="13"/>
      <c r="AC1265" s="13"/>
      <c r="AD1265" s="13"/>
    </row>
    <row r="1266" spans="1:34" x14ac:dyDescent="0.3">
      <c r="A1266" s="10">
        <f>A1263+1</f>
        <v>1149</v>
      </c>
      <c r="B1266" s="124" t="s">
        <v>1512</v>
      </c>
      <c r="C1266" s="273">
        <f>D1266+K1266+L1266+N1266+P1266+R1266+U1266+S1266+V1266+W1266</f>
        <v>176595.64</v>
      </c>
      <c r="D1266" s="273">
        <f>E1266+F1266+G1266+H1266+I1266</f>
        <v>0</v>
      </c>
      <c r="E1266" s="273"/>
      <c r="F1266" s="273"/>
      <c r="G1266" s="273"/>
      <c r="H1266" s="273"/>
      <c r="I1266" s="273"/>
      <c r="J1266" s="273"/>
      <c r="K1266" s="273"/>
      <c r="L1266" s="273"/>
      <c r="M1266" s="273"/>
      <c r="N1266" s="273"/>
      <c r="O1266" s="273"/>
      <c r="P1266" s="273"/>
      <c r="Q1266" s="273"/>
      <c r="R1266" s="273"/>
      <c r="S1266" s="273"/>
      <c r="T1266" s="273"/>
      <c r="U1266" s="273"/>
      <c r="V1266" s="273"/>
      <c r="W1266" s="273">
        <f>SUM(X1266:AH1266)</f>
        <v>176595.64</v>
      </c>
      <c r="AA1266" s="82"/>
      <c r="AB1266" s="13"/>
      <c r="AC1266" s="13"/>
      <c r="AD1266" s="13"/>
      <c r="AE1266" s="269">
        <v>176595.64</v>
      </c>
      <c r="AF1266" s="7"/>
      <c r="AG1266" s="13"/>
    </row>
    <row r="1267" spans="1:34" x14ac:dyDescent="0.3">
      <c r="A1267" s="10"/>
      <c r="B1267" s="124" t="s">
        <v>208</v>
      </c>
      <c r="C1267" s="273">
        <f t="shared" ref="C1267:W1267" si="257">SUM(C1266:C1266)</f>
        <v>176595.64</v>
      </c>
      <c r="D1267" s="273">
        <f t="shared" si="257"/>
        <v>0</v>
      </c>
      <c r="E1267" s="273">
        <f t="shared" si="257"/>
        <v>0</v>
      </c>
      <c r="F1267" s="273">
        <f t="shared" si="257"/>
        <v>0</v>
      </c>
      <c r="G1267" s="273">
        <f t="shared" si="257"/>
        <v>0</v>
      </c>
      <c r="H1267" s="273">
        <f t="shared" si="257"/>
        <v>0</v>
      </c>
      <c r="I1267" s="273">
        <f t="shared" si="257"/>
        <v>0</v>
      </c>
      <c r="J1267" s="273">
        <f t="shared" si="257"/>
        <v>0</v>
      </c>
      <c r="K1267" s="273">
        <f t="shared" si="257"/>
        <v>0</v>
      </c>
      <c r="L1267" s="273">
        <f t="shared" si="257"/>
        <v>0</v>
      </c>
      <c r="M1267" s="273">
        <f t="shared" si="257"/>
        <v>0</v>
      </c>
      <c r="N1267" s="273">
        <f t="shared" si="257"/>
        <v>0</v>
      </c>
      <c r="O1267" s="273">
        <f t="shared" si="257"/>
        <v>0</v>
      </c>
      <c r="P1267" s="273">
        <f t="shared" si="257"/>
        <v>0</v>
      </c>
      <c r="Q1267" s="273">
        <f t="shared" si="257"/>
        <v>0</v>
      </c>
      <c r="R1267" s="273">
        <f t="shared" si="257"/>
        <v>0</v>
      </c>
      <c r="S1267" s="273">
        <f t="shared" si="257"/>
        <v>0</v>
      </c>
      <c r="T1267" s="273">
        <f t="shared" si="257"/>
        <v>0</v>
      </c>
      <c r="U1267" s="273">
        <f t="shared" si="257"/>
        <v>0</v>
      </c>
      <c r="V1267" s="273">
        <f t="shared" si="257"/>
        <v>0</v>
      </c>
      <c r="W1267" s="273">
        <f t="shared" si="257"/>
        <v>176595.64</v>
      </c>
      <c r="X1267" s="269"/>
      <c r="Y1267" s="7"/>
      <c r="Z1267" s="13"/>
      <c r="AA1267" s="82"/>
      <c r="AB1267" s="13"/>
      <c r="AC1267" s="13"/>
      <c r="AD1267" s="13"/>
    </row>
    <row r="1268" spans="1:34" ht="15" customHeight="1" x14ac:dyDescent="0.3">
      <c r="A1268" s="371" t="s">
        <v>1513</v>
      </c>
      <c r="B1268" s="372"/>
      <c r="C1268" s="273"/>
      <c r="D1268" s="273"/>
      <c r="E1268" s="273"/>
      <c r="F1268" s="273"/>
      <c r="G1268" s="273"/>
      <c r="H1268" s="273"/>
      <c r="I1268" s="273"/>
      <c r="J1268" s="273"/>
      <c r="K1268" s="273"/>
      <c r="L1268" s="273"/>
      <c r="M1268" s="273"/>
      <c r="N1268" s="273"/>
      <c r="O1268" s="273"/>
      <c r="P1268" s="273"/>
      <c r="Q1268" s="273"/>
      <c r="R1268" s="273"/>
      <c r="S1268" s="273"/>
      <c r="T1268" s="273"/>
      <c r="U1268" s="273"/>
      <c r="V1268" s="273"/>
      <c r="W1268" s="273"/>
      <c r="X1268" s="271"/>
      <c r="Y1268" s="84"/>
      <c r="Z1268" s="82"/>
      <c r="AA1268" s="82"/>
      <c r="AB1268" s="13"/>
      <c r="AC1268" s="13"/>
      <c r="AD1268" s="13"/>
    </row>
    <row r="1269" spans="1:34" x14ac:dyDescent="0.3">
      <c r="A1269" s="10">
        <f>A1266+1</f>
        <v>1150</v>
      </c>
      <c r="B1269" s="124" t="s">
        <v>1514</v>
      </c>
      <c r="C1269" s="273">
        <f>D1269+K1269+L1269+N1269+P1269+R1269+U1269+S1269+V1269+W1269</f>
        <v>326237.15000000002</v>
      </c>
      <c r="D1269" s="273">
        <f>E1269+F1269+G1269+H1269+I1269</f>
        <v>0</v>
      </c>
      <c r="E1269" s="273"/>
      <c r="F1269" s="273"/>
      <c r="G1269" s="273"/>
      <c r="H1269" s="273"/>
      <c r="I1269" s="273"/>
      <c r="J1269" s="273"/>
      <c r="K1269" s="273"/>
      <c r="L1269" s="273"/>
      <c r="M1269" s="273"/>
      <c r="N1269" s="273"/>
      <c r="O1269" s="273"/>
      <c r="P1269" s="273"/>
      <c r="Q1269" s="273"/>
      <c r="R1269" s="273"/>
      <c r="S1269" s="273"/>
      <c r="T1269" s="273"/>
      <c r="U1269" s="273"/>
      <c r="V1269" s="273"/>
      <c r="W1269" s="273">
        <f>SUM(AC1269:AH1269)</f>
        <v>326237.15000000002</v>
      </c>
      <c r="AB1269" s="13"/>
      <c r="AC1269" s="271">
        <v>116668.39</v>
      </c>
      <c r="AE1269" s="271">
        <v>209568.76</v>
      </c>
      <c r="AF1269" s="84"/>
      <c r="AG1269" s="82"/>
      <c r="AH1269" s="82"/>
    </row>
    <row r="1270" spans="1:34" x14ac:dyDescent="0.3">
      <c r="A1270" s="10"/>
      <c r="B1270" s="124" t="s">
        <v>208</v>
      </c>
      <c r="C1270" s="273">
        <f t="shared" ref="C1270:W1270" si="258">C1269</f>
        <v>326237.15000000002</v>
      </c>
      <c r="D1270" s="273">
        <f t="shared" si="258"/>
        <v>0</v>
      </c>
      <c r="E1270" s="273">
        <f t="shared" si="258"/>
        <v>0</v>
      </c>
      <c r="F1270" s="273">
        <f t="shared" si="258"/>
        <v>0</v>
      </c>
      <c r="G1270" s="273">
        <f t="shared" si="258"/>
        <v>0</v>
      </c>
      <c r="H1270" s="273">
        <f t="shared" si="258"/>
        <v>0</v>
      </c>
      <c r="I1270" s="273">
        <f t="shared" si="258"/>
        <v>0</v>
      </c>
      <c r="J1270" s="273">
        <f t="shared" si="258"/>
        <v>0</v>
      </c>
      <c r="K1270" s="273">
        <f t="shared" si="258"/>
        <v>0</v>
      </c>
      <c r="L1270" s="273">
        <f t="shared" si="258"/>
        <v>0</v>
      </c>
      <c r="M1270" s="273">
        <f t="shared" si="258"/>
        <v>0</v>
      </c>
      <c r="N1270" s="273">
        <f t="shared" si="258"/>
        <v>0</v>
      </c>
      <c r="O1270" s="273">
        <f t="shared" si="258"/>
        <v>0</v>
      </c>
      <c r="P1270" s="273">
        <f t="shared" si="258"/>
        <v>0</v>
      </c>
      <c r="Q1270" s="273">
        <f t="shared" si="258"/>
        <v>0</v>
      </c>
      <c r="R1270" s="273">
        <f t="shared" si="258"/>
        <v>0</v>
      </c>
      <c r="S1270" s="273">
        <f t="shared" si="258"/>
        <v>0</v>
      </c>
      <c r="T1270" s="273">
        <f t="shared" si="258"/>
        <v>0</v>
      </c>
      <c r="U1270" s="273">
        <f t="shared" si="258"/>
        <v>0</v>
      </c>
      <c r="V1270" s="273">
        <f t="shared" si="258"/>
        <v>0</v>
      </c>
      <c r="W1270" s="273">
        <f t="shared" si="258"/>
        <v>326237.15000000002</v>
      </c>
      <c r="X1270" s="271"/>
      <c r="Y1270" s="84"/>
      <c r="Z1270" s="82"/>
      <c r="AA1270" s="82"/>
      <c r="AB1270" s="13"/>
      <c r="AC1270" s="13"/>
      <c r="AD1270" s="13"/>
    </row>
    <row r="1271" spans="1:34" ht="15" customHeight="1" x14ac:dyDescent="0.3">
      <c r="A1271" s="371" t="s">
        <v>1519</v>
      </c>
      <c r="B1271" s="372"/>
      <c r="C1271" s="273"/>
      <c r="D1271" s="273"/>
      <c r="E1271" s="273"/>
      <c r="F1271" s="273"/>
      <c r="G1271" s="273"/>
      <c r="H1271" s="273"/>
      <c r="I1271" s="273"/>
      <c r="J1271" s="273"/>
      <c r="K1271" s="273"/>
      <c r="L1271" s="273"/>
      <c r="M1271" s="273"/>
      <c r="N1271" s="273"/>
      <c r="O1271" s="273"/>
      <c r="P1271" s="273"/>
      <c r="Q1271" s="273"/>
      <c r="R1271" s="273"/>
      <c r="S1271" s="273"/>
      <c r="T1271" s="273"/>
      <c r="U1271" s="273"/>
      <c r="V1271" s="273"/>
      <c r="W1271" s="273"/>
      <c r="X1271" s="269"/>
      <c r="Y1271" s="84"/>
      <c r="Z1271" s="82"/>
      <c r="AA1271" s="82"/>
      <c r="AB1271" s="13"/>
      <c r="AC1271" s="13"/>
      <c r="AD1271" s="13"/>
    </row>
    <row r="1272" spans="1:34" x14ac:dyDescent="0.3">
      <c r="A1272" s="10">
        <f>A1269+1</f>
        <v>1151</v>
      </c>
      <c r="B1272" s="124" t="s">
        <v>1520</v>
      </c>
      <c r="C1272" s="273">
        <f>D1272+K1272+L1272+N1272+P1272+R1272+U1272+S1272+V1272+W1272</f>
        <v>3286768.38</v>
      </c>
      <c r="D1272" s="273">
        <f>E1272+F1272+G1272+H1272+I1272</f>
        <v>0</v>
      </c>
      <c r="E1272" s="273"/>
      <c r="F1272" s="273"/>
      <c r="G1272" s="273"/>
      <c r="H1272" s="273"/>
      <c r="I1272" s="273"/>
      <c r="J1272" s="273"/>
      <c r="K1272" s="273"/>
      <c r="L1272" s="273"/>
      <c r="M1272" s="273"/>
      <c r="N1272" s="273"/>
      <c r="O1272" s="273"/>
      <c r="P1272" s="273"/>
      <c r="Q1272" s="273">
        <v>590</v>
      </c>
      <c r="R1272" s="273">
        <v>3286768.38</v>
      </c>
      <c r="S1272" s="273"/>
      <c r="T1272" s="273"/>
      <c r="U1272" s="273"/>
      <c r="V1272" s="273"/>
      <c r="W1272" s="273"/>
      <c r="X1272" s="269"/>
      <c r="Y1272" s="84"/>
      <c r="Z1272" s="82"/>
      <c r="AA1272" s="82"/>
      <c r="AB1272" s="13"/>
      <c r="AC1272" s="13"/>
      <c r="AD1272" s="13"/>
    </row>
    <row r="1273" spans="1:34" x14ac:dyDescent="0.3">
      <c r="A1273" s="10">
        <f>A1272+1</f>
        <v>1152</v>
      </c>
      <c r="B1273" s="124" t="s">
        <v>1522</v>
      </c>
      <c r="C1273" s="273">
        <f>D1273+K1273+L1273+N1273+P1273+R1273+U1273+S1273+V1273+W1273</f>
        <v>5961247.2000000002</v>
      </c>
      <c r="D1273" s="273">
        <f>E1273+F1273+G1273+H1273+I1273</f>
        <v>0</v>
      </c>
      <c r="E1273" s="273"/>
      <c r="F1273" s="273"/>
      <c r="G1273" s="273"/>
      <c r="H1273" s="273"/>
      <c r="I1273" s="273"/>
      <c r="J1273" s="273"/>
      <c r="K1273" s="273"/>
      <c r="L1273" s="273"/>
      <c r="M1273" s="273"/>
      <c r="N1273" s="273"/>
      <c r="O1273" s="273"/>
      <c r="P1273" s="273"/>
      <c r="Q1273" s="273">
        <v>609.37</v>
      </c>
      <c r="R1273" s="273">
        <v>5961247.2000000002</v>
      </c>
      <c r="S1273" s="273"/>
      <c r="T1273" s="273"/>
      <c r="U1273" s="273"/>
      <c r="V1273" s="273"/>
      <c r="W1273" s="273"/>
      <c r="X1273" s="269"/>
      <c r="Y1273" s="84"/>
      <c r="Z1273" s="82"/>
      <c r="AA1273" s="82"/>
      <c r="AB1273" s="13"/>
      <c r="AC1273" s="13"/>
      <c r="AD1273" s="13"/>
    </row>
    <row r="1274" spans="1:34" x14ac:dyDescent="0.3">
      <c r="A1274" s="10">
        <f>A1273+1</f>
        <v>1153</v>
      </c>
      <c r="B1274" s="124" t="s">
        <v>1523</v>
      </c>
      <c r="C1274" s="273">
        <f>D1274+K1274+L1274+N1274+P1274+R1274+U1274+S1274+V1274+W1274</f>
        <v>6600608.4000000004</v>
      </c>
      <c r="D1274" s="273">
        <f>E1274+F1274+G1274+H1274+I1274</f>
        <v>0</v>
      </c>
      <c r="E1274" s="273"/>
      <c r="F1274" s="273"/>
      <c r="G1274" s="273"/>
      <c r="H1274" s="273"/>
      <c r="I1274" s="273"/>
      <c r="J1274" s="273"/>
      <c r="K1274" s="273"/>
      <c r="L1274" s="273"/>
      <c r="M1274" s="273"/>
      <c r="N1274" s="273"/>
      <c r="O1274" s="273"/>
      <c r="P1274" s="273"/>
      <c r="Q1274" s="273">
        <v>782.91</v>
      </c>
      <c r="R1274" s="273">
        <v>6600608.4000000004</v>
      </c>
      <c r="S1274" s="273"/>
      <c r="T1274" s="273"/>
      <c r="U1274" s="273"/>
      <c r="V1274" s="273"/>
      <c r="W1274" s="273"/>
      <c r="X1274" s="269"/>
      <c r="Y1274" s="84"/>
      <c r="Z1274" s="82"/>
      <c r="AA1274" s="82"/>
      <c r="AB1274" s="13"/>
      <c r="AC1274" s="13"/>
      <c r="AD1274" s="13"/>
    </row>
    <row r="1275" spans="1:34" x14ac:dyDescent="0.3">
      <c r="A1275" s="10"/>
      <c r="B1275" s="124" t="s">
        <v>208</v>
      </c>
      <c r="C1275" s="273">
        <f t="shared" ref="C1275:W1275" si="259">SUM(C1272:C1274)</f>
        <v>15848623.98</v>
      </c>
      <c r="D1275" s="273">
        <f t="shared" si="259"/>
        <v>0</v>
      </c>
      <c r="E1275" s="273">
        <f t="shared" si="259"/>
        <v>0</v>
      </c>
      <c r="F1275" s="273">
        <f t="shared" si="259"/>
        <v>0</v>
      </c>
      <c r="G1275" s="273">
        <f t="shared" si="259"/>
        <v>0</v>
      </c>
      <c r="H1275" s="273">
        <f t="shared" si="259"/>
        <v>0</v>
      </c>
      <c r="I1275" s="273">
        <f t="shared" si="259"/>
        <v>0</v>
      </c>
      <c r="J1275" s="273">
        <f t="shared" si="259"/>
        <v>0</v>
      </c>
      <c r="K1275" s="273">
        <f t="shared" si="259"/>
        <v>0</v>
      </c>
      <c r="L1275" s="273">
        <f t="shared" si="259"/>
        <v>0</v>
      </c>
      <c r="M1275" s="273">
        <f t="shared" si="259"/>
        <v>0</v>
      </c>
      <c r="N1275" s="273">
        <f t="shared" si="259"/>
        <v>0</v>
      </c>
      <c r="O1275" s="273">
        <f t="shared" si="259"/>
        <v>0</v>
      </c>
      <c r="P1275" s="273">
        <f t="shared" si="259"/>
        <v>0</v>
      </c>
      <c r="Q1275" s="273">
        <f t="shared" si="259"/>
        <v>1982.2799999999997</v>
      </c>
      <c r="R1275" s="273">
        <f t="shared" si="259"/>
        <v>15848623.98</v>
      </c>
      <c r="S1275" s="273">
        <f t="shared" si="259"/>
        <v>0</v>
      </c>
      <c r="T1275" s="273">
        <f t="shared" si="259"/>
        <v>0</v>
      </c>
      <c r="U1275" s="273">
        <f t="shared" si="259"/>
        <v>0</v>
      </c>
      <c r="V1275" s="273">
        <f t="shared" si="259"/>
        <v>0</v>
      </c>
      <c r="W1275" s="273">
        <f t="shared" si="259"/>
        <v>0</v>
      </c>
      <c r="X1275" s="269"/>
      <c r="Y1275" s="84"/>
      <c r="Z1275" s="82"/>
      <c r="AA1275" s="82"/>
      <c r="AB1275" s="13"/>
      <c r="AC1275" s="13"/>
      <c r="AD1275" s="13"/>
    </row>
    <row r="1276" spans="1:34" ht="15" customHeight="1" x14ac:dyDescent="0.3">
      <c r="A1276" s="264" t="s">
        <v>1524</v>
      </c>
      <c r="B1276" s="124"/>
      <c r="C1276" s="273"/>
      <c r="D1276" s="273"/>
      <c r="E1276" s="273"/>
      <c r="F1276" s="273"/>
      <c r="G1276" s="273"/>
      <c r="H1276" s="273"/>
      <c r="I1276" s="273"/>
      <c r="J1276" s="273"/>
      <c r="K1276" s="273"/>
      <c r="L1276" s="273"/>
      <c r="M1276" s="273"/>
      <c r="N1276" s="273"/>
      <c r="O1276" s="273"/>
      <c r="P1276" s="273"/>
      <c r="Q1276" s="273"/>
      <c r="R1276" s="273"/>
      <c r="S1276" s="273"/>
      <c r="T1276" s="273"/>
      <c r="U1276" s="273"/>
      <c r="V1276" s="273"/>
      <c r="W1276" s="273"/>
      <c r="X1276" s="269"/>
      <c r="Y1276" s="7"/>
      <c r="Z1276" s="13"/>
      <c r="AA1276" s="13"/>
      <c r="AB1276" s="13"/>
      <c r="AC1276" s="13"/>
      <c r="AD1276" s="13"/>
    </row>
    <row r="1277" spans="1:34" x14ac:dyDescent="0.3">
      <c r="A1277" s="10">
        <f>A1274+1</f>
        <v>1154</v>
      </c>
      <c r="B1277" s="124" t="s">
        <v>1526</v>
      </c>
      <c r="C1277" s="273">
        <f>D1277+K1277+L1277+N1277+P1277+R1277+U1277+S1277+V1277+W1277</f>
        <v>5645878.7999999998</v>
      </c>
      <c r="D1277" s="273">
        <f>E1277+F1277+G1277+H1277+I1277</f>
        <v>0</v>
      </c>
      <c r="E1277" s="273"/>
      <c r="F1277" s="273"/>
      <c r="G1277" s="273"/>
      <c r="H1277" s="273"/>
      <c r="I1277" s="273"/>
      <c r="J1277" s="273"/>
      <c r="K1277" s="273"/>
      <c r="L1277" s="273"/>
      <c r="M1277" s="273"/>
      <c r="N1277" s="273"/>
      <c r="O1277" s="273"/>
      <c r="P1277" s="273"/>
      <c r="Q1277" s="273">
        <v>583</v>
      </c>
      <c r="R1277" s="273">
        <v>5645878.7999999998</v>
      </c>
      <c r="S1277" s="273"/>
      <c r="T1277" s="273"/>
      <c r="U1277" s="273"/>
      <c r="V1277" s="273"/>
      <c r="W1277" s="273"/>
      <c r="X1277" s="269"/>
      <c r="Y1277" s="7"/>
      <c r="Z1277" s="13"/>
      <c r="AA1277" s="13"/>
      <c r="AB1277" s="13"/>
      <c r="AC1277" s="13"/>
      <c r="AD1277" s="13"/>
    </row>
    <row r="1278" spans="1:34" x14ac:dyDescent="0.3">
      <c r="A1278" s="10"/>
      <c r="B1278" s="124" t="s">
        <v>208</v>
      </c>
      <c r="C1278" s="273">
        <f t="shared" ref="C1278:W1278" si="260">SUM(C1277:C1277)</f>
        <v>5645878.7999999998</v>
      </c>
      <c r="D1278" s="273">
        <f t="shared" si="260"/>
        <v>0</v>
      </c>
      <c r="E1278" s="273">
        <f t="shared" si="260"/>
        <v>0</v>
      </c>
      <c r="F1278" s="273">
        <f t="shared" si="260"/>
        <v>0</v>
      </c>
      <c r="G1278" s="273">
        <f t="shared" si="260"/>
        <v>0</v>
      </c>
      <c r="H1278" s="273">
        <f t="shared" si="260"/>
        <v>0</v>
      </c>
      <c r="I1278" s="273">
        <f t="shared" si="260"/>
        <v>0</v>
      </c>
      <c r="J1278" s="273">
        <f t="shared" si="260"/>
        <v>0</v>
      </c>
      <c r="K1278" s="273">
        <f t="shared" si="260"/>
        <v>0</v>
      </c>
      <c r="L1278" s="273">
        <f t="shared" si="260"/>
        <v>0</v>
      </c>
      <c r="M1278" s="273">
        <f t="shared" si="260"/>
        <v>0</v>
      </c>
      <c r="N1278" s="273">
        <f t="shared" si="260"/>
        <v>0</v>
      </c>
      <c r="O1278" s="273">
        <f t="shared" si="260"/>
        <v>0</v>
      </c>
      <c r="P1278" s="273">
        <f t="shared" si="260"/>
        <v>0</v>
      </c>
      <c r="Q1278" s="273">
        <f t="shared" si="260"/>
        <v>583</v>
      </c>
      <c r="R1278" s="273">
        <f t="shared" si="260"/>
        <v>5645878.7999999998</v>
      </c>
      <c r="S1278" s="273">
        <f t="shared" si="260"/>
        <v>0</v>
      </c>
      <c r="T1278" s="273">
        <f t="shared" si="260"/>
        <v>0</v>
      </c>
      <c r="U1278" s="273">
        <f t="shared" si="260"/>
        <v>0</v>
      </c>
      <c r="V1278" s="273">
        <f t="shared" si="260"/>
        <v>0</v>
      </c>
      <c r="W1278" s="273">
        <f t="shared" si="260"/>
        <v>0</v>
      </c>
      <c r="X1278" s="269"/>
      <c r="Y1278" s="7"/>
      <c r="Z1278" s="13"/>
      <c r="AA1278" s="13"/>
      <c r="AB1278" s="13"/>
      <c r="AC1278" s="13"/>
      <c r="AD1278" s="13"/>
    </row>
    <row r="1279" spans="1:34" ht="15" customHeight="1" x14ac:dyDescent="0.3">
      <c r="A1279" s="264" t="s">
        <v>1527</v>
      </c>
      <c r="B1279" s="124"/>
      <c r="C1279" s="273"/>
      <c r="D1279" s="273"/>
      <c r="E1279" s="273"/>
      <c r="F1279" s="273"/>
      <c r="G1279" s="273"/>
      <c r="H1279" s="273"/>
      <c r="I1279" s="273"/>
      <c r="J1279" s="273"/>
      <c r="K1279" s="273"/>
      <c r="L1279" s="273"/>
      <c r="M1279" s="273"/>
      <c r="N1279" s="273"/>
      <c r="O1279" s="273"/>
      <c r="P1279" s="273"/>
      <c r="Q1279" s="273"/>
      <c r="R1279" s="273"/>
      <c r="S1279" s="273"/>
      <c r="T1279" s="273"/>
      <c r="U1279" s="273"/>
      <c r="V1279" s="273"/>
      <c r="W1279" s="273"/>
      <c r="X1279" s="269"/>
      <c r="Y1279" s="7"/>
      <c r="Z1279" s="13"/>
      <c r="AA1279" s="13"/>
      <c r="AB1279" s="13"/>
    </row>
    <row r="1280" spans="1:34" x14ac:dyDescent="0.3">
      <c r="A1280" s="10">
        <f>A1277+1</f>
        <v>1155</v>
      </c>
      <c r="B1280" s="124" t="s">
        <v>1528</v>
      </c>
      <c r="C1280" s="273">
        <f t="shared" ref="C1280:C1291" si="261">D1280+K1280+L1280+N1280+P1280+R1280+U1280+S1280+V1280+W1280</f>
        <v>48105.98</v>
      </c>
      <c r="D1280" s="273">
        <f t="shared" ref="D1280:D1291" si="262">E1280+F1280+G1280+H1280+I1280</f>
        <v>0</v>
      </c>
      <c r="E1280" s="273"/>
      <c r="F1280" s="273"/>
      <c r="G1280" s="273"/>
      <c r="H1280" s="273"/>
      <c r="I1280" s="273"/>
      <c r="J1280" s="273"/>
      <c r="K1280" s="273"/>
      <c r="L1280" s="273"/>
      <c r="M1280" s="273"/>
      <c r="N1280" s="273"/>
      <c r="O1280" s="273"/>
      <c r="P1280" s="273"/>
      <c r="Q1280" s="273"/>
      <c r="R1280" s="273"/>
      <c r="S1280" s="273"/>
      <c r="T1280" s="273"/>
      <c r="U1280" s="273"/>
      <c r="V1280" s="273"/>
      <c r="W1280" s="273">
        <f t="shared" ref="W1280:W1291" si="263">SUM(X1280:AH1280)</f>
        <v>48105.98</v>
      </c>
      <c r="Y1280" s="84"/>
      <c r="Z1280" s="82"/>
      <c r="AA1280" s="82"/>
      <c r="AB1280" s="13"/>
      <c r="AC1280" s="271">
        <v>48105.98</v>
      </c>
      <c r="AE1280" s="269"/>
    </row>
    <row r="1281" spans="1:33" x14ac:dyDescent="0.3">
      <c r="A1281" s="10">
        <f t="shared" ref="A1281:A1291" si="264">A1280+1</f>
        <v>1156</v>
      </c>
      <c r="B1281" s="124" t="s">
        <v>1529</v>
      </c>
      <c r="C1281" s="273">
        <f t="shared" si="261"/>
        <v>74027.63</v>
      </c>
      <c r="D1281" s="273">
        <f t="shared" si="262"/>
        <v>0</v>
      </c>
      <c r="E1281" s="273"/>
      <c r="F1281" s="273"/>
      <c r="G1281" s="273"/>
      <c r="H1281" s="273"/>
      <c r="I1281" s="273"/>
      <c r="J1281" s="273"/>
      <c r="K1281" s="273"/>
      <c r="L1281" s="273"/>
      <c r="M1281" s="273"/>
      <c r="N1281" s="273"/>
      <c r="O1281" s="273"/>
      <c r="P1281" s="273"/>
      <c r="Q1281" s="273"/>
      <c r="R1281" s="273"/>
      <c r="S1281" s="273"/>
      <c r="T1281" s="273"/>
      <c r="U1281" s="273"/>
      <c r="V1281" s="273"/>
      <c r="W1281" s="273">
        <f t="shared" si="263"/>
        <v>74027.63</v>
      </c>
      <c r="Y1281" s="84"/>
      <c r="Z1281" s="82"/>
      <c r="AA1281" s="82"/>
      <c r="AB1281" s="13"/>
      <c r="AC1281" s="271">
        <v>74027.63</v>
      </c>
      <c r="AE1281" s="269"/>
    </row>
    <row r="1282" spans="1:33" x14ac:dyDescent="0.3">
      <c r="A1282" s="10">
        <f t="shared" si="264"/>
        <v>1157</v>
      </c>
      <c r="B1282" s="124" t="s">
        <v>1530</v>
      </c>
      <c r="C1282" s="273">
        <f t="shared" si="261"/>
        <v>245121.92000000001</v>
      </c>
      <c r="D1282" s="273">
        <f t="shared" si="262"/>
        <v>0</v>
      </c>
      <c r="E1282" s="273"/>
      <c r="F1282" s="273"/>
      <c r="G1282" s="273"/>
      <c r="H1282" s="273"/>
      <c r="I1282" s="273"/>
      <c r="J1282" s="273"/>
      <c r="K1282" s="273"/>
      <c r="L1282" s="273"/>
      <c r="M1282" s="273"/>
      <c r="N1282" s="273"/>
      <c r="O1282" s="273"/>
      <c r="P1282" s="273"/>
      <c r="Q1282" s="273"/>
      <c r="R1282" s="273"/>
      <c r="S1282" s="273"/>
      <c r="T1282" s="273"/>
      <c r="U1282" s="273"/>
      <c r="V1282" s="273"/>
      <c r="W1282" s="273">
        <f t="shared" si="263"/>
        <v>245121.92000000001</v>
      </c>
      <c r="Y1282" s="84"/>
      <c r="Z1282" s="82"/>
      <c r="AA1282" s="82"/>
      <c r="AB1282" s="13"/>
      <c r="AC1282" s="271">
        <v>84763.1</v>
      </c>
      <c r="AE1282" s="269">
        <v>160358.82</v>
      </c>
    </row>
    <row r="1283" spans="1:33" x14ac:dyDescent="0.3">
      <c r="A1283" s="10">
        <f t="shared" si="264"/>
        <v>1158</v>
      </c>
      <c r="B1283" s="124" t="s">
        <v>1531</v>
      </c>
      <c r="C1283" s="273">
        <f t="shared" si="261"/>
        <v>214744.08000000002</v>
      </c>
      <c r="D1283" s="273">
        <f t="shared" si="262"/>
        <v>0</v>
      </c>
      <c r="E1283" s="273"/>
      <c r="F1283" s="273"/>
      <c r="G1283" s="273"/>
      <c r="H1283" s="273"/>
      <c r="I1283" s="273"/>
      <c r="J1283" s="273"/>
      <c r="K1283" s="273"/>
      <c r="L1283" s="273"/>
      <c r="M1283" s="273"/>
      <c r="N1283" s="273"/>
      <c r="O1283" s="273"/>
      <c r="P1283" s="273"/>
      <c r="Q1283" s="273"/>
      <c r="R1283" s="273"/>
      <c r="S1283" s="273"/>
      <c r="T1283" s="273"/>
      <c r="U1283" s="273"/>
      <c r="V1283" s="273"/>
      <c r="W1283" s="273">
        <f t="shared" si="263"/>
        <v>214744.08000000002</v>
      </c>
      <c r="Y1283" s="84"/>
      <c r="Z1283" s="82"/>
      <c r="AA1283" s="82"/>
      <c r="AB1283" s="13"/>
      <c r="AC1283" s="271">
        <v>72987.240000000005</v>
      </c>
      <c r="AE1283" s="269">
        <v>141756.84</v>
      </c>
    </row>
    <row r="1284" spans="1:33" x14ac:dyDescent="0.3">
      <c r="A1284" s="10">
        <f t="shared" si="264"/>
        <v>1159</v>
      </c>
      <c r="B1284" s="124" t="s">
        <v>1532</v>
      </c>
      <c r="C1284" s="273">
        <f t="shared" si="261"/>
        <v>246233.95</v>
      </c>
      <c r="D1284" s="273">
        <f t="shared" si="262"/>
        <v>0</v>
      </c>
      <c r="E1284" s="273"/>
      <c r="F1284" s="273"/>
      <c r="G1284" s="273"/>
      <c r="H1284" s="273"/>
      <c r="I1284" s="273"/>
      <c r="J1284" s="273"/>
      <c r="K1284" s="273"/>
      <c r="L1284" s="273"/>
      <c r="M1284" s="273"/>
      <c r="N1284" s="273"/>
      <c r="O1284" s="273"/>
      <c r="P1284" s="273"/>
      <c r="Q1284" s="273"/>
      <c r="R1284" s="273"/>
      <c r="S1284" s="273"/>
      <c r="T1284" s="273"/>
      <c r="U1284" s="273"/>
      <c r="V1284" s="273"/>
      <c r="W1284" s="273">
        <f t="shared" si="263"/>
        <v>246233.95</v>
      </c>
      <c r="Y1284" s="84"/>
      <c r="Z1284" s="82"/>
      <c r="AA1284" s="82"/>
      <c r="AB1284" s="13"/>
      <c r="AC1284" s="271">
        <v>85534.02</v>
      </c>
      <c r="AE1284" s="269">
        <v>160699.93</v>
      </c>
    </row>
    <row r="1285" spans="1:33" x14ac:dyDescent="0.3">
      <c r="A1285" s="10">
        <f t="shared" si="264"/>
        <v>1160</v>
      </c>
      <c r="B1285" s="124" t="s">
        <v>1533</v>
      </c>
      <c r="C1285" s="273">
        <f t="shared" si="261"/>
        <v>277197.05</v>
      </c>
      <c r="D1285" s="273">
        <f t="shared" si="262"/>
        <v>0</v>
      </c>
      <c r="E1285" s="273"/>
      <c r="F1285" s="273"/>
      <c r="G1285" s="273"/>
      <c r="H1285" s="273"/>
      <c r="I1285" s="273"/>
      <c r="J1285" s="273"/>
      <c r="K1285" s="273"/>
      <c r="L1285" s="273"/>
      <c r="M1285" s="273"/>
      <c r="N1285" s="273"/>
      <c r="O1285" s="273"/>
      <c r="P1285" s="273"/>
      <c r="Q1285" s="273"/>
      <c r="R1285" s="273"/>
      <c r="S1285" s="273"/>
      <c r="T1285" s="273"/>
      <c r="U1285" s="273"/>
      <c r="V1285" s="273"/>
      <c r="W1285" s="273">
        <f t="shared" si="263"/>
        <v>277197.05</v>
      </c>
      <c r="Y1285" s="84"/>
      <c r="Z1285" s="82"/>
      <c r="AA1285" s="82"/>
      <c r="AB1285" s="13"/>
      <c r="AC1285" s="271">
        <v>97429.3</v>
      </c>
      <c r="AE1285" s="269">
        <v>179767.75</v>
      </c>
    </row>
    <row r="1286" spans="1:33" x14ac:dyDescent="0.3">
      <c r="A1286" s="10">
        <f t="shared" si="264"/>
        <v>1161</v>
      </c>
      <c r="B1286" s="124" t="s">
        <v>1534</v>
      </c>
      <c r="C1286" s="273">
        <f t="shared" si="261"/>
        <v>307293.7</v>
      </c>
      <c r="D1286" s="273">
        <f t="shared" si="262"/>
        <v>0</v>
      </c>
      <c r="E1286" s="273"/>
      <c r="F1286" s="273"/>
      <c r="G1286" s="273"/>
      <c r="H1286" s="273"/>
      <c r="I1286" s="273"/>
      <c r="J1286" s="273"/>
      <c r="K1286" s="273"/>
      <c r="L1286" s="273"/>
      <c r="M1286" s="273"/>
      <c r="N1286" s="273"/>
      <c r="O1286" s="273"/>
      <c r="P1286" s="273"/>
      <c r="Q1286" s="273"/>
      <c r="R1286" s="273"/>
      <c r="S1286" s="273"/>
      <c r="T1286" s="273"/>
      <c r="U1286" s="273"/>
      <c r="V1286" s="273"/>
      <c r="W1286" s="273">
        <f t="shared" si="263"/>
        <v>307293.7</v>
      </c>
      <c r="Y1286" s="13"/>
      <c r="Z1286" s="82"/>
      <c r="AA1286" s="82"/>
      <c r="AB1286" s="13"/>
      <c r="AC1286" s="271">
        <v>109901.46</v>
      </c>
      <c r="AE1286" s="269">
        <v>197392.24</v>
      </c>
    </row>
    <row r="1287" spans="1:33" x14ac:dyDescent="0.3">
      <c r="A1287" s="10">
        <f t="shared" si="264"/>
        <v>1162</v>
      </c>
      <c r="B1287" s="124" t="s">
        <v>1535</v>
      </c>
      <c r="C1287" s="273">
        <f t="shared" si="261"/>
        <v>204352.40000000002</v>
      </c>
      <c r="D1287" s="273">
        <f t="shared" si="262"/>
        <v>0</v>
      </c>
      <c r="E1287" s="273"/>
      <c r="F1287" s="273"/>
      <c r="G1287" s="273"/>
      <c r="H1287" s="273"/>
      <c r="I1287" s="273"/>
      <c r="J1287" s="273"/>
      <c r="K1287" s="273"/>
      <c r="L1287" s="273"/>
      <c r="M1287" s="273"/>
      <c r="N1287" s="273"/>
      <c r="O1287" s="273"/>
      <c r="P1287" s="273"/>
      <c r="Q1287" s="273"/>
      <c r="R1287" s="273"/>
      <c r="S1287" s="273"/>
      <c r="T1287" s="273"/>
      <c r="U1287" s="273"/>
      <c r="V1287" s="273"/>
      <c r="W1287" s="273">
        <f t="shared" si="263"/>
        <v>204352.40000000002</v>
      </c>
      <c r="Y1287" s="84"/>
      <c r="Z1287" s="82"/>
      <c r="AA1287" s="82"/>
      <c r="AB1287" s="13"/>
      <c r="AC1287" s="271">
        <v>69034.990000000005</v>
      </c>
      <c r="AE1287" s="269">
        <v>135317.41</v>
      </c>
    </row>
    <row r="1288" spans="1:33" x14ac:dyDescent="0.3">
      <c r="A1288" s="10">
        <f t="shared" si="264"/>
        <v>1163</v>
      </c>
      <c r="B1288" s="124" t="s">
        <v>1536</v>
      </c>
      <c r="C1288" s="273">
        <f t="shared" si="261"/>
        <v>192433.58</v>
      </c>
      <c r="D1288" s="273">
        <f t="shared" si="262"/>
        <v>0</v>
      </c>
      <c r="E1288" s="273"/>
      <c r="F1288" s="273"/>
      <c r="G1288" s="273"/>
      <c r="H1288" s="273"/>
      <c r="I1288" s="273"/>
      <c r="J1288" s="273"/>
      <c r="K1288" s="273"/>
      <c r="L1288" s="273"/>
      <c r="M1288" s="273"/>
      <c r="N1288" s="273"/>
      <c r="O1288" s="273"/>
      <c r="P1288" s="273"/>
      <c r="Q1288" s="273"/>
      <c r="R1288" s="273"/>
      <c r="S1288" s="273"/>
      <c r="T1288" s="273"/>
      <c r="U1288" s="273"/>
      <c r="V1288" s="273"/>
      <c r="W1288" s="273">
        <f t="shared" si="263"/>
        <v>192433.58</v>
      </c>
      <c r="Y1288" s="84"/>
      <c r="Z1288" s="82"/>
      <c r="AA1288" s="82"/>
      <c r="AB1288" s="13"/>
      <c r="AC1288" s="271">
        <v>63991.54</v>
      </c>
      <c r="AE1288" s="269">
        <v>128442.04</v>
      </c>
    </row>
    <row r="1289" spans="1:33" x14ac:dyDescent="0.3">
      <c r="A1289" s="10">
        <f t="shared" si="264"/>
        <v>1164</v>
      </c>
      <c r="B1289" s="124" t="s">
        <v>1537</v>
      </c>
      <c r="C1289" s="273">
        <f t="shared" si="261"/>
        <v>224320.47000000003</v>
      </c>
      <c r="D1289" s="273">
        <f t="shared" si="262"/>
        <v>0</v>
      </c>
      <c r="E1289" s="273"/>
      <c r="F1289" s="273"/>
      <c r="G1289" s="273"/>
      <c r="H1289" s="273"/>
      <c r="I1289" s="273"/>
      <c r="J1289" s="273"/>
      <c r="K1289" s="273"/>
      <c r="L1289" s="273"/>
      <c r="M1289" s="273"/>
      <c r="N1289" s="273"/>
      <c r="O1289" s="273"/>
      <c r="P1289" s="273"/>
      <c r="Q1289" s="273"/>
      <c r="R1289" s="273"/>
      <c r="S1289" s="273"/>
      <c r="T1289" s="273"/>
      <c r="U1289" s="273"/>
      <c r="V1289" s="273"/>
      <c r="W1289" s="273">
        <f t="shared" si="263"/>
        <v>224320.47000000003</v>
      </c>
      <c r="Y1289" s="82"/>
      <c r="Z1289" s="82"/>
      <c r="AA1289" s="82"/>
      <c r="AB1289" s="13"/>
      <c r="AC1289" s="269">
        <v>76976.710000000006</v>
      </c>
      <c r="AE1289" s="269">
        <v>147343.76</v>
      </c>
    </row>
    <row r="1290" spans="1:33" x14ac:dyDescent="0.3">
      <c r="A1290" s="10">
        <f t="shared" si="264"/>
        <v>1165</v>
      </c>
      <c r="B1290" s="124" t="s">
        <v>1538</v>
      </c>
      <c r="C1290" s="273">
        <f t="shared" si="261"/>
        <v>219609.93</v>
      </c>
      <c r="D1290" s="273">
        <f t="shared" si="262"/>
        <v>0</v>
      </c>
      <c r="E1290" s="273"/>
      <c r="F1290" s="273"/>
      <c r="G1290" s="273"/>
      <c r="H1290" s="273"/>
      <c r="I1290" s="273"/>
      <c r="J1290" s="273"/>
      <c r="K1290" s="273"/>
      <c r="L1290" s="273"/>
      <c r="M1290" s="273"/>
      <c r="N1290" s="273"/>
      <c r="O1290" s="273"/>
      <c r="P1290" s="273"/>
      <c r="Q1290" s="273"/>
      <c r="R1290" s="273"/>
      <c r="S1290" s="273"/>
      <c r="T1290" s="273"/>
      <c r="U1290" s="273"/>
      <c r="V1290" s="273"/>
      <c r="W1290" s="273">
        <f t="shared" si="263"/>
        <v>219609.93</v>
      </c>
      <c r="Y1290" s="84"/>
      <c r="Z1290" s="82"/>
      <c r="AA1290" s="82"/>
      <c r="AB1290" s="13"/>
      <c r="AC1290" s="271">
        <v>75056.27</v>
      </c>
      <c r="AE1290" s="269">
        <v>144553.66</v>
      </c>
    </row>
    <row r="1291" spans="1:33" x14ac:dyDescent="0.3">
      <c r="A1291" s="10">
        <f t="shared" si="264"/>
        <v>1166</v>
      </c>
      <c r="B1291" s="124" t="s">
        <v>1539</v>
      </c>
      <c r="C1291" s="273">
        <f t="shared" si="261"/>
        <v>243081.18</v>
      </c>
      <c r="D1291" s="273">
        <f t="shared" si="262"/>
        <v>0</v>
      </c>
      <c r="E1291" s="273"/>
      <c r="F1291" s="273"/>
      <c r="G1291" s="273"/>
      <c r="H1291" s="273"/>
      <c r="I1291" s="273"/>
      <c r="J1291" s="273"/>
      <c r="K1291" s="273"/>
      <c r="L1291" s="273"/>
      <c r="M1291" s="273"/>
      <c r="N1291" s="273"/>
      <c r="O1291" s="273"/>
      <c r="P1291" s="273"/>
      <c r="Q1291" s="273"/>
      <c r="R1291" s="273"/>
      <c r="S1291" s="273"/>
      <c r="T1291" s="273"/>
      <c r="U1291" s="273"/>
      <c r="V1291" s="273"/>
      <c r="W1291" s="273">
        <f t="shared" si="263"/>
        <v>243081.18</v>
      </c>
      <c r="Y1291" s="84"/>
      <c r="Z1291" s="82"/>
      <c r="AA1291" s="82"/>
      <c r="AB1291" s="13"/>
      <c r="AC1291" s="271">
        <v>84291.47</v>
      </c>
      <c r="AE1291" s="269">
        <v>158789.71</v>
      </c>
    </row>
    <row r="1292" spans="1:33" x14ac:dyDescent="0.3">
      <c r="A1292" s="8"/>
      <c r="B1292" s="124" t="s">
        <v>208</v>
      </c>
      <c r="C1292" s="273">
        <f t="shared" ref="C1292:W1292" si="265">SUM(C1280:C1291)</f>
        <v>2496521.87</v>
      </c>
      <c r="D1292" s="273">
        <f t="shared" si="265"/>
        <v>0</v>
      </c>
      <c r="E1292" s="273">
        <f t="shared" si="265"/>
        <v>0</v>
      </c>
      <c r="F1292" s="273">
        <f t="shared" si="265"/>
        <v>0</v>
      </c>
      <c r="G1292" s="273">
        <f t="shared" si="265"/>
        <v>0</v>
      </c>
      <c r="H1292" s="273">
        <f t="shared" si="265"/>
        <v>0</v>
      </c>
      <c r="I1292" s="273">
        <f t="shared" si="265"/>
        <v>0</v>
      </c>
      <c r="J1292" s="273">
        <f t="shared" si="265"/>
        <v>0</v>
      </c>
      <c r="K1292" s="273">
        <f t="shared" si="265"/>
        <v>0</v>
      </c>
      <c r="L1292" s="273">
        <f t="shared" si="265"/>
        <v>0</v>
      </c>
      <c r="M1292" s="273">
        <f t="shared" si="265"/>
        <v>0</v>
      </c>
      <c r="N1292" s="273">
        <f t="shared" si="265"/>
        <v>0</v>
      </c>
      <c r="O1292" s="273">
        <f t="shared" si="265"/>
        <v>0</v>
      </c>
      <c r="P1292" s="273">
        <f t="shared" si="265"/>
        <v>0</v>
      </c>
      <c r="Q1292" s="273">
        <f t="shared" si="265"/>
        <v>0</v>
      </c>
      <c r="R1292" s="273">
        <f t="shared" si="265"/>
        <v>0</v>
      </c>
      <c r="S1292" s="273">
        <f t="shared" si="265"/>
        <v>0</v>
      </c>
      <c r="T1292" s="273">
        <f t="shared" si="265"/>
        <v>0</v>
      </c>
      <c r="U1292" s="273">
        <f t="shared" si="265"/>
        <v>0</v>
      </c>
      <c r="V1292" s="273">
        <f t="shared" si="265"/>
        <v>0</v>
      </c>
      <c r="W1292" s="273">
        <f t="shared" si="265"/>
        <v>2496521.87</v>
      </c>
      <c r="X1292" s="269"/>
      <c r="Y1292" s="84"/>
      <c r="Z1292" s="82"/>
      <c r="AA1292" s="82"/>
      <c r="AB1292" s="13"/>
      <c r="AC1292" s="13"/>
      <c r="AD1292" s="13"/>
    </row>
    <row r="1293" spans="1:33" ht="20.25" customHeight="1" x14ac:dyDescent="0.3">
      <c r="A1293" s="374" t="s">
        <v>1540</v>
      </c>
      <c r="B1293" s="375"/>
      <c r="C1293" s="251">
        <f t="shared" ref="C1293:W1293" si="266">C1292+C1278+C1275+C1270+C1267+C1264+C1256+C1253+C1249+C910+C892+C880+C877</f>
        <v>351312679.66000003</v>
      </c>
      <c r="D1293" s="251">
        <f t="shared" si="266"/>
        <v>23988035.040000003</v>
      </c>
      <c r="E1293" s="251">
        <f t="shared" si="266"/>
        <v>9539073.8400000017</v>
      </c>
      <c r="F1293" s="251">
        <f t="shared" si="266"/>
        <v>7533520.2000000002</v>
      </c>
      <c r="G1293" s="251">
        <f t="shared" si="266"/>
        <v>2867188.8000000003</v>
      </c>
      <c r="H1293" s="251">
        <f t="shared" si="266"/>
        <v>2388768</v>
      </c>
      <c r="I1293" s="251">
        <f t="shared" si="266"/>
        <v>1659484.2000000002</v>
      </c>
      <c r="J1293" s="251">
        <f t="shared" si="266"/>
        <v>0</v>
      </c>
      <c r="K1293" s="251">
        <f t="shared" si="266"/>
        <v>0</v>
      </c>
      <c r="L1293" s="251">
        <f t="shared" si="266"/>
        <v>0</v>
      </c>
      <c r="M1293" s="251">
        <f t="shared" si="266"/>
        <v>8328.3000000000011</v>
      </c>
      <c r="N1293" s="251">
        <f t="shared" si="266"/>
        <v>45081554.43</v>
      </c>
      <c r="O1293" s="251">
        <f t="shared" si="266"/>
        <v>9523.7999999999993</v>
      </c>
      <c r="P1293" s="251">
        <f t="shared" si="266"/>
        <v>110733925.01000001</v>
      </c>
      <c r="Q1293" s="251">
        <f t="shared" si="266"/>
        <v>4631.5</v>
      </c>
      <c r="R1293" s="251">
        <f t="shared" si="266"/>
        <v>41977888.730000004</v>
      </c>
      <c r="S1293" s="251">
        <f t="shared" si="266"/>
        <v>0</v>
      </c>
      <c r="T1293" s="251">
        <f t="shared" si="266"/>
        <v>3930</v>
      </c>
      <c r="U1293" s="251">
        <f t="shared" si="266"/>
        <v>51576236.400000006</v>
      </c>
      <c r="V1293" s="251">
        <f t="shared" si="266"/>
        <v>0</v>
      </c>
      <c r="W1293" s="251">
        <f t="shared" si="266"/>
        <v>77955040.049999937</v>
      </c>
      <c r="X1293" s="269"/>
      <c r="Y1293" s="84"/>
      <c r="Z1293" s="82"/>
      <c r="AA1293" s="82"/>
      <c r="AB1293" s="13"/>
      <c r="AC1293" s="13"/>
      <c r="AD1293" s="13"/>
    </row>
    <row r="1294" spans="1:33" ht="15" customHeight="1" x14ac:dyDescent="0.3">
      <c r="A1294" s="379" t="s">
        <v>1541</v>
      </c>
      <c r="B1294" s="380"/>
      <c r="C1294" s="380"/>
      <c r="D1294" s="380"/>
      <c r="E1294" s="380"/>
      <c r="F1294" s="380"/>
      <c r="G1294" s="380"/>
      <c r="H1294" s="380"/>
      <c r="I1294" s="380"/>
      <c r="J1294" s="380"/>
      <c r="K1294" s="380"/>
      <c r="L1294" s="380"/>
      <c r="M1294" s="380"/>
      <c r="N1294" s="380"/>
      <c r="O1294" s="380"/>
      <c r="P1294" s="380"/>
      <c r="Q1294" s="380"/>
      <c r="R1294" s="380"/>
      <c r="S1294" s="380"/>
      <c r="T1294" s="380"/>
      <c r="U1294" s="380"/>
      <c r="V1294" s="380"/>
      <c r="W1294" s="381"/>
      <c r="X1294" s="277"/>
      <c r="Y1294" s="277"/>
      <c r="Z1294" s="277"/>
      <c r="AA1294" s="277"/>
      <c r="AB1294" s="277"/>
      <c r="AC1294" s="277"/>
      <c r="AD1294" s="16"/>
      <c r="AE1294" s="17"/>
      <c r="AF1294" s="17"/>
      <c r="AG1294" s="17"/>
    </row>
    <row r="1295" spans="1:33" ht="15" customHeight="1" x14ac:dyDescent="0.3">
      <c r="A1295" s="264" t="s">
        <v>1542</v>
      </c>
      <c r="B1295" s="124"/>
      <c r="C1295" s="273"/>
      <c r="D1295" s="273"/>
      <c r="E1295" s="273"/>
      <c r="F1295" s="273"/>
      <c r="G1295" s="273"/>
      <c r="H1295" s="273"/>
      <c r="I1295" s="273"/>
      <c r="J1295" s="273"/>
      <c r="K1295" s="273"/>
      <c r="L1295" s="273"/>
      <c r="M1295" s="273"/>
      <c r="N1295" s="273"/>
      <c r="O1295" s="273"/>
      <c r="P1295" s="273"/>
      <c r="Q1295" s="273"/>
      <c r="R1295" s="273"/>
      <c r="S1295" s="273"/>
      <c r="T1295" s="273"/>
      <c r="U1295" s="273"/>
      <c r="V1295" s="273"/>
      <c r="W1295" s="273"/>
      <c r="X1295" s="273"/>
      <c r="Y1295" s="273"/>
      <c r="Z1295" s="273"/>
      <c r="AA1295" s="273"/>
      <c r="AB1295" s="273"/>
      <c r="AC1295" s="273"/>
      <c r="AD1295" s="16"/>
      <c r="AE1295" s="17"/>
      <c r="AF1295" s="17"/>
      <c r="AG1295" s="17"/>
    </row>
    <row r="1296" spans="1:33" x14ac:dyDescent="0.3">
      <c r="A1296" s="10">
        <f>A1291+1</f>
        <v>1167</v>
      </c>
      <c r="B1296" s="124" t="s">
        <v>1543</v>
      </c>
      <c r="C1296" s="273">
        <f t="shared" ref="C1296:C1301" si="267">D1296+K1296+L1296+N1296+P1296+R1296+S1296+U1296+V1296+W1296</f>
        <v>525170.65</v>
      </c>
      <c r="D1296" s="273">
        <f>E1296+F1296+G1296+H1296+I1296</f>
        <v>0</v>
      </c>
      <c r="E1296" s="273"/>
      <c r="F1296" s="273"/>
      <c r="G1296" s="273"/>
      <c r="H1296" s="273"/>
      <c r="I1296" s="273"/>
      <c r="J1296" s="273"/>
      <c r="K1296" s="273"/>
      <c r="L1296" s="273"/>
      <c r="M1296" s="273"/>
      <c r="N1296" s="273"/>
      <c r="O1296" s="273"/>
      <c r="P1296" s="273"/>
      <c r="Q1296" s="273"/>
      <c r="R1296" s="273"/>
      <c r="S1296" s="273"/>
      <c r="T1296" s="273"/>
      <c r="U1296" s="273"/>
      <c r="V1296" s="273"/>
      <c r="W1296" s="273">
        <f>SUM(X1296:AG1296)</f>
        <v>525170.65</v>
      </c>
      <c r="X1296" s="273"/>
      <c r="Y1296" s="273"/>
      <c r="Z1296" s="273"/>
      <c r="AA1296" s="273"/>
      <c r="AB1296" s="273"/>
      <c r="AC1296" s="273"/>
      <c r="AD1296" s="16"/>
      <c r="AE1296" s="17">
        <v>525170.65</v>
      </c>
      <c r="AF1296" s="17"/>
      <c r="AG1296" s="17"/>
    </row>
    <row r="1297" spans="1:34" x14ac:dyDescent="0.3">
      <c r="A1297" s="10">
        <f>A1296+1</f>
        <v>1168</v>
      </c>
      <c r="B1297" s="124" t="s">
        <v>3563</v>
      </c>
      <c r="C1297" s="273">
        <f t="shared" si="267"/>
        <v>649503.64</v>
      </c>
      <c r="D1297" s="273"/>
      <c r="E1297" s="273"/>
      <c r="F1297" s="273"/>
      <c r="G1297" s="273"/>
      <c r="H1297" s="273"/>
      <c r="I1297" s="273"/>
      <c r="J1297" s="273"/>
      <c r="K1297" s="273"/>
      <c r="L1297" s="273"/>
      <c r="M1297" s="273"/>
      <c r="N1297" s="273"/>
      <c r="O1297" s="273"/>
      <c r="P1297" s="273"/>
      <c r="Q1297" s="273"/>
      <c r="R1297" s="273"/>
      <c r="S1297" s="273"/>
      <c r="T1297" s="273"/>
      <c r="U1297" s="273"/>
      <c r="V1297" s="273"/>
      <c r="W1297" s="273">
        <v>649503.64</v>
      </c>
      <c r="X1297" s="273"/>
      <c r="Y1297" s="273"/>
      <c r="Z1297" s="273"/>
      <c r="AA1297" s="273"/>
      <c r="AB1297" s="273"/>
      <c r="AC1297" s="273"/>
      <c r="AD1297" s="16"/>
      <c r="AE1297" s="17"/>
      <c r="AF1297" s="17"/>
      <c r="AG1297" s="17">
        <v>649503.64</v>
      </c>
    </row>
    <row r="1298" spans="1:34" x14ac:dyDescent="0.3">
      <c r="A1298" s="10">
        <f>A1297+1</f>
        <v>1169</v>
      </c>
      <c r="B1298" s="124" t="s">
        <v>1544</v>
      </c>
      <c r="C1298" s="273">
        <f t="shared" si="267"/>
        <v>1625229.5999999999</v>
      </c>
      <c r="D1298" s="273">
        <f>E1298+F1298+G1298+H1298+I1298</f>
        <v>0</v>
      </c>
      <c r="E1298" s="273"/>
      <c r="F1298" s="273"/>
      <c r="G1298" s="273"/>
      <c r="H1298" s="273"/>
      <c r="I1298" s="273"/>
      <c r="J1298" s="273"/>
      <c r="K1298" s="273"/>
      <c r="L1298" s="273"/>
      <c r="M1298" s="273"/>
      <c r="N1298" s="273"/>
      <c r="O1298" s="273"/>
      <c r="P1298" s="273"/>
      <c r="Q1298" s="273"/>
      <c r="R1298" s="273"/>
      <c r="S1298" s="273"/>
      <c r="T1298" s="273"/>
      <c r="U1298" s="273"/>
      <c r="V1298" s="273"/>
      <c r="W1298" s="273">
        <f>SUM(X1298:AH1298)</f>
        <v>1625229.5999999999</v>
      </c>
      <c r="Y1298" s="273">
        <v>148907.51</v>
      </c>
      <c r="Z1298" s="273">
        <v>125082.19</v>
      </c>
      <c r="AC1298" s="273">
        <v>125528.03</v>
      </c>
      <c r="AD1298" s="273"/>
      <c r="AE1298" s="273">
        <v>227168.1</v>
      </c>
      <c r="AF1298" s="16">
        <v>212026.09</v>
      </c>
      <c r="AG1298" s="17">
        <v>576417.97</v>
      </c>
      <c r="AH1298" s="17">
        <v>210099.71</v>
      </c>
    </row>
    <row r="1299" spans="1:34" x14ac:dyDescent="0.3">
      <c r="A1299" s="10">
        <f>A1298+1</f>
        <v>1170</v>
      </c>
      <c r="B1299" s="124" t="s">
        <v>1545</v>
      </c>
      <c r="C1299" s="273">
        <f t="shared" si="267"/>
        <v>216199.32</v>
      </c>
      <c r="D1299" s="273">
        <f>E1299+F1299+G1299+H1299+I1299</f>
        <v>0</v>
      </c>
      <c r="E1299" s="273"/>
      <c r="F1299" s="273"/>
      <c r="G1299" s="273"/>
      <c r="H1299" s="273"/>
      <c r="I1299" s="273"/>
      <c r="J1299" s="273"/>
      <c r="K1299" s="273"/>
      <c r="L1299" s="273"/>
      <c r="M1299" s="273"/>
      <c r="N1299" s="273"/>
      <c r="O1299" s="273"/>
      <c r="P1299" s="273"/>
      <c r="Q1299" s="273"/>
      <c r="R1299" s="273"/>
      <c r="S1299" s="273"/>
      <c r="T1299" s="273"/>
      <c r="U1299" s="273"/>
      <c r="V1299" s="273"/>
      <c r="W1299" s="273">
        <f>SUM(X1299:AH1299)</f>
        <v>216199.32</v>
      </c>
      <c r="Y1299" s="273">
        <v>117063.53</v>
      </c>
      <c r="Z1299" s="273"/>
      <c r="AC1299" s="273">
        <v>99135.79</v>
      </c>
      <c r="AD1299" s="273"/>
      <c r="AE1299" s="273"/>
      <c r="AF1299" s="16"/>
      <c r="AG1299" s="17"/>
      <c r="AH1299" s="17"/>
    </row>
    <row r="1300" spans="1:34" x14ac:dyDescent="0.3">
      <c r="A1300" s="10">
        <f>A1299+1</f>
        <v>1171</v>
      </c>
      <c r="B1300" s="124" t="s">
        <v>1546</v>
      </c>
      <c r="C1300" s="273">
        <f t="shared" si="267"/>
        <v>285774.36</v>
      </c>
      <c r="D1300" s="273">
        <f>E1300+F1300+G1300+H1300+I1300</f>
        <v>0</v>
      </c>
      <c r="E1300" s="273"/>
      <c r="F1300" s="273"/>
      <c r="G1300" s="273"/>
      <c r="H1300" s="273"/>
      <c r="I1300" s="273"/>
      <c r="J1300" s="273"/>
      <c r="K1300" s="273"/>
      <c r="L1300" s="273"/>
      <c r="M1300" s="273"/>
      <c r="N1300" s="273"/>
      <c r="O1300" s="273"/>
      <c r="P1300" s="273"/>
      <c r="Q1300" s="273"/>
      <c r="R1300" s="273"/>
      <c r="S1300" s="273"/>
      <c r="T1300" s="273"/>
      <c r="U1300" s="273"/>
      <c r="V1300" s="273"/>
      <c r="W1300" s="273">
        <f>SUM(X1300:AH1300)</f>
        <v>285774.36</v>
      </c>
      <c r="Y1300" s="273">
        <v>160209.97</v>
      </c>
      <c r="Z1300" s="273"/>
      <c r="AC1300" s="273">
        <v>125564.39</v>
      </c>
      <c r="AD1300" s="273"/>
      <c r="AE1300" s="273"/>
      <c r="AF1300" s="16"/>
      <c r="AG1300" s="17"/>
      <c r="AH1300" s="17"/>
    </row>
    <row r="1301" spans="1:34" x14ac:dyDescent="0.3">
      <c r="A1301" s="10">
        <f>A1300+1</f>
        <v>1172</v>
      </c>
      <c r="B1301" s="124" t="s">
        <v>1547</v>
      </c>
      <c r="C1301" s="273">
        <f t="shared" si="267"/>
        <v>1680020.7499999998</v>
      </c>
      <c r="D1301" s="273">
        <f>E1301+F1301+G1301+H1301+I1301</f>
        <v>0</v>
      </c>
      <c r="E1301" s="273"/>
      <c r="F1301" s="273"/>
      <c r="G1301" s="273"/>
      <c r="H1301" s="273"/>
      <c r="I1301" s="273"/>
      <c r="J1301" s="273"/>
      <c r="K1301" s="273"/>
      <c r="L1301" s="273"/>
      <c r="M1301" s="273"/>
      <c r="N1301" s="273"/>
      <c r="O1301" s="273"/>
      <c r="P1301" s="273"/>
      <c r="Q1301" s="273"/>
      <c r="R1301" s="273"/>
      <c r="S1301" s="273"/>
      <c r="T1301" s="273"/>
      <c r="U1301" s="273"/>
      <c r="V1301" s="273"/>
      <c r="W1301" s="273">
        <f>SUM(X1301:AH1301)</f>
        <v>1680020.7499999998</v>
      </c>
      <c r="Y1301" s="273">
        <v>159863.82999999999</v>
      </c>
      <c r="Z1301" s="273">
        <v>115340.87</v>
      </c>
      <c r="AC1301" s="273">
        <v>119267.3</v>
      </c>
      <c r="AD1301" s="273"/>
      <c r="AE1301" s="273">
        <v>274705.93</v>
      </c>
      <c r="AF1301" s="16">
        <v>112524.68</v>
      </c>
      <c r="AG1301" s="17">
        <v>689249.82</v>
      </c>
      <c r="AH1301" s="17">
        <v>209068.32</v>
      </c>
    </row>
    <row r="1302" spans="1:34" x14ac:dyDescent="0.3">
      <c r="A1302" s="10"/>
      <c r="B1302" s="124" t="s">
        <v>208</v>
      </c>
      <c r="C1302" s="273">
        <f t="shared" ref="C1302:W1302" si="268">SUM(C1296:C1301)</f>
        <v>4981898.3199999994</v>
      </c>
      <c r="D1302" s="273">
        <f t="shared" si="268"/>
        <v>0</v>
      </c>
      <c r="E1302" s="273">
        <f t="shared" si="268"/>
        <v>0</v>
      </c>
      <c r="F1302" s="273">
        <f t="shared" si="268"/>
        <v>0</v>
      </c>
      <c r="G1302" s="273">
        <f t="shared" si="268"/>
        <v>0</v>
      </c>
      <c r="H1302" s="273">
        <f t="shared" si="268"/>
        <v>0</v>
      </c>
      <c r="I1302" s="273">
        <f t="shared" si="268"/>
        <v>0</v>
      </c>
      <c r="J1302" s="273">
        <f t="shared" si="268"/>
        <v>0</v>
      </c>
      <c r="K1302" s="273">
        <f t="shared" si="268"/>
        <v>0</v>
      </c>
      <c r="L1302" s="273">
        <f t="shared" si="268"/>
        <v>0</v>
      </c>
      <c r="M1302" s="273">
        <f t="shared" si="268"/>
        <v>0</v>
      </c>
      <c r="N1302" s="273">
        <f t="shared" si="268"/>
        <v>0</v>
      </c>
      <c r="O1302" s="273">
        <f t="shared" si="268"/>
        <v>0</v>
      </c>
      <c r="P1302" s="273">
        <f t="shared" si="268"/>
        <v>0</v>
      </c>
      <c r="Q1302" s="273">
        <f t="shared" si="268"/>
        <v>0</v>
      </c>
      <c r="R1302" s="273">
        <f t="shared" si="268"/>
        <v>0</v>
      </c>
      <c r="S1302" s="273">
        <f t="shared" si="268"/>
        <v>0</v>
      </c>
      <c r="T1302" s="273">
        <f t="shared" si="268"/>
        <v>0</v>
      </c>
      <c r="U1302" s="273">
        <f t="shared" si="268"/>
        <v>0</v>
      </c>
      <c r="V1302" s="273">
        <f t="shared" si="268"/>
        <v>0</v>
      </c>
      <c r="W1302" s="273">
        <f t="shared" si="268"/>
        <v>4981898.3199999994</v>
      </c>
      <c r="X1302" s="273"/>
      <c r="Y1302" s="273"/>
      <c r="Z1302" s="273"/>
      <c r="AA1302" s="273"/>
      <c r="AB1302" s="273"/>
      <c r="AC1302" s="273"/>
      <c r="AD1302" s="16"/>
      <c r="AE1302" s="17"/>
      <c r="AF1302" s="17"/>
      <c r="AG1302" s="17"/>
    </row>
    <row r="1303" spans="1:34" ht="15" customHeight="1" x14ac:dyDescent="0.3">
      <c r="A1303" s="264" t="s">
        <v>1548</v>
      </c>
      <c r="B1303" s="124"/>
      <c r="C1303" s="273"/>
      <c r="D1303" s="273"/>
      <c r="E1303" s="273"/>
      <c r="F1303" s="273"/>
      <c r="G1303" s="273"/>
      <c r="H1303" s="273"/>
      <c r="I1303" s="273"/>
      <c r="J1303" s="273"/>
      <c r="K1303" s="273"/>
      <c r="L1303" s="273"/>
      <c r="M1303" s="273"/>
      <c r="N1303" s="273"/>
      <c r="O1303" s="273"/>
      <c r="P1303" s="273"/>
      <c r="Q1303" s="273"/>
      <c r="R1303" s="273"/>
      <c r="S1303" s="273"/>
      <c r="T1303" s="273"/>
      <c r="U1303" s="273"/>
      <c r="V1303" s="273"/>
      <c r="W1303" s="273"/>
      <c r="X1303" s="273"/>
      <c r="Y1303" s="273"/>
      <c r="Z1303" s="273"/>
      <c r="AA1303" s="273"/>
      <c r="AB1303" s="273"/>
      <c r="AC1303" s="273"/>
      <c r="AD1303" s="16"/>
      <c r="AE1303" s="17"/>
      <c r="AF1303" s="17"/>
      <c r="AG1303" s="17"/>
    </row>
    <row r="1304" spans="1:34" x14ac:dyDescent="0.3">
      <c r="A1304" s="10">
        <f>A1301+1</f>
        <v>1173</v>
      </c>
      <c r="B1304" s="124" t="s">
        <v>1549</v>
      </c>
      <c r="C1304" s="273">
        <f t="shared" ref="C1304:C1324" si="269">D1304+K1304+L1304+N1304+P1304+R1304+S1304+U1304+V1304+W1304</f>
        <v>96957.88</v>
      </c>
      <c r="D1304" s="273">
        <f t="shared" ref="D1304:D1324" si="270">E1304+F1304+G1304+H1304+I1304</f>
        <v>0</v>
      </c>
      <c r="E1304" s="273"/>
      <c r="F1304" s="273"/>
      <c r="G1304" s="273"/>
      <c r="H1304" s="273"/>
      <c r="I1304" s="273"/>
      <c r="J1304" s="273"/>
      <c r="K1304" s="273"/>
      <c r="L1304" s="273"/>
      <c r="M1304" s="273"/>
      <c r="N1304" s="273"/>
      <c r="O1304" s="273"/>
      <c r="P1304" s="273"/>
      <c r="Q1304" s="273"/>
      <c r="R1304" s="273"/>
      <c r="S1304" s="273"/>
      <c r="T1304" s="273"/>
      <c r="U1304" s="273"/>
      <c r="V1304" s="273"/>
      <c r="W1304" s="273">
        <f t="shared" ref="W1304:W1318" si="271">SUM(X1304:AG1304)</f>
        <v>96957.88</v>
      </c>
      <c r="Y1304" s="273"/>
      <c r="Z1304" s="273"/>
      <c r="AA1304" s="273"/>
      <c r="AB1304" s="273"/>
      <c r="AC1304" s="273">
        <v>96957.88</v>
      </c>
      <c r="AD1304" s="16"/>
      <c r="AE1304" s="17"/>
      <c r="AF1304" s="17"/>
      <c r="AG1304" s="17"/>
    </row>
    <row r="1305" spans="1:34" x14ac:dyDescent="0.3">
      <c r="A1305" s="10">
        <f t="shared" ref="A1305:A1324" si="272">A1304+1</f>
        <v>1174</v>
      </c>
      <c r="B1305" s="124" t="s">
        <v>1550</v>
      </c>
      <c r="C1305" s="273">
        <f t="shared" si="269"/>
        <v>87492</v>
      </c>
      <c r="D1305" s="273">
        <f t="shared" si="270"/>
        <v>0</v>
      </c>
      <c r="E1305" s="273"/>
      <c r="F1305" s="273"/>
      <c r="G1305" s="273"/>
      <c r="H1305" s="273"/>
      <c r="I1305" s="273"/>
      <c r="J1305" s="273"/>
      <c r="K1305" s="273"/>
      <c r="L1305" s="273"/>
      <c r="M1305" s="273"/>
      <c r="N1305" s="273"/>
      <c r="O1305" s="273"/>
      <c r="P1305" s="273"/>
      <c r="Q1305" s="273"/>
      <c r="R1305" s="273"/>
      <c r="S1305" s="273"/>
      <c r="T1305" s="273"/>
      <c r="U1305" s="273"/>
      <c r="V1305" s="273"/>
      <c r="W1305" s="273">
        <f t="shared" si="271"/>
        <v>87492</v>
      </c>
      <c r="Y1305" s="273"/>
      <c r="Z1305" s="273"/>
      <c r="AA1305" s="273"/>
      <c r="AB1305" s="273"/>
      <c r="AC1305" s="273">
        <v>87492</v>
      </c>
      <c r="AD1305" s="16"/>
      <c r="AE1305" s="17"/>
      <c r="AF1305" s="17"/>
      <c r="AG1305" s="17"/>
    </row>
    <row r="1306" spans="1:34" x14ac:dyDescent="0.3">
      <c r="A1306" s="10">
        <f t="shared" si="272"/>
        <v>1175</v>
      </c>
      <c r="B1306" s="124" t="s">
        <v>1551</v>
      </c>
      <c r="C1306" s="273">
        <f t="shared" si="269"/>
        <v>108353.89</v>
      </c>
      <c r="D1306" s="273">
        <f t="shared" si="270"/>
        <v>0</v>
      </c>
      <c r="E1306" s="273"/>
      <c r="F1306" s="273"/>
      <c r="G1306" s="273"/>
      <c r="H1306" s="273"/>
      <c r="I1306" s="273"/>
      <c r="J1306" s="273"/>
      <c r="K1306" s="273"/>
      <c r="L1306" s="273"/>
      <c r="M1306" s="273"/>
      <c r="N1306" s="273"/>
      <c r="O1306" s="273"/>
      <c r="P1306" s="273"/>
      <c r="Q1306" s="273"/>
      <c r="R1306" s="273"/>
      <c r="S1306" s="273"/>
      <c r="T1306" s="273"/>
      <c r="U1306" s="273"/>
      <c r="V1306" s="273"/>
      <c r="W1306" s="273">
        <f t="shared" si="271"/>
        <v>108353.89</v>
      </c>
      <c r="Y1306" s="273"/>
      <c r="Z1306" s="273"/>
      <c r="AA1306" s="273"/>
      <c r="AB1306" s="273"/>
      <c r="AC1306" s="273">
        <v>108353.89</v>
      </c>
      <c r="AD1306" s="16"/>
      <c r="AE1306" s="17"/>
      <c r="AF1306" s="17"/>
      <c r="AG1306" s="17"/>
    </row>
    <row r="1307" spans="1:34" x14ac:dyDescent="0.3">
      <c r="A1307" s="10">
        <f t="shared" si="272"/>
        <v>1176</v>
      </c>
      <c r="B1307" s="124" t="s">
        <v>1552</v>
      </c>
      <c r="C1307" s="273">
        <f t="shared" si="269"/>
        <v>101316.56</v>
      </c>
      <c r="D1307" s="273">
        <f t="shared" si="270"/>
        <v>0</v>
      </c>
      <c r="E1307" s="273"/>
      <c r="F1307" s="273"/>
      <c r="G1307" s="273"/>
      <c r="H1307" s="273"/>
      <c r="I1307" s="273"/>
      <c r="J1307" s="273"/>
      <c r="K1307" s="273"/>
      <c r="L1307" s="273"/>
      <c r="M1307" s="273"/>
      <c r="N1307" s="273"/>
      <c r="O1307" s="273"/>
      <c r="P1307" s="273"/>
      <c r="Q1307" s="273"/>
      <c r="R1307" s="273"/>
      <c r="S1307" s="273"/>
      <c r="T1307" s="273"/>
      <c r="U1307" s="273"/>
      <c r="V1307" s="273"/>
      <c r="W1307" s="273">
        <f t="shared" si="271"/>
        <v>101316.56</v>
      </c>
      <c r="Y1307" s="273"/>
      <c r="Z1307" s="273"/>
      <c r="AA1307" s="273"/>
      <c r="AB1307" s="273"/>
      <c r="AC1307" s="273">
        <v>101316.56</v>
      </c>
      <c r="AD1307" s="16"/>
      <c r="AE1307" s="17"/>
      <c r="AF1307" s="17"/>
      <c r="AG1307" s="17"/>
    </row>
    <row r="1308" spans="1:34" x14ac:dyDescent="0.3">
      <c r="A1308" s="10">
        <f t="shared" si="272"/>
        <v>1177</v>
      </c>
      <c r="B1308" s="124" t="s">
        <v>1553</v>
      </c>
      <c r="C1308" s="273">
        <f t="shared" si="269"/>
        <v>117417.54</v>
      </c>
      <c r="D1308" s="273">
        <f t="shared" si="270"/>
        <v>0</v>
      </c>
      <c r="E1308" s="273"/>
      <c r="F1308" s="273"/>
      <c r="G1308" s="273"/>
      <c r="H1308" s="273"/>
      <c r="I1308" s="273"/>
      <c r="J1308" s="273"/>
      <c r="K1308" s="273"/>
      <c r="L1308" s="273"/>
      <c r="M1308" s="273"/>
      <c r="N1308" s="273"/>
      <c r="O1308" s="273"/>
      <c r="P1308" s="273"/>
      <c r="Q1308" s="273"/>
      <c r="R1308" s="273"/>
      <c r="S1308" s="273"/>
      <c r="T1308" s="273"/>
      <c r="U1308" s="273"/>
      <c r="V1308" s="273"/>
      <c r="W1308" s="273">
        <f t="shared" si="271"/>
        <v>117417.54</v>
      </c>
      <c r="Y1308" s="273"/>
      <c r="Z1308" s="273"/>
      <c r="AA1308" s="273"/>
      <c r="AB1308" s="273"/>
      <c r="AC1308" s="273">
        <v>117417.54</v>
      </c>
      <c r="AD1308" s="16"/>
      <c r="AE1308" s="17"/>
      <c r="AF1308" s="17"/>
      <c r="AG1308" s="17"/>
    </row>
    <row r="1309" spans="1:34" x14ac:dyDescent="0.3">
      <c r="A1309" s="10">
        <f t="shared" si="272"/>
        <v>1178</v>
      </c>
      <c r="B1309" s="124" t="s">
        <v>1554</v>
      </c>
      <c r="C1309" s="273">
        <f t="shared" si="269"/>
        <v>218895.58</v>
      </c>
      <c r="D1309" s="273">
        <f t="shared" si="270"/>
        <v>0</v>
      </c>
      <c r="E1309" s="273"/>
      <c r="F1309" s="273"/>
      <c r="G1309" s="273"/>
      <c r="H1309" s="273"/>
      <c r="I1309" s="273"/>
      <c r="J1309" s="273"/>
      <c r="K1309" s="273"/>
      <c r="L1309" s="273"/>
      <c r="M1309" s="273"/>
      <c r="N1309" s="273"/>
      <c r="O1309" s="273"/>
      <c r="P1309" s="273"/>
      <c r="Q1309" s="273"/>
      <c r="R1309" s="273"/>
      <c r="S1309" s="273"/>
      <c r="T1309" s="273"/>
      <c r="U1309" s="273"/>
      <c r="V1309" s="273"/>
      <c r="W1309" s="273">
        <f t="shared" si="271"/>
        <v>218895.58</v>
      </c>
      <c r="Y1309" s="273"/>
      <c r="Z1309" s="273"/>
      <c r="AA1309" s="273"/>
      <c r="AB1309" s="273"/>
      <c r="AC1309" s="273">
        <v>218895.58</v>
      </c>
      <c r="AD1309" s="16"/>
      <c r="AE1309" s="17"/>
      <c r="AF1309" s="17"/>
      <c r="AG1309" s="17"/>
    </row>
    <row r="1310" spans="1:34" x14ac:dyDescent="0.3">
      <c r="A1310" s="10">
        <f t="shared" si="272"/>
        <v>1179</v>
      </c>
      <c r="B1310" s="124" t="s">
        <v>1555</v>
      </c>
      <c r="C1310" s="273">
        <f t="shared" si="269"/>
        <v>174632</v>
      </c>
      <c r="D1310" s="273">
        <f t="shared" si="270"/>
        <v>0</v>
      </c>
      <c r="E1310" s="273"/>
      <c r="F1310" s="273"/>
      <c r="G1310" s="273"/>
      <c r="H1310" s="273"/>
      <c r="I1310" s="273"/>
      <c r="J1310" s="273"/>
      <c r="K1310" s="273"/>
      <c r="L1310" s="273"/>
      <c r="M1310" s="273"/>
      <c r="N1310" s="273"/>
      <c r="O1310" s="273"/>
      <c r="P1310" s="273"/>
      <c r="Q1310" s="273"/>
      <c r="R1310" s="273"/>
      <c r="S1310" s="273"/>
      <c r="T1310" s="273"/>
      <c r="U1310" s="273"/>
      <c r="V1310" s="273"/>
      <c r="W1310" s="273">
        <f t="shared" si="271"/>
        <v>174632</v>
      </c>
      <c r="Y1310" s="273"/>
      <c r="Z1310" s="273"/>
      <c r="AA1310" s="273"/>
      <c r="AB1310" s="273"/>
      <c r="AC1310" s="273">
        <v>174632</v>
      </c>
      <c r="AD1310" s="16"/>
      <c r="AE1310" s="17"/>
      <c r="AF1310" s="17"/>
      <c r="AG1310" s="17"/>
    </row>
    <row r="1311" spans="1:34" x14ac:dyDescent="0.3">
      <c r="A1311" s="10">
        <f t="shared" si="272"/>
        <v>1180</v>
      </c>
      <c r="B1311" s="124" t="s">
        <v>1556</v>
      </c>
      <c r="C1311" s="273">
        <f t="shared" si="269"/>
        <v>147798.10999999999</v>
      </c>
      <c r="D1311" s="273">
        <f t="shared" si="270"/>
        <v>0</v>
      </c>
      <c r="E1311" s="273"/>
      <c r="F1311" s="273"/>
      <c r="G1311" s="273"/>
      <c r="H1311" s="273"/>
      <c r="I1311" s="273"/>
      <c r="J1311" s="273"/>
      <c r="K1311" s="273"/>
      <c r="L1311" s="273"/>
      <c r="M1311" s="273"/>
      <c r="N1311" s="273"/>
      <c r="O1311" s="273"/>
      <c r="P1311" s="273"/>
      <c r="Q1311" s="273"/>
      <c r="R1311" s="273"/>
      <c r="S1311" s="273"/>
      <c r="T1311" s="273"/>
      <c r="U1311" s="273"/>
      <c r="V1311" s="273"/>
      <c r="W1311" s="273">
        <f t="shared" si="271"/>
        <v>147798.10999999999</v>
      </c>
      <c r="Y1311" s="273"/>
      <c r="Z1311" s="273"/>
      <c r="AA1311" s="273"/>
      <c r="AB1311" s="273"/>
      <c r="AC1311" s="273">
        <v>147798.10999999999</v>
      </c>
      <c r="AD1311" s="16"/>
      <c r="AE1311" s="17"/>
      <c r="AF1311" s="17"/>
      <c r="AG1311" s="17"/>
    </row>
    <row r="1312" spans="1:34" x14ac:dyDescent="0.3">
      <c r="A1312" s="10">
        <f t="shared" si="272"/>
        <v>1181</v>
      </c>
      <c r="B1312" s="124" t="s">
        <v>1557</v>
      </c>
      <c r="C1312" s="273">
        <f t="shared" si="269"/>
        <v>169441.62</v>
      </c>
      <c r="D1312" s="273">
        <f t="shared" si="270"/>
        <v>0</v>
      </c>
      <c r="E1312" s="273"/>
      <c r="F1312" s="273"/>
      <c r="G1312" s="273"/>
      <c r="H1312" s="273"/>
      <c r="I1312" s="273"/>
      <c r="J1312" s="273"/>
      <c r="K1312" s="273"/>
      <c r="L1312" s="273"/>
      <c r="M1312" s="273"/>
      <c r="N1312" s="273"/>
      <c r="O1312" s="273"/>
      <c r="P1312" s="273"/>
      <c r="Q1312" s="273"/>
      <c r="R1312" s="273"/>
      <c r="S1312" s="273"/>
      <c r="T1312" s="273"/>
      <c r="U1312" s="273"/>
      <c r="V1312" s="273"/>
      <c r="W1312" s="273">
        <f t="shared" si="271"/>
        <v>169441.62</v>
      </c>
      <c r="Y1312" s="273"/>
      <c r="Z1312" s="273"/>
      <c r="AA1312" s="273"/>
      <c r="AB1312" s="273"/>
      <c r="AC1312" s="273">
        <v>169441.62</v>
      </c>
      <c r="AD1312" s="16"/>
      <c r="AE1312" s="17"/>
      <c r="AF1312" s="17"/>
      <c r="AG1312" s="17"/>
    </row>
    <row r="1313" spans="1:34" x14ac:dyDescent="0.3">
      <c r="A1313" s="10">
        <f t="shared" si="272"/>
        <v>1182</v>
      </c>
      <c r="B1313" s="124" t="s">
        <v>1558</v>
      </c>
      <c r="C1313" s="273">
        <f t="shared" si="269"/>
        <v>163264.35999999999</v>
      </c>
      <c r="D1313" s="273">
        <f t="shared" si="270"/>
        <v>0</v>
      </c>
      <c r="E1313" s="273"/>
      <c r="F1313" s="273"/>
      <c r="G1313" s="273"/>
      <c r="H1313" s="273"/>
      <c r="I1313" s="273"/>
      <c r="J1313" s="273"/>
      <c r="K1313" s="273"/>
      <c r="L1313" s="273"/>
      <c r="M1313" s="273"/>
      <c r="N1313" s="273"/>
      <c r="O1313" s="273"/>
      <c r="P1313" s="273"/>
      <c r="Q1313" s="273"/>
      <c r="R1313" s="273"/>
      <c r="S1313" s="273"/>
      <c r="T1313" s="273"/>
      <c r="U1313" s="273"/>
      <c r="V1313" s="273"/>
      <c r="W1313" s="273">
        <f t="shared" si="271"/>
        <v>163264.35999999999</v>
      </c>
      <c r="Y1313" s="273"/>
      <c r="Z1313" s="273"/>
      <c r="AA1313" s="273"/>
      <c r="AB1313" s="273"/>
      <c r="AC1313" s="273">
        <v>163264.35999999999</v>
      </c>
      <c r="AD1313" s="16"/>
      <c r="AE1313" s="17"/>
      <c r="AF1313" s="17"/>
      <c r="AG1313" s="17"/>
    </row>
    <row r="1314" spans="1:34" x14ac:dyDescent="0.3">
      <c r="A1314" s="10">
        <f t="shared" si="272"/>
        <v>1183</v>
      </c>
      <c r="B1314" s="124" t="s">
        <v>1559</v>
      </c>
      <c r="C1314" s="273">
        <f t="shared" si="269"/>
        <v>164480.32999999999</v>
      </c>
      <c r="D1314" s="273">
        <f t="shared" si="270"/>
        <v>0</v>
      </c>
      <c r="E1314" s="273"/>
      <c r="F1314" s="273"/>
      <c r="G1314" s="273"/>
      <c r="H1314" s="273"/>
      <c r="I1314" s="273"/>
      <c r="J1314" s="273"/>
      <c r="K1314" s="273"/>
      <c r="L1314" s="273"/>
      <c r="M1314" s="273"/>
      <c r="N1314" s="273"/>
      <c r="O1314" s="273"/>
      <c r="P1314" s="273"/>
      <c r="Q1314" s="273"/>
      <c r="R1314" s="273"/>
      <c r="S1314" s="273"/>
      <c r="T1314" s="273"/>
      <c r="U1314" s="273"/>
      <c r="V1314" s="273"/>
      <c r="W1314" s="273">
        <f t="shared" si="271"/>
        <v>164480.32999999999</v>
      </c>
      <c r="Y1314" s="273"/>
      <c r="Z1314" s="273"/>
      <c r="AA1314" s="273"/>
      <c r="AB1314" s="273"/>
      <c r="AC1314" s="273">
        <v>164480.32999999999</v>
      </c>
      <c r="AD1314" s="16"/>
      <c r="AE1314" s="17"/>
      <c r="AF1314" s="17"/>
      <c r="AG1314" s="17"/>
    </row>
    <row r="1315" spans="1:34" x14ac:dyDescent="0.3">
      <c r="A1315" s="10">
        <f t="shared" si="272"/>
        <v>1184</v>
      </c>
      <c r="B1315" s="124" t="s">
        <v>1560</v>
      </c>
      <c r="C1315" s="273">
        <f t="shared" si="269"/>
        <v>127620.91</v>
      </c>
      <c r="D1315" s="273">
        <f t="shared" si="270"/>
        <v>0</v>
      </c>
      <c r="E1315" s="273"/>
      <c r="F1315" s="273"/>
      <c r="G1315" s="273"/>
      <c r="H1315" s="273"/>
      <c r="I1315" s="273"/>
      <c r="J1315" s="273"/>
      <c r="K1315" s="273"/>
      <c r="L1315" s="273"/>
      <c r="M1315" s="273"/>
      <c r="N1315" s="273"/>
      <c r="O1315" s="273"/>
      <c r="P1315" s="273"/>
      <c r="Q1315" s="273"/>
      <c r="R1315" s="273"/>
      <c r="S1315" s="273"/>
      <c r="T1315" s="273"/>
      <c r="U1315" s="273"/>
      <c r="V1315" s="273"/>
      <c r="W1315" s="273">
        <f t="shared" si="271"/>
        <v>127620.91</v>
      </c>
      <c r="Y1315" s="273"/>
      <c r="Z1315" s="273"/>
      <c r="AA1315" s="273"/>
      <c r="AB1315" s="273"/>
      <c r="AC1315" s="273">
        <v>127620.91</v>
      </c>
      <c r="AD1315" s="16"/>
      <c r="AE1315" s="17"/>
      <c r="AF1315" s="17"/>
      <c r="AG1315" s="17"/>
    </row>
    <row r="1316" spans="1:34" x14ac:dyDescent="0.3">
      <c r="A1316" s="10">
        <f t="shared" si="272"/>
        <v>1185</v>
      </c>
      <c r="B1316" s="124" t="s">
        <v>1561</v>
      </c>
      <c r="C1316" s="273">
        <f t="shared" si="269"/>
        <v>163076.89000000001</v>
      </c>
      <c r="D1316" s="273">
        <f t="shared" si="270"/>
        <v>0</v>
      </c>
      <c r="E1316" s="273"/>
      <c r="F1316" s="273"/>
      <c r="G1316" s="273"/>
      <c r="H1316" s="273"/>
      <c r="I1316" s="273"/>
      <c r="J1316" s="273"/>
      <c r="K1316" s="273"/>
      <c r="L1316" s="273"/>
      <c r="M1316" s="273"/>
      <c r="N1316" s="273"/>
      <c r="O1316" s="273"/>
      <c r="P1316" s="273"/>
      <c r="Q1316" s="273"/>
      <c r="R1316" s="273"/>
      <c r="S1316" s="273"/>
      <c r="T1316" s="273"/>
      <c r="U1316" s="273"/>
      <c r="V1316" s="273"/>
      <c r="W1316" s="273">
        <f t="shared" si="271"/>
        <v>163076.89000000001</v>
      </c>
      <c r="Y1316" s="273"/>
      <c r="Z1316" s="273"/>
      <c r="AA1316" s="273"/>
      <c r="AB1316" s="273"/>
      <c r="AC1316" s="273">
        <v>163076.89000000001</v>
      </c>
      <c r="AD1316" s="16"/>
      <c r="AE1316" s="17"/>
      <c r="AF1316" s="17"/>
      <c r="AG1316" s="17"/>
    </row>
    <row r="1317" spans="1:34" x14ac:dyDescent="0.3">
      <c r="A1317" s="10">
        <f t="shared" si="272"/>
        <v>1186</v>
      </c>
      <c r="B1317" s="124" t="s">
        <v>1562</v>
      </c>
      <c r="C1317" s="273">
        <f t="shared" si="269"/>
        <v>157616.56</v>
      </c>
      <c r="D1317" s="273">
        <f t="shared" si="270"/>
        <v>0</v>
      </c>
      <c r="E1317" s="273"/>
      <c r="F1317" s="273"/>
      <c r="G1317" s="273"/>
      <c r="H1317" s="273"/>
      <c r="I1317" s="273"/>
      <c r="J1317" s="273"/>
      <c r="K1317" s="273"/>
      <c r="L1317" s="273"/>
      <c r="M1317" s="273"/>
      <c r="N1317" s="273"/>
      <c r="O1317" s="273"/>
      <c r="P1317" s="273"/>
      <c r="Q1317" s="273"/>
      <c r="R1317" s="273"/>
      <c r="S1317" s="273"/>
      <c r="T1317" s="273"/>
      <c r="U1317" s="273"/>
      <c r="V1317" s="273"/>
      <c r="W1317" s="273">
        <f t="shared" si="271"/>
        <v>157616.56</v>
      </c>
      <c r="Y1317" s="273"/>
      <c r="Z1317" s="273"/>
      <c r="AA1317" s="273"/>
      <c r="AB1317" s="273"/>
      <c r="AC1317" s="273">
        <v>157616.56</v>
      </c>
      <c r="AD1317" s="16"/>
      <c r="AE1317" s="17"/>
      <c r="AF1317" s="17"/>
      <c r="AG1317" s="17"/>
    </row>
    <row r="1318" spans="1:34" x14ac:dyDescent="0.3">
      <c r="A1318" s="10">
        <f t="shared" si="272"/>
        <v>1187</v>
      </c>
      <c r="B1318" s="124" t="s">
        <v>1563</v>
      </c>
      <c r="C1318" s="273">
        <f t="shared" si="269"/>
        <v>156496.34</v>
      </c>
      <c r="D1318" s="273">
        <f t="shared" si="270"/>
        <v>0</v>
      </c>
      <c r="E1318" s="273"/>
      <c r="F1318" s="273"/>
      <c r="G1318" s="273"/>
      <c r="H1318" s="273"/>
      <c r="I1318" s="273"/>
      <c r="J1318" s="273"/>
      <c r="K1318" s="273"/>
      <c r="L1318" s="273"/>
      <c r="M1318" s="273"/>
      <c r="N1318" s="273"/>
      <c r="O1318" s="273"/>
      <c r="P1318" s="273"/>
      <c r="Q1318" s="273"/>
      <c r="R1318" s="273"/>
      <c r="S1318" s="273"/>
      <c r="T1318" s="273"/>
      <c r="U1318" s="273"/>
      <c r="V1318" s="273"/>
      <c r="W1318" s="273">
        <f t="shared" si="271"/>
        <v>156496.34</v>
      </c>
      <c r="Y1318" s="273"/>
      <c r="Z1318" s="273"/>
      <c r="AA1318" s="273"/>
      <c r="AB1318" s="273"/>
      <c r="AC1318" s="273">
        <v>156496.34</v>
      </c>
      <c r="AD1318" s="16"/>
      <c r="AE1318" s="17"/>
      <c r="AF1318" s="17"/>
      <c r="AG1318" s="17"/>
    </row>
    <row r="1319" spans="1:34" x14ac:dyDescent="0.3">
      <c r="A1319" s="10">
        <f t="shared" si="272"/>
        <v>1188</v>
      </c>
      <c r="B1319" s="124" t="s">
        <v>1565</v>
      </c>
      <c r="C1319" s="273">
        <f t="shared" si="269"/>
        <v>194421.67</v>
      </c>
      <c r="D1319" s="273">
        <f t="shared" si="270"/>
        <v>0</v>
      </c>
      <c r="E1319" s="273"/>
      <c r="F1319" s="273"/>
      <c r="G1319" s="273"/>
      <c r="H1319" s="273"/>
      <c r="I1319" s="273"/>
      <c r="J1319" s="273"/>
      <c r="K1319" s="273"/>
      <c r="L1319" s="273"/>
      <c r="M1319" s="273"/>
      <c r="N1319" s="273"/>
      <c r="O1319" s="273"/>
      <c r="P1319" s="273"/>
      <c r="Q1319" s="273"/>
      <c r="R1319" s="273"/>
      <c r="S1319" s="273"/>
      <c r="T1319" s="273"/>
      <c r="U1319" s="273"/>
      <c r="V1319" s="273"/>
      <c r="W1319" s="273">
        <f>SUM(X1319:AD1319)</f>
        <v>194421.67</v>
      </c>
      <c r="Y1319" s="273"/>
      <c r="Z1319" s="273"/>
      <c r="AA1319" s="273"/>
      <c r="AB1319" s="273"/>
      <c r="AC1319" s="273">
        <v>194421.67</v>
      </c>
      <c r="AE1319" s="273">
        <v>339711.71</v>
      </c>
      <c r="AF1319" s="16"/>
      <c r="AG1319" s="17"/>
      <c r="AH1319" s="17">
        <v>349187.36</v>
      </c>
    </row>
    <row r="1320" spans="1:34" x14ac:dyDescent="0.3">
      <c r="A1320" s="10">
        <f t="shared" si="272"/>
        <v>1189</v>
      </c>
      <c r="B1320" s="124" t="s">
        <v>1566</v>
      </c>
      <c r="C1320" s="273">
        <f t="shared" si="269"/>
        <v>504124.2</v>
      </c>
      <c r="D1320" s="273">
        <f t="shared" si="270"/>
        <v>0</v>
      </c>
      <c r="E1320" s="273"/>
      <c r="F1320" s="273"/>
      <c r="G1320" s="273"/>
      <c r="H1320" s="273"/>
      <c r="I1320" s="273"/>
      <c r="J1320" s="273"/>
      <c r="K1320" s="273"/>
      <c r="L1320" s="273"/>
      <c r="M1320" s="273"/>
      <c r="N1320" s="273"/>
      <c r="O1320" s="273"/>
      <c r="P1320" s="273"/>
      <c r="Q1320" s="273"/>
      <c r="R1320" s="273"/>
      <c r="S1320" s="273"/>
      <c r="T1320" s="273"/>
      <c r="U1320" s="273"/>
      <c r="V1320" s="273"/>
      <c r="W1320" s="273">
        <f>SUM(X1320:AG1320)</f>
        <v>504124.2</v>
      </c>
      <c r="X1320" s="273"/>
      <c r="Y1320" s="273"/>
      <c r="Z1320" s="273"/>
      <c r="AA1320" s="273"/>
      <c r="AB1320" s="273"/>
      <c r="AE1320" s="273">
        <v>264903</v>
      </c>
      <c r="AF1320" s="16">
        <v>239221.2</v>
      </c>
      <c r="AG1320" s="17"/>
    </row>
    <row r="1321" spans="1:34" x14ac:dyDescent="0.3">
      <c r="A1321" s="10">
        <f t="shared" si="272"/>
        <v>1190</v>
      </c>
      <c r="B1321" s="124" t="s">
        <v>1567</v>
      </c>
      <c r="C1321" s="273">
        <f t="shared" si="269"/>
        <v>79802.460000000006</v>
      </c>
      <c r="D1321" s="273">
        <f t="shared" si="270"/>
        <v>0</v>
      </c>
      <c r="E1321" s="273"/>
      <c r="F1321" s="273"/>
      <c r="G1321" s="273"/>
      <c r="H1321" s="273"/>
      <c r="I1321" s="273"/>
      <c r="J1321" s="273"/>
      <c r="K1321" s="273"/>
      <c r="L1321" s="273"/>
      <c r="M1321" s="273"/>
      <c r="N1321" s="273"/>
      <c r="O1321" s="273"/>
      <c r="P1321" s="273"/>
      <c r="Q1321" s="273"/>
      <c r="R1321" s="273"/>
      <c r="S1321" s="273"/>
      <c r="T1321" s="273"/>
      <c r="U1321" s="273"/>
      <c r="V1321" s="273"/>
      <c r="W1321" s="273">
        <f>SUM(X1321:AG1321)</f>
        <v>79802.460000000006</v>
      </c>
      <c r="Y1321" s="273"/>
      <c r="Z1321" s="273"/>
      <c r="AA1321" s="273"/>
      <c r="AB1321" s="273"/>
      <c r="AC1321" s="273">
        <v>79802.460000000006</v>
      </c>
      <c r="AD1321" s="16"/>
      <c r="AE1321" s="17"/>
      <c r="AF1321" s="17"/>
      <c r="AG1321" s="17"/>
    </row>
    <row r="1322" spans="1:34" x14ac:dyDescent="0.3">
      <c r="A1322" s="10">
        <f t="shared" si="272"/>
        <v>1191</v>
      </c>
      <c r="B1322" s="124" t="s">
        <v>1572</v>
      </c>
      <c r="C1322" s="273">
        <f t="shared" si="269"/>
        <v>63666.34</v>
      </c>
      <c r="D1322" s="273">
        <f t="shared" si="270"/>
        <v>0</v>
      </c>
      <c r="E1322" s="273"/>
      <c r="F1322" s="273"/>
      <c r="G1322" s="273"/>
      <c r="H1322" s="273"/>
      <c r="I1322" s="273"/>
      <c r="J1322" s="273"/>
      <c r="K1322" s="273"/>
      <c r="L1322" s="273"/>
      <c r="M1322" s="273"/>
      <c r="N1322" s="273"/>
      <c r="O1322" s="273"/>
      <c r="P1322" s="273"/>
      <c r="Q1322" s="273"/>
      <c r="R1322" s="273"/>
      <c r="S1322" s="273"/>
      <c r="T1322" s="273"/>
      <c r="U1322" s="273"/>
      <c r="V1322" s="273"/>
      <c r="W1322" s="273">
        <f>SUM(X1322:AG1322)</f>
        <v>63666.34</v>
      </c>
      <c r="Y1322" s="273"/>
      <c r="Z1322" s="273"/>
      <c r="AA1322" s="273"/>
      <c r="AB1322" s="273"/>
      <c r="AC1322" s="273">
        <v>63666.34</v>
      </c>
      <c r="AD1322" s="16"/>
      <c r="AE1322" s="17"/>
      <c r="AF1322" s="17"/>
      <c r="AG1322" s="17"/>
    </row>
    <row r="1323" spans="1:34" x14ac:dyDescent="0.3">
      <c r="A1323" s="10">
        <f t="shared" si="272"/>
        <v>1192</v>
      </c>
      <c r="B1323" s="124" t="s">
        <v>1575</v>
      </c>
      <c r="C1323" s="273">
        <f t="shared" si="269"/>
        <v>154514</v>
      </c>
      <c r="D1323" s="273">
        <f t="shared" si="270"/>
        <v>0</v>
      </c>
      <c r="E1323" s="273"/>
      <c r="F1323" s="273"/>
      <c r="G1323" s="273"/>
      <c r="H1323" s="273"/>
      <c r="I1323" s="273"/>
      <c r="J1323" s="273"/>
      <c r="K1323" s="273"/>
      <c r="L1323" s="273"/>
      <c r="M1323" s="273"/>
      <c r="N1323" s="273"/>
      <c r="O1323" s="273"/>
      <c r="P1323" s="273"/>
      <c r="Q1323" s="273"/>
      <c r="R1323" s="273"/>
      <c r="S1323" s="273"/>
      <c r="T1323" s="273"/>
      <c r="U1323" s="273"/>
      <c r="V1323" s="273"/>
      <c r="W1323" s="273">
        <f>SUM(X1323:AG1323)</f>
        <v>154514</v>
      </c>
      <c r="Y1323" s="273"/>
      <c r="Z1323" s="273"/>
      <c r="AA1323" s="273"/>
      <c r="AB1323" s="273"/>
      <c r="AC1323" s="273">
        <v>154514</v>
      </c>
      <c r="AD1323" s="16"/>
      <c r="AE1323" s="17"/>
      <c r="AF1323" s="17"/>
      <c r="AG1323" s="17"/>
    </row>
    <row r="1324" spans="1:34" x14ac:dyDescent="0.3">
      <c r="A1324" s="10">
        <f t="shared" si="272"/>
        <v>1193</v>
      </c>
      <c r="B1324" s="124" t="s">
        <v>1576</v>
      </c>
      <c r="C1324" s="273">
        <f t="shared" si="269"/>
        <v>551875.68000000005</v>
      </c>
      <c r="D1324" s="273">
        <f t="shared" si="270"/>
        <v>0</v>
      </c>
      <c r="E1324" s="273"/>
      <c r="F1324" s="273"/>
      <c r="G1324" s="273"/>
      <c r="H1324" s="273"/>
      <c r="I1324" s="273"/>
      <c r="J1324" s="273"/>
      <c r="K1324" s="273"/>
      <c r="L1324" s="273"/>
      <c r="M1324" s="273"/>
      <c r="N1324" s="273"/>
      <c r="O1324" s="273"/>
      <c r="P1324" s="273"/>
      <c r="Q1324" s="273"/>
      <c r="R1324" s="273"/>
      <c r="S1324" s="273"/>
      <c r="T1324" s="273"/>
      <c r="U1324" s="273"/>
      <c r="V1324" s="273"/>
      <c r="W1324" s="273">
        <f>SUM(X1324:AG1324)</f>
        <v>551875.68000000005</v>
      </c>
      <c r="X1324" s="273"/>
      <c r="Y1324" s="273"/>
      <c r="Z1324" s="273"/>
      <c r="AA1324" s="273"/>
      <c r="AB1324" s="273"/>
      <c r="AE1324" s="273">
        <v>340700.14</v>
      </c>
      <c r="AF1324" s="16">
        <v>211175.54</v>
      </c>
      <c r="AG1324" s="17"/>
    </row>
    <row r="1325" spans="1:34" x14ac:dyDescent="0.3">
      <c r="A1325" s="10"/>
      <c r="B1325" s="124" t="s">
        <v>208</v>
      </c>
      <c r="C1325" s="273">
        <f t="shared" ref="C1325:W1325" si="273">SUM(C1304:C1324)</f>
        <v>3703264.92</v>
      </c>
      <c r="D1325" s="273">
        <f t="shared" si="273"/>
        <v>0</v>
      </c>
      <c r="E1325" s="273">
        <f t="shared" si="273"/>
        <v>0</v>
      </c>
      <c r="F1325" s="273">
        <f t="shared" si="273"/>
        <v>0</v>
      </c>
      <c r="G1325" s="273">
        <f t="shared" si="273"/>
        <v>0</v>
      </c>
      <c r="H1325" s="273">
        <f t="shared" si="273"/>
        <v>0</v>
      </c>
      <c r="I1325" s="273">
        <f t="shared" si="273"/>
        <v>0</v>
      </c>
      <c r="J1325" s="273">
        <f t="shared" si="273"/>
        <v>0</v>
      </c>
      <c r="K1325" s="273">
        <f t="shared" si="273"/>
        <v>0</v>
      </c>
      <c r="L1325" s="273">
        <f t="shared" si="273"/>
        <v>0</v>
      </c>
      <c r="M1325" s="273">
        <f t="shared" si="273"/>
        <v>0</v>
      </c>
      <c r="N1325" s="273">
        <f t="shared" si="273"/>
        <v>0</v>
      </c>
      <c r="O1325" s="273">
        <f t="shared" si="273"/>
        <v>0</v>
      </c>
      <c r="P1325" s="273">
        <f t="shared" si="273"/>
        <v>0</v>
      </c>
      <c r="Q1325" s="273">
        <f t="shared" si="273"/>
        <v>0</v>
      </c>
      <c r="R1325" s="273">
        <f t="shared" si="273"/>
        <v>0</v>
      </c>
      <c r="S1325" s="273">
        <f t="shared" si="273"/>
        <v>0</v>
      </c>
      <c r="T1325" s="273">
        <f t="shared" si="273"/>
        <v>0</v>
      </c>
      <c r="U1325" s="273">
        <f t="shared" si="273"/>
        <v>0</v>
      </c>
      <c r="V1325" s="273">
        <f t="shared" si="273"/>
        <v>0</v>
      </c>
      <c r="W1325" s="273">
        <f t="shared" si="273"/>
        <v>3703264.92</v>
      </c>
      <c r="X1325" s="273"/>
      <c r="Y1325" s="273"/>
      <c r="Z1325" s="273"/>
      <c r="AA1325" s="273"/>
      <c r="AB1325" s="273"/>
      <c r="AC1325" s="273"/>
      <c r="AD1325" s="16"/>
      <c r="AE1325" s="17"/>
      <c r="AF1325" s="17"/>
      <c r="AG1325" s="17"/>
    </row>
    <row r="1326" spans="1:34" ht="15" customHeight="1" x14ac:dyDescent="0.3">
      <c r="A1326" s="264" t="s">
        <v>1581</v>
      </c>
      <c r="B1326" s="124"/>
      <c r="C1326" s="273"/>
      <c r="D1326" s="273"/>
      <c r="E1326" s="273"/>
      <c r="F1326" s="273"/>
      <c r="G1326" s="273"/>
      <c r="H1326" s="273"/>
      <c r="I1326" s="273"/>
      <c r="J1326" s="273"/>
      <c r="K1326" s="273"/>
      <c r="L1326" s="273"/>
      <c r="M1326" s="273"/>
      <c r="N1326" s="273"/>
      <c r="O1326" s="273"/>
      <c r="P1326" s="273"/>
      <c r="Q1326" s="273"/>
      <c r="R1326" s="273"/>
      <c r="S1326" s="273"/>
      <c r="T1326" s="273"/>
      <c r="U1326" s="273"/>
      <c r="V1326" s="273"/>
      <c r="W1326" s="273"/>
      <c r="X1326" s="273"/>
      <c r="Y1326" s="273"/>
      <c r="Z1326" s="273"/>
      <c r="AA1326" s="273"/>
      <c r="AB1326" s="273"/>
      <c r="AC1326" s="273"/>
      <c r="AD1326" s="16"/>
      <c r="AE1326" s="17"/>
      <c r="AF1326" s="17"/>
      <c r="AG1326" s="17"/>
    </row>
    <row r="1327" spans="1:34" x14ac:dyDescent="0.3">
      <c r="A1327" s="10">
        <f>A1324+1</f>
        <v>1194</v>
      </c>
      <c r="B1327" s="124" t="s">
        <v>1583</v>
      </c>
      <c r="C1327" s="273">
        <f>D1327+K1327+L1327+N1327+P1327+R1327+S1327+U1327+V1327+W1327</f>
        <v>964008.39</v>
      </c>
      <c r="D1327" s="273">
        <f>E1327+F1327+G1327+H1327+I1327</f>
        <v>0</v>
      </c>
      <c r="E1327" s="273"/>
      <c r="F1327" s="273"/>
      <c r="G1327" s="273"/>
      <c r="H1327" s="273"/>
      <c r="I1327" s="273"/>
      <c r="J1327" s="273"/>
      <c r="K1327" s="273"/>
      <c r="L1327" s="273"/>
      <c r="M1327" s="273"/>
      <c r="N1327" s="273"/>
      <c r="O1327" s="273"/>
      <c r="P1327" s="273"/>
      <c r="Q1327" s="273"/>
      <c r="R1327" s="273"/>
      <c r="S1327" s="273"/>
      <c r="T1327" s="273"/>
      <c r="U1327" s="273"/>
      <c r="V1327" s="273"/>
      <c r="W1327" s="273">
        <f>SUM(X1327:AG1327)</f>
        <v>964008.39</v>
      </c>
      <c r="X1327" s="273"/>
      <c r="Y1327" s="273"/>
      <c r="Z1327" s="273"/>
      <c r="AA1327" s="273"/>
      <c r="AB1327" s="273"/>
      <c r="AE1327" s="273">
        <v>178812.06</v>
      </c>
      <c r="AF1327" s="16">
        <v>252174.47</v>
      </c>
      <c r="AG1327" s="17">
        <v>533021.86</v>
      </c>
    </row>
    <row r="1328" spans="1:34" x14ac:dyDescent="0.3">
      <c r="A1328" s="10">
        <f>A1327+1</f>
        <v>1195</v>
      </c>
      <c r="B1328" s="124" t="s">
        <v>1586</v>
      </c>
      <c r="C1328" s="273">
        <f>D1328+K1328+L1328+N1328+P1328+R1328+S1328+U1328+V1328+W1328</f>
        <v>879324.58</v>
      </c>
      <c r="D1328" s="273">
        <f>E1328+F1328+G1328+H1328+I1328</f>
        <v>0</v>
      </c>
      <c r="E1328" s="273"/>
      <c r="F1328" s="273"/>
      <c r="G1328" s="273"/>
      <c r="H1328" s="273"/>
      <c r="I1328" s="273"/>
      <c r="J1328" s="273"/>
      <c r="K1328" s="273"/>
      <c r="L1328" s="273"/>
      <c r="M1328" s="273"/>
      <c r="N1328" s="273"/>
      <c r="O1328" s="273"/>
      <c r="P1328" s="273"/>
      <c r="Q1328" s="273"/>
      <c r="R1328" s="273"/>
      <c r="S1328" s="273"/>
      <c r="T1328" s="273"/>
      <c r="U1328" s="273"/>
      <c r="V1328" s="273"/>
      <c r="W1328" s="273">
        <f>SUM(X1328:AG1328)</f>
        <v>879324.58</v>
      </c>
      <c r="X1328" s="273">
        <v>90260.76</v>
      </c>
      <c r="Y1328" s="273"/>
      <c r="Z1328" s="273"/>
      <c r="AA1328" s="273"/>
      <c r="AB1328" s="273"/>
      <c r="AE1328" s="273">
        <v>150836.59</v>
      </c>
      <c r="AF1328" s="16">
        <v>206936.59</v>
      </c>
      <c r="AG1328" s="17">
        <v>431290.64</v>
      </c>
    </row>
    <row r="1329" spans="1:37" x14ac:dyDescent="0.3">
      <c r="A1329" s="10">
        <f>A1328+1</f>
        <v>1196</v>
      </c>
      <c r="B1329" s="124" t="s">
        <v>1587</v>
      </c>
      <c r="C1329" s="273">
        <f>D1329+K1329+L1329+N1329+P1329+R1329+S1329+U1329+V1329+W1329</f>
        <v>168556.38999999998</v>
      </c>
      <c r="D1329" s="273">
        <f>E1329+F1329+G1329+H1329+I1329</f>
        <v>0</v>
      </c>
      <c r="E1329" s="273"/>
      <c r="F1329" s="273"/>
      <c r="G1329" s="273"/>
      <c r="H1329" s="273"/>
      <c r="I1329" s="273"/>
      <c r="J1329" s="273"/>
      <c r="K1329" s="273"/>
      <c r="L1329" s="273"/>
      <c r="M1329" s="273"/>
      <c r="N1329" s="273"/>
      <c r="O1329" s="273"/>
      <c r="P1329" s="273"/>
      <c r="Q1329" s="273"/>
      <c r="R1329" s="273"/>
      <c r="S1329" s="273"/>
      <c r="T1329" s="273"/>
      <c r="U1329" s="273"/>
      <c r="V1329" s="273"/>
      <c r="W1329" s="273">
        <f>SUM(X1329:AG1329)</f>
        <v>168556.38999999998</v>
      </c>
      <c r="X1329" s="273">
        <v>110445.01</v>
      </c>
      <c r="Y1329" s="273"/>
      <c r="Z1329" s="273"/>
      <c r="AA1329" s="273"/>
      <c r="AB1329" s="273"/>
      <c r="AC1329" s="273"/>
      <c r="AE1329" s="17"/>
      <c r="AF1329" s="16">
        <v>58111.38</v>
      </c>
      <c r="AG1329" s="17"/>
    </row>
    <row r="1330" spans="1:37" x14ac:dyDescent="0.3">
      <c r="A1330" s="10">
        <f>A1329+1</f>
        <v>1197</v>
      </c>
      <c r="B1330" s="124" t="s">
        <v>1588</v>
      </c>
      <c r="C1330" s="273">
        <f>D1330+K1330+L1330+N1330+P1330+R1330+S1330+U1330+V1330+W1330</f>
        <v>305996.44</v>
      </c>
      <c r="D1330" s="273">
        <f>E1330+F1330+G1330+H1330+I1330</f>
        <v>0</v>
      </c>
      <c r="E1330" s="273"/>
      <c r="F1330" s="273"/>
      <c r="G1330" s="273"/>
      <c r="H1330" s="273"/>
      <c r="I1330" s="273"/>
      <c r="J1330" s="273"/>
      <c r="K1330" s="273"/>
      <c r="L1330" s="273"/>
      <c r="M1330" s="273"/>
      <c r="N1330" s="273"/>
      <c r="O1330" s="273"/>
      <c r="P1330" s="273"/>
      <c r="Q1330" s="273"/>
      <c r="R1330" s="273"/>
      <c r="S1330" s="273"/>
      <c r="T1330" s="273"/>
      <c r="U1330" s="273"/>
      <c r="V1330" s="273"/>
      <c r="W1330" s="273">
        <f>SUM(X1330:AG1330)</f>
        <v>305996.44</v>
      </c>
      <c r="X1330" s="273">
        <v>120465.47</v>
      </c>
      <c r="Y1330" s="273"/>
      <c r="Z1330" s="273"/>
      <c r="AA1330" s="273"/>
      <c r="AB1330" s="273"/>
      <c r="AC1330" s="273"/>
      <c r="AE1330" s="17"/>
      <c r="AF1330" s="16">
        <v>185530.97</v>
      </c>
      <c r="AG1330" s="17"/>
    </row>
    <row r="1331" spans="1:37" x14ac:dyDescent="0.3">
      <c r="A1331" s="8"/>
      <c r="B1331" s="124" t="s">
        <v>208</v>
      </c>
      <c r="C1331" s="273">
        <f t="shared" ref="C1331:W1331" si="274">SUM(C1327:C1330)</f>
        <v>2317885.7999999998</v>
      </c>
      <c r="D1331" s="273">
        <f t="shared" si="274"/>
        <v>0</v>
      </c>
      <c r="E1331" s="273">
        <f t="shared" si="274"/>
        <v>0</v>
      </c>
      <c r="F1331" s="273">
        <f t="shared" si="274"/>
        <v>0</v>
      </c>
      <c r="G1331" s="273">
        <f t="shared" si="274"/>
        <v>0</v>
      </c>
      <c r="H1331" s="273">
        <f t="shared" si="274"/>
        <v>0</v>
      </c>
      <c r="I1331" s="273">
        <f t="shared" si="274"/>
        <v>0</v>
      </c>
      <c r="J1331" s="273">
        <f t="shared" si="274"/>
        <v>0</v>
      </c>
      <c r="K1331" s="273">
        <f t="shared" si="274"/>
        <v>0</v>
      </c>
      <c r="L1331" s="273">
        <f t="shared" si="274"/>
        <v>0</v>
      </c>
      <c r="M1331" s="273">
        <f t="shared" si="274"/>
        <v>0</v>
      </c>
      <c r="N1331" s="273">
        <f t="shared" si="274"/>
        <v>0</v>
      </c>
      <c r="O1331" s="273">
        <f t="shared" si="274"/>
        <v>0</v>
      </c>
      <c r="P1331" s="273">
        <f t="shared" si="274"/>
        <v>0</v>
      </c>
      <c r="Q1331" s="273">
        <f t="shared" si="274"/>
        <v>0</v>
      </c>
      <c r="R1331" s="273">
        <f t="shared" si="274"/>
        <v>0</v>
      </c>
      <c r="S1331" s="273">
        <f t="shared" si="274"/>
        <v>0</v>
      </c>
      <c r="T1331" s="273">
        <f t="shared" si="274"/>
        <v>0</v>
      </c>
      <c r="U1331" s="273">
        <f t="shared" si="274"/>
        <v>0</v>
      </c>
      <c r="V1331" s="273">
        <f t="shared" si="274"/>
        <v>0</v>
      </c>
      <c r="W1331" s="273">
        <f t="shared" si="274"/>
        <v>2317885.7999999998</v>
      </c>
      <c r="X1331" s="269"/>
      <c r="Y1331" s="269"/>
      <c r="Z1331" s="269"/>
      <c r="AA1331" s="269"/>
      <c r="AB1331" s="269"/>
      <c r="AC1331" s="269"/>
      <c r="AD1331" s="84"/>
      <c r="AE1331" s="82"/>
      <c r="AF1331" s="82"/>
      <c r="AG1331" s="82"/>
    </row>
    <row r="1332" spans="1:37" x14ac:dyDescent="0.3">
      <c r="A1332" s="392" t="s">
        <v>1589</v>
      </c>
      <c r="B1332" s="393"/>
      <c r="C1332" s="273">
        <f t="shared" ref="C1332:W1332" si="275">C1302+C1325+C1331</f>
        <v>11003049.039999999</v>
      </c>
      <c r="D1332" s="273">
        <f t="shared" si="275"/>
        <v>0</v>
      </c>
      <c r="E1332" s="273">
        <f t="shared" si="275"/>
        <v>0</v>
      </c>
      <c r="F1332" s="273">
        <f t="shared" si="275"/>
        <v>0</v>
      </c>
      <c r="G1332" s="273">
        <f t="shared" si="275"/>
        <v>0</v>
      </c>
      <c r="H1332" s="273">
        <f t="shared" si="275"/>
        <v>0</v>
      </c>
      <c r="I1332" s="273">
        <f t="shared" si="275"/>
        <v>0</v>
      </c>
      <c r="J1332" s="273">
        <f t="shared" si="275"/>
        <v>0</v>
      </c>
      <c r="K1332" s="273">
        <f t="shared" si="275"/>
        <v>0</v>
      </c>
      <c r="L1332" s="273">
        <f t="shared" si="275"/>
        <v>0</v>
      </c>
      <c r="M1332" s="273">
        <f t="shared" si="275"/>
        <v>0</v>
      </c>
      <c r="N1332" s="273">
        <f t="shared" si="275"/>
        <v>0</v>
      </c>
      <c r="O1332" s="273">
        <f t="shared" si="275"/>
        <v>0</v>
      </c>
      <c r="P1332" s="273">
        <f t="shared" si="275"/>
        <v>0</v>
      </c>
      <c r="Q1332" s="273">
        <f t="shared" si="275"/>
        <v>0</v>
      </c>
      <c r="R1332" s="273">
        <f t="shared" si="275"/>
        <v>0</v>
      </c>
      <c r="S1332" s="273">
        <f t="shared" si="275"/>
        <v>0</v>
      </c>
      <c r="T1332" s="273">
        <f t="shared" si="275"/>
        <v>0</v>
      </c>
      <c r="U1332" s="273">
        <f t="shared" si="275"/>
        <v>0</v>
      </c>
      <c r="V1332" s="273">
        <f t="shared" si="275"/>
        <v>0</v>
      </c>
      <c r="W1332" s="273">
        <f t="shared" si="275"/>
        <v>11003049.039999999</v>
      </c>
      <c r="X1332" s="269"/>
      <c r="Y1332" s="269"/>
      <c r="Z1332" s="269"/>
      <c r="AA1332" s="269"/>
      <c r="AB1332" s="269"/>
      <c r="AC1332" s="269"/>
      <c r="AD1332" s="84"/>
      <c r="AE1332" s="82"/>
      <c r="AF1332" s="82"/>
      <c r="AG1332" s="82"/>
    </row>
    <row r="1333" spans="1:37" ht="15" customHeight="1" x14ac:dyDescent="0.3">
      <c r="A1333" s="379" t="s">
        <v>1590</v>
      </c>
      <c r="B1333" s="380"/>
      <c r="C1333" s="380"/>
      <c r="D1333" s="380"/>
      <c r="E1333" s="380"/>
      <c r="F1333" s="380"/>
      <c r="G1333" s="380"/>
      <c r="H1333" s="380"/>
      <c r="I1333" s="380"/>
      <c r="J1333" s="380"/>
      <c r="K1333" s="380"/>
      <c r="L1333" s="380"/>
      <c r="M1333" s="380"/>
      <c r="N1333" s="380"/>
      <c r="O1333" s="380"/>
      <c r="P1333" s="380"/>
      <c r="Q1333" s="380"/>
      <c r="R1333" s="380"/>
      <c r="S1333" s="380"/>
      <c r="T1333" s="380"/>
      <c r="U1333" s="380"/>
      <c r="V1333" s="380"/>
      <c r="W1333" s="381"/>
      <c r="X1333" s="273"/>
      <c r="Y1333" s="273"/>
      <c r="Z1333" s="273"/>
      <c r="AA1333" s="273"/>
      <c r="AB1333" s="273"/>
      <c r="AC1333" s="273"/>
      <c r="AD1333" s="273"/>
      <c r="AE1333" s="273"/>
      <c r="AF1333" s="14"/>
      <c r="AG1333" s="15"/>
      <c r="AH1333" s="15"/>
      <c r="AI1333" s="15"/>
      <c r="AJ1333" s="15"/>
      <c r="AK1333" s="13"/>
    </row>
    <row r="1334" spans="1:37" ht="15" customHeight="1" x14ac:dyDescent="0.3">
      <c r="A1334" s="371" t="s">
        <v>1597</v>
      </c>
      <c r="B1334" s="372"/>
      <c r="C1334" s="273"/>
      <c r="D1334" s="273"/>
      <c r="E1334" s="273"/>
      <c r="F1334" s="273"/>
      <c r="G1334" s="273"/>
      <c r="H1334" s="273"/>
      <c r="I1334" s="273"/>
      <c r="J1334" s="273"/>
      <c r="K1334" s="273"/>
      <c r="L1334" s="273"/>
      <c r="M1334" s="273"/>
      <c r="N1334" s="273"/>
      <c r="O1334" s="273"/>
      <c r="P1334" s="273"/>
      <c r="Q1334" s="273"/>
      <c r="R1334" s="273"/>
      <c r="S1334" s="273"/>
      <c r="T1334" s="273"/>
      <c r="U1334" s="273"/>
      <c r="V1334" s="273"/>
      <c r="W1334" s="273"/>
      <c r="X1334" s="273"/>
      <c r="Y1334" s="273"/>
      <c r="Z1334" s="273"/>
      <c r="AA1334" s="273"/>
      <c r="AB1334" s="273"/>
      <c r="AC1334" s="273"/>
      <c r="AD1334" s="273"/>
      <c r="AE1334" s="273"/>
      <c r="AF1334" s="14"/>
      <c r="AG1334" s="15"/>
      <c r="AH1334" s="15"/>
      <c r="AI1334" s="15"/>
      <c r="AJ1334" s="15"/>
      <c r="AK1334" s="13"/>
    </row>
    <row r="1335" spans="1:37" x14ac:dyDescent="0.3">
      <c r="A1335" s="10">
        <f>A1330+1</f>
        <v>1198</v>
      </c>
      <c r="B1335" s="124" t="s">
        <v>145</v>
      </c>
      <c r="C1335" s="273">
        <f t="shared" ref="C1335:C1346" si="276">D1335+K1335+L1335+N1335+P1335+R1335+S1335+U1335+V1335+W1335</f>
        <v>91146.240000000005</v>
      </c>
      <c r="D1335" s="273">
        <f>E1335+F1335+G1335+H1335+I1335</f>
        <v>0</v>
      </c>
      <c r="E1335" s="273"/>
      <c r="F1335" s="273"/>
      <c r="G1335" s="273"/>
      <c r="H1335" s="273"/>
      <c r="I1335" s="273"/>
      <c r="J1335" s="273"/>
      <c r="K1335" s="273"/>
      <c r="L1335" s="273"/>
      <c r="M1335" s="273"/>
      <c r="N1335" s="273"/>
      <c r="O1335" s="273"/>
      <c r="P1335" s="273"/>
      <c r="Q1335" s="273"/>
      <c r="R1335" s="273"/>
      <c r="S1335" s="273"/>
      <c r="T1335" s="273"/>
      <c r="U1335" s="273"/>
      <c r="V1335" s="273"/>
      <c r="W1335" s="273">
        <f>AC1335+AE1335+AF1335+AG1335+AH1335+AI1335+AJ1335+Z1335</f>
        <v>91146.240000000005</v>
      </c>
      <c r="X1335" s="273"/>
      <c r="Z1335" s="273"/>
      <c r="AA1335" s="273"/>
      <c r="AB1335" s="273"/>
      <c r="AC1335" s="273">
        <v>91146.240000000005</v>
      </c>
      <c r="AD1335" s="273"/>
      <c r="AE1335" s="273"/>
      <c r="AF1335" s="14"/>
      <c r="AG1335" s="15"/>
      <c r="AH1335" s="15"/>
      <c r="AI1335" s="15"/>
      <c r="AJ1335" s="15"/>
      <c r="AK1335" s="13"/>
    </row>
    <row r="1336" spans="1:37" x14ac:dyDescent="0.3">
      <c r="A1336" s="10">
        <f t="shared" ref="A1336:A1346" si="277">A1335+1</f>
        <v>1199</v>
      </c>
      <c r="B1336" s="124" t="s">
        <v>1598</v>
      </c>
      <c r="C1336" s="273">
        <f t="shared" si="276"/>
        <v>91274.41</v>
      </c>
      <c r="D1336" s="273">
        <f>E1336+F1336+G1336+H1336+I1336</f>
        <v>0</v>
      </c>
      <c r="E1336" s="273"/>
      <c r="F1336" s="273"/>
      <c r="G1336" s="273"/>
      <c r="H1336" s="273"/>
      <c r="I1336" s="273"/>
      <c r="J1336" s="273"/>
      <c r="K1336" s="273"/>
      <c r="L1336" s="273"/>
      <c r="M1336" s="273"/>
      <c r="N1336" s="273"/>
      <c r="O1336" s="273"/>
      <c r="P1336" s="273"/>
      <c r="Q1336" s="273"/>
      <c r="R1336" s="273"/>
      <c r="S1336" s="273"/>
      <c r="T1336" s="273"/>
      <c r="U1336" s="273"/>
      <c r="V1336" s="273"/>
      <c r="W1336" s="273">
        <f>AC1336+AE1336+AF1336+AG1336+AH1336+AI1336+AJ1336+Z1336</f>
        <v>91274.41</v>
      </c>
      <c r="X1336" s="273"/>
      <c r="Z1336" s="273"/>
      <c r="AA1336" s="273"/>
      <c r="AB1336" s="273"/>
      <c r="AC1336" s="273">
        <v>91274.41</v>
      </c>
      <c r="AD1336" s="273"/>
      <c r="AE1336" s="273"/>
      <c r="AF1336" s="14"/>
      <c r="AG1336" s="15"/>
      <c r="AH1336" s="15"/>
      <c r="AI1336" s="15"/>
      <c r="AJ1336" s="15"/>
      <c r="AK1336" s="13"/>
    </row>
    <row r="1337" spans="1:37" x14ac:dyDescent="0.3">
      <c r="A1337" s="10">
        <f t="shared" si="277"/>
        <v>1200</v>
      </c>
      <c r="B1337" s="124" t="s">
        <v>1599</v>
      </c>
      <c r="C1337" s="273">
        <f t="shared" si="276"/>
        <v>120758.05</v>
      </c>
      <c r="D1337" s="273">
        <f>E1337+F1337+G1337+H1337+I1337</f>
        <v>0</v>
      </c>
      <c r="E1337" s="273"/>
      <c r="F1337" s="273"/>
      <c r="G1337" s="273"/>
      <c r="H1337" s="273"/>
      <c r="I1337" s="273"/>
      <c r="J1337" s="273"/>
      <c r="K1337" s="273"/>
      <c r="L1337" s="273"/>
      <c r="M1337" s="273"/>
      <c r="N1337" s="273"/>
      <c r="O1337" s="273"/>
      <c r="P1337" s="273"/>
      <c r="Q1337" s="273"/>
      <c r="R1337" s="273"/>
      <c r="S1337" s="273"/>
      <c r="T1337" s="273"/>
      <c r="U1337" s="273"/>
      <c r="V1337" s="273"/>
      <c r="W1337" s="273">
        <f>AC1337+AE1337+AF1337+AG1337+AH1337+AI1337+AJ1337+Z1337</f>
        <v>120758.05</v>
      </c>
      <c r="X1337" s="273"/>
      <c r="Z1337" s="273"/>
      <c r="AA1337" s="273"/>
      <c r="AB1337" s="273"/>
      <c r="AC1337" s="273">
        <v>120758.05</v>
      </c>
      <c r="AD1337" s="273"/>
      <c r="AE1337" s="273"/>
      <c r="AF1337" s="14"/>
      <c r="AG1337" s="15"/>
      <c r="AH1337" s="15"/>
      <c r="AI1337" s="15"/>
      <c r="AJ1337" s="15"/>
      <c r="AK1337" s="13"/>
    </row>
    <row r="1338" spans="1:37" x14ac:dyDescent="0.3">
      <c r="A1338" s="10">
        <f t="shared" si="277"/>
        <v>1201</v>
      </c>
      <c r="B1338" s="124" t="s">
        <v>1600</v>
      </c>
      <c r="C1338" s="273">
        <f t="shared" si="276"/>
        <v>474841.52</v>
      </c>
      <c r="D1338" s="273">
        <f>E1338+F1338+G1338+H1338+I1338</f>
        <v>0</v>
      </c>
      <c r="E1338" s="273"/>
      <c r="F1338" s="273"/>
      <c r="G1338" s="273"/>
      <c r="H1338" s="273"/>
      <c r="I1338" s="273"/>
      <c r="J1338" s="273"/>
      <c r="K1338" s="273"/>
      <c r="L1338" s="273"/>
      <c r="M1338" s="273"/>
      <c r="N1338" s="273"/>
      <c r="O1338" s="273"/>
      <c r="P1338" s="273"/>
      <c r="Q1338" s="273"/>
      <c r="R1338" s="273"/>
      <c r="S1338" s="273"/>
      <c r="T1338" s="273"/>
      <c r="U1338" s="273"/>
      <c r="V1338" s="273"/>
      <c r="W1338" s="273">
        <f>AC1338+AE1338+AF1338+AG1338+AH1338+AI1338+AJ1338</f>
        <v>474841.52</v>
      </c>
      <c r="X1338" s="273"/>
      <c r="Z1338" s="273"/>
      <c r="AA1338" s="273"/>
      <c r="AB1338" s="273"/>
      <c r="AC1338" s="273"/>
      <c r="AD1338" s="273"/>
      <c r="AE1338" s="273"/>
      <c r="AF1338" s="14">
        <v>474841.52</v>
      </c>
      <c r="AG1338" s="15"/>
      <c r="AH1338" s="15"/>
      <c r="AI1338" s="15"/>
      <c r="AJ1338" s="15"/>
      <c r="AK1338" s="13"/>
    </row>
    <row r="1339" spans="1:37" x14ac:dyDescent="0.3">
      <c r="A1339" s="10">
        <f t="shared" si="277"/>
        <v>1202</v>
      </c>
      <c r="B1339" s="124" t="s">
        <v>1601</v>
      </c>
      <c r="C1339" s="273">
        <f t="shared" si="276"/>
        <v>130000</v>
      </c>
      <c r="D1339" s="273"/>
      <c r="E1339" s="273"/>
      <c r="F1339" s="273"/>
      <c r="G1339" s="273"/>
      <c r="H1339" s="273"/>
      <c r="I1339" s="273"/>
      <c r="J1339" s="273"/>
      <c r="K1339" s="273"/>
      <c r="L1339" s="273"/>
      <c r="M1339" s="273"/>
      <c r="N1339" s="273"/>
      <c r="O1339" s="273"/>
      <c r="P1339" s="273"/>
      <c r="Q1339" s="273"/>
      <c r="R1339" s="273"/>
      <c r="S1339" s="273"/>
      <c r="T1339" s="273"/>
      <c r="U1339" s="273"/>
      <c r="V1339" s="273"/>
      <c r="W1339" s="273">
        <v>130000</v>
      </c>
      <c r="X1339" s="273"/>
      <c r="Z1339" s="273"/>
      <c r="AA1339" s="273"/>
      <c r="AB1339" s="273"/>
      <c r="AC1339" s="273"/>
      <c r="AD1339" s="273"/>
      <c r="AE1339" s="273"/>
      <c r="AF1339" s="14"/>
      <c r="AG1339" s="15"/>
      <c r="AH1339" s="15"/>
      <c r="AI1339" s="15"/>
      <c r="AJ1339" s="15"/>
      <c r="AK1339" s="13"/>
    </row>
    <row r="1340" spans="1:37" x14ac:dyDescent="0.3">
      <c r="A1340" s="10">
        <f t="shared" si="277"/>
        <v>1203</v>
      </c>
      <c r="B1340" s="124" t="s">
        <v>1602</v>
      </c>
      <c r="C1340" s="273">
        <f t="shared" si="276"/>
        <v>181079.69</v>
      </c>
      <c r="D1340" s="273">
        <f t="shared" ref="D1340:D1346" si="278">E1340+F1340+G1340+H1340+I1340</f>
        <v>0</v>
      </c>
      <c r="E1340" s="273"/>
      <c r="F1340" s="273"/>
      <c r="G1340" s="273"/>
      <c r="H1340" s="273"/>
      <c r="I1340" s="273"/>
      <c r="J1340" s="273"/>
      <c r="K1340" s="273"/>
      <c r="L1340" s="273"/>
      <c r="M1340" s="273"/>
      <c r="N1340" s="273"/>
      <c r="O1340" s="273"/>
      <c r="P1340" s="273"/>
      <c r="Q1340" s="273"/>
      <c r="R1340" s="273"/>
      <c r="S1340" s="273"/>
      <c r="T1340" s="273"/>
      <c r="U1340" s="273"/>
      <c r="V1340" s="273"/>
      <c r="W1340" s="273">
        <f>AC1340+AE1340+AF1340+AG1340+AH1340+AI1340+AJ1340</f>
        <v>181079.69</v>
      </c>
      <c r="X1340" s="273"/>
      <c r="Z1340" s="273"/>
      <c r="AA1340" s="273"/>
      <c r="AB1340" s="273"/>
      <c r="AC1340" s="273">
        <v>181079.69</v>
      </c>
      <c r="AD1340" s="273"/>
      <c r="AE1340" s="273"/>
      <c r="AF1340" s="14"/>
      <c r="AG1340" s="15"/>
      <c r="AH1340" s="15"/>
      <c r="AI1340" s="15"/>
      <c r="AJ1340" s="15"/>
      <c r="AK1340" s="13"/>
    </row>
    <row r="1341" spans="1:37" x14ac:dyDescent="0.3">
      <c r="A1341" s="10">
        <f t="shared" si="277"/>
        <v>1204</v>
      </c>
      <c r="B1341" s="124" t="s">
        <v>1603</v>
      </c>
      <c r="C1341" s="273">
        <f t="shared" si="276"/>
        <v>168898.76</v>
      </c>
      <c r="D1341" s="273">
        <f t="shared" si="278"/>
        <v>0</v>
      </c>
      <c r="E1341" s="273"/>
      <c r="F1341" s="273"/>
      <c r="G1341" s="273"/>
      <c r="H1341" s="273"/>
      <c r="I1341" s="273"/>
      <c r="J1341" s="273"/>
      <c r="K1341" s="273"/>
      <c r="L1341" s="273"/>
      <c r="M1341" s="273"/>
      <c r="N1341" s="273"/>
      <c r="O1341" s="273"/>
      <c r="P1341" s="273"/>
      <c r="Q1341" s="273"/>
      <c r="R1341" s="273"/>
      <c r="S1341" s="273"/>
      <c r="T1341" s="273"/>
      <c r="U1341" s="273"/>
      <c r="V1341" s="273"/>
      <c r="W1341" s="273">
        <f>AC1341+AE1341+AF1341+AG1341+AH1341+AI1341+AJ1341</f>
        <v>168898.76</v>
      </c>
      <c r="X1341" s="273"/>
      <c r="Z1341" s="273"/>
      <c r="AA1341" s="273"/>
      <c r="AB1341" s="273"/>
      <c r="AC1341" s="273">
        <v>168898.76</v>
      </c>
      <c r="AD1341" s="273"/>
      <c r="AE1341" s="273"/>
      <c r="AF1341" s="14"/>
      <c r="AG1341" s="15"/>
      <c r="AH1341" s="15"/>
      <c r="AI1341" s="15"/>
      <c r="AJ1341" s="15"/>
      <c r="AK1341" s="13"/>
    </row>
    <row r="1342" spans="1:37" x14ac:dyDescent="0.3">
      <c r="A1342" s="10">
        <f t="shared" si="277"/>
        <v>1205</v>
      </c>
      <c r="B1342" s="124" t="s">
        <v>1604</v>
      </c>
      <c r="C1342" s="273">
        <f t="shared" si="276"/>
        <v>303249.68</v>
      </c>
      <c r="D1342" s="273">
        <f t="shared" si="278"/>
        <v>0</v>
      </c>
      <c r="E1342" s="273"/>
      <c r="F1342" s="273"/>
      <c r="G1342" s="273"/>
      <c r="H1342" s="273"/>
      <c r="I1342" s="273"/>
      <c r="J1342" s="273"/>
      <c r="K1342" s="273"/>
      <c r="L1342" s="273"/>
      <c r="M1342" s="273"/>
      <c r="N1342" s="273"/>
      <c r="O1342" s="273"/>
      <c r="P1342" s="273"/>
      <c r="Q1342" s="273"/>
      <c r="R1342" s="273"/>
      <c r="S1342" s="273"/>
      <c r="T1342" s="273"/>
      <c r="U1342" s="273"/>
      <c r="V1342" s="273"/>
      <c r="W1342" s="273">
        <f>AC1342+AE1342+AF1342+AG1342+AH1342+AI1342+AJ1342</f>
        <v>303249.68</v>
      </c>
      <c r="X1342" s="273"/>
      <c r="Z1342" s="273"/>
      <c r="AA1342" s="273"/>
      <c r="AB1342" s="273"/>
      <c r="AC1342" s="273"/>
      <c r="AD1342" s="273"/>
      <c r="AE1342" s="273">
        <v>303249.68</v>
      </c>
      <c r="AF1342" s="14"/>
      <c r="AG1342" s="15"/>
      <c r="AH1342" s="15"/>
      <c r="AI1342" s="15"/>
      <c r="AJ1342" s="15"/>
      <c r="AK1342" s="13"/>
    </row>
    <row r="1343" spans="1:37" x14ac:dyDescent="0.3">
      <c r="A1343" s="10">
        <f t="shared" si="277"/>
        <v>1206</v>
      </c>
      <c r="B1343" s="124" t="s">
        <v>1605</v>
      </c>
      <c r="C1343" s="273">
        <f t="shared" si="276"/>
        <v>452113.68</v>
      </c>
      <c r="D1343" s="273">
        <f t="shared" si="278"/>
        <v>0</v>
      </c>
      <c r="E1343" s="273"/>
      <c r="F1343" s="273"/>
      <c r="G1343" s="273"/>
      <c r="H1343" s="273"/>
      <c r="I1343" s="273"/>
      <c r="J1343" s="273"/>
      <c r="K1343" s="273"/>
      <c r="L1343" s="273"/>
      <c r="M1343" s="273"/>
      <c r="N1343" s="273"/>
      <c r="O1343" s="273"/>
      <c r="P1343" s="273"/>
      <c r="Q1343" s="273"/>
      <c r="R1343" s="273"/>
      <c r="S1343" s="273"/>
      <c r="T1343" s="273"/>
      <c r="U1343" s="273"/>
      <c r="V1343" s="273"/>
      <c r="W1343" s="273">
        <f>AC1343+AE1343+AF1343+AG1343+AH1343+AI1343+AJ1343</f>
        <v>452113.68</v>
      </c>
      <c r="X1343" s="273"/>
      <c r="Z1343" s="273"/>
      <c r="AA1343" s="273"/>
      <c r="AB1343" s="273"/>
      <c r="AC1343" s="273">
        <v>158211.20000000001</v>
      </c>
      <c r="AD1343" s="273"/>
      <c r="AE1343" s="273">
        <v>293902.48</v>
      </c>
      <c r="AF1343" s="14"/>
      <c r="AG1343" s="15"/>
      <c r="AH1343" s="15"/>
      <c r="AI1343" s="15"/>
      <c r="AJ1343" s="15"/>
      <c r="AK1343" s="13"/>
    </row>
    <row r="1344" spans="1:37" x14ac:dyDescent="0.3">
      <c r="A1344" s="10">
        <f t="shared" si="277"/>
        <v>1207</v>
      </c>
      <c r="B1344" s="124" t="s">
        <v>1606</v>
      </c>
      <c r="C1344" s="273">
        <f t="shared" si="276"/>
        <v>304841.40000000002</v>
      </c>
      <c r="D1344" s="273">
        <f t="shared" si="278"/>
        <v>0</v>
      </c>
      <c r="E1344" s="273"/>
      <c r="F1344" s="273"/>
      <c r="G1344" s="273"/>
      <c r="H1344" s="273"/>
      <c r="I1344" s="273"/>
      <c r="J1344" s="273"/>
      <c r="K1344" s="273"/>
      <c r="L1344" s="273"/>
      <c r="M1344" s="273"/>
      <c r="N1344" s="273"/>
      <c r="O1344" s="273"/>
      <c r="P1344" s="273"/>
      <c r="Q1344" s="273"/>
      <c r="R1344" s="273"/>
      <c r="S1344" s="273"/>
      <c r="T1344" s="273"/>
      <c r="U1344" s="273"/>
      <c r="V1344" s="273"/>
      <c r="W1344" s="273">
        <f>Y1344+AE1344+AF1344+AG1344+AH1344+AI1344+AJ1344</f>
        <v>304841.40000000002</v>
      </c>
      <c r="X1344" s="273"/>
      <c r="Y1344" s="273"/>
      <c r="Z1344" s="273"/>
      <c r="AA1344" s="273"/>
      <c r="AB1344" s="273"/>
      <c r="AC1344" s="273"/>
      <c r="AD1344" s="273"/>
      <c r="AE1344" s="273">
        <v>304841.40000000002</v>
      </c>
      <c r="AF1344" s="14"/>
      <c r="AG1344" s="15"/>
      <c r="AH1344" s="15"/>
      <c r="AI1344" s="15"/>
      <c r="AJ1344" s="15"/>
      <c r="AK1344" s="13"/>
    </row>
    <row r="1345" spans="1:37" x14ac:dyDescent="0.3">
      <c r="A1345" s="10">
        <f t="shared" si="277"/>
        <v>1208</v>
      </c>
      <c r="B1345" s="124" t="s">
        <v>1607</v>
      </c>
      <c r="C1345" s="273">
        <f t="shared" si="276"/>
        <v>547103.39</v>
      </c>
      <c r="D1345" s="273">
        <f t="shared" si="278"/>
        <v>0</v>
      </c>
      <c r="E1345" s="273"/>
      <c r="F1345" s="273"/>
      <c r="G1345" s="273"/>
      <c r="H1345" s="273"/>
      <c r="I1345" s="273"/>
      <c r="J1345" s="273"/>
      <c r="K1345" s="273"/>
      <c r="L1345" s="273"/>
      <c r="M1345" s="273"/>
      <c r="N1345" s="273"/>
      <c r="O1345" s="273"/>
      <c r="P1345" s="273"/>
      <c r="Q1345" s="273"/>
      <c r="R1345" s="273"/>
      <c r="S1345" s="273"/>
      <c r="T1345" s="273"/>
      <c r="U1345" s="273"/>
      <c r="V1345" s="273"/>
      <c r="W1345" s="273">
        <f>Y1345+AE1345+AF1345+AG1345+AH1345+AI1345+AJ1345</f>
        <v>547103.39</v>
      </c>
      <c r="X1345" s="273"/>
      <c r="Y1345" s="273"/>
      <c r="Z1345" s="273"/>
      <c r="AA1345" s="273"/>
      <c r="AB1345" s="273"/>
      <c r="AC1345" s="273"/>
      <c r="AD1345" s="273"/>
      <c r="AE1345" s="273"/>
      <c r="AF1345" s="14">
        <v>547103.39</v>
      </c>
      <c r="AG1345" s="15"/>
      <c r="AH1345" s="15"/>
      <c r="AI1345" s="15"/>
      <c r="AJ1345" s="15"/>
      <c r="AK1345" s="13"/>
    </row>
    <row r="1346" spans="1:37" x14ac:dyDescent="0.3">
      <c r="A1346" s="10">
        <f t="shared" si="277"/>
        <v>1209</v>
      </c>
      <c r="B1346" s="124" t="s">
        <v>1608</v>
      </c>
      <c r="C1346" s="273">
        <f t="shared" si="276"/>
        <v>453597.61</v>
      </c>
      <c r="D1346" s="273">
        <f t="shared" si="278"/>
        <v>0</v>
      </c>
      <c r="E1346" s="273"/>
      <c r="F1346" s="273"/>
      <c r="G1346" s="273"/>
      <c r="H1346" s="273"/>
      <c r="I1346" s="273"/>
      <c r="J1346" s="273"/>
      <c r="K1346" s="273"/>
      <c r="L1346" s="273"/>
      <c r="M1346" s="273"/>
      <c r="N1346" s="273"/>
      <c r="O1346" s="273"/>
      <c r="P1346" s="273"/>
      <c r="Q1346" s="273"/>
      <c r="R1346" s="273"/>
      <c r="S1346" s="273"/>
      <c r="T1346" s="273"/>
      <c r="U1346" s="273"/>
      <c r="V1346" s="273"/>
      <c r="W1346" s="273">
        <f>Y1346+AE1346+AF1346+AG1346+AH1346+AI1346+AJ1346</f>
        <v>453597.61</v>
      </c>
      <c r="X1346" s="273"/>
      <c r="Y1346" s="273"/>
      <c r="Z1346" s="273"/>
      <c r="AA1346" s="273"/>
      <c r="AB1346" s="273"/>
      <c r="AC1346" s="273"/>
      <c r="AD1346" s="273"/>
      <c r="AE1346" s="273"/>
      <c r="AF1346" s="14">
        <v>453597.61</v>
      </c>
      <c r="AG1346" s="15"/>
      <c r="AH1346" s="15"/>
      <c r="AI1346" s="15"/>
      <c r="AJ1346" s="15"/>
      <c r="AK1346" s="13"/>
    </row>
    <row r="1347" spans="1:37" x14ac:dyDescent="0.3">
      <c r="A1347" s="10"/>
      <c r="B1347" s="124" t="s">
        <v>208</v>
      </c>
      <c r="C1347" s="273">
        <f t="shared" ref="C1347:W1347" si="279">SUM(C1335:C1346)</f>
        <v>3318904.4299999997</v>
      </c>
      <c r="D1347" s="273">
        <f t="shared" si="279"/>
        <v>0</v>
      </c>
      <c r="E1347" s="273">
        <f t="shared" si="279"/>
        <v>0</v>
      </c>
      <c r="F1347" s="273">
        <f t="shared" si="279"/>
        <v>0</v>
      </c>
      <c r="G1347" s="273">
        <f t="shared" si="279"/>
        <v>0</v>
      </c>
      <c r="H1347" s="273">
        <f t="shared" si="279"/>
        <v>0</v>
      </c>
      <c r="I1347" s="273">
        <f t="shared" si="279"/>
        <v>0</v>
      </c>
      <c r="J1347" s="273">
        <f t="shared" si="279"/>
        <v>0</v>
      </c>
      <c r="K1347" s="273">
        <f t="shared" si="279"/>
        <v>0</v>
      </c>
      <c r="L1347" s="273">
        <f t="shared" si="279"/>
        <v>0</v>
      </c>
      <c r="M1347" s="273">
        <f t="shared" si="279"/>
        <v>0</v>
      </c>
      <c r="N1347" s="273">
        <f t="shared" si="279"/>
        <v>0</v>
      </c>
      <c r="O1347" s="273">
        <f t="shared" si="279"/>
        <v>0</v>
      </c>
      <c r="P1347" s="273">
        <f t="shared" si="279"/>
        <v>0</v>
      </c>
      <c r="Q1347" s="273">
        <f t="shared" si="279"/>
        <v>0</v>
      </c>
      <c r="R1347" s="273">
        <f t="shared" si="279"/>
        <v>0</v>
      </c>
      <c r="S1347" s="273">
        <f t="shared" si="279"/>
        <v>0</v>
      </c>
      <c r="T1347" s="273">
        <f t="shared" si="279"/>
        <v>0</v>
      </c>
      <c r="U1347" s="273">
        <f t="shared" si="279"/>
        <v>0</v>
      </c>
      <c r="V1347" s="273">
        <f t="shared" si="279"/>
        <v>0</v>
      </c>
      <c r="W1347" s="273">
        <f t="shared" si="279"/>
        <v>3318904.4299999997</v>
      </c>
      <c r="X1347" s="273"/>
      <c r="Y1347" s="273"/>
      <c r="Z1347" s="273"/>
      <c r="AA1347" s="273"/>
      <c r="AB1347" s="273"/>
      <c r="AC1347" s="273"/>
      <c r="AD1347" s="273"/>
      <c r="AE1347" s="273"/>
      <c r="AF1347" s="14"/>
      <c r="AG1347" s="15"/>
      <c r="AH1347" s="15"/>
      <c r="AI1347" s="15"/>
      <c r="AJ1347" s="15"/>
      <c r="AK1347" s="13"/>
    </row>
    <row r="1348" spans="1:37" ht="15" customHeight="1" x14ac:dyDescent="0.3">
      <c r="A1348" s="264" t="s">
        <v>1609</v>
      </c>
      <c r="B1348" s="124"/>
      <c r="C1348" s="273"/>
      <c r="D1348" s="273"/>
      <c r="E1348" s="273"/>
      <c r="F1348" s="273"/>
      <c r="G1348" s="273"/>
      <c r="H1348" s="273"/>
      <c r="I1348" s="273"/>
      <c r="J1348" s="273"/>
      <c r="K1348" s="273"/>
      <c r="L1348" s="273"/>
      <c r="M1348" s="273"/>
      <c r="N1348" s="273"/>
      <c r="O1348" s="273"/>
      <c r="P1348" s="273"/>
      <c r="Q1348" s="273"/>
      <c r="R1348" s="273"/>
      <c r="S1348" s="273"/>
      <c r="T1348" s="273"/>
      <c r="U1348" s="273"/>
      <c r="V1348" s="273"/>
      <c r="W1348" s="273"/>
      <c r="X1348" s="273"/>
      <c r="Y1348" s="273"/>
      <c r="Z1348" s="273"/>
      <c r="AA1348" s="273"/>
      <c r="AB1348" s="273"/>
      <c r="AC1348" s="273"/>
      <c r="AD1348" s="273"/>
      <c r="AE1348" s="273"/>
      <c r="AF1348" s="14"/>
      <c r="AG1348" s="15"/>
      <c r="AH1348" s="15"/>
      <c r="AI1348" s="15"/>
      <c r="AJ1348" s="15"/>
      <c r="AK1348" s="13"/>
    </row>
    <row r="1349" spans="1:37" x14ac:dyDescent="0.3">
      <c r="A1349" s="10">
        <f>A1346+1</f>
        <v>1210</v>
      </c>
      <c r="B1349" s="124" t="s">
        <v>1610</v>
      </c>
      <c r="C1349" s="273">
        <f t="shared" ref="C1349:C1358" si="280">D1349+K1349+L1349+N1349+P1349+R1349+S1349+U1349+V1349+W1349</f>
        <v>25390987.800000001</v>
      </c>
      <c r="D1349" s="273">
        <f t="shared" ref="D1349:D1358" si="281">E1349+F1349+G1349+H1349+I1349</f>
        <v>20342848.800000001</v>
      </c>
      <c r="E1349" s="273">
        <v>3381723.6</v>
      </c>
      <c r="F1349" s="273">
        <v>14071438.800000001</v>
      </c>
      <c r="G1349" s="273">
        <v>2889686.4</v>
      </c>
      <c r="H1349" s="273"/>
      <c r="I1349" s="273"/>
      <c r="J1349" s="273"/>
      <c r="K1349" s="273"/>
      <c r="L1349" s="273"/>
      <c r="M1349" s="273"/>
      <c r="N1349" s="273"/>
      <c r="O1349" s="273"/>
      <c r="P1349" s="273"/>
      <c r="Q1349" s="273"/>
      <c r="R1349" s="273"/>
      <c r="S1349" s="273"/>
      <c r="T1349" s="273"/>
      <c r="U1349" s="273"/>
      <c r="V1349" s="273">
        <f>(214531+392996*12+117656)</f>
        <v>5048139</v>
      </c>
      <c r="W1349" s="273"/>
      <c r="X1349" s="273"/>
      <c r="Y1349" s="273"/>
      <c r="Z1349" s="273"/>
      <c r="AA1349" s="273"/>
      <c r="AB1349" s="273"/>
      <c r="AC1349" s="273"/>
      <c r="AD1349" s="273"/>
      <c r="AE1349" s="14"/>
      <c r="AF1349" s="15"/>
      <c r="AG1349" s="15"/>
      <c r="AH1349" s="15"/>
      <c r="AI1349" s="15"/>
      <c r="AJ1349" s="13"/>
    </row>
    <row r="1350" spans="1:37" x14ac:dyDescent="0.3">
      <c r="A1350" s="10">
        <f t="shared" ref="A1350:A1358" si="282">A1349+1</f>
        <v>1211</v>
      </c>
      <c r="B1350" s="124" t="s">
        <v>1616</v>
      </c>
      <c r="C1350" s="273">
        <f t="shared" si="280"/>
        <v>22899641.800000001</v>
      </c>
      <c r="D1350" s="273">
        <f t="shared" si="281"/>
        <v>19423486.800000001</v>
      </c>
      <c r="E1350" s="273"/>
      <c r="F1350" s="273">
        <f>12408898.8+2979420</f>
        <v>15388318.800000001</v>
      </c>
      <c r="G1350" s="273">
        <v>1607902.8</v>
      </c>
      <c r="H1350" s="273">
        <v>2427265.2000000002</v>
      </c>
      <c r="I1350" s="273"/>
      <c r="J1350" s="273"/>
      <c r="K1350" s="273"/>
      <c r="L1350" s="273"/>
      <c r="M1350" s="273"/>
      <c r="N1350" s="273"/>
      <c r="O1350" s="273"/>
      <c r="P1350" s="273"/>
      <c r="Q1350" s="273"/>
      <c r="R1350" s="273"/>
      <c r="S1350" s="273"/>
      <c r="T1350" s="273"/>
      <c r="U1350" s="273"/>
      <c r="V1350" s="273">
        <f>(214531+392996*8+117656)</f>
        <v>3476155</v>
      </c>
      <c r="W1350" s="273"/>
      <c r="X1350" s="273"/>
      <c r="Y1350" s="273"/>
      <c r="Z1350" s="273"/>
      <c r="AA1350" s="273"/>
      <c r="AB1350" s="273"/>
      <c r="AC1350" s="273"/>
      <c r="AD1350" s="273"/>
      <c r="AE1350" s="14"/>
      <c r="AF1350" s="15"/>
      <c r="AG1350" s="15"/>
      <c r="AH1350" s="15"/>
      <c r="AI1350" s="15"/>
      <c r="AJ1350" s="13"/>
    </row>
    <row r="1351" spans="1:37" x14ac:dyDescent="0.3">
      <c r="A1351" s="10">
        <f t="shared" si="282"/>
        <v>1212</v>
      </c>
      <c r="B1351" s="124" t="s">
        <v>1617</v>
      </c>
      <c r="C1351" s="273">
        <f t="shared" si="280"/>
        <v>22106673.400000002</v>
      </c>
      <c r="D1351" s="273">
        <f t="shared" si="281"/>
        <v>18630518.400000002</v>
      </c>
      <c r="E1351" s="273"/>
      <c r="F1351" s="273">
        <f>11601968.4+2984389.2</f>
        <v>14586357.600000001</v>
      </c>
      <c r="G1351" s="273">
        <v>1681082.4</v>
      </c>
      <c r="H1351" s="273">
        <v>2363078.4</v>
      </c>
      <c r="I1351" s="273"/>
      <c r="J1351" s="273"/>
      <c r="K1351" s="273"/>
      <c r="L1351" s="273"/>
      <c r="M1351" s="273"/>
      <c r="N1351" s="273"/>
      <c r="O1351" s="273"/>
      <c r="P1351" s="273"/>
      <c r="Q1351" s="273"/>
      <c r="R1351" s="273"/>
      <c r="S1351" s="273"/>
      <c r="T1351" s="273"/>
      <c r="U1351" s="273"/>
      <c r="V1351" s="273">
        <f>(214531+392996*8+117656)</f>
        <v>3476155</v>
      </c>
      <c r="W1351" s="273"/>
      <c r="X1351" s="273"/>
      <c r="Y1351" s="273"/>
      <c r="Z1351" s="273"/>
      <c r="AA1351" s="273"/>
      <c r="AB1351" s="273"/>
      <c r="AC1351" s="273"/>
      <c r="AD1351" s="273"/>
      <c r="AE1351" s="14"/>
      <c r="AF1351" s="15"/>
      <c r="AG1351" s="15"/>
      <c r="AH1351" s="15"/>
      <c r="AI1351" s="15"/>
      <c r="AJ1351" s="13"/>
    </row>
    <row r="1352" spans="1:37" x14ac:dyDescent="0.3">
      <c r="A1352" s="10">
        <f t="shared" si="282"/>
        <v>1213</v>
      </c>
      <c r="B1352" s="124" t="s">
        <v>1621</v>
      </c>
      <c r="C1352" s="273">
        <f t="shared" si="280"/>
        <v>9375594.5999999996</v>
      </c>
      <c r="D1352" s="273">
        <f t="shared" si="281"/>
        <v>7864419.5999999996</v>
      </c>
      <c r="E1352" s="273"/>
      <c r="F1352" s="273">
        <v>6076599.5999999996</v>
      </c>
      <c r="G1352" s="273">
        <v>802566</v>
      </c>
      <c r="H1352" s="273">
        <v>985254</v>
      </c>
      <c r="I1352" s="273"/>
      <c r="J1352" s="273"/>
      <c r="K1352" s="273"/>
      <c r="L1352" s="273"/>
      <c r="M1352" s="273"/>
      <c r="N1352" s="273"/>
      <c r="O1352" s="273"/>
      <c r="P1352" s="273"/>
      <c r="Q1352" s="273"/>
      <c r="R1352" s="273"/>
      <c r="S1352" s="273"/>
      <c r="T1352" s="273"/>
      <c r="U1352" s="273"/>
      <c r="V1352" s="273">
        <f>(214531+392996*3+117656)</f>
        <v>1511175</v>
      </c>
      <c r="W1352" s="273"/>
      <c r="X1352" s="273"/>
      <c r="Y1352" s="273"/>
      <c r="Z1352" s="273"/>
      <c r="AA1352" s="273"/>
      <c r="AB1352" s="273"/>
      <c r="AC1352" s="273"/>
      <c r="AD1352" s="273"/>
      <c r="AE1352" s="14"/>
      <c r="AF1352" s="15"/>
      <c r="AG1352" s="15"/>
      <c r="AH1352" s="15"/>
      <c r="AI1352" s="15"/>
      <c r="AJ1352" s="13"/>
    </row>
    <row r="1353" spans="1:37" x14ac:dyDescent="0.3">
      <c r="A1353" s="10">
        <f t="shared" si="282"/>
        <v>1214</v>
      </c>
      <c r="B1353" s="124" t="s">
        <v>1628</v>
      </c>
      <c r="C1353" s="273">
        <f t="shared" si="280"/>
        <v>130000</v>
      </c>
      <c r="D1353" s="273">
        <f t="shared" si="281"/>
        <v>0</v>
      </c>
      <c r="E1353" s="273"/>
      <c r="F1353" s="273"/>
      <c r="G1353" s="273"/>
      <c r="H1353" s="273"/>
      <c r="I1353" s="273"/>
      <c r="J1353" s="273"/>
      <c r="K1353" s="273"/>
      <c r="L1353" s="273"/>
      <c r="M1353" s="273"/>
      <c r="N1353" s="273"/>
      <c r="O1353" s="273"/>
      <c r="P1353" s="273"/>
      <c r="Q1353" s="273"/>
      <c r="R1353" s="273"/>
      <c r="S1353" s="273"/>
      <c r="T1353" s="273"/>
      <c r="U1353" s="273"/>
      <c r="V1353" s="273"/>
      <c r="W1353" s="273">
        <v>130000</v>
      </c>
      <c r="X1353" s="273"/>
      <c r="Y1353" s="273"/>
      <c r="Z1353" s="273"/>
      <c r="AA1353" s="273"/>
      <c r="AB1353" s="273"/>
      <c r="AC1353" s="273"/>
      <c r="AD1353" s="273"/>
      <c r="AE1353" s="14"/>
      <c r="AF1353" s="15"/>
      <c r="AG1353" s="15"/>
      <c r="AH1353" s="15"/>
      <c r="AI1353" s="15"/>
      <c r="AJ1353" s="13"/>
    </row>
    <row r="1354" spans="1:37" x14ac:dyDescent="0.3">
      <c r="A1354" s="10">
        <f t="shared" si="282"/>
        <v>1215</v>
      </c>
      <c r="B1354" s="124" t="s">
        <v>1631</v>
      </c>
      <c r="C1354" s="273">
        <f t="shared" si="280"/>
        <v>12872455.4</v>
      </c>
      <c r="D1354" s="273">
        <f t="shared" si="281"/>
        <v>10968284.4</v>
      </c>
      <c r="E1354" s="273">
        <v>1780371.6</v>
      </c>
      <c r="F1354" s="273">
        <f>5944808.4+2039818.8</f>
        <v>7984627.2000000002</v>
      </c>
      <c r="G1354" s="273">
        <v>1203285.6000000001</v>
      </c>
      <c r="H1354" s="273"/>
      <c r="I1354" s="273"/>
      <c r="J1354" s="273"/>
      <c r="K1354" s="273"/>
      <c r="L1354" s="273"/>
      <c r="M1354" s="273"/>
      <c r="N1354" s="273"/>
      <c r="O1354" s="273"/>
      <c r="P1354" s="273"/>
      <c r="Q1354" s="273"/>
      <c r="R1354" s="273"/>
      <c r="S1354" s="273"/>
      <c r="T1354" s="273"/>
      <c r="U1354" s="273"/>
      <c r="V1354" s="273">
        <f>(214531+392996*4+117656)</f>
        <v>1904171</v>
      </c>
      <c r="W1354" s="273"/>
      <c r="X1354" s="273"/>
      <c r="Y1354" s="273"/>
      <c r="Z1354" s="273"/>
      <c r="AA1354" s="273"/>
      <c r="AB1354" s="273"/>
      <c r="AC1354" s="273"/>
      <c r="AD1354" s="273"/>
      <c r="AE1354" s="14"/>
      <c r="AF1354" s="15"/>
      <c r="AG1354" s="15"/>
      <c r="AH1354" s="15"/>
      <c r="AI1354" s="15"/>
      <c r="AJ1354" s="13"/>
    </row>
    <row r="1355" spans="1:37" x14ac:dyDescent="0.3">
      <c r="A1355" s="10">
        <f t="shared" si="282"/>
        <v>1216</v>
      </c>
      <c r="B1355" s="124" t="s">
        <v>1612</v>
      </c>
      <c r="C1355" s="273">
        <f t="shared" si="280"/>
        <v>1503893.3599999999</v>
      </c>
      <c r="D1355" s="273">
        <f t="shared" si="281"/>
        <v>0</v>
      </c>
      <c r="E1355" s="273"/>
      <c r="F1355" s="273"/>
      <c r="G1355" s="273"/>
      <c r="H1355" s="273"/>
      <c r="I1355" s="273"/>
      <c r="J1355" s="273"/>
      <c r="K1355" s="273"/>
      <c r="L1355" s="273"/>
      <c r="M1355" s="273"/>
      <c r="N1355" s="273"/>
      <c r="O1355" s="273"/>
      <c r="P1355" s="273"/>
      <c r="Q1355" s="273"/>
      <c r="R1355" s="273"/>
      <c r="S1355" s="273"/>
      <c r="T1355" s="273"/>
      <c r="U1355" s="273"/>
      <c r="V1355" s="273"/>
      <c r="W1355" s="273">
        <f>Y1355+Z1355+AA1355+AC1355+AD1355+AE1355+AF1355+AG1355+AH1355</f>
        <v>1503893.3599999999</v>
      </c>
      <c r="X1355" s="12"/>
      <c r="Y1355" s="273">
        <v>214129.22</v>
      </c>
      <c r="Z1355" s="273">
        <v>208133.24</v>
      </c>
      <c r="AA1355" s="273">
        <v>269205.46999999997</v>
      </c>
      <c r="AC1355" s="273">
        <v>226118.6</v>
      </c>
      <c r="AD1355" s="273"/>
      <c r="AE1355" s="273"/>
      <c r="AF1355" s="273">
        <v>382260.47</v>
      </c>
      <c r="AG1355" s="14">
        <v>204046.36</v>
      </c>
      <c r="AH1355" s="15"/>
      <c r="AI1355" s="15"/>
      <c r="AJ1355" s="15"/>
      <c r="AK1355" s="13"/>
    </row>
    <row r="1356" spans="1:37" x14ac:dyDescent="0.3">
      <c r="A1356" s="10">
        <f t="shared" si="282"/>
        <v>1217</v>
      </c>
      <c r="B1356" s="124" t="s">
        <v>1627</v>
      </c>
      <c r="C1356" s="273">
        <f t="shared" si="280"/>
        <v>21914961.399999999</v>
      </c>
      <c r="D1356" s="273">
        <f t="shared" si="281"/>
        <v>9678696</v>
      </c>
      <c r="E1356" s="273"/>
      <c r="F1356" s="273">
        <f>5763616.8+1726029.6</f>
        <v>7489646.4000000004</v>
      </c>
      <c r="G1356" s="273">
        <v>1417968</v>
      </c>
      <c r="H1356" s="273">
        <v>771081.6</v>
      </c>
      <c r="I1356" s="273"/>
      <c r="J1356" s="273"/>
      <c r="K1356" s="273"/>
      <c r="L1356" s="273"/>
      <c r="M1356" s="273"/>
      <c r="N1356" s="273"/>
      <c r="O1356" s="273"/>
      <c r="P1356" s="273">
        <v>7454180.4000000004</v>
      </c>
      <c r="Q1356" s="273"/>
      <c r="R1356" s="273"/>
      <c r="S1356" s="273"/>
      <c r="T1356" s="273"/>
      <c r="U1356" s="273">
        <v>3270780</v>
      </c>
      <c r="V1356" s="273">
        <f>(214531+392996*3+117656)</f>
        <v>1511175</v>
      </c>
      <c r="W1356" s="273">
        <v>130</v>
      </c>
      <c r="X1356" s="12"/>
      <c r="Y1356" s="273"/>
      <c r="Z1356" s="273"/>
      <c r="AA1356" s="273"/>
      <c r="AB1356" s="273"/>
      <c r="AC1356" s="273"/>
      <c r="AD1356" s="273"/>
      <c r="AE1356" s="273"/>
      <c r="AF1356" s="14"/>
      <c r="AG1356" s="15"/>
      <c r="AH1356" s="15"/>
      <c r="AI1356" s="15"/>
      <c r="AJ1356" s="15"/>
      <c r="AK1356" s="13"/>
    </row>
    <row r="1357" spans="1:37" x14ac:dyDescent="0.3">
      <c r="A1357" s="10">
        <f t="shared" si="282"/>
        <v>1218</v>
      </c>
      <c r="B1357" s="124" t="s">
        <v>1630</v>
      </c>
      <c r="C1357" s="273">
        <f t="shared" si="280"/>
        <v>3944478</v>
      </c>
      <c r="D1357" s="273">
        <f t="shared" si="281"/>
        <v>0</v>
      </c>
      <c r="E1357" s="273"/>
      <c r="F1357" s="273"/>
      <c r="G1357" s="273"/>
      <c r="H1357" s="273"/>
      <c r="I1357" s="273"/>
      <c r="J1357" s="273"/>
      <c r="K1357" s="273"/>
      <c r="L1357" s="273"/>
      <c r="M1357" s="273">
        <v>982</v>
      </c>
      <c r="N1357" s="273">
        <v>3944478</v>
      </c>
      <c r="O1357" s="273"/>
      <c r="P1357" s="273"/>
      <c r="Q1357" s="273"/>
      <c r="R1357" s="273"/>
      <c r="S1357" s="273"/>
      <c r="T1357" s="273"/>
      <c r="U1357" s="273"/>
      <c r="V1357" s="273"/>
      <c r="W1357" s="273"/>
      <c r="X1357" s="12"/>
      <c r="Y1357" s="273"/>
      <c r="Z1357" s="273"/>
      <c r="AA1357" s="273"/>
      <c r="AB1357" s="273"/>
      <c r="AC1357" s="273"/>
      <c r="AD1357" s="273"/>
      <c r="AE1357" s="273"/>
      <c r="AF1357" s="14"/>
      <c r="AG1357" s="15"/>
      <c r="AH1357" s="15"/>
      <c r="AI1357" s="15"/>
      <c r="AJ1357" s="15"/>
      <c r="AK1357" s="13"/>
    </row>
    <row r="1358" spans="1:37" x14ac:dyDescent="0.3">
      <c r="A1358" s="10">
        <f t="shared" si="282"/>
        <v>1219</v>
      </c>
      <c r="B1358" s="124" t="s">
        <v>1635</v>
      </c>
      <c r="C1358" s="273">
        <f t="shared" si="280"/>
        <v>6534430.7999999998</v>
      </c>
      <c r="D1358" s="273">
        <f t="shared" si="281"/>
        <v>0</v>
      </c>
      <c r="E1358" s="273"/>
      <c r="F1358" s="273"/>
      <c r="G1358" s="273"/>
      <c r="H1358" s="273"/>
      <c r="I1358" s="273"/>
      <c r="J1358" s="273"/>
      <c r="K1358" s="273"/>
      <c r="L1358" s="273"/>
      <c r="M1358" s="273">
        <v>1561.1</v>
      </c>
      <c r="N1358" s="273">
        <v>6534430.7999999998</v>
      </c>
      <c r="O1358" s="273"/>
      <c r="P1358" s="273"/>
      <c r="Q1358" s="273"/>
      <c r="R1358" s="273"/>
      <c r="S1358" s="273"/>
      <c r="T1358" s="273"/>
      <c r="U1358" s="273"/>
      <c r="V1358" s="273"/>
      <c r="W1358" s="273"/>
      <c r="X1358" s="273"/>
      <c r="Y1358" s="273"/>
      <c r="Z1358" s="273"/>
      <c r="AA1358" s="273"/>
      <c r="AB1358" s="273"/>
      <c r="AC1358" s="273"/>
      <c r="AD1358" s="273"/>
      <c r="AE1358" s="273"/>
      <c r="AF1358" s="14"/>
      <c r="AG1358" s="15"/>
      <c r="AH1358" s="15"/>
      <c r="AI1358" s="15"/>
      <c r="AJ1358" s="15"/>
      <c r="AK1358" s="13"/>
    </row>
    <row r="1359" spans="1:37" x14ac:dyDescent="0.3">
      <c r="A1359" s="10"/>
      <c r="B1359" s="124" t="s">
        <v>208</v>
      </c>
      <c r="C1359" s="273">
        <f t="shared" ref="C1359:W1359" si="283">SUM(C1349:C1358)</f>
        <v>126673116.55999999</v>
      </c>
      <c r="D1359" s="273">
        <f t="shared" si="283"/>
        <v>86908254</v>
      </c>
      <c r="E1359" s="273">
        <f t="shared" si="283"/>
        <v>5162095.2</v>
      </c>
      <c r="F1359" s="273">
        <f t="shared" si="283"/>
        <v>65596988.400000006</v>
      </c>
      <c r="G1359" s="273">
        <f t="shared" si="283"/>
        <v>9602491.1999999993</v>
      </c>
      <c r="H1359" s="273">
        <f t="shared" si="283"/>
        <v>6546679.1999999993</v>
      </c>
      <c r="I1359" s="273">
        <f t="shared" si="283"/>
        <v>0</v>
      </c>
      <c r="J1359" s="273">
        <f t="shared" si="283"/>
        <v>0</v>
      </c>
      <c r="K1359" s="273">
        <f t="shared" si="283"/>
        <v>0</v>
      </c>
      <c r="L1359" s="273">
        <f t="shared" si="283"/>
        <v>0</v>
      </c>
      <c r="M1359" s="273">
        <f t="shared" si="283"/>
        <v>2543.1</v>
      </c>
      <c r="N1359" s="273">
        <f t="shared" si="283"/>
        <v>10478908.800000001</v>
      </c>
      <c r="O1359" s="273">
        <f t="shared" si="283"/>
        <v>0</v>
      </c>
      <c r="P1359" s="273">
        <f t="shared" si="283"/>
        <v>7454180.4000000004</v>
      </c>
      <c r="Q1359" s="273">
        <f t="shared" si="283"/>
        <v>0</v>
      </c>
      <c r="R1359" s="273">
        <f t="shared" si="283"/>
        <v>0</v>
      </c>
      <c r="S1359" s="273">
        <f t="shared" si="283"/>
        <v>0</v>
      </c>
      <c r="T1359" s="273">
        <f t="shared" si="283"/>
        <v>0</v>
      </c>
      <c r="U1359" s="273">
        <f t="shared" si="283"/>
        <v>3270780</v>
      </c>
      <c r="V1359" s="273">
        <f t="shared" si="283"/>
        <v>16926970</v>
      </c>
      <c r="W1359" s="273">
        <f t="shared" si="283"/>
        <v>1634023.3599999999</v>
      </c>
      <c r="X1359" s="273"/>
      <c r="Y1359" s="273"/>
      <c r="Z1359" s="273"/>
      <c r="AA1359" s="273"/>
      <c r="AB1359" s="273"/>
      <c r="AC1359" s="273"/>
      <c r="AD1359" s="273"/>
      <c r="AE1359" s="273"/>
      <c r="AF1359" s="14"/>
      <c r="AG1359" s="15"/>
      <c r="AH1359" s="15"/>
      <c r="AI1359" s="15"/>
      <c r="AJ1359" s="15"/>
      <c r="AK1359" s="13"/>
    </row>
    <row r="1360" spans="1:37" ht="15" customHeight="1" x14ac:dyDescent="0.3">
      <c r="A1360" s="264" t="s">
        <v>1654</v>
      </c>
      <c r="B1360" s="124"/>
      <c r="C1360" s="273"/>
      <c r="D1360" s="273"/>
      <c r="E1360" s="273"/>
      <c r="F1360" s="273"/>
      <c r="G1360" s="273"/>
      <c r="H1360" s="273"/>
      <c r="I1360" s="273"/>
      <c r="J1360" s="273"/>
      <c r="K1360" s="273"/>
      <c r="L1360" s="273"/>
      <c r="M1360" s="273"/>
      <c r="N1360" s="273"/>
      <c r="O1360" s="273"/>
      <c r="P1360" s="273"/>
      <c r="Q1360" s="273"/>
      <c r="R1360" s="273"/>
      <c r="S1360" s="273"/>
      <c r="T1360" s="273"/>
      <c r="U1360" s="273"/>
      <c r="V1360" s="273"/>
      <c r="W1360" s="273"/>
      <c r="X1360" s="273"/>
      <c r="Y1360" s="273"/>
      <c r="Z1360" s="273"/>
      <c r="AA1360" s="273"/>
      <c r="AB1360" s="273"/>
      <c r="AC1360" s="273"/>
      <c r="AD1360" s="273"/>
      <c r="AE1360" s="273"/>
      <c r="AF1360" s="14"/>
      <c r="AG1360" s="15"/>
      <c r="AH1360" s="15"/>
      <c r="AI1360" s="15"/>
      <c r="AJ1360" s="15"/>
      <c r="AK1360" s="13"/>
    </row>
    <row r="1361" spans="1:37" x14ac:dyDescent="0.3">
      <c r="A1361" s="10">
        <f>A1358+1</f>
        <v>1220</v>
      </c>
      <c r="B1361" s="124" t="s">
        <v>1655</v>
      </c>
      <c r="C1361" s="273">
        <f t="shared" ref="C1361:C1370" si="284">D1361+K1361+L1361+N1361+P1361+R1361+S1361+U1361+V1361+W1361</f>
        <v>91837.62</v>
      </c>
      <c r="D1361" s="273">
        <f t="shared" ref="D1361:D1370" si="285">E1361+F1361+G1361+H1361+I1361</f>
        <v>0</v>
      </c>
      <c r="E1361" s="273"/>
      <c r="F1361" s="273"/>
      <c r="G1361" s="273"/>
      <c r="H1361" s="273"/>
      <c r="I1361" s="273"/>
      <c r="J1361" s="273"/>
      <c r="K1361" s="273"/>
      <c r="L1361" s="273"/>
      <c r="M1361" s="273"/>
      <c r="N1361" s="273"/>
      <c r="O1361" s="273"/>
      <c r="P1361" s="273"/>
      <c r="Q1361" s="273"/>
      <c r="R1361" s="273"/>
      <c r="S1361" s="273"/>
      <c r="T1361" s="273"/>
      <c r="U1361" s="273"/>
      <c r="V1361" s="273"/>
      <c r="W1361" s="273">
        <f t="shared" ref="W1361:W1370" si="286">SUM(X1361:AG1361)</f>
        <v>91837.62</v>
      </c>
      <c r="X1361" s="273"/>
      <c r="Z1361" s="273"/>
      <c r="AA1361" s="273"/>
      <c r="AB1361" s="273"/>
      <c r="AC1361" s="273">
        <v>91837.62</v>
      </c>
      <c r="AD1361" s="273"/>
      <c r="AE1361" s="273"/>
      <c r="AF1361" s="14"/>
      <c r="AG1361" s="15"/>
      <c r="AH1361" s="15"/>
      <c r="AI1361" s="15"/>
      <c r="AJ1361" s="15"/>
      <c r="AK1361" s="13"/>
    </row>
    <row r="1362" spans="1:37" x14ac:dyDescent="0.3">
      <c r="A1362" s="10">
        <f t="shared" ref="A1362:A1370" si="287">A1361+1</f>
        <v>1221</v>
      </c>
      <c r="B1362" s="124" t="s">
        <v>1656</v>
      </c>
      <c r="C1362" s="273">
        <f t="shared" si="284"/>
        <v>174139.39</v>
      </c>
      <c r="D1362" s="273">
        <f t="shared" si="285"/>
        <v>0</v>
      </c>
      <c r="E1362" s="273"/>
      <c r="F1362" s="273"/>
      <c r="G1362" s="273"/>
      <c r="H1362" s="273"/>
      <c r="I1362" s="273"/>
      <c r="J1362" s="273"/>
      <c r="K1362" s="273"/>
      <c r="L1362" s="273"/>
      <c r="M1362" s="273"/>
      <c r="N1362" s="273"/>
      <c r="O1362" s="273"/>
      <c r="P1362" s="273"/>
      <c r="Q1362" s="273"/>
      <c r="R1362" s="273"/>
      <c r="S1362" s="273"/>
      <c r="T1362" s="273"/>
      <c r="U1362" s="273"/>
      <c r="V1362" s="273"/>
      <c r="W1362" s="273">
        <f t="shared" si="286"/>
        <v>174139.39</v>
      </c>
      <c r="X1362" s="273"/>
      <c r="Y1362" s="273">
        <v>97114.69</v>
      </c>
      <c r="Z1362" s="273"/>
      <c r="AA1362" s="273"/>
      <c r="AB1362" s="273">
        <v>77024.7</v>
      </c>
      <c r="AE1362" s="273"/>
      <c r="AF1362" s="14"/>
      <c r="AG1362" s="15"/>
      <c r="AH1362" s="15"/>
      <c r="AI1362" s="15"/>
      <c r="AJ1362" s="15"/>
      <c r="AK1362" s="13"/>
    </row>
    <row r="1363" spans="1:37" x14ac:dyDescent="0.3">
      <c r="A1363" s="10">
        <f t="shared" si="287"/>
        <v>1222</v>
      </c>
      <c r="B1363" s="124" t="s">
        <v>1657</v>
      </c>
      <c r="C1363" s="273">
        <f t="shared" si="284"/>
        <v>237716.99</v>
      </c>
      <c r="D1363" s="273">
        <f t="shared" si="285"/>
        <v>0</v>
      </c>
      <c r="E1363" s="273"/>
      <c r="F1363" s="273"/>
      <c r="G1363" s="273"/>
      <c r="H1363" s="273"/>
      <c r="I1363" s="273"/>
      <c r="J1363" s="273"/>
      <c r="K1363" s="273"/>
      <c r="L1363" s="273"/>
      <c r="M1363" s="273"/>
      <c r="N1363" s="273"/>
      <c r="O1363" s="273"/>
      <c r="P1363" s="273"/>
      <c r="Q1363" s="273"/>
      <c r="R1363" s="273"/>
      <c r="S1363" s="273"/>
      <c r="T1363" s="273"/>
      <c r="U1363" s="273"/>
      <c r="V1363" s="273"/>
      <c r="W1363" s="273">
        <f t="shared" si="286"/>
        <v>237716.99</v>
      </c>
      <c r="X1363" s="273"/>
      <c r="Z1363" s="273"/>
      <c r="AA1363" s="273"/>
      <c r="AB1363" s="273"/>
      <c r="AC1363" s="273"/>
      <c r="AD1363" s="273"/>
      <c r="AE1363" s="273"/>
      <c r="AF1363" s="14">
        <v>237716.99</v>
      </c>
      <c r="AG1363" s="15"/>
      <c r="AH1363" s="15"/>
      <c r="AI1363" s="15"/>
      <c r="AJ1363" s="15"/>
      <c r="AK1363" s="13"/>
    </row>
    <row r="1364" spans="1:37" x14ac:dyDescent="0.3">
      <c r="A1364" s="10">
        <f t="shared" si="287"/>
        <v>1223</v>
      </c>
      <c r="B1364" s="124" t="s">
        <v>1658</v>
      </c>
      <c r="C1364" s="273">
        <f t="shared" si="284"/>
        <v>171285.78</v>
      </c>
      <c r="D1364" s="273">
        <f t="shared" si="285"/>
        <v>0</v>
      </c>
      <c r="E1364" s="273"/>
      <c r="F1364" s="273"/>
      <c r="G1364" s="273"/>
      <c r="H1364" s="273"/>
      <c r="I1364" s="273"/>
      <c r="J1364" s="273"/>
      <c r="K1364" s="273"/>
      <c r="L1364" s="273"/>
      <c r="M1364" s="273"/>
      <c r="N1364" s="273"/>
      <c r="O1364" s="273"/>
      <c r="P1364" s="273"/>
      <c r="Q1364" s="273"/>
      <c r="R1364" s="273"/>
      <c r="S1364" s="273"/>
      <c r="T1364" s="273"/>
      <c r="U1364" s="273"/>
      <c r="V1364" s="273"/>
      <c r="W1364" s="273">
        <f t="shared" si="286"/>
        <v>171285.78</v>
      </c>
      <c r="X1364" s="273"/>
      <c r="Z1364" s="273"/>
      <c r="AA1364" s="273"/>
      <c r="AB1364" s="273"/>
      <c r="AC1364" s="273"/>
      <c r="AD1364" s="273"/>
      <c r="AE1364" s="273">
        <v>171285.78</v>
      </c>
      <c r="AF1364" s="14"/>
      <c r="AG1364" s="15"/>
      <c r="AH1364" s="15"/>
      <c r="AI1364" s="15"/>
      <c r="AJ1364" s="15"/>
      <c r="AK1364" s="13"/>
    </row>
    <row r="1365" spans="1:37" x14ac:dyDescent="0.3">
      <c r="A1365" s="10">
        <f t="shared" si="287"/>
        <v>1224</v>
      </c>
      <c r="B1365" s="124" t="s">
        <v>1659</v>
      </c>
      <c r="C1365" s="273">
        <f t="shared" si="284"/>
        <v>89594.89</v>
      </c>
      <c r="D1365" s="273">
        <f t="shared" si="285"/>
        <v>0</v>
      </c>
      <c r="E1365" s="273"/>
      <c r="F1365" s="273"/>
      <c r="G1365" s="273"/>
      <c r="H1365" s="273"/>
      <c r="I1365" s="273"/>
      <c r="J1365" s="273"/>
      <c r="K1365" s="273"/>
      <c r="L1365" s="273"/>
      <c r="M1365" s="273"/>
      <c r="N1365" s="273"/>
      <c r="O1365" s="273"/>
      <c r="P1365" s="273"/>
      <c r="Q1365" s="273"/>
      <c r="R1365" s="273"/>
      <c r="S1365" s="273"/>
      <c r="T1365" s="273"/>
      <c r="U1365" s="273"/>
      <c r="V1365" s="273"/>
      <c r="W1365" s="273">
        <f t="shared" si="286"/>
        <v>89594.89</v>
      </c>
      <c r="X1365" s="273"/>
      <c r="Z1365" s="273"/>
      <c r="AA1365" s="273"/>
      <c r="AB1365" s="273"/>
      <c r="AC1365" s="273">
        <v>89594.89</v>
      </c>
      <c r="AD1365" s="273"/>
      <c r="AE1365" s="273"/>
      <c r="AF1365" s="14"/>
      <c r="AG1365" s="15"/>
      <c r="AH1365" s="15"/>
      <c r="AI1365" s="15"/>
      <c r="AJ1365" s="15"/>
      <c r="AK1365" s="13"/>
    </row>
    <row r="1366" spans="1:37" x14ac:dyDescent="0.3">
      <c r="A1366" s="10">
        <f t="shared" si="287"/>
        <v>1225</v>
      </c>
      <c r="B1366" s="124" t="s">
        <v>1660</v>
      </c>
      <c r="C1366" s="273">
        <f t="shared" si="284"/>
        <v>120878.42</v>
      </c>
      <c r="D1366" s="273">
        <f t="shared" si="285"/>
        <v>0</v>
      </c>
      <c r="E1366" s="273"/>
      <c r="F1366" s="273"/>
      <c r="G1366" s="273"/>
      <c r="H1366" s="273"/>
      <c r="I1366" s="273"/>
      <c r="J1366" s="273"/>
      <c r="K1366" s="273"/>
      <c r="L1366" s="273"/>
      <c r="M1366" s="273"/>
      <c r="N1366" s="273"/>
      <c r="O1366" s="273"/>
      <c r="P1366" s="273"/>
      <c r="Q1366" s="273"/>
      <c r="R1366" s="273"/>
      <c r="S1366" s="273"/>
      <c r="T1366" s="273"/>
      <c r="U1366" s="273"/>
      <c r="V1366" s="273"/>
      <c r="W1366" s="273">
        <f t="shared" si="286"/>
        <v>120878.42</v>
      </c>
      <c r="X1366" s="273"/>
      <c r="Z1366" s="273"/>
      <c r="AA1366" s="273"/>
      <c r="AB1366" s="273"/>
      <c r="AC1366" s="273">
        <v>120878.42</v>
      </c>
      <c r="AD1366" s="273"/>
      <c r="AE1366" s="273"/>
      <c r="AF1366" s="14"/>
      <c r="AG1366" s="15"/>
      <c r="AH1366" s="15"/>
      <c r="AI1366" s="15"/>
      <c r="AJ1366" s="15"/>
      <c r="AK1366" s="13"/>
    </row>
    <row r="1367" spans="1:37" x14ac:dyDescent="0.3">
      <c r="A1367" s="10">
        <f t="shared" si="287"/>
        <v>1226</v>
      </c>
      <c r="B1367" s="124" t="s">
        <v>1661</v>
      </c>
      <c r="C1367" s="273">
        <f t="shared" si="284"/>
        <v>150205.01999999999</v>
      </c>
      <c r="D1367" s="273">
        <f t="shared" si="285"/>
        <v>0</v>
      </c>
      <c r="E1367" s="273"/>
      <c r="F1367" s="273"/>
      <c r="G1367" s="273"/>
      <c r="H1367" s="273"/>
      <c r="I1367" s="273"/>
      <c r="J1367" s="273"/>
      <c r="K1367" s="273"/>
      <c r="L1367" s="273"/>
      <c r="M1367" s="273"/>
      <c r="N1367" s="273"/>
      <c r="O1367" s="273"/>
      <c r="P1367" s="273"/>
      <c r="Q1367" s="273"/>
      <c r="R1367" s="273"/>
      <c r="S1367" s="273"/>
      <c r="T1367" s="273"/>
      <c r="U1367" s="273"/>
      <c r="V1367" s="273"/>
      <c r="W1367" s="273">
        <f t="shared" si="286"/>
        <v>150205.01999999999</v>
      </c>
      <c r="X1367" s="273"/>
      <c r="Z1367" s="273"/>
      <c r="AA1367" s="273"/>
      <c r="AB1367" s="273"/>
      <c r="AC1367" s="273"/>
      <c r="AD1367" s="273"/>
      <c r="AE1367" s="273"/>
      <c r="AF1367" s="14">
        <v>150205.01999999999</v>
      </c>
      <c r="AG1367" s="15"/>
      <c r="AH1367" s="15"/>
      <c r="AI1367" s="15"/>
      <c r="AJ1367" s="15"/>
      <c r="AK1367" s="13"/>
    </row>
    <row r="1368" spans="1:37" x14ac:dyDescent="0.3">
      <c r="A1368" s="10">
        <f t="shared" si="287"/>
        <v>1227</v>
      </c>
      <c r="B1368" s="124" t="s">
        <v>1662</v>
      </c>
      <c r="C1368" s="273">
        <f t="shared" si="284"/>
        <v>151821.91</v>
      </c>
      <c r="D1368" s="273">
        <f t="shared" si="285"/>
        <v>0</v>
      </c>
      <c r="E1368" s="273"/>
      <c r="F1368" s="273"/>
      <c r="G1368" s="273"/>
      <c r="H1368" s="273"/>
      <c r="I1368" s="273"/>
      <c r="J1368" s="273"/>
      <c r="K1368" s="273"/>
      <c r="L1368" s="273"/>
      <c r="M1368" s="273"/>
      <c r="N1368" s="273"/>
      <c r="O1368" s="273"/>
      <c r="P1368" s="273"/>
      <c r="Q1368" s="273"/>
      <c r="R1368" s="273"/>
      <c r="S1368" s="273"/>
      <c r="T1368" s="273"/>
      <c r="U1368" s="273"/>
      <c r="V1368" s="273"/>
      <c r="W1368" s="273">
        <f t="shared" si="286"/>
        <v>151821.91</v>
      </c>
      <c r="X1368" s="273"/>
      <c r="Z1368" s="273"/>
      <c r="AA1368" s="273"/>
      <c r="AB1368" s="273"/>
      <c r="AC1368" s="273"/>
      <c r="AD1368" s="273"/>
      <c r="AE1368" s="273"/>
      <c r="AF1368" s="14">
        <v>151821.91</v>
      </c>
      <c r="AG1368" s="15"/>
      <c r="AH1368" s="15"/>
      <c r="AI1368" s="15"/>
      <c r="AJ1368" s="15"/>
      <c r="AK1368" s="13"/>
    </row>
    <row r="1369" spans="1:37" x14ac:dyDescent="0.3">
      <c r="A1369" s="10">
        <f t="shared" si="287"/>
        <v>1228</v>
      </c>
      <c r="B1369" s="124" t="s">
        <v>1663</v>
      </c>
      <c r="C1369" s="273">
        <f t="shared" si="284"/>
        <v>119662.09</v>
      </c>
      <c r="D1369" s="273">
        <f t="shared" si="285"/>
        <v>0</v>
      </c>
      <c r="E1369" s="273"/>
      <c r="F1369" s="273"/>
      <c r="G1369" s="273"/>
      <c r="H1369" s="273"/>
      <c r="I1369" s="273"/>
      <c r="J1369" s="273"/>
      <c r="K1369" s="273"/>
      <c r="L1369" s="273"/>
      <c r="M1369" s="273"/>
      <c r="N1369" s="273"/>
      <c r="O1369" s="273"/>
      <c r="P1369" s="273"/>
      <c r="Q1369" s="273"/>
      <c r="R1369" s="273"/>
      <c r="S1369" s="273"/>
      <c r="T1369" s="273"/>
      <c r="U1369" s="273"/>
      <c r="V1369" s="273"/>
      <c r="W1369" s="273">
        <f t="shared" si="286"/>
        <v>119662.09</v>
      </c>
      <c r="X1369" s="273"/>
      <c r="Z1369" s="273"/>
      <c r="AA1369" s="273"/>
      <c r="AB1369" s="273"/>
      <c r="AC1369" s="273">
        <v>119662.09</v>
      </c>
      <c r="AD1369" s="273"/>
      <c r="AE1369" s="273"/>
      <c r="AF1369" s="14"/>
      <c r="AG1369" s="15"/>
      <c r="AH1369" s="15"/>
      <c r="AI1369" s="15"/>
      <c r="AJ1369" s="15"/>
      <c r="AK1369" s="13"/>
    </row>
    <row r="1370" spans="1:37" x14ac:dyDescent="0.3">
      <c r="A1370" s="10">
        <f t="shared" si="287"/>
        <v>1229</v>
      </c>
      <c r="B1370" s="124" t="s">
        <v>1664</v>
      </c>
      <c r="C1370" s="273">
        <f t="shared" si="284"/>
        <v>200914.69</v>
      </c>
      <c r="D1370" s="273">
        <f t="shared" si="285"/>
        <v>0</v>
      </c>
      <c r="E1370" s="273"/>
      <c r="F1370" s="273"/>
      <c r="G1370" s="273"/>
      <c r="H1370" s="273"/>
      <c r="I1370" s="273"/>
      <c r="J1370" s="273"/>
      <c r="K1370" s="273"/>
      <c r="L1370" s="273"/>
      <c r="M1370" s="273"/>
      <c r="N1370" s="273"/>
      <c r="O1370" s="273"/>
      <c r="P1370" s="273"/>
      <c r="Q1370" s="273"/>
      <c r="R1370" s="273"/>
      <c r="S1370" s="273"/>
      <c r="T1370" s="273"/>
      <c r="U1370" s="273"/>
      <c r="V1370" s="273"/>
      <c r="W1370" s="273">
        <f t="shared" si="286"/>
        <v>200914.69</v>
      </c>
      <c r="X1370" s="273"/>
      <c r="Y1370" s="273"/>
      <c r="Z1370" s="273"/>
      <c r="AA1370" s="273"/>
      <c r="AB1370" s="273"/>
      <c r="AC1370" s="273"/>
      <c r="AD1370" s="273"/>
      <c r="AE1370" s="273">
        <v>200914.69</v>
      </c>
      <c r="AF1370" s="14"/>
      <c r="AG1370" s="15"/>
      <c r="AH1370" s="15"/>
      <c r="AI1370" s="15"/>
      <c r="AJ1370" s="15"/>
      <c r="AK1370" s="13"/>
    </row>
    <row r="1371" spans="1:37" x14ac:dyDescent="0.3">
      <c r="A1371" s="8"/>
      <c r="B1371" s="124" t="s">
        <v>208</v>
      </c>
      <c r="C1371" s="273">
        <f t="shared" ref="C1371:W1371" si="288">SUM(C1361:C1370)</f>
        <v>1508056.8</v>
      </c>
      <c r="D1371" s="273">
        <f t="shared" si="288"/>
        <v>0</v>
      </c>
      <c r="E1371" s="273">
        <f t="shared" si="288"/>
        <v>0</v>
      </c>
      <c r="F1371" s="273">
        <f t="shared" si="288"/>
        <v>0</v>
      </c>
      <c r="G1371" s="273">
        <f t="shared" si="288"/>
        <v>0</v>
      </c>
      <c r="H1371" s="273">
        <f t="shared" si="288"/>
        <v>0</v>
      </c>
      <c r="I1371" s="273">
        <f t="shared" si="288"/>
        <v>0</v>
      </c>
      <c r="J1371" s="273">
        <f t="shared" si="288"/>
        <v>0</v>
      </c>
      <c r="K1371" s="273">
        <f t="shared" si="288"/>
        <v>0</v>
      </c>
      <c r="L1371" s="273">
        <f t="shared" si="288"/>
        <v>0</v>
      </c>
      <c r="M1371" s="273">
        <f t="shared" si="288"/>
        <v>0</v>
      </c>
      <c r="N1371" s="273">
        <f t="shared" si="288"/>
        <v>0</v>
      </c>
      <c r="O1371" s="273">
        <f t="shared" si="288"/>
        <v>0</v>
      </c>
      <c r="P1371" s="273">
        <f t="shared" si="288"/>
        <v>0</v>
      </c>
      <c r="Q1371" s="273">
        <f t="shared" si="288"/>
        <v>0</v>
      </c>
      <c r="R1371" s="273">
        <f t="shared" si="288"/>
        <v>0</v>
      </c>
      <c r="S1371" s="273">
        <f t="shared" si="288"/>
        <v>0</v>
      </c>
      <c r="T1371" s="273">
        <f t="shared" si="288"/>
        <v>0</v>
      </c>
      <c r="U1371" s="273">
        <f t="shared" si="288"/>
        <v>0</v>
      </c>
      <c r="V1371" s="273">
        <f t="shared" si="288"/>
        <v>0</v>
      </c>
      <c r="W1371" s="273">
        <f t="shared" si="288"/>
        <v>1508056.8</v>
      </c>
      <c r="X1371" s="273"/>
      <c r="Y1371" s="273"/>
      <c r="Z1371" s="273"/>
      <c r="AA1371" s="273"/>
      <c r="AB1371" s="273"/>
      <c r="AC1371" s="273"/>
      <c r="AD1371" s="273"/>
      <c r="AE1371" s="273"/>
      <c r="AF1371" s="14"/>
      <c r="AG1371" s="15"/>
      <c r="AH1371" s="15"/>
      <c r="AI1371" s="15"/>
      <c r="AJ1371" s="15"/>
      <c r="AK1371" s="13"/>
    </row>
    <row r="1372" spans="1:37" x14ac:dyDescent="0.3">
      <c r="A1372" s="374" t="s">
        <v>1665</v>
      </c>
      <c r="B1372" s="375"/>
      <c r="C1372" s="251">
        <f t="shared" ref="C1372:W1372" si="289">C1347+C1359+C1371</f>
        <v>131500077.78999998</v>
      </c>
      <c r="D1372" s="251">
        <f t="shared" si="289"/>
        <v>86908254</v>
      </c>
      <c r="E1372" s="251">
        <f t="shared" si="289"/>
        <v>5162095.2</v>
      </c>
      <c r="F1372" s="251">
        <f t="shared" si="289"/>
        <v>65596988.400000006</v>
      </c>
      <c r="G1372" s="251">
        <f t="shared" si="289"/>
        <v>9602491.1999999993</v>
      </c>
      <c r="H1372" s="251">
        <f t="shared" si="289"/>
        <v>6546679.1999999993</v>
      </c>
      <c r="I1372" s="251">
        <f t="shared" si="289"/>
        <v>0</v>
      </c>
      <c r="J1372" s="251">
        <f t="shared" si="289"/>
        <v>0</v>
      </c>
      <c r="K1372" s="251">
        <f t="shared" si="289"/>
        <v>0</v>
      </c>
      <c r="L1372" s="251">
        <f t="shared" si="289"/>
        <v>0</v>
      </c>
      <c r="M1372" s="251">
        <f t="shared" si="289"/>
        <v>2543.1</v>
      </c>
      <c r="N1372" s="251">
        <f t="shared" si="289"/>
        <v>10478908.800000001</v>
      </c>
      <c r="O1372" s="251">
        <f t="shared" si="289"/>
        <v>0</v>
      </c>
      <c r="P1372" s="251">
        <f t="shared" si="289"/>
        <v>7454180.4000000004</v>
      </c>
      <c r="Q1372" s="251">
        <f t="shared" si="289"/>
        <v>0</v>
      </c>
      <c r="R1372" s="251">
        <f t="shared" si="289"/>
        <v>0</v>
      </c>
      <c r="S1372" s="251">
        <f t="shared" si="289"/>
        <v>0</v>
      </c>
      <c r="T1372" s="251">
        <f t="shared" si="289"/>
        <v>0</v>
      </c>
      <c r="U1372" s="251">
        <f t="shared" si="289"/>
        <v>3270780</v>
      </c>
      <c r="V1372" s="251">
        <f t="shared" si="289"/>
        <v>16926970</v>
      </c>
      <c r="W1372" s="251">
        <f t="shared" si="289"/>
        <v>6460984.5899999989</v>
      </c>
      <c r="X1372" s="273"/>
      <c r="Y1372" s="273"/>
      <c r="Z1372" s="273"/>
      <c r="AA1372" s="273"/>
      <c r="AB1372" s="273"/>
      <c r="AC1372" s="273"/>
      <c r="AD1372" s="273"/>
      <c r="AE1372" s="273"/>
      <c r="AF1372" s="14"/>
      <c r="AG1372" s="15"/>
      <c r="AH1372" s="15"/>
      <c r="AI1372" s="15"/>
      <c r="AJ1372" s="15"/>
      <c r="AK1372" s="13"/>
    </row>
    <row r="1373" spans="1:37" ht="15" customHeight="1" x14ac:dyDescent="0.3">
      <c r="A1373" s="379" t="s">
        <v>1666</v>
      </c>
      <c r="B1373" s="380"/>
      <c r="C1373" s="380"/>
      <c r="D1373" s="380"/>
      <c r="E1373" s="380"/>
      <c r="F1373" s="380"/>
      <c r="G1373" s="380"/>
      <c r="H1373" s="380"/>
      <c r="I1373" s="380"/>
      <c r="J1373" s="380"/>
      <c r="K1373" s="380"/>
      <c r="L1373" s="380"/>
      <c r="M1373" s="380"/>
      <c r="N1373" s="380"/>
      <c r="O1373" s="380"/>
      <c r="P1373" s="380"/>
      <c r="Q1373" s="380"/>
      <c r="R1373" s="380"/>
      <c r="S1373" s="380"/>
      <c r="T1373" s="380"/>
      <c r="U1373" s="380"/>
      <c r="V1373" s="380"/>
      <c r="W1373" s="381"/>
      <c r="X1373" s="271"/>
      <c r="Y1373" s="271"/>
      <c r="Z1373" s="271"/>
      <c r="AA1373" s="271"/>
      <c r="AB1373" s="271"/>
      <c r="AC1373" s="271"/>
      <c r="AD1373" s="269"/>
      <c r="AE1373" s="7"/>
      <c r="AF1373" s="13"/>
      <c r="AG1373" s="13"/>
      <c r="AH1373" s="13"/>
      <c r="AI1373" s="13"/>
    </row>
    <row r="1374" spans="1:37" ht="15" customHeight="1" x14ac:dyDescent="0.3">
      <c r="A1374" s="264" t="s">
        <v>1667</v>
      </c>
      <c r="B1374" s="124"/>
      <c r="C1374" s="273"/>
      <c r="D1374" s="273"/>
      <c r="E1374" s="251"/>
      <c r="F1374" s="251"/>
      <c r="G1374" s="251"/>
      <c r="H1374" s="251"/>
      <c r="I1374" s="251"/>
      <c r="J1374" s="251"/>
      <c r="K1374" s="251"/>
      <c r="L1374" s="251"/>
      <c r="M1374" s="251"/>
      <c r="N1374" s="251"/>
      <c r="O1374" s="251"/>
      <c r="P1374" s="251"/>
      <c r="Q1374" s="251"/>
      <c r="R1374" s="251"/>
      <c r="S1374" s="251"/>
      <c r="T1374" s="251"/>
      <c r="U1374" s="251"/>
      <c r="V1374" s="251"/>
      <c r="W1374" s="251"/>
      <c r="X1374" s="271"/>
      <c r="Y1374" s="271"/>
      <c r="Z1374" s="271"/>
      <c r="AA1374" s="271"/>
      <c r="AB1374" s="271"/>
      <c r="AC1374" s="271"/>
      <c r="AD1374" s="269"/>
      <c r="AE1374" s="7"/>
      <c r="AF1374" s="13"/>
      <c r="AG1374" s="13"/>
      <c r="AH1374" s="13"/>
      <c r="AI1374" s="13"/>
    </row>
    <row r="1375" spans="1:37" x14ac:dyDescent="0.3">
      <c r="A1375" s="10">
        <f>A1370+1</f>
        <v>1230</v>
      </c>
      <c r="B1375" s="124" t="s">
        <v>1696</v>
      </c>
      <c r="C1375" s="273">
        <f t="shared" ref="C1375:C1387" si="290">D1375+K1375+L1375+N1375+P1375+R1375+S1375+U1375+V1375+W1375</f>
        <v>393267</v>
      </c>
      <c r="D1375" s="273">
        <f t="shared" ref="D1375:D1387" si="291">E1375+F1375+G1375+H1375+I1375</f>
        <v>393267</v>
      </c>
      <c r="E1375" s="273">
        <f>13*2688+358323</f>
        <v>393267</v>
      </c>
      <c r="F1375" s="273"/>
      <c r="G1375" s="273"/>
      <c r="H1375" s="273"/>
      <c r="I1375" s="273"/>
      <c r="J1375" s="273"/>
      <c r="K1375" s="273"/>
      <c r="L1375" s="273"/>
      <c r="M1375" s="273"/>
      <c r="N1375" s="273"/>
      <c r="O1375" s="273"/>
      <c r="P1375" s="273"/>
      <c r="Q1375" s="273"/>
      <c r="R1375" s="273"/>
      <c r="S1375" s="273"/>
      <c r="T1375" s="273"/>
      <c r="U1375" s="273"/>
      <c r="V1375" s="273"/>
      <c r="W1375" s="273"/>
      <c r="X1375" s="273"/>
      <c r="Y1375" s="271"/>
      <c r="Z1375" s="271"/>
      <c r="AA1375" s="271"/>
      <c r="AB1375" s="271"/>
      <c r="AC1375" s="271"/>
      <c r="AD1375" s="271"/>
      <c r="AE1375" s="269"/>
      <c r="AF1375" s="7"/>
      <c r="AG1375" s="13"/>
      <c r="AH1375" s="13"/>
      <c r="AI1375" s="13"/>
    </row>
    <row r="1376" spans="1:37" x14ac:dyDescent="0.3">
      <c r="A1376" s="10">
        <f t="shared" ref="A1376:A1387" si="292">A1375+1</f>
        <v>1231</v>
      </c>
      <c r="B1376" s="124" t="s">
        <v>1698</v>
      </c>
      <c r="C1376" s="273">
        <f t="shared" si="290"/>
        <v>4745796</v>
      </c>
      <c r="D1376" s="273">
        <f t="shared" si="291"/>
        <v>0</v>
      </c>
      <c r="E1376" s="273"/>
      <c r="F1376" s="273"/>
      <c r="G1376" s="273"/>
      <c r="H1376" s="273"/>
      <c r="I1376" s="273"/>
      <c r="J1376" s="273"/>
      <c r="K1376" s="273"/>
      <c r="L1376" s="273"/>
      <c r="M1376" s="273"/>
      <c r="N1376" s="273"/>
      <c r="O1376" s="273"/>
      <c r="P1376" s="273"/>
      <c r="Q1376" s="273">
        <v>458</v>
      </c>
      <c r="R1376" s="273">
        <f>Q1376*10362</f>
        <v>4745796</v>
      </c>
      <c r="S1376" s="273"/>
      <c r="T1376" s="273"/>
      <c r="U1376" s="273"/>
      <c r="V1376" s="273"/>
      <c r="W1376" s="273"/>
      <c r="X1376" s="271"/>
      <c r="Y1376" s="271"/>
      <c r="Z1376" s="271"/>
      <c r="AA1376" s="271"/>
      <c r="AB1376" s="271"/>
      <c r="AC1376" s="271"/>
      <c r="AD1376" s="269"/>
      <c r="AE1376" s="7"/>
      <c r="AF1376" s="13"/>
      <c r="AG1376" s="13"/>
      <c r="AH1376" s="13"/>
      <c r="AI1376" s="13"/>
    </row>
    <row r="1377" spans="1:35" x14ac:dyDescent="0.3">
      <c r="A1377" s="10">
        <f t="shared" si="292"/>
        <v>1232</v>
      </c>
      <c r="B1377" s="124" t="s">
        <v>1711</v>
      </c>
      <c r="C1377" s="273">
        <f t="shared" si="290"/>
        <v>2481303.2000000002</v>
      </c>
      <c r="D1377" s="273">
        <f t="shared" si="291"/>
        <v>2481303.2000000002</v>
      </c>
      <c r="E1377" s="273">
        <v>739645.2</v>
      </c>
      <c r="F1377" s="273">
        <v>1445418</v>
      </c>
      <c r="G1377" s="273"/>
      <c r="H1377" s="273">
        <v>254718</v>
      </c>
      <c r="I1377" s="273">
        <f>13*3194</f>
        <v>41522</v>
      </c>
      <c r="J1377" s="273"/>
      <c r="K1377" s="273"/>
      <c r="L1377" s="273"/>
      <c r="M1377" s="273"/>
      <c r="N1377" s="273"/>
      <c r="O1377" s="273"/>
      <c r="P1377" s="273"/>
      <c r="Q1377" s="273"/>
      <c r="R1377" s="273"/>
      <c r="S1377" s="273"/>
      <c r="T1377" s="273"/>
      <c r="U1377" s="273"/>
      <c r="V1377" s="273"/>
      <c r="W1377" s="273"/>
      <c r="X1377" s="273"/>
      <c r="Y1377" s="271"/>
      <c r="Z1377" s="271"/>
      <c r="AA1377" s="271"/>
      <c r="AB1377" s="271"/>
      <c r="AC1377" s="271"/>
      <c r="AD1377" s="271"/>
      <c r="AE1377" s="269"/>
      <c r="AF1377" s="7"/>
      <c r="AG1377" s="13"/>
      <c r="AH1377" s="13"/>
      <c r="AI1377" s="13"/>
    </row>
    <row r="1378" spans="1:35" x14ac:dyDescent="0.3">
      <c r="A1378" s="10">
        <f t="shared" si="292"/>
        <v>1233</v>
      </c>
      <c r="B1378" s="124" t="s">
        <v>1737</v>
      </c>
      <c r="C1378" s="273">
        <f t="shared" si="290"/>
        <v>7818750.7199999997</v>
      </c>
      <c r="D1378" s="273">
        <f t="shared" si="291"/>
        <v>0</v>
      </c>
      <c r="E1378" s="273"/>
      <c r="F1378" s="273"/>
      <c r="G1378" s="273"/>
      <c r="H1378" s="273"/>
      <c r="I1378" s="273"/>
      <c r="J1378" s="273"/>
      <c r="K1378" s="273"/>
      <c r="L1378" s="273"/>
      <c r="M1378" s="273"/>
      <c r="N1378" s="273"/>
      <c r="O1378" s="273"/>
      <c r="P1378" s="273"/>
      <c r="Q1378" s="273">
        <v>754.56</v>
      </c>
      <c r="R1378" s="273">
        <f>Q1378*10362</f>
        <v>7818750.7199999997</v>
      </c>
      <c r="S1378" s="273"/>
      <c r="T1378" s="273"/>
      <c r="U1378" s="273"/>
      <c r="V1378" s="273"/>
      <c r="W1378" s="273"/>
      <c r="X1378" s="271"/>
      <c r="Y1378" s="271"/>
      <c r="Z1378" s="271"/>
      <c r="AA1378" s="271"/>
      <c r="AB1378" s="271"/>
      <c r="AC1378" s="271"/>
      <c r="AD1378" s="269"/>
      <c r="AE1378" s="7"/>
      <c r="AF1378" s="13"/>
      <c r="AG1378" s="13"/>
      <c r="AH1378" s="13"/>
      <c r="AI1378" s="13"/>
    </row>
    <row r="1379" spans="1:35" x14ac:dyDescent="0.3">
      <c r="A1379" s="10">
        <f t="shared" si="292"/>
        <v>1234</v>
      </c>
      <c r="B1379" s="124" t="s">
        <v>1738</v>
      </c>
      <c r="C1379" s="273">
        <f t="shared" si="290"/>
        <v>343629</v>
      </c>
      <c r="D1379" s="273">
        <f t="shared" si="291"/>
        <v>0</v>
      </c>
      <c r="E1379" s="273"/>
      <c r="F1379" s="273"/>
      <c r="G1379" s="273"/>
      <c r="H1379" s="273"/>
      <c r="I1379" s="273"/>
      <c r="J1379" s="273"/>
      <c r="K1379" s="273"/>
      <c r="L1379" s="273"/>
      <c r="M1379" s="273"/>
      <c r="N1379" s="273"/>
      <c r="O1379" s="273">
        <v>13</v>
      </c>
      <c r="P1379" s="273">
        <f>O1379*26433</f>
        <v>343629</v>
      </c>
      <c r="Q1379" s="273"/>
      <c r="R1379" s="273"/>
      <c r="S1379" s="273"/>
      <c r="T1379" s="273"/>
      <c r="U1379" s="273"/>
      <c r="V1379" s="273"/>
      <c r="W1379" s="273"/>
      <c r="X1379" s="271"/>
      <c r="Y1379" s="271"/>
      <c r="Z1379" s="271"/>
      <c r="AA1379" s="271"/>
      <c r="AB1379" s="271"/>
      <c r="AC1379" s="271"/>
      <c r="AD1379" s="269"/>
      <c r="AE1379" s="7"/>
      <c r="AF1379" s="13"/>
      <c r="AG1379" s="13"/>
      <c r="AH1379" s="13"/>
      <c r="AI1379" s="13"/>
    </row>
    <row r="1380" spans="1:35" x14ac:dyDescent="0.3">
      <c r="A1380" s="10">
        <f t="shared" si="292"/>
        <v>1235</v>
      </c>
      <c r="B1380" s="124" t="s">
        <v>1739</v>
      </c>
      <c r="C1380" s="273">
        <f t="shared" si="290"/>
        <v>4990926</v>
      </c>
      <c r="D1380" s="273">
        <f t="shared" si="291"/>
        <v>0</v>
      </c>
      <c r="E1380" s="273"/>
      <c r="F1380" s="273"/>
      <c r="G1380" s="273"/>
      <c r="H1380" s="273"/>
      <c r="I1380" s="273"/>
      <c r="J1380" s="273"/>
      <c r="K1380" s="273"/>
      <c r="L1380" s="273"/>
      <c r="M1380" s="273"/>
      <c r="N1380" s="273"/>
      <c r="O1380" s="273"/>
      <c r="P1380" s="273"/>
      <c r="Q1380" s="273">
        <v>475</v>
      </c>
      <c r="R1380" s="273">
        <v>4990926</v>
      </c>
      <c r="S1380" s="273"/>
      <c r="T1380" s="273"/>
      <c r="U1380" s="273"/>
      <c r="V1380" s="273"/>
      <c r="W1380" s="273"/>
      <c r="X1380" s="271"/>
      <c r="Y1380" s="271"/>
      <c r="Z1380" s="271"/>
      <c r="AA1380" s="271"/>
      <c r="AB1380" s="271"/>
      <c r="AC1380" s="271"/>
      <c r="AD1380" s="269"/>
      <c r="AE1380" s="7"/>
      <c r="AF1380" s="13"/>
      <c r="AG1380" s="13"/>
      <c r="AH1380" s="13"/>
      <c r="AI1380" s="13"/>
    </row>
    <row r="1381" spans="1:35" x14ac:dyDescent="0.3">
      <c r="A1381" s="10">
        <f t="shared" si="292"/>
        <v>1236</v>
      </c>
      <c r="B1381" s="124" t="s">
        <v>1740</v>
      </c>
      <c r="C1381" s="273">
        <f t="shared" si="290"/>
        <v>6209426.4000000004</v>
      </c>
      <c r="D1381" s="273">
        <f t="shared" si="291"/>
        <v>0</v>
      </c>
      <c r="E1381" s="273"/>
      <c r="F1381" s="273"/>
      <c r="G1381" s="273"/>
      <c r="H1381" s="273"/>
      <c r="I1381" s="273"/>
      <c r="J1381" s="273"/>
      <c r="K1381" s="273"/>
      <c r="L1381" s="273"/>
      <c r="M1381" s="273"/>
      <c r="N1381" s="273"/>
      <c r="O1381" s="273"/>
      <c r="P1381" s="273"/>
      <c r="Q1381" s="273">
        <v>650</v>
      </c>
      <c r="R1381" s="273">
        <v>6209426.4000000004</v>
      </c>
      <c r="S1381" s="273"/>
      <c r="T1381" s="273"/>
      <c r="U1381" s="273"/>
      <c r="V1381" s="273"/>
      <c r="W1381" s="273"/>
      <c r="X1381" s="271"/>
      <c r="Y1381" s="271"/>
      <c r="Z1381" s="271"/>
      <c r="AA1381" s="271"/>
      <c r="AB1381" s="271"/>
      <c r="AC1381" s="271"/>
      <c r="AD1381" s="269"/>
      <c r="AE1381" s="7"/>
      <c r="AF1381" s="13"/>
      <c r="AG1381" s="13"/>
      <c r="AH1381" s="13"/>
      <c r="AI1381" s="13"/>
    </row>
    <row r="1382" spans="1:35" x14ac:dyDescent="0.3">
      <c r="A1382" s="10">
        <f t="shared" si="292"/>
        <v>1237</v>
      </c>
      <c r="B1382" s="124" t="s">
        <v>1742</v>
      </c>
      <c r="C1382" s="273">
        <f t="shared" si="290"/>
        <v>6206066.4000000004</v>
      </c>
      <c r="D1382" s="273">
        <f t="shared" si="291"/>
        <v>0</v>
      </c>
      <c r="E1382" s="273"/>
      <c r="F1382" s="273"/>
      <c r="G1382" s="273"/>
      <c r="H1382" s="273"/>
      <c r="I1382" s="273"/>
      <c r="J1382" s="273"/>
      <c r="K1382" s="273"/>
      <c r="L1382" s="273"/>
      <c r="M1382" s="273"/>
      <c r="N1382" s="273"/>
      <c r="O1382" s="273"/>
      <c r="P1382" s="273"/>
      <c r="Q1382" s="273">
        <v>711</v>
      </c>
      <c r="R1382" s="273">
        <v>6206066.4000000004</v>
      </c>
      <c r="S1382" s="273"/>
      <c r="T1382" s="273"/>
      <c r="U1382" s="273"/>
      <c r="V1382" s="273"/>
      <c r="W1382" s="273"/>
      <c r="X1382" s="271"/>
      <c r="Y1382" s="271"/>
      <c r="Z1382" s="271"/>
      <c r="AA1382" s="271"/>
      <c r="AB1382" s="271"/>
      <c r="AC1382" s="271"/>
      <c r="AD1382" s="269"/>
      <c r="AE1382" s="7"/>
      <c r="AF1382" s="13"/>
      <c r="AG1382" s="13"/>
      <c r="AH1382" s="13"/>
      <c r="AI1382" s="13"/>
    </row>
    <row r="1383" spans="1:35" x14ac:dyDescent="0.3">
      <c r="A1383" s="10">
        <f t="shared" si="292"/>
        <v>1238</v>
      </c>
      <c r="B1383" s="124" t="s">
        <v>1743</v>
      </c>
      <c r="C1383" s="273">
        <f t="shared" si="290"/>
        <v>3626884.8</v>
      </c>
      <c r="D1383" s="273">
        <f t="shared" si="291"/>
        <v>0</v>
      </c>
      <c r="E1383" s="273"/>
      <c r="F1383" s="273"/>
      <c r="G1383" s="273"/>
      <c r="H1383" s="273"/>
      <c r="I1383" s="273"/>
      <c r="J1383" s="273"/>
      <c r="K1383" s="273"/>
      <c r="L1383" s="273"/>
      <c r="M1383" s="273"/>
      <c r="N1383" s="273"/>
      <c r="O1383" s="273"/>
      <c r="P1383" s="273"/>
      <c r="Q1383" s="273">
        <v>379</v>
      </c>
      <c r="R1383" s="273">
        <v>3626884.8</v>
      </c>
      <c r="S1383" s="273"/>
      <c r="T1383" s="273"/>
      <c r="U1383" s="273"/>
      <c r="V1383" s="273"/>
      <c r="W1383" s="273"/>
      <c r="X1383" s="271"/>
      <c r="Y1383" s="271"/>
      <c r="Z1383" s="271"/>
      <c r="AA1383" s="271"/>
      <c r="AB1383" s="271"/>
      <c r="AC1383" s="271"/>
      <c r="AD1383" s="269"/>
      <c r="AE1383" s="7"/>
      <c r="AF1383" s="13"/>
      <c r="AG1383" s="13"/>
      <c r="AH1383" s="13"/>
      <c r="AI1383" s="13"/>
    </row>
    <row r="1384" spans="1:35" x14ac:dyDescent="0.3">
      <c r="A1384" s="10">
        <f t="shared" si="292"/>
        <v>1239</v>
      </c>
      <c r="B1384" s="124" t="s">
        <v>1744</v>
      </c>
      <c r="C1384" s="273">
        <f t="shared" si="290"/>
        <v>9788097</v>
      </c>
      <c r="D1384" s="273">
        <f t="shared" si="291"/>
        <v>0</v>
      </c>
      <c r="E1384" s="273"/>
      <c r="F1384" s="273"/>
      <c r="G1384" s="273"/>
      <c r="H1384" s="273"/>
      <c r="I1384" s="273"/>
      <c r="J1384" s="273"/>
      <c r="K1384" s="273"/>
      <c r="L1384" s="273"/>
      <c r="M1384" s="273"/>
      <c r="N1384" s="273"/>
      <c r="O1384" s="273"/>
      <c r="P1384" s="273"/>
      <c r="Q1384" s="273">
        <v>699</v>
      </c>
      <c r="R1384" s="273">
        <f>Q1384*(10362+3641)</f>
        <v>9788097</v>
      </c>
      <c r="S1384" s="273"/>
      <c r="T1384" s="273"/>
      <c r="U1384" s="273"/>
      <c r="V1384" s="273"/>
      <c r="W1384" s="273"/>
      <c r="X1384" s="271"/>
      <c r="Y1384" s="271"/>
      <c r="Z1384" s="271"/>
      <c r="AA1384" s="271"/>
      <c r="AB1384" s="271"/>
      <c r="AC1384" s="271"/>
      <c r="AD1384" s="269"/>
      <c r="AE1384" s="7"/>
      <c r="AF1384" s="13"/>
      <c r="AG1384" s="13"/>
      <c r="AH1384" s="13"/>
      <c r="AI1384" s="13"/>
    </row>
    <row r="1385" spans="1:35" x14ac:dyDescent="0.3">
      <c r="A1385" s="10">
        <f t="shared" si="292"/>
        <v>1240</v>
      </c>
      <c r="B1385" s="124" t="s">
        <v>1747</v>
      </c>
      <c r="C1385" s="273">
        <f t="shared" si="290"/>
        <v>8592901.7400000002</v>
      </c>
      <c r="D1385" s="273">
        <f t="shared" si="291"/>
        <v>7294703.5</v>
      </c>
      <c r="E1385" s="273">
        <f>13*2688+358323</f>
        <v>393267</v>
      </c>
      <c r="F1385" s="273">
        <v>5061438.9000000004</v>
      </c>
      <c r="G1385" s="273">
        <v>845002.8</v>
      </c>
      <c r="H1385" s="273">
        <f>13*3910</f>
        <v>50830</v>
      </c>
      <c r="I1385" s="273">
        <v>944164.8</v>
      </c>
      <c r="J1385" s="273"/>
      <c r="K1385" s="273"/>
      <c r="L1385" s="273"/>
      <c r="M1385" s="273"/>
      <c r="N1385" s="273"/>
      <c r="O1385" s="273"/>
      <c r="P1385" s="273"/>
      <c r="Q1385" s="273"/>
      <c r="R1385" s="273"/>
      <c r="S1385" s="273"/>
      <c r="T1385" s="273"/>
      <c r="U1385" s="273"/>
      <c r="V1385" s="273">
        <f>300315.9+997882.34</f>
        <v>1298198.24</v>
      </c>
      <c r="W1385" s="273"/>
      <c r="X1385" s="261"/>
      <c r="Y1385" s="271"/>
      <c r="Z1385" s="271"/>
      <c r="AA1385" s="271"/>
      <c r="AB1385" s="271"/>
      <c r="AC1385" s="271"/>
      <c r="AD1385" s="271"/>
      <c r="AE1385" s="269"/>
      <c r="AF1385" s="7"/>
      <c r="AG1385" s="13"/>
      <c r="AH1385" s="13"/>
      <c r="AI1385" s="13"/>
    </row>
    <row r="1386" spans="1:35" x14ac:dyDescent="0.3">
      <c r="A1386" s="10">
        <f t="shared" si="292"/>
        <v>1241</v>
      </c>
      <c r="B1386" s="124" t="s">
        <v>1749</v>
      </c>
      <c r="C1386" s="273">
        <f t="shared" si="290"/>
        <v>4561311.76</v>
      </c>
      <c r="D1386" s="273">
        <f t="shared" si="291"/>
        <v>3263113.52</v>
      </c>
      <c r="E1386" s="273"/>
      <c r="F1386" s="273">
        <v>1961636.72</v>
      </c>
      <c r="G1386" s="273"/>
      <c r="H1386" s="273"/>
      <c r="I1386" s="273">
        <v>1301476.8</v>
      </c>
      <c r="J1386" s="273"/>
      <c r="K1386" s="273"/>
      <c r="L1386" s="273"/>
      <c r="M1386" s="273"/>
      <c r="N1386" s="273"/>
      <c r="O1386" s="273"/>
      <c r="P1386" s="273"/>
      <c r="Q1386" s="273"/>
      <c r="R1386" s="273"/>
      <c r="S1386" s="273"/>
      <c r="T1386" s="273"/>
      <c r="U1386" s="273"/>
      <c r="V1386" s="273">
        <f>300315.9+997882.34</f>
        <v>1298198.24</v>
      </c>
      <c r="W1386" s="273"/>
      <c r="X1386" s="271"/>
      <c r="Y1386" s="271"/>
      <c r="Z1386" s="271"/>
      <c r="AA1386" s="271"/>
      <c r="AB1386" s="271"/>
      <c r="AC1386" s="271"/>
      <c r="AD1386" s="269"/>
      <c r="AE1386" s="7"/>
      <c r="AF1386" s="13"/>
      <c r="AG1386" s="13"/>
      <c r="AH1386" s="13"/>
      <c r="AI1386" s="13"/>
    </row>
    <row r="1387" spans="1:35" x14ac:dyDescent="0.3">
      <c r="A1387" s="10">
        <f t="shared" si="292"/>
        <v>1242</v>
      </c>
      <c r="B1387" s="124" t="s">
        <v>1754</v>
      </c>
      <c r="C1387" s="273">
        <f t="shared" si="290"/>
        <v>2516713.2000000002</v>
      </c>
      <c r="D1387" s="273">
        <f t="shared" si="291"/>
        <v>0</v>
      </c>
      <c r="E1387" s="273"/>
      <c r="F1387" s="273"/>
      <c r="G1387" s="273"/>
      <c r="H1387" s="273"/>
      <c r="I1387" s="273"/>
      <c r="J1387" s="273"/>
      <c r="K1387" s="273"/>
      <c r="L1387" s="273"/>
      <c r="M1387" s="273"/>
      <c r="N1387" s="273"/>
      <c r="O1387" s="273"/>
      <c r="P1387" s="273"/>
      <c r="Q1387" s="273">
        <v>1050.5999999999999</v>
      </c>
      <c r="R1387" s="273">
        <v>2516713.2000000002</v>
      </c>
      <c r="S1387" s="273"/>
      <c r="T1387" s="273"/>
      <c r="U1387" s="273"/>
      <c r="V1387" s="273"/>
      <c r="W1387" s="273"/>
      <c r="X1387" s="271"/>
      <c r="Y1387" s="271"/>
      <c r="Z1387" s="271"/>
      <c r="AA1387" s="271"/>
      <c r="AB1387" s="271"/>
      <c r="AC1387" s="271"/>
      <c r="AD1387" s="269"/>
      <c r="AE1387" s="7"/>
      <c r="AF1387" s="13"/>
      <c r="AG1387" s="13"/>
      <c r="AH1387" s="13"/>
      <c r="AI1387" s="13"/>
    </row>
    <row r="1388" spans="1:35" x14ac:dyDescent="0.3">
      <c r="A1388" s="10"/>
      <c r="B1388" s="124" t="s">
        <v>208</v>
      </c>
      <c r="C1388" s="273">
        <f t="shared" ref="C1388:W1388" si="293">SUM(C1375:C1387)</f>
        <v>62275073.219999999</v>
      </c>
      <c r="D1388" s="273">
        <f t="shared" si="293"/>
        <v>13432387.219999999</v>
      </c>
      <c r="E1388" s="273">
        <f t="shared" si="293"/>
        <v>1526179.2</v>
      </c>
      <c r="F1388" s="273">
        <f t="shared" si="293"/>
        <v>8468493.620000001</v>
      </c>
      <c r="G1388" s="273">
        <f t="shared" si="293"/>
        <v>845002.8</v>
      </c>
      <c r="H1388" s="273">
        <f t="shared" si="293"/>
        <v>305548</v>
      </c>
      <c r="I1388" s="273">
        <f t="shared" si="293"/>
        <v>2287163.6</v>
      </c>
      <c r="J1388" s="273">
        <f t="shared" si="293"/>
        <v>0</v>
      </c>
      <c r="K1388" s="273">
        <f t="shared" si="293"/>
        <v>0</v>
      </c>
      <c r="L1388" s="273">
        <f t="shared" si="293"/>
        <v>0</v>
      </c>
      <c r="M1388" s="273">
        <f t="shared" si="293"/>
        <v>0</v>
      </c>
      <c r="N1388" s="273">
        <f t="shared" si="293"/>
        <v>0</v>
      </c>
      <c r="O1388" s="273">
        <f t="shared" si="293"/>
        <v>13</v>
      </c>
      <c r="P1388" s="273">
        <f t="shared" si="293"/>
        <v>343629</v>
      </c>
      <c r="Q1388" s="273">
        <f t="shared" si="293"/>
        <v>5177.16</v>
      </c>
      <c r="R1388" s="273">
        <f t="shared" si="293"/>
        <v>45902660.519999996</v>
      </c>
      <c r="S1388" s="273">
        <f t="shared" si="293"/>
        <v>0</v>
      </c>
      <c r="T1388" s="273">
        <f t="shared" si="293"/>
        <v>0</v>
      </c>
      <c r="U1388" s="273">
        <f t="shared" si="293"/>
        <v>0</v>
      </c>
      <c r="V1388" s="273">
        <f t="shared" si="293"/>
        <v>2596396.48</v>
      </c>
      <c r="W1388" s="273">
        <f t="shared" si="293"/>
        <v>0</v>
      </c>
      <c r="X1388" s="271"/>
      <c r="Y1388" s="271"/>
      <c r="Z1388" s="271"/>
      <c r="AA1388" s="271"/>
      <c r="AB1388" s="271"/>
      <c r="AC1388" s="271"/>
      <c r="AD1388" s="269"/>
      <c r="AE1388" s="7"/>
      <c r="AF1388" s="13"/>
      <c r="AG1388" s="13"/>
      <c r="AH1388" s="13"/>
      <c r="AI1388" s="13"/>
    </row>
    <row r="1389" spans="1:35" ht="15" customHeight="1" x14ac:dyDescent="0.3">
      <c r="A1389" s="264" t="s">
        <v>1776</v>
      </c>
      <c r="B1389" s="124"/>
      <c r="C1389" s="273"/>
      <c r="D1389" s="273"/>
      <c r="E1389" s="251"/>
      <c r="F1389" s="251"/>
      <c r="G1389" s="251"/>
      <c r="H1389" s="251"/>
      <c r="I1389" s="251"/>
      <c r="J1389" s="251"/>
      <c r="K1389" s="251"/>
      <c r="L1389" s="251"/>
      <c r="M1389" s="251"/>
      <c r="N1389" s="251"/>
      <c r="O1389" s="251"/>
      <c r="P1389" s="251"/>
      <c r="Q1389" s="251"/>
      <c r="R1389" s="251"/>
      <c r="S1389" s="251"/>
      <c r="T1389" s="251"/>
      <c r="U1389" s="251"/>
      <c r="V1389" s="251"/>
      <c r="W1389" s="251"/>
      <c r="X1389" s="271"/>
      <c r="Y1389" s="271"/>
      <c r="Z1389" s="271"/>
      <c r="AA1389" s="271"/>
      <c r="AB1389" s="271"/>
      <c r="AC1389" s="271"/>
      <c r="AD1389" s="269"/>
      <c r="AE1389" s="7"/>
      <c r="AF1389" s="13"/>
      <c r="AG1389" s="13"/>
      <c r="AH1389" s="13"/>
      <c r="AI1389" s="13"/>
    </row>
    <row r="1390" spans="1:35" x14ac:dyDescent="0.3">
      <c r="A1390" s="10">
        <f>A1387+1</f>
        <v>1243</v>
      </c>
      <c r="B1390" s="124" t="s">
        <v>1778</v>
      </c>
      <c r="C1390" s="273">
        <f>D1390+K1390+L1390+N1390+P1390+R1390+S1390+U1390+V1390+W1390</f>
        <v>130000</v>
      </c>
      <c r="D1390" s="273">
        <f>E1390+F1390+G1390+H1390+I1390</f>
        <v>0</v>
      </c>
      <c r="E1390" s="273"/>
      <c r="F1390" s="273"/>
      <c r="G1390" s="273"/>
      <c r="H1390" s="273"/>
      <c r="I1390" s="273"/>
      <c r="J1390" s="273"/>
      <c r="K1390" s="273"/>
      <c r="L1390" s="273"/>
      <c r="M1390" s="273"/>
      <c r="N1390" s="273"/>
      <c r="O1390" s="273"/>
      <c r="P1390" s="273"/>
      <c r="Q1390" s="273"/>
      <c r="R1390" s="273"/>
      <c r="S1390" s="273"/>
      <c r="T1390" s="273"/>
      <c r="U1390" s="273"/>
      <c r="V1390" s="273"/>
      <c r="W1390" s="273">
        <v>130000</v>
      </c>
      <c r="X1390" s="271"/>
      <c r="Y1390" s="271"/>
      <c r="Z1390" s="271"/>
      <c r="AA1390" s="271"/>
      <c r="AB1390" s="271"/>
      <c r="AC1390" s="271">
        <v>130000</v>
      </c>
      <c r="AD1390" s="269"/>
      <c r="AE1390" s="7"/>
      <c r="AF1390" s="13"/>
      <c r="AG1390" s="13"/>
      <c r="AH1390" s="13"/>
      <c r="AI1390" s="13"/>
    </row>
    <row r="1391" spans="1:35" x14ac:dyDescent="0.3">
      <c r="A1391" s="10">
        <f>A1390+1</f>
        <v>1244</v>
      </c>
      <c r="B1391" s="124" t="s">
        <v>1779</v>
      </c>
      <c r="C1391" s="273">
        <f>D1391+K1391+L1391+N1391+P1391+R1391+S1391+U1391+V1391+W1391</f>
        <v>130000</v>
      </c>
      <c r="D1391" s="273">
        <f>E1391+F1391+G1391+H1391+I1391</f>
        <v>0</v>
      </c>
      <c r="E1391" s="273"/>
      <c r="F1391" s="273"/>
      <c r="G1391" s="273"/>
      <c r="H1391" s="273"/>
      <c r="I1391" s="273"/>
      <c r="J1391" s="273"/>
      <c r="K1391" s="273"/>
      <c r="L1391" s="273"/>
      <c r="M1391" s="273"/>
      <c r="N1391" s="273"/>
      <c r="O1391" s="273"/>
      <c r="P1391" s="273"/>
      <c r="Q1391" s="273"/>
      <c r="R1391" s="273"/>
      <c r="S1391" s="273"/>
      <c r="T1391" s="273"/>
      <c r="U1391" s="273"/>
      <c r="V1391" s="273"/>
      <c r="W1391" s="273">
        <v>130000</v>
      </c>
      <c r="X1391" s="271"/>
      <c r="Y1391" s="271"/>
      <c r="Z1391" s="271"/>
      <c r="AA1391" s="271"/>
      <c r="AB1391" s="271"/>
      <c r="AC1391" s="271">
        <v>130000</v>
      </c>
      <c r="AD1391" s="269"/>
      <c r="AE1391" s="7"/>
      <c r="AF1391" s="13"/>
      <c r="AG1391" s="13"/>
      <c r="AH1391" s="13"/>
      <c r="AI1391" s="13"/>
    </row>
    <row r="1392" spans="1:35" x14ac:dyDescent="0.3">
      <c r="A1392" s="10">
        <f>A1391+1</f>
        <v>1245</v>
      </c>
      <c r="B1392" s="124" t="s">
        <v>1780</v>
      </c>
      <c r="C1392" s="273">
        <f>D1392+K1392+L1392+N1392+P1392+R1392+S1392+U1392+V1392+W1392</f>
        <v>130000</v>
      </c>
      <c r="D1392" s="273">
        <f>E1392+F1392+G1392+H1392+I1392</f>
        <v>0</v>
      </c>
      <c r="E1392" s="273"/>
      <c r="F1392" s="273"/>
      <c r="G1392" s="273"/>
      <c r="H1392" s="273"/>
      <c r="I1392" s="273"/>
      <c r="J1392" s="273"/>
      <c r="K1392" s="273"/>
      <c r="L1392" s="273"/>
      <c r="M1392" s="273"/>
      <c r="N1392" s="273"/>
      <c r="O1392" s="273"/>
      <c r="P1392" s="273"/>
      <c r="Q1392" s="273"/>
      <c r="R1392" s="273"/>
      <c r="S1392" s="273"/>
      <c r="T1392" s="273"/>
      <c r="U1392" s="273"/>
      <c r="V1392" s="273"/>
      <c r="W1392" s="273">
        <v>130000</v>
      </c>
      <c r="X1392" s="271"/>
      <c r="Y1392" s="271"/>
      <c r="Z1392" s="271"/>
      <c r="AA1392" s="271"/>
      <c r="AB1392" s="271"/>
      <c r="AC1392" s="271">
        <v>130000</v>
      </c>
      <c r="AD1392" s="269"/>
      <c r="AE1392" s="7"/>
      <c r="AF1392" s="13"/>
      <c r="AG1392" s="13"/>
      <c r="AH1392" s="13"/>
      <c r="AI1392" s="13"/>
    </row>
    <row r="1393" spans="1:35" x14ac:dyDescent="0.3">
      <c r="A1393" s="10">
        <f>A1392+1</f>
        <v>1246</v>
      </c>
      <c r="B1393" s="124" t="s">
        <v>1781</v>
      </c>
      <c r="C1393" s="273">
        <f>D1393+K1393+L1393+N1393+P1393+R1393+S1393+U1393+V1393+W1393</f>
        <v>130000</v>
      </c>
      <c r="D1393" s="273">
        <f>E1393+F1393+G1393+H1393+I1393</f>
        <v>0</v>
      </c>
      <c r="E1393" s="273"/>
      <c r="F1393" s="273"/>
      <c r="G1393" s="273"/>
      <c r="H1393" s="273"/>
      <c r="I1393" s="273"/>
      <c r="J1393" s="273"/>
      <c r="K1393" s="273"/>
      <c r="L1393" s="273"/>
      <c r="M1393" s="273"/>
      <c r="N1393" s="273"/>
      <c r="O1393" s="273"/>
      <c r="P1393" s="273"/>
      <c r="Q1393" s="273"/>
      <c r="R1393" s="273"/>
      <c r="S1393" s="273"/>
      <c r="T1393" s="273"/>
      <c r="U1393" s="273"/>
      <c r="V1393" s="273"/>
      <c r="W1393" s="273">
        <v>130000</v>
      </c>
      <c r="X1393" s="271"/>
      <c r="Y1393" s="271"/>
      <c r="Z1393" s="271"/>
      <c r="AA1393" s="271"/>
      <c r="AB1393" s="271"/>
      <c r="AC1393" s="271">
        <v>130000</v>
      </c>
      <c r="AD1393" s="269"/>
      <c r="AE1393" s="7"/>
      <c r="AF1393" s="13"/>
      <c r="AG1393" s="13"/>
      <c r="AH1393" s="13"/>
      <c r="AI1393" s="13"/>
    </row>
    <row r="1394" spans="1:35" x14ac:dyDescent="0.3">
      <c r="A1394" s="10"/>
      <c r="B1394" s="124" t="s">
        <v>208</v>
      </c>
      <c r="C1394" s="273">
        <f t="shared" ref="C1394:W1394" si="294">SUM(C1390:C1393)</f>
        <v>520000</v>
      </c>
      <c r="D1394" s="273">
        <f t="shared" si="294"/>
        <v>0</v>
      </c>
      <c r="E1394" s="273">
        <f t="shared" si="294"/>
        <v>0</v>
      </c>
      <c r="F1394" s="273">
        <f t="shared" si="294"/>
        <v>0</v>
      </c>
      <c r="G1394" s="273">
        <f t="shared" si="294"/>
        <v>0</v>
      </c>
      <c r="H1394" s="273">
        <f t="shared" si="294"/>
        <v>0</v>
      </c>
      <c r="I1394" s="273">
        <f t="shared" si="294"/>
        <v>0</v>
      </c>
      <c r="J1394" s="273">
        <f t="shared" si="294"/>
        <v>0</v>
      </c>
      <c r="K1394" s="273">
        <f t="shared" si="294"/>
        <v>0</v>
      </c>
      <c r="L1394" s="273">
        <f t="shared" si="294"/>
        <v>0</v>
      </c>
      <c r="M1394" s="273">
        <f t="shared" si="294"/>
        <v>0</v>
      </c>
      <c r="N1394" s="273">
        <f t="shared" si="294"/>
        <v>0</v>
      </c>
      <c r="O1394" s="273">
        <f t="shared" si="294"/>
        <v>0</v>
      </c>
      <c r="P1394" s="273">
        <f t="shared" si="294"/>
        <v>0</v>
      </c>
      <c r="Q1394" s="273">
        <f t="shared" si="294"/>
        <v>0</v>
      </c>
      <c r="R1394" s="273">
        <f t="shared" si="294"/>
        <v>0</v>
      </c>
      <c r="S1394" s="273">
        <f t="shared" si="294"/>
        <v>0</v>
      </c>
      <c r="T1394" s="273">
        <f t="shared" si="294"/>
        <v>0</v>
      </c>
      <c r="U1394" s="273">
        <f t="shared" si="294"/>
        <v>0</v>
      </c>
      <c r="V1394" s="273">
        <f t="shared" si="294"/>
        <v>0</v>
      </c>
      <c r="W1394" s="273">
        <f t="shared" si="294"/>
        <v>520000</v>
      </c>
      <c r="X1394" s="271"/>
      <c r="Y1394" s="271"/>
      <c r="Z1394" s="271"/>
      <c r="AA1394" s="271"/>
      <c r="AB1394" s="271"/>
      <c r="AC1394" s="271"/>
      <c r="AD1394" s="269"/>
      <c r="AE1394" s="7"/>
      <c r="AF1394" s="13"/>
      <c r="AG1394" s="13"/>
      <c r="AH1394" s="13"/>
      <c r="AI1394" s="13"/>
    </row>
    <row r="1395" spans="1:35" ht="15" customHeight="1" x14ac:dyDescent="0.3">
      <c r="A1395" s="264" t="s">
        <v>1782</v>
      </c>
      <c r="B1395" s="124"/>
      <c r="C1395" s="273"/>
      <c r="D1395" s="273"/>
      <c r="E1395" s="251"/>
      <c r="F1395" s="251"/>
      <c r="G1395" s="251"/>
      <c r="H1395" s="251"/>
      <c r="I1395" s="251"/>
      <c r="J1395" s="251"/>
      <c r="K1395" s="251"/>
      <c r="L1395" s="251"/>
      <c r="M1395" s="251"/>
      <c r="N1395" s="251"/>
      <c r="O1395" s="251"/>
      <c r="P1395" s="251"/>
      <c r="Q1395" s="251"/>
      <c r="R1395" s="251"/>
      <c r="S1395" s="251"/>
      <c r="T1395" s="251"/>
      <c r="U1395" s="251"/>
      <c r="V1395" s="251"/>
      <c r="W1395" s="251"/>
      <c r="X1395" s="271"/>
      <c r="Y1395" s="271"/>
      <c r="Z1395" s="271"/>
      <c r="AA1395" s="271"/>
      <c r="AB1395" s="271"/>
      <c r="AC1395" s="271"/>
      <c r="AD1395" s="269"/>
      <c r="AE1395" s="7"/>
      <c r="AF1395" s="13"/>
      <c r="AG1395" s="13"/>
      <c r="AH1395" s="13"/>
      <c r="AI1395" s="13"/>
    </row>
    <row r="1396" spans="1:35" x14ac:dyDescent="0.3">
      <c r="A1396" s="10">
        <f>A1393+1</f>
        <v>1247</v>
      </c>
      <c r="B1396" s="124" t="s">
        <v>1789</v>
      </c>
      <c r="C1396" s="273">
        <f t="shared" ref="C1396:C1411" si="295">D1396+K1396+L1396+N1396+P1396+R1396+S1396+U1396+V1396+W1396</f>
        <v>106431</v>
      </c>
      <c r="D1396" s="273">
        <f t="shared" ref="D1396:D1411" si="296">E1396+F1396+G1396+H1396+I1396</f>
        <v>0</v>
      </c>
      <c r="E1396" s="273"/>
      <c r="F1396" s="273"/>
      <c r="G1396" s="273"/>
      <c r="H1396" s="273"/>
      <c r="I1396" s="273"/>
      <c r="J1396" s="273"/>
      <c r="K1396" s="273"/>
      <c r="L1396" s="273"/>
      <c r="M1396" s="273"/>
      <c r="N1396" s="273"/>
      <c r="O1396" s="273"/>
      <c r="P1396" s="273"/>
      <c r="Q1396" s="273">
        <v>13</v>
      </c>
      <c r="R1396" s="273">
        <f>Q1396*8187</f>
        <v>106431</v>
      </c>
      <c r="S1396" s="273"/>
      <c r="T1396" s="273"/>
      <c r="U1396" s="273"/>
      <c r="V1396" s="273"/>
      <c r="W1396" s="273"/>
      <c r="X1396" s="271"/>
      <c r="Y1396" s="271"/>
      <c r="Z1396" s="271"/>
      <c r="AA1396" s="271"/>
      <c r="AB1396" s="271"/>
      <c r="AC1396" s="271"/>
      <c r="AD1396" s="269"/>
      <c r="AE1396" s="7"/>
      <c r="AF1396" s="13"/>
      <c r="AG1396" s="13"/>
      <c r="AH1396" s="13"/>
      <c r="AI1396" s="13"/>
    </row>
    <row r="1397" spans="1:35" x14ac:dyDescent="0.3">
      <c r="A1397" s="10">
        <f t="shared" ref="A1397:A1411" si="297">A1396+1</f>
        <v>1248</v>
      </c>
      <c r="B1397" s="124" t="s">
        <v>1791</v>
      </c>
      <c r="C1397" s="273">
        <f t="shared" si="295"/>
        <v>7601702.7800000003</v>
      </c>
      <c r="D1397" s="273">
        <f t="shared" si="296"/>
        <v>0</v>
      </c>
      <c r="E1397" s="273"/>
      <c r="F1397" s="273"/>
      <c r="G1397" s="273"/>
      <c r="H1397" s="273"/>
      <c r="I1397" s="273"/>
      <c r="J1397" s="273"/>
      <c r="K1397" s="273"/>
      <c r="L1397" s="273"/>
      <c r="M1397" s="273"/>
      <c r="N1397" s="273"/>
      <c r="O1397" s="273"/>
      <c r="P1397" s="273"/>
      <c r="Q1397" s="273">
        <v>1155</v>
      </c>
      <c r="R1397" s="261">
        <v>7601702.7800000003</v>
      </c>
      <c r="S1397" s="273"/>
      <c r="T1397" s="273"/>
      <c r="U1397" s="273"/>
      <c r="V1397" s="273"/>
      <c r="W1397" s="273"/>
      <c r="X1397" s="271"/>
      <c r="Y1397" s="271"/>
      <c r="Z1397" s="271"/>
      <c r="AA1397" s="271"/>
      <c r="AB1397" s="271"/>
      <c r="AC1397" s="271"/>
      <c r="AD1397" s="269"/>
      <c r="AE1397" s="7"/>
      <c r="AF1397" s="13"/>
      <c r="AG1397" s="13"/>
      <c r="AH1397" s="13"/>
      <c r="AI1397" s="13"/>
    </row>
    <row r="1398" spans="1:35" x14ac:dyDescent="0.3">
      <c r="A1398" s="10">
        <f t="shared" si="297"/>
        <v>1249</v>
      </c>
      <c r="B1398" s="124" t="s">
        <v>1792</v>
      </c>
      <c r="C1398" s="273">
        <f t="shared" si="295"/>
        <v>5963581.9400000004</v>
      </c>
      <c r="D1398" s="273">
        <f t="shared" si="296"/>
        <v>0</v>
      </c>
      <c r="E1398" s="273"/>
      <c r="F1398" s="273"/>
      <c r="G1398" s="273"/>
      <c r="H1398" s="273"/>
      <c r="I1398" s="273"/>
      <c r="J1398" s="273"/>
      <c r="K1398" s="273"/>
      <c r="L1398" s="273"/>
      <c r="M1398" s="273"/>
      <c r="N1398" s="273"/>
      <c r="O1398" s="273"/>
      <c r="P1398" s="273"/>
      <c r="Q1398" s="273">
        <v>924</v>
      </c>
      <c r="R1398" s="273">
        <v>5963581.9400000004</v>
      </c>
      <c r="S1398" s="273"/>
      <c r="T1398" s="273"/>
      <c r="U1398" s="273"/>
      <c r="V1398" s="273"/>
      <c r="W1398" s="273"/>
      <c r="X1398" s="271"/>
      <c r="Y1398" s="271"/>
      <c r="Z1398" s="271"/>
      <c r="AA1398" s="271"/>
      <c r="AB1398" s="271"/>
      <c r="AC1398" s="271"/>
      <c r="AD1398" s="269"/>
      <c r="AE1398" s="7"/>
      <c r="AF1398" s="13"/>
      <c r="AG1398" s="13"/>
      <c r="AH1398" s="13"/>
      <c r="AI1398" s="13"/>
    </row>
    <row r="1399" spans="1:35" x14ac:dyDescent="0.3">
      <c r="A1399" s="10">
        <f t="shared" si="297"/>
        <v>1250</v>
      </c>
      <c r="B1399" s="124" t="s">
        <v>1794</v>
      </c>
      <c r="C1399" s="273">
        <f t="shared" si="295"/>
        <v>5963581.9400000004</v>
      </c>
      <c r="D1399" s="273">
        <f t="shared" si="296"/>
        <v>0</v>
      </c>
      <c r="E1399" s="273"/>
      <c r="F1399" s="273"/>
      <c r="G1399" s="273"/>
      <c r="H1399" s="273"/>
      <c r="I1399" s="273"/>
      <c r="J1399" s="273"/>
      <c r="K1399" s="273"/>
      <c r="L1399" s="273"/>
      <c r="M1399" s="273"/>
      <c r="N1399" s="273"/>
      <c r="O1399" s="273"/>
      <c r="P1399" s="273"/>
      <c r="Q1399" s="273">
        <v>924</v>
      </c>
      <c r="R1399" s="273">
        <v>5963581.9400000004</v>
      </c>
      <c r="S1399" s="273"/>
      <c r="T1399" s="273"/>
      <c r="U1399" s="273"/>
      <c r="V1399" s="273"/>
      <c r="W1399" s="273"/>
      <c r="X1399" s="271"/>
      <c r="Y1399" s="271"/>
      <c r="Z1399" s="271"/>
      <c r="AA1399" s="271"/>
      <c r="AB1399" s="271"/>
      <c r="AC1399" s="271"/>
      <c r="AD1399" s="269"/>
      <c r="AE1399" s="7"/>
      <c r="AF1399" s="13"/>
      <c r="AG1399" s="13"/>
      <c r="AH1399" s="13"/>
      <c r="AI1399" s="13"/>
    </row>
    <row r="1400" spans="1:35" x14ac:dyDescent="0.3">
      <c r="A1400" s="10">
        <f t="shared" si="297"/>
        <v>1251</v>
      </c>
      <c r="B1400" s="124" t="s">
        <v>1796</v>
      </c>
      <c r="C1400" s="273">
        <f t="shared" si="295"/>
        <v>10975578.84</v>
      </c>
      <c r="D1400" s="273">
        <f t="shared" si="296"/>
        <v>0</v>
      </c>
      <c r="E1400" s="273"/>
      <c r="F1400" s="273"/>
      <c r="G1400" s="273"/>
      <c r="H1400" s="273"/>
      <c r="I1400" s="273"/>
      <c r="J1400" s="273"/>
      <c r="K1400" s="273"/>
      <c r="L1400" s="273"/>
      <c r="M1400" s="273">
        <v>700</v>
      </c>
      <c r="N1400" s="273">
        <v>5011996.9000000004</v>
      </c>
      <c r="O1400" s="273"/>
      <c r="P1400" s="273"/>
      <c r="Q1400" s="273">
        <v>924</v>
      </c>
      <c r="R1400" s="273">
        <v>5963581.9400000004</v>
      </c>
      <c r="S1400" s="273"/>
      <c r="T1400" s="273"/>
      <c r="U1400" s="273"/>
      <c r="V1400" s="273"/>
      <c r="W1400" s="273"/>
      <c r="X1400" s="271"/>
      <c r="Y1400" s="271"/>
      <c r="Z1400" s="271"/>
      <c r="AA1400" s="271"/>
      <c r="AB1400" s="271"/>
      <c r="AC1400" s="271"/>
      <c r="AD1400" s="269"/>
      <c r="AE1400" s="7"/>
      <c r="AF1400" s="13"/>
      <c r="AG1400" s="13"/>
      <c r="AH1400" s="13"/>
      <c r="AI1400" s="13"/>
    </row>
    <row r="1401" spans="1:35" x14ac:dyDescent="0.3">
      <c r="A1401" s="10">
        <f t="shared" si="297"/>
        <v>1252</v>
      </c>
      <c r="B1401" s="124" t="s">
        <v>1797</v>
      </c>
      <c r="C1401" s="273">
        <f t="shared" si="295"/>
        <v>5596452.4199999999</v>
      </c>
      <c r="D1401" s="273">
        <f t="shared" si="296"/>
        <v>3084087.26</v>
      </c>
      <c r="E1401" s="273">
        <v>393455.66</v>
      </c>
      <c r="F1401" s="273">
        <v>1556005.82</v>
      </c>
      <c r="G1401" s="273">
        <v>340207.3</v>
      </c>
      <c r="H1401" s="273">
        <v>613959.9</v>
      </c>
      <c r="I1401" s="273">
        <v>180458.58</v>
      </c>
      <c r="J1401" s="273"/>
      <c r="K1401" s="273"/>
      <c r="L1401" s="273"/>
      <c r="M1401" s="273"/>
      <c r="N1401" s="273"/>
      <c r="O1401" s="273"/>
      <c r="P1401" s="273"/>
      <c r="Q1401" s="273"/>
      <c r="R1401" s="273"/>
      <c r="S1401" s="273"/>
      <c r="T1401" s="273">
        <v>28.56</v>
      </c>
      <c r="U1401" s="273">
        <v>2512352.16</v>
      </c>
      <c r="V1401" s="273">
        <v>13</v>
      </c>
      <c r="W1401" s="273"/>
      <c r="X1401" s="271"/>
      <c r="Y1401" s="271"/>
      <c r="Z1401" s="271"/>
      <c r="AA1401" s="271"/>
      <c r="AB1401" s="271"/>
      <c r="AC1401" s="271"/>
      <c r="AD1401" s="269"/>
      <c r="AE1401" s="7"/>
      <c r="AF1401" s="13"/>
      <c r="AG1401" s="13"/>
      <c r="AH1401" s="13"/>
      <c r="AI1401" s="13"/>
    </row>
    <row r="1402" spans="1:35" x14ac:dyDescent="0.3">
      <c r="A1402" s="10">
        <f t="shared" si="297"/>
        <v>1253</v>
      </c>
      <c r="B1402" s="124" t="s">
        <v>1799</v>
      </c>
      <c r="C1402" s="273">
        <f t="shared" si="295"/>
        <v>9269417.1799999997</v>
      </c>
      <c r="D1402" s="273">
        <f t="shared" si="296"/>
        <v>3069167.34</v>
      </c>
      <c r="E1402" s="273">
        <v>378535.74</v>
      </c>
      <c r="F1402" s="273">
        <v>1556005.82</v>
      </c>
      <c r="G1402" s="273">
        <v>340207.3</v>
      </c>
      <c r="H1402" s="273">
        <v>613959.9</v>
      </c>
      <c r="I1402" s="273">
        <v>180458.58</v>
      </c>
      <c r="J1402" s="273"/>
      <c r="K1402" s="273"/>
      <c r="L1402" s="273"/>
      <c r="M1402" s="273"/>
      <c r="N1402" s="273"/>
      <c r="O1402" s="273"/>
      <c r="P1402" s="273"/>
      <c r="Q1402" s="273">
        <v>924</v>
      </c>
      <c r="R1402" s="273">
        <v>6200236.8399999999</v>
      </c>
      <c r="S1402" s="273"/>
      <c r="T1402" s="273"/>
      <c r="U1402" s="273"/>
      <c r="V1402" s="273">
        <v>13</v>
      </c>
      <c r="W1402" s="273"/>
      <c r="X1402" s="271"/>
      <c r="Y1402" s="271"/>
      <c r="Z1402" s="271"/>
      <c r="AA1402" s="271"/>
      <c r="AB1402" s="271"/>
      <c r="AC1402" s="271"/>
      <c r="AD1402" s="269"/>
      <c r="AE1402" s="7"/>
      <c r="AF1402" s="13"/>
      <c r="AG1402" s="13"/>
      <c r="AH1402" s="13"/>
      <c r="AI1402" s="13"/>
    </row>
    <row r="1403" spans="1:35" x14ac:dyDescent="0.3">
      <c r="A1403" s="10">
        <f t="shared" si="297"/>
        <v>1254</v>
      </c>
      <c r="B1403" s="124" t="s">
        <v>1813</v>
      </c>
      <c r="C1403" s="273">
        <f t="shared" si="295"/>
        <v>41522</v>
      </c>
      <c r="D1403" s="273">
        <f t="shared" si="296"/>
        <v>41522</v>
      </c>
      <c r="E1403" s="273"/>
      <c r="F1403" s="273"/>
      <c r="G1403" s="273"/>
      <c r="H1403" s="273"/>
      <c r="I1403" s="273">
        <f>13*3194</f>
        <v>41522</v>
      </c>
      <c r="J1403" s="273"/>
      <c r="K1403" s="273"/>
      <c r="L1403" s="273"/>
      <c r="M1403" s="273"/>
      <c r="N1403" s="273"/>
      <c r="O1403" s="273"/>
      <c r="P1403" s="273"/>
      <c r="Q1403" s="273"/>
      <c r="R1403" s="273"/>
      <c r="S1403" s="273"/>
      <c r="T1403" s="273"/>
      <c r="U1403" s="273"/>
      <c r="V1403" s="273"/>
      <c r="W1403" s="273"/>
      <c r="X1403" s="273"/>
      <c r="Y1403" s="271"/>
      <c r="Z1403" s="271"/>
      <c r="AA1403" s="271"/>
      <c r="AB1403" s="271"/>
      <c r="AC1403" s="271"/>
      <c r="AD1403" s="271"/>
      <c r="AE1403" s="269"/>
      <c r="AF1403" s="7"/>
      <c r="AG1403" s="13"/>
      <c r="AH1403" s="13"/>
      <c r="AI1403" s="13"/>
    </row>
    <row r="1404" spans="1:35" x14ac:dyDescent="0.3">
      <c r="A1404" s="10">
        <f t="shared" si="297"/>
        <v>1255</v>
      </c>
      <c r="B1404" s="124" t="s">
        <v>1800</v>
      </c>
      <c r="C1404" s="273">
        <f t="shared" si="295"/>
        <v>2915874.7399999998</v>
      </c>
      <c r="D1404" s="273">
        <f t="shared" si="296"/>
        <v>2915861.7399999998</v>
      </c>
      <c r="E1404" s="273">
        <v>405688.72</v>
      </c>
      <c r="F1404" s="273">
        <v>1556005.82</v>
      </c>
      <c r="G1404" s="273">
        <v>340207.3</v>
      </c>
      <c r="H1404" s="273">
        <v>613959.9</v>
      </c>
      <c r="I1404" s="273"/>
      <c r="J1404" s="273"/>
      <c r="K1404" s="273"/>
      <c r="L1404" s="273"/>
      <c r="M1404" s="273"/>
      <c r="N1404" s="273"/>
      <c r="O1404" s="273"/>
      <c r="P1404" s="273"/>
      <c r="Q1404" s="273"/>
      <c r="R1404" s="273"/>
      <c r="S1404" s="273"/>
      <c r="T1404" s="273"/>
      <c r="U1404" s="273"/>
      <c r="V1404" s="273">
        <v>13</v>
      </c>
      <c r="W1404" s="273"/>
      <c r="X1404" s="271"/>
      <c r="Y1404" s="271"/>
      <c r="Z1404" s="271"/>
      <c r="AA1404" s="271"/>
      <c r="AB1404" s="271"/>
      <c r="AC1404" s="271"/>
      <c r="AD1404" s="269"/>
      <c r="AE1404" s="7"/>
      <c r="AF1404" s="13"/>
      <c r="AG1404" s="13"/>
      <c r="AH1404" s="13"/>
      <c r="AI1404" s="13"/>
    </row>
    <row r="1405" spans="1:35" ht="21.75" customHeight="1" x14ac:dyDescent="0.3">
      <c r="A1405" s="10">
        <f t="shared" si="297"/>
        <v>1256</v>
      </c>
      <c r="B1405" s="124" t="s">
        <v>1801</v>
      </c>
      <c r="C1405" s="273">
        <f t="shared" si="295"/>
        <v>3281147.3000000003</v>
      </c>
      <c r="D1405" s="273">
        <f t="shared" si="296"/>
        <v>3073775.12</v>
      </c>
      <c r="E1405" s="273">
        <v>349368.5</v>
      </c>
      <c r="F1405" s="273">
        <v>1531565.66</v>
      </c>
      <c r="G1405" s="273">
        <v>338846.64</v>
      </c>
      <c r="H1405" s="273">
        <v>673512.14</v>
      </c>
      <c r="I1405" s="273">
        <v>180482.18</v>
      </c>
      <c r="J1405" s="273"/>
      <c r="K1405" s="273"/>
      <c r="L1405" s="273"/>
      <c r="M1405" s="273"/>
      <c r="N1405" s="273"/>
      <c r="O1405" s="273"/>
      <c r="P1405" s="273"/>
      <c r="Q1405" s="273"/>
      <c r="R1405" s="273"/>
      <c r="S1405" s="273"/>
      <c r="T1405" s="273"/>
      <c r="U1405" s="273"/>
      <c r="V1405" s="273">
        <v>13</v>
      </c>
      <c r="W1405" s="273">
        <v>207359.18</v>
      </c>
      <c r="X1405" s="271"/>
      <c r="Y1405" s="271"/>
      <c r="Z1405" s="271"/>
      <c r="AA1405" s="271"/>
      <c r="AB1405" s="271"/>
      <c r="AC1405" s="271"/>
      <c r="AE1405" s="269">
        <v>207359.18</v>
      </c>
      <c r="AF1405" s="13"/>
      <c r="AG1405" s="13"/>
      <c r="AH1405" s="13"/>
      <c r="AI1405" s="13"/>
    </row>
    <row r="1406" spans="1:35" x14ac:dyDescent="0.3">
      <c r="A1406" s="10">
        <f t="shared" si="297"/>
        <v>1257</v>
      </c>
      <c r="B1406" s="124" t="s">
        <v>1805</v>
      </c>
      <c r="C1406" s="273">
        <f t="shared" si="295"/>
        <v>1374565.04</v>
      </c>
      <c r="D1406" s="273">
        <f t="shared" si="296"/>
        <v>1374565.04</v>
      </c>
      <c r="E1406" s="273">
        <f>13*2688+358323</f>
        <v>393267</v>
      </c>
      <c r="F1406" s="273">
        <f>13*5502+607361</f>
        <v>678887</v>
      </c>
      <c r="G1406" s="273">
        <f t="shared" ref="G1406:H1408" si="298">13*3910</f>
        <v>50830</v>
      </c>
      <c r="H1406" s="273">
        <f t="shared" si="298"/>
        <v>50830</v>
      </c>
      <c r="I1406" s="273">
        <v>200751.04</v>
      </c>
      <c r="J1406" s="273"/>
      <c r="K1406" s="273"/>
      <c r="L1406" s="273"/>
      <c r="M1406" s="273"/>
      <c r="N1406" s="273"/>
      <c r="O1406" s="273"/>
      <c r="P1406" s="273"/>
      <c r="Q1406" s="273"/>
      <c r="R1406" s="273"/>
      <c r="S1406" s="273"/>
      <c r="T1406" s="273"/>
      <c r="U1406" s="273"/>
      <c r="V1406" s="273"/>
      <c r="W1406" s="273"/>
      <c r="X1406" s="271"/>
      <c r="Y1406" s="271"/>
      <c r="Z1406" s="271"/>
      <c r="AA1406" s="271"/>
      <c r="AB1406" s="271"/>
      <c r="AC1406" s="271"/>
      <c r="AD1406" s="269"/>
      <c r="AE1406" s="7"/>
      <c r="AF1406" s="13"/>
      <c r="AG1406" s="13"/>
      <c r="AH1406" s="13"/>
      <c r="AI1406" s="13"/>
    </row>
    <row r="1407" spans="1:35" x14ac:dyDescent="0.3">
      <c r="A1407" s="10">
        <f t="shared" si="297"/>
        <v>1258</v>
      </c>
      <c r="B1407" s="124" t="s">
        <v>1815</v>
      </c>
      <c r="C1407" s="273">
        <f t="shared" si="295"/>
        <v>1475141</v>
      </c>
      <c r="D1407" s="273">
        <f t="shared" si="296"/>
        <v>1215336</v>
      </c>
      <c r="E1407" s="273">
        <f>13*2688+358323</f>
        <v>393267</v>
      </c>
      <c r="F1407" s="273">
        <f>13*5502+607361</f>
        <v>678887</v>
      </c>
      <c r="G1407" s="273">
        <f t="shared" si="298"/>
        <v>50830</v>
      </c>
      <c r="H1407" s="273">
        <f t="shared" si="298"/>
        <v>50830</v>
      </c>
      <c r="I1407" s="273">
        <f>13*3194</f>
        <v>41522</v>
      </c>
      <c r="J1407" s="273"/>
      <c r="K1407" s="273"/>
      <c r="L1407" s="273"/>
      <c r="M1407" s="273">
        <v>13</v>
      </c>
      <c r="N1407" s="273">
        <f>M1407*8094</f>
        <v>105222</v>
      </c>
      <c r="O1407" s="273"/>
      <c r="P1407" s="273"/>
      <c r="Q1407" s="273"/>
      <c r="R1407" s="273"/>
      <c r="S1407" s="273"/>
      <c r="T1407" s="273">
        <v>13</v>
      </c>
      <c r="U1407" s="273">
        <f>T1407*11890</f>
        <v>154570</v>
      </c>
      <c r="V1407" s="273">
        <v>13</v>
      </c>
      <c r="W1407" s="273"/>
      <c r="X1407" s="271"/>
      <c r="Y1407" s="271"/>
      <c r="Z1407" s="271"/>
      <c r="AA1407" s="271"/>
      <c r="AB1407" s="271"/>
      <c r="AC1407" s="271"/>
      <c r="AD1407" s="269"/>
      <c r="AE1407" s="7"/>
      <c r="AF1407" s="13"/>
      <c r="AG1407" s="13"/>
      <c r="AH1407" s="13"/>
      <c r="AI1407" s="13"/>
    </row>
    <row r="1408" spans="1:35" x14ac:dyDescent="0.3">
      <c r="A1408" s="10">
        <f t="shared" si="297"/>
        <v>1259</v>
      </c>
      <c r="B1408" s="124" t="s">
        <v>1816</v>
      </c>
      <c r="C1408" s="273">
        <f t="shared" si="295"/>
        <v>1173827</v>
      </c>
      <c r="D1408" s="273">
        <f t="shared" si="296"/>
        <v>1173814</v>
      </c>
      <c r="E1408" s="273">
        <f>13*2688+358323</f>
        <v>393267</v>
      </c>
      <c r="F1408" s="273">
        <f>13*5502+607361</f>
        <v>678887</v>
      </c>
      <c r="G1408" s="273">
        <f t="shared" si="298"/>
        <v>50830</v>
      </c>
      <c r="H1408" s="273">
        <f t="shared" si="298"/>
        <v>50830</v>
      </c>
      <c r="I1408" s="273"/>
      <c r="J1408" s="273"/>
      <c r="K1408" s="273"/>
      <c r="L1408" s="273"/>
      <c r="M1408" s="273"/>
      <c r="N1408" s="273"/>
      <c r="O1408" s="273"/>
      <c r="P1408" s="273"/>
      <c r="Q1408" s="273"/>
      <c r="R1408" s="273"/>
      <c r="S1408" s="273"/>
      <c r="T1408" s="273"/>
      <c r="U1408" s="273"/>
      <c r="V1408" s="273">
        <v>13</v>
      </c>
      <c r="W1408" s="273"/>
      <c r="X1408" s="271"/>
      <c r="Y1408" s="271"/>
      <c r="Z1408" s="271"/>
      <c r="AA1408" s="271"/>
      <c r="AB1408" s="271"/>
      <c r="AC1408" s="271"/>
      <c r="AD1408" s="269"/>
      <c r="AE1408" s="7"/>
      <c r="AF1408" s="13"/>
      <c r="AG1408" s="13"/>
      <c r="AH1408" s="13"/>
      <c r="AI1408" s="13"/>
    </row>
    <row r="1409" spans="1:35" x14ac:dyDescent="0.3">
      <c r="A1409" s="10">
        <f t="shared" si="297"/>
        <v>1260</v>
      </c>
      <c r="B1409" s="124" t="s">
        <v>1820</v>
      </c>
      <c r="C1409" s="273">
        <f t="shared" si="295"/>
        <v>393267</v>
      </c>
      <c r="D1409" s="273">
        <f t="shared" si="296"/>
        <v>393267</v>
      </c>
      <c r="E1409" s="273">
        <f>13*2688+358323</f>
        <v>393267</v>
      </c>
      <c r="F1409" s="273"/>
      <c r="G1409" s="273"/>
      <c r="H1409" s="273"/>
      <c r="I1409" s="273"/>
      <c r="J1409" s="273"/>
      <c r="K1409" s="273"/>
      <c r="L1409" s="273"/>
      <c r="M1409" s="273"/>
      <c r="N1409" s="273"/>
      <c r="O1409" s="273"/>
      <c r="P1409" s="273"/>
      <c r="Q1409" s="273"/>
      <c r="R1409" s="273"/>
      <c r="S1409" s="273"/>
      <c r="T1409" s="273"/>
      <c r="U1409" s="273"/>
      <c r="V1409" s="273"/>
      <c r="W1409" s="273"/>
      <c r="X1409" s="271"/>
      <c r="Y1409" s="271"/>
      <c r="Z1409" s="271"/>
      <c r="AA1409" s="271"/>
      <c r="AB1409" s="271"/>
      <c r="AC1409" s="271"/>
      <c r="AD1409" s="269"/>
      <c r="AE1409" s="7"/>
      <c r="AF1409" s="13"/>
      <c r="AG1409" s="13"/>
      <c r="AH1409" s="13"/>
      <c r="AI1409" s="13"/>
    </row>
    <row r="1410" spans="1:35" x14ac:dyDescent="0.3">
      <c r="A1410" s="10">
        <f t="shared" si="297"/>
        <v>1261</v>
      </c>
      <c r="B1410" s="124" t="s">
        <v>1824</v>
      </c>
      <c r="C1410" s="273">
        <f t="shared" si="295"/>
        <v>11392623</v>
      </c>
      <c r="D1410" s="273">
        <f t="shared" si="296"/>
        <v>0</v>
      </c>
      <c r="E1410" s="273"/>
      <c r="F1410" s="273"/>
      <c r="G1410" s="273"/>
      <c r="H1410" s="273"/>
      <c r="I1410" s="273"/>
      <c r="J1410" s="273"/>
      <c r="K1410" s="273"/>
      <c r="L1410" s="273"/>
      <c r="M1410" s="273"/>
      <c r="N1410" s="273"/>
      <c r="O1410" s="273">
        <v>431</v>
      </c>
      <c r="P1410" s="273">
        <f>O1410*26433</f>
        <v>11392623</v>
      </c>
      <c r="Q1410" s="273"/>
      <c r="R1410" s="273"/>
      <c r="S1410" s="273"/>
      <c r="T1410" s="273"/>
      <c r="U1410" s="273"/>
      <c r="V1410" s="273"/>
      <c r="W1410" s="273"/>
      <c r="X1410" s="271"/>
      <c r="Y1410" s="271"/>
      <c r="Z1410" s="271"/>
      <c r="AA1410" s="271"/>
      <c r="AB1410" s="271"/>
      <c r="AC1410" s="271"/>
      <c r="AD1410" s="269"/>
      <c r="AE1410" s="7"/>
      <c r="AF1410" s="13"/>
      <c r="AG1410" s="13"/>
      <c r="AH1410" s="13"/>
      <c r="AI1410" s="13"/>
    </row>
    <row r="1411" spans="1:35" ht="17.25" customHeight="1" x14ac:dyDescent="0.3">
      <c r="A1411" s="10">
        <f t="shared" si="297"/>
        <v>1262</v>
      </c>
      <c r="B1411" s="124" t="s">
        <v>1825</v>
      </c>
      <c r="C1411" s="273">
        <f t="shared" si="295"/>
        <v>16293042</v>
      </c>
      <c r="D1411" s="273">
        <f t="shared" si="296"/>
        <v>0</v>
      </c>
      <c r="E1411" s="273"/>
      <c r="F1411" s="273"/>
      <c r="G1411" s="273"/>
      <c r="H1411" s="273"/>
      <c r="I1411" s="273"/>
      <c r="J1411" s="273"/>
      <c r="K1411" s="273"/>
      <c r="L1411" s="273"/>
      <c r="M1411" s="273"/>
      <c r="N1411" s="273"/>
      <c r="O1411" s="273"/>
      <c r="P1411" s="273"/>
      <c r="Q1411" s="273">
        <v>964</v>
      </c>
      <c r="R1411" s="273">
        <f>Q1411*(10362+3641)</f>
        <v>13498892</v>
      </c>
      <c r="S1411" s="273"/>
      <c r="T1411" s="273">
        <v>235</v>
      </c>
      <c r="U1411" s="273">
        <f>T1411*11890</f>
        <v>2794150</v>
      </c>
      <c r="V1411" s="273"/>
      <c r="W1411" s="273"/>
      <c r="X1411" s="271"/>
      <c r="Y1411" s="271"/>
      <c r="Z1411" s="271"/>
      <c r="AA1411" s="271"/>
      <c r="AB1411" s="271"/>
      <c r="AC1411" s="271"/>
      <c r="AD1411" s="269"/>
      <c r="AE1411" s="7"/>
      <c r="AF1411" s="13"/>
      <c r="AG1411" s="13"/>
      <c r="AH1411" s="13"/>
      <c r="AI1411" s="13"/>
    </row>
    <row r="1412" spans="1:35" x14ac:dyDescent="0.3">
      <c r="A1412" s="10"/>
      <c r="B1412" s="124" t="s">
        <v>208</v>
      </c>
      <c r="C1412" s="273">
        <f t="shared" ref="C1412:W1412" si="299">SUM(C1396:C1411)</f>
        <v>83817755.180000007</v>
      </c>
      <c r="D1412" s="273">
        <f t="shared" si="299"/>
        <v>16341395.5</v>
      </c>
      <c r="E1412" s="273">
        <f t="shared" si="299"/>
        <v>3100116.62</v>
      </c>
      <c r="F1412" s="273">
        <f t="shared" si="299"/>
        <v>8236244.1200000001</v>
      </c>
      <c r="G1412" s="273">
        <f t="shared" si="299"/>
        <v>1511958.54</v>
      </c>
      <c r="H1412" s="273">
        <f t="shared" si="299"/>
        <v>2667881.8400000003</v>
      </c>
      <c r="I1412" s="273">
        <f t="shared" si="299"/>
        <v>825194.38</v>
      </c>
      <c r="J1412" s="273">
        <f t="shared" si="299"/>
        <v>0</v>
      </c>
      <c r="K1412" s="273">
        <f t="shared" si="299"/>
        <v>0</v>
      </c>
      <c r="L1412" s="273">
        <f t="shared" si="299"/>
        <v>0</v>
      </c>
      <c r="M1412" s="273">
        <f t="shared" si="299"/>
        <v>713</v>
      </c>
      <c r="N1412" s="273">
        <f t="shared" si="299"/>
        <v>5117218.9000000004</v>
      </c>
      <c r="O1412" s="273">
        <f t="shared" si="299"/>
        <v>431</v>
      </c>
      <c r="P1412" s="273">
        <f t="shared" si="299"/>
        <v>11392623</v>
      </c>
      <c r="Q1412" s="273">
        <f t="shared" si="299"/>
        <v>5828</v>
      </c>
      <c r="R1412" s="273">
        <f t="shared" si="299"/>
        <v>45298008.439999998</v>
      </c>
      <c r="S1412" s="273">
        <f t="shared" si="299"/>
        <v>0</v>
      </c>
      <c r="T1412" s="273">
        <f t="shared" si="299"/>
        <v>276.56</v>
      </c>
      <c r="U1412" s="273">
        <f t="shared" si="299"/>
        <v>5461072.1600000001</v>
      </c>
      <c r="V1412" s="273">
        <f t="shared" si="299"/>
        <v>78</v>
      </c>
      <c r="W1412" s="273">
        <f t="shared" si="299"/>
        <v>207359.18</v>
      </c>
      <c r="X1412" s="271"/>
      <c r="Y1412" s="271"/>
      <c r="Z1412" s="271"/>
      <c r="AA1412" s="271"/>
      <c r="AB1412" s="271"/>
      <c r="AC1412" s="271"/>
      <c r="AD1412" s="269"/>
      <c r="AE1412" s="7"/>
      <c r="AF1412" s="13"/>
      <c r="AG1412" s="13"/>
      <c r="AH1412" s="13"/>
      <c r="AI1412" s="13"/>
    </row>
    <row r="1413" spans="1:35" ht="15" customHeight="1" x14ac:dyDescent="0.3">
      <c r="A1413" s="264" t="s">
        <v>1826</v>
      </c>
      <c r="B1413" s="124"/>
      <c r="C1413" s="273"/>
      <c r="D1413" s="273"/>
      <c r="E1413" s="273"/>
      <c r="F1413" s="273"/>
      <c r="G1413" s="273"/>
      <c r="H1413" s="273"/>
      <c r="I1413" s="273"/>
      <c r="J1413" s="273"/>
      <c r="K1413" s="273"/>
      <c r="L1413" s="273"/>
      <c r="M1413" s="273"/>
      <c r="N1413" s="273"/>
      <c r="O1413" s="273"/>
      <c r="P1413" s="273"/>
      <c r="Q1413" s="273"/>
      <c r="R1413" s="273"/>
      <c r="S1413" s="273"/>
      <c r="T1413" s="273"/>
      <c r="U1413" s="273"/>
      <c r="V1413" s="273"/>
      <c r="W1413" s="273"/>
      <c r="X1413" s="271"/>
      <c r="Y1413" s="271"/>
      <c r="Z1413" s="271"/>
      <c r="AA1413" s="271"/>
      <c r="AB1413" s="271"/>
      <c r="AC1413" s="271"/>
      <c r="AD1413" s="269"/>
      <c r="AE1413" s="7"/>
      <c r="AF1413" s="13"/>
      <c r="AG1413" s="13"/>
      <c r="AH1413" s="13"/>
      <c r="AI1413" s="13"/>
    </row>
    <row r="1414" spans="1:35" x14ac:dyDescent="0.3">
      <c r="A1414" s="10">
        <f>A1411+1</f>
        <v>1263</v>
      </c>
      <c r="B1414" s="124" t="s">
        <v>1827</v>
      </c>
      <c r="C1414" s="273">
        <f>D1414+K1414+L1414+N1414+P1414+R1414+S1414+U1414+V1414+W1414</f>
        <v>393267</v>
      </c>
      <c r="D1414" s="273">
        <f>E1414+F1414+G1414+H1414+I1414</f>
        <v>393267</v>
      </c>
      <c r="E1414" s="273">
        <f>13*2688+358323</f>
        <v>393267</v>
      </c>
      <c r="F1414" s="273"/>
      <c r="G1414" s="273"/>
      <c r="H1414" s="273"/>
      <c r="I1414" s="273"/>
      <c r="J1414" s="273"/>
      <c r="K1414" s="273"/>
      <c r="L1414" s="273"/>
      <c r="M1414" s="273"/>
      <c r="N1414" s="273"/>
      <c r="O1414" s="273"/>
      <c r="P1414" s="273"/>
      <c r="Q1414" s="273"/>
      <c r="R1414" s="273"/>
      <c r="S1414" s="273"/>
      <c r="T1414" s="273"/>
      <c r="U1414" s="273"/>
      <c r="V1414" s="273"/>
      <c r="W1414" s="273"/>
      <c r="X1414" s="273"/>
      <c r="Y1414" s="271"/>
      <c r="Z1414" s="271"/>
      <c r="AA1414" s="271"/>
      <c r="AB1414" s="271"/>
      <c r="AC1414" s="271"/>
      <c r="AD1414" s="271"/>
      <c r="AE1414" s="269"/>
      <c r="AF1414" s="7"/>
      <c r="AG1414" s="13"/>
      <c r="AH1414" s="13"/>
      <c r="AI1414" s="13"/>
    </row>
    <row r="1415" spans="1:35" x14ac:dyDescent="0.3">
      <c r="A1415" s="10">
        <f>A1414+1</f>
        <v>1264</v>
      </c>
      <c r="B1415" s="124" t="s">
        <v>1828</v>
      </c>
      <c r="C1415" s="273">
        <f>D1415+K1415+L1415+N1415+P1415+R1415+S1415+U1415+V1415+W1415</f>
        <v>130000</v>
      </c>
      <c r="D1415" s="273">
        <f>E1415+F1415+G1415+H1415+I1415</f>
        <v>0</v>
      </c>
      <c r="E1415" s="273"/>
      <c r="F1415" s="273"/>
      <c r="G1415" s="273"/>
      <c r="H1415" s="273"/>
      <c r="I1415" s="273"/>
      <c r="J1415" s="273"/>
      <c r="K1415" s="273"/>
      <c r="L1415" s="273"/>
      <c r="M1415" s="273"/>
      <c r="N1415" s="273"/>
      <c r="O1415" s="273"/>
      <c r="P1415" s="273"/>
      <c r="Q1415" s="273"/>
      <c r="R1415" s="273"/>
      <c r="S1415" s="273"/>
      <c r="T1415" s="273"/>
      <c r="U1415" s="273"/>
      <c r="V1415" s="273"/>
      <c r="W1415" s="273">
        <v>130000</v>
      </c>
      <c r="X1415" s="271"/>
      <c r="Y1415" s="271"/>
      <c r="Z1415" s="271"/>
      <c r="AA1415" s="271"/>
      <c r="AB1415" s="271"/>
      <c r="AC1415" s="271">
        <v>130000</v>
      </c>
      <c r="AD1415" s="269"/>
      <c r="AE1415" s="7"/>
      <c r="AF1415" s="13"/>
      <c r="AG1415" s="13"/>
      <c r="AH1415" s="13"/>
      <c r="AI1415" s="13"/>
    </row>
    <row r="1416" spans="1:35" x14ac:dyDescent="0.3">
      <c r="A1416" s="10"/>
      <c r="B1416" s="124" t="s">
        <v>208</v>
      </c>
      <c r="C1416" s="273">
        <f t="shared" ref="C1416:W1416" si="300">SUM(C1414:C1415)</f>
        <v>523267</v>
      </c>
      <c r="D1416" s="273">
        <f t="shared" si="300"/>
        <v>393267</v>
      </c>
      <c r="E1416" s="273">
        <f t="shared" si="300"/>
        <v>393267</v>
      </c>
      <c r="F1416" s="273">
        <f t="shared" si="300"/>
        <v>0</v>
      </c>
      <c r="G1416" s="273">
        <f t="shared" si="300"/>
        <v>0</v>
      </c>
      <c r="H1416" s="273">
        <f t="shared" si="300"/>
        <v>0</v>
      </c>
      <c r="I1416" s="273">
        <f t="shared" si="300"/>
        <v>0</v>
      </c>
      <c r="J1416" s="273">
        <f t="shared" si="300"/>
        <v>0</v>
      </c>
      <c r="K1416" s="273">
        <f t="shared" si="300"/>
        <v>0</v>
      </c>
      <c r="L1416" s="273">
        <f t="shared" si="300"/>
        <v>0</v>
      </c>
      <c r="M1416" s="273">
        <f t="shared" si="300"/>
        <v>0</v>
      </c>
      <c r="N1416" s="273">
        <f t="shared" si="300"/>
        <v>0</v>
      </c>
      <c r="O1416" s="273">
        <f t="shared" si="300"/>
        <v>0</v>
      </c>
      <c r="P1416" s="273">
        <f t="shared" si="300"/>
        <v>0</v>
      </c>
      <c r="Q1416" s="273">
        <f t="shared" si="300"/>
        <v>0</v>
      </c>
      <c r="R1416" s="273">
        <f t="shared" si="300"/>
        <v>0</v>
      </c>
      <c r="S1416" s="273">
        <f t="shared" si="300"/>
        <v>0</v>
      </c>
      <c r="T1416" s="273">
        <f t="shared" si="300"/>
        <v>0</v>
      </c>
      <c r="U1416" s="273">
        <f t="shared" si="300"/>
        <v>0</v>
      </c>
      <c r="V1416" s="273">
        <f t="shared" si="300"/>
        <v>0</v>
      </c>
      <c r="W1416" s="273">
        <f t="shared" si="300"/>
        <v>130000</v>
      </c>
      <c r="X1416" s="271"/>
      <c r="Y1416" s="271"/>
      <c r="Z1416" s="271"/>
      <c r="AA1416" s="271"/>
      <c r="AB1416" s="271"/>
      <c r="AC1416" s="271">
        <v>130000</v>
      </c>
      <c r="AD1416" s="269"/>
      <c r="AE1416" s="7"/>
      <c r="AF1416" s="13"/>
      <c r="AG1416" s="13"/>
      <c r="AH1416" s="13"/>
      <c r="AI1416" s="13"/>
    </row>
    <row r="1417" spans="1:35" ht="15" customHeight="1" x14ac:dyDescent="0.3">
      <c r="A1417" s="264" t="s">
        <v>1835</v>
      </c>
      <c r="B1417" s="124"/>
      <c r="C1417" s="273"/>
      <c r="D1417" s="273"/>
      <c r="E1417" s="251"/>
      <c r="F1417" s="251"/>
      <c r="G1417" s="251"/>
      <c r="H1417" s="251"/>
      <c r="I1417" s="251"/>
      <c r="J1417" s="251"/>
      <c r="K1417" s="251"/>
      <c r="L1417" s="251"/>
      <c r="M1417" s="251"/>
      <c r="N1417" s="251"/>
      <c r="O1417" s="251"/>
      <c r="P1417" s="251"/>
      <c r="Q1417" s="251"/>
      <c r="R1417" s="251"/>
      <c r="S1417" s="251"/>
      <c r="T1417" s="251"/>
      <c r="U1417" s="251"/>
      <c r="V1417" s="251"/>
      <c r="W1417" s="251"/>
      <c r="X1417" s="271"/>
      <c r="Y1417" s="271"/>
      <c r="Z1417" s="271"/>
      <c r="AA1417" s="271"/>
      <c r="AB1417" s="271"/>
      <c r="AC1417" s="271"/>
      <c r="AD1417" s="269"/>
      <c r="AE1417" s="7"/>
      <c r="AF1417" s="13"/>
      <c r="AG1417" s="13"/>
      <c r="AH1417" s="13"/>
      <c r="AI1417" s="13"/>
    </row>
    <row r="1418" spans="1:35" ht="21.75" customHeight="1" x14ac:dyDescent="0.3">
      <c r="A1418" s="10">
        <f>A1415+1</f>
        <v>1265</v>
      </c>
      <c r="B1418" s="124" t="s">
        <v>1836</v>
      </c>
      <c r="C1418" s="273">
        <f>D1418+K1418+L1418+N1418+P1418+R1418+S1418+U1418+V1418+W1418</f>
        <v>4256669.46</v>
      </c>
      <c r="D1418" s="273">
        <f>E1418+F1418+G1418+H1418+I1418</f>
        <v>0</v>
      </c>
      <c r="E1418" s="273"/>
      <c r="F1418" s="273"/>
      <c r="G1418" s="273"/>
      <c r="H1418" s="273"/>
      <c r="I1418" s="273"/>
      <c r="J1418" s="273"/>
      <c r="K1418" s="273"/>
      <c r="L1418" s="273"/>
      <c r="M1418" s="273"/>
      <c r="N1418" s="273"/>
      <c r="O1418" s="273"/>
      <c r="P1418" s="273"/>
      <c r="Q1418" s="273">
        <v>405.38</v>
      </c>
      <c r="R1418" s="273">
        <v>4256669.46</v>
      </c>
      <c r="S1418" s="273"/>
      <c r="T1418" s="273">
        <v>224.7</v>
      </c>
      <c r="U1418" s="273"/>
      <c r="V1418" s="273">
        <v>0</v>
      </c>
      <c r="W1418" s="273"/>
      <c r="X1418" s="271"/>
      <c r="Y1418" s="271"/>
      <c r="Z1418" s="271"/>
      <c r="AA1418" s="271"/>
      <c r="AB1418" s="271"/>
      <c r="AC1418" s="271"/>
      <c r="AD1418" s="269"/>
      <c r="AE1418" s="7"/>
      <c r="AF1418" s="13"/>
      <c r="AG1418" s="13"/>
      <c r="AH1418" s="13"/>
      <c r="AI1418" s="13"/>
    </row>
    <row r="1419" spans="1:35" ht="19.5" customHeight="1" x14ac:dyDescent="0.3">
      <c r="A1419" s="10">
        <f>A1418+1</f>
        <v>1266</v>
      </c>
      <c r="B1419" s="124" t="s">
        <v>1838</v>
      </c>
      <c r="C1419" s="273">
        <f>D1419+K1419+L1419+N1419+P1419+R1419+S1419+U1419+V1419+W1419</f>
        <v>4256669.46</v>
      </c>
      <c r="D1419" s="273">
        <f>E1419+F1419+G1419+H1419+I1419</f>
        <v>0</v>
      </c>
      <c r="E1419" s="273"/>
      <c r="F1419" s="273"/>
      <c r="G1419" s="273"/>
      <c r="H1419" s="273"/>
      <c r="I1419" s="273"/>
      <c r="J1419" s="273"/>
      <c r="K1419" s="273"/>
      <c r="L1419" s="273"/>
      <c r="M1419" s="273"/>
      <c r="N1419" s="273"/>
      <c r="O1419" s="273"/>
      <c r="P1419" s="273"/>
      <c r="Q1419" s="273">
        <v>405.38</v>
      </c>
      <c r="R1419" s="273">
        <v>4256669.46</v>
      </c>
      <c r="S1419" s="273"/>
      <c r="T1419" s="273">
        <v>224.7</v>
      </c>
      <c r="U1419" s="273"/>
      <c r="V1419" s="273">
        <v>0</v>
      </c>
      <c r="W1419" s="273"/>
      <c r="X1419" s="271"/>
      <c r="Y1419" s="271"/>
      <c r="Z1419" s="271"/>
      <c r="AA1419" s="271"/>
      <c r="AB1419" s="271"/>
      <c r="AC1419" s="271"/>
      <c r="AD1419" s="269"/>
      <c r="AE1419" s="7"/>
      <c r="AF1419" s="13"/>
      <c r="AG1419" s="13"/>
      <c r="AH1419" s="13"/>
      <c r="AI1419" s="13"/>
    </row>
    <row r="1420" spans="1:35" ht="19.5" customHeight="1" x14ac:dyDescent="0.3">
      <c r="A1420" s="10">
        <f>A1419+1</f>
        <v>1267</v>
      </c>
      <c r="B1420" s="124" t="s">
        <v>1839</v>
      </c>
      <c r="C1420" s="273">
        <f>D1420+K1420+L1420+N1420+P1420+R1420+S1420+U1420+V1420+W1420</f>
        <v>4256669.46</v>
      </c>
      <c r="D1420" s="273">
        <f>E1420+F1420+G1420+H1420+I1420</f>
        <v>0</v>
      </c>
      <c r="E1420" s="273"/>
      <c r="F1420" s="273"/>
      <c r="G1420" s="273"/>
      <c r="H1420" s="273"/>
      <c r="I1420" s="273"/>
      <c r="J1420" s="273"/>
      <c r="K1420" s="273"/>
      <c r="L1420" s="273"/>
      <c r="M1420" s="273"/>
      <c r="N1420" s="273"/>
      <c r="O1420" s="273"/>
      <c r="P1420" s="273"/>
      <c r="Q1420" s="273">
        <v>405.38</v>
      </c>
      <c r="R1420" s="273">
        <v>4256669.46</v>
      </c>
      <c r="S1420" s="273"/>
      <c r="T1420" s="273">
        <v>224.7</v>
      </c>
      <c r="U1420" s="273"/>
      <c r="V1420" s="273"/>
      <c r="W1420" s="273"/>
      <c r="X1420" s="271"/>
      <c r="Y1420" s="271"/>
      <c r="Z1420" s="271"/>
      <c r="AA1420" s="271"/>
      <c r="AB1420" s="271"/>
      <c r="AC1420" s="271"/>
      <c r="AD1420" s="269"/>
      <c r="AE1420" s="7"/>
      <c r="AF1420" s="13"/>
      <c r="AG1420" s="13"/>
      <c r="AH1420" s="13"/>
      <c r="AI1420" s="13"/>
    </row>
    <row r="1421" spans="1:35" x14ac:dyDescent="0.3">
      <c r="A1421" s="10"/>
      <c r="B1421" s="124" t="s">
        <v>208</v>
      </c>
      <c r="C1421" s="273">
        <f t="shared" ref="C1421:W1421" si="301">SUM(C1418:C1420)</f>
        <v>12770008.379999999</v>
      </c>
      <c r="D1421" s="273">
        <f t="shared" si="301"/>
        <v>0</v>
      </c>
      <c r="E1421" s="273">
        <f t="shared" si="301"/>
        <v>0</v>
      </c>
      <c r="F1421" s="273">
        <f t="shared" si="301"/>
        <v>0</v>
      </c>
      <c r="G1421" s="273">
        <f t="shared" si="301"/>
        <v>0</v>
      </c>
      <c r="H1421" s="273">
        <f t="shared" si="301"/>
        <v>0</v>
      </c>
      <c r="I1421" s="273">
        <f t="shared" si="301"/>
        <v>0</v>
      </c>
      <c r="J1421" s="273">
        <f t="shared" si="301"/>
        <v>0</v>
      </c>
      <c r="K1421" s="273">
        <f t="shared" si="301"/>
        <v>0</v>
      </c>
      <c r="L1421" s="273">
        <f t="shared" si="301"/>
        <v>0</v>
      </c>
      <c r="M1421" s="273">
        <f t="shared" si="301"/>
        <v>0</v>
      </c>
      <c r="N1421" s="273">
        <f t="shared" si="301"/>
        <v>0</v>
      </c>
      <c r="O1421" s="273">
        <f t="shared" si="301"/>
        <v>0</v>
      </c>
      <c r="P1421" s="273">
        <f t="shared" si="301"/>
        <v>0</v>
      </c>
      <c r="Q1421" s="273">
        <f t="shared" si="301"/>
        <v>1216.1399999999999</v>
      </c>
      <c r="R1421" s="273">
        <f t="shared" si="301"/>
        <v>12770008.379999999</v>
      </c>
      <c r="S1421" s="273">
        <f t="shared" si="301"/>
        <v>0</v>
      </c>
      <c r="T1421" s="273">
        <f t="shared" si="301"/>
        <v>674.09999999999991</v>
      </c>
      <c r="U1421" s="273">
        <f t="shared" si="301"/>
        <v>0</v>
      </c>
      <c r="V1421" s="273">
        <f t="shared" si="301"/>
        <v>0</v>
      </c>
      <c r="W1421" s="273">
        <f t="shared" si="301"/>
        <v>0</v>
      </c>
      <c r="X1421" s="271"/>
      <c r="Y1421" s="271"/>
      <c r="Z1421" s="271"/>
      <c r="AA1421" s="271"/>
      <c r="AB1421" s="271"/>
      <c r="AC1421" s="271"/>
      <c r="AD1421" s="269"/>
      <c r="AE1421" s="7"/>
      <c r="AF1421" s="13"/>
      <c r="AG1421" s="13"/>
      <c r="AH1421" s="13"/>
      <c r="AI1421" s="13"/>
    </row>
    <row r="1422" spans="1:35" ht="15" customHeight="1" x14ac:dyDescent="0.3">
      <c r="A1422" s="264" t="s">
        <v>1842</v>
      </c>
      <c r="B1422" s="124"/>
      <c r="C1422" s="273"/>
      <c r="D1422" s="273"/>
      <c r="E1422" s="251"/>
      <c r="F1422" s="251"/>
      <c r="G1422" s="251"/>
      <c r="H1422" s="251"/>
      <c r="I1422" s="251"/>
      <c r="J1422" s="251"/>
      <c r="K1422" s="251"/>
      <c r="L1422" s="251"/>
      <c r="M1422" s="251"/>
      <c r="N1422" s="251"/>
      <c r="O1422" s="251"/>
      <c r="P1422" s="251"/>
      <c r="Q1422" s="251"/>
      <c r="R1422" s="251"/>
      <c r="S1422" s="251"/>
      <c r="T1422" s="251"/>
      <c r="U1422" s="251"/>
      <c r="V1422" s="251"/>
      <c r="W1422" s="251"/>
      <c r="X1422" s="271"/>
      <c r="Y1422" s="271"/>
      <c r="Z1422" s="271"/>
      <c r="AA1422" s="271"/>
      <c r="AB1422" s="271"/>
      <c r="AC1422" s="271"/>
      <c r="AD1422" s="269"/>
      <c r="AE1422" s="7"/>
      <c r="AF1422" s="13"/>
      <c r="AG1422" s="13"/>
      <c r="AH1422" s="13"/>
      <c r="AI1422" s="13"/>
    </row>
    <row r="1423" spans="1:35" x14ac:dyDescent="0.3">
      <c r="A1423" s="10">
        <f>A1420+1</f>
        <v>1268</v>
      </c>
      <c r="B1423" s="124" t="s">
        <v>1843</v>
      </c>
      <c r="C1423" s="273">
        <f t="shared" ref="C1423:C1432" si="302">D1423+K1423+L1423+N1423+P1423+R1423+S1423+U1423+V1423+W1423</f>
        <v>130000</v>
      </c>
      <c r="D1423" s="273">
        <f t="shared" ref="D1423:D1432" si="303">E1423+F1423+G1423+H1423+I1423</f>
        <v>0</v>
      </c>
      <c r="E1423" s="273"/>
      <c r="F1423" s="273"/>
      <c r="G1423" s="273"/>
      <c r="H1423" s="273"/>
      <c r="I1423" s="273"/>
      <c r="J1423" s="273"/>
      <c r="K1423" s="273"/>
      <c r="L1423" s="273"/>
      <c r="M1423" s="273"/>
      <c r="N1423" s="273"/>
      <c r="O1423" s="273"/>
      <c r="P1423" s="273"/>
      <c r="Q1423" s="273"/>
      <c r="R1423" s="273"/>
      <c r="S1423" s="273"/>
      <c r="T1423" s="273"/>
      <c r="U1423" s="273"/>
      <c r="V1423" s="273"/>
      <c r="W1423" s="273">
        <v>130000</v>
      </c>
      <c r="X1423" s="271"/>
      <c r="Y1423" s="271"/>
      <c r="Z1423" s="271"/>
      <c r="AA1423" s="271"/>
      <c r="AB1423" s="271"/>
      <c r="AC1423" s="271">
        <v>130000</v>
      </c>
      <c r="AD1423" s="269"/>
      <c r="AE1423" s="7"/>
      <c r="AF1423" s="13"/>
      <c r="AG1423" s="13"/>
      <c r="AH1423" s="13"/>
      <c r="AI1423" s="13"/>
    </row>
    <row r="1424" spans="1:35" x14ac:dyDescent="0.3">
      <c r="A1424" s="10">
        <f t="shared" ref="A1424:A1432" si="304">A1423+1</f>
        <v>1269</v>
      </c>
      <c r="B1424" s="124" t="s">
        <v>1844</v>
      </c>
      <c r="C1424" s="273">
        <f t="shared" si="302"/>
        <v>130000</v>
      </c>
      <c r="D1424" s="273">
        <f t="shared" si="303"/>
        <v>0</v>
      </c>
      <c r="E1424" s="273"/>
      <c r="F1424" s="273"/>
      <c r="G1424" s="273"/>
      <c r="H1424" s="273"/>
      <c r="I1424" s="273"/>
      <c r="J1424" s="273"/>
      <c r="K1424" s="273"/>
      <c r="L1424" s="273"/>
      <c r="M1424" s="273"/>
      <c r="N1424" s="273"/>
      <c r="O1424" s="273"/>
      <c r="P1424" s="273"/>
      <c r="Q1424" s="273"/>
      <c r="R1424" s="273"/>
      <c r="S1424" s="273"/>
      <c r="T1424" s="273"/>
      <c r="U1424" s="273"/>
      <c r="V1424" s="273"/>
      <c r="W1424" s="273">
        <v>130000</v>
      </c>
      <c r="X1424" s="271"/>
      <c r="Y1424" s="271"/>
      <c r="Z1424" s="271"/>
      <c r="AA1424" s="271"/>
      <c r="AB1424" s="271"/>
      <c r="AC1424" s="271">
        <v>130000</v>
      </c>
      <c r="AD1424" s="269"/>
      <c r="AE1424" s="7"/>
      <c r="AF1424" s="13"/>
      <c r="AG1424" s="13"/>
      <c r="AH1424" s="13"/>
      <c r="AI1424" s="13"/>
    </row>
    <row r="1425" spans="1:35" x14ac:dyDescent="0.3">
      <c r="A1425" s="10">
        <f t="shared" si="304"/>
        <v>1270</v>
      </c>
      <c r="B1425" s="124" t="s">
        <v>1845</v>
      </c>
      <c r="C1425" s="273">
        <f t="shared" si="302"/>
        <v>130000</v>
      </c>
      <c r="D1425" s="273">
        <f t="shared" si="303"/>
        <v>0</v>
      </c>
      <c r="E1425" s="273"/>
      <c r="F1425" s="273"/>
      <c r="G1425" s="273"/>
      <c r="H1425" s="273"/>
      <c r="I1425" s="273"/>
      <c r="J1425" s="273"/>
      <c r="K1425" s="273"/>
      <c r="L1425" s="273"/>
      <c r="M1425" s="273"/>
      <c r="N1425" s="273"/>
      <c r="O1425" s="273"/>
      <c r="P1425" s="273"/>
      <c r="Q1425" s="273"/>
      <c r="R1425" s="273"/>
      <c r="S1425" s="273"/>
      <c r="T1425" s="273"/>
      <c r="U1425" s="273"/>
      <c r="V1425" s="273"/>
      <c r="W1425" s="273">
        <v>130000</v>
      </c>
      <c r="X1425" s="271"/>
      <c r="Y1425" s="271"/>
      <c r="Z1425" s="271"/>
      <c r="AA1425" s="271"/>
      <c r="AB1425" s="271"/>
      <c r="AC1425" s="271">
        <v>130000</v>
      </c>
      <c r="AD1425" s="269"/>
      <c r="AE1425" s="7"/>
      <c r="AF1425" s="13"/>
      <c r="AG1425" s="13"/>
      <c r="AH1425" s="13"/>
      <c r="AI1425" s="13"/>
    </row>
    <row r="1426" spans="1:35" x14ac:dyDescent="0.3">
      <c r="A1426" s="10">
        <f t="shared" si="304"/>
        <v>1271</v>
      </c>
      <c r="B1426" s="124" t="s">
        <v>1846</v>
      </c>
      <c r="C1426" s="273">
        <f t="shared" si="302"/>
        <v>130000</v>
      </c>
      <c r="D1426" s="273">
        <f t="shared" si="303"/>
        <v>0</v>
      </c>
      <c r="E1426" s="273"/>
      <c r="F1426" s="273"/>
      <c r="G1426" s="273"/>
      <c r="H1426" s="273"/>
      <c r="I1426" s="273"/>
      <c r="J1426" s="273"/>
      <c r="K1426" s="273"/>
      <c r="L1426" s="273"/>
      <c r="M1426" s="273"/>
      <c r="N1426" s="273"/>
      <c r="O1426" s="273"/>
      <c r="P1426" s="273"/>
      <c r="Q1426" s="273"/>
      <c r="R1426" s="273"/>
      <c r="S1426" s="273"/>
      <c r="T1426" s="273"/>
      <c r="U1426" s="273"/>
      <c r="V1426" s="273"/>
      <c r="W1426" s="273">
        <v>130000</v>
      </c>
      <c r="X1426" s="271"/>
      <c r="Y1426" s="271"/>
      <c r="Z1426" s="271"/>
      <c r="AA1426" s="271"/>
      <c r="AB1426" s="271"/>
      <c r="AC1426" s="271">
        <v>130000</v>
      </c>
      <c r="AD1426" s="269"/>
      <c r="AE1426" s="7"/>
      <c r="AF1426" s="13"/>
      <c r="AG1426" s="13"/>
      <c r="AH1426" s="13"/>
      <c r="AI1426" s="13"/>
    </row>
    <row r="1427" spans="1:35" x14ac:dyDescent="0.3">
      <c r="A1427" s="10">
        <f t="shared" si="304"/>
        <v>1272</v>
      </c>
      <c r="B1427" s="124" t="s">
        <v>1847</v>
      </c>
      <c r="C1427" s="273">
        <f t="shared" si="302"/>
        <v>130000</v>
      </c>
      <c r="D1427" s="273">
        <f t="shared" si="303"/>
        <v>0</v>
      </c>
      <c r="E1427" s="273"/>
      <c r="F1427" s="273"/>
      <c r="G1427" s="273"/>
      <c r="H1427" s="273"/>
      <c r="I1427" s="273"/>
      <c r="J1427" s="273"/>
      <c r="K1427" s="273"/>
      <c r="L1427" s="273"/>
      <c r="M1427" s="273"/>
      <c r="N1427" s="273"/>
      <c r="O1427" s="273"/>
      <c r="P1427" s="273"/>
      <c r="Q1427" s="273"/>
      <c r="R1427" s="273"/>
      <c r="S1427" s="273"/>
      <c r="T1427" s="273"/>
      <c r="U1427" s="273"/>
      <c r="V1427" s="273"/>
      <c r="W1427" s="273">
        <v>130000</v>
      </c>
      <c r="X1427" s="271"/>
      <c r="Y1427" s="271"/>
      <c r="Z1427" s="271"/>
      <c r="AA1427" s="271"/>
      <c r="AB1427" s="271"/>
      <c r="AC1427" s="271">
        <v>130000</v>
      </c>
      <c r="AD1427" s="269"/>
      <c r="AE1427" s="7"/>
      <c r="AF1427" s="13"/>
      <c r="AG1427" s="13"/>
      <c r="AH1427" s="13"/>
      <c r="AI1427" s="13"/>
    </row>
    <row r="1428" spans="1:35" x14ac:dyDescent="0.3">
      <c r="A1428" s="10">
        <f t="shared" si="304"/>
        <v>1273</v>
      </c>
      <c r="B1428" s="124" t="s">
        <v>1848</v>
      </c>
      <c r="C1428" s="273">
        <f t="shared" si="302"/>
        <v>130000</v>
      </c>
      <c r="D1428" s="273">
        <f t="shared" si="303"/>
        <v>0</v>
      </c>
      <c r="E1428" s="273"/>
      <c r="F1428" s="273"/>
      <c r="G1428" s="273"/>
      <c r="H1428" s="273"/>
      <c r="I1428" s="273"/>
      <c r="J1428" s="273"/>
      <c r="K1428" s="273"/>
      <c r="L1428" s="273"/>
      <c r="M1428" s="273"/>
      <c r="N1428" s="273"/>
      <c r="O1428" s="273"/>
      <c r="P1428" s="273"/>
      <c r="Q1428" s="273"/>
      <c r="R1428" s="273"/>
      <c r="S1428" s="273"/>
      <c r="T1428" s="273"/>
      <c r="U1428" s="273"/>
      <c r="V1428" s="273"/>
      <c r="W1428" s="273">
        <v>130000</v>
      </c>
      <c r="X1428" s="271"/>
      <c r="Y1428" s="271"/>
      <c r="Z1428" s="271"/>
      <c r="AA1428" s="271"/>
      <c r="AB1428" s="271"/>
      <c r="AC1428" s="271">
        <v>130000</v>
      </c>
      <c r="AD1428" s="269"/>
      <c r="AE1428" s="7"/>
      <c r="AF1428" s="13"/>
      <c r="AG1428" s="13"/>
      <c r="AH1428" s="13"/>
      <c r="AI1428" s="13"/>
    </row>
    <row r="1429" spans="1:35" x14ac:dyDescent="0.3">
      <c r="A1429" s="10">
        <f t="shared" si="304"/>
        <v>1274</v>
      </c>
      <c r="B1429" s="124" t="s">
        <v>1849</v>
      </c>
      <c r="C1429" s="273">
        <f t="shared" si="302"/>
        <v>130000</v>
      </c>
      <c r="D1429" s="273">
        <f t="shared" si="303"/>
        <v>0</v>
      </c>
      <c r="E1429" s="273"/>
      <c r="F1429" s="273"/>
      <c r="G1429" s="273"/>
      <c r="H1429" s="273"/>
      <c r="I1429" s="273"/>
      <c r="J1429" s="273"/>
      <c r="K1429" s="273"/>
      <c r="L1429" s="273"/>
      <c r="M1429" s="273"/>
      <c r="N1429" s="273"/>
      <c r="O1429" s="273"/>
      <c r="P1429" s="273"/>
      <c r="Q1429" s="273"/>
      <c r="R1429" s="273"/>
      <c r="S1429" s="273"/>
      <c r="T1429" s="273"/>
      <c r="U1429" s="273"/>
      <c r="V1429" s="273"/>
      <c r="W1429" s="273">
        <v>130000</v>
      </c>
      <c r="X1429" s="271"/>
      <c r="Y1429" s="271"/>
      <c r="Z1429" s="271"/>
      <c r="AA1429" s="271"/>
      <c r="AB1429" s="271"/>
      <c r="AC1429" s="271">
        <v>130000</v>
      </c>
      <c r="AD1429" s="269"/>
      <c r="AE1429" s="7"/>
      <c r="AF1429" s="13"/>
      <c r="AG1429" s="13"/>
      <c r="AH1429" s="13"/>
      <c r="AI1429" s="13"/>
    </row>
    <row r="1430" spans="1:35" x14ac:dyDescent="0.3">
      <c r="A1430" s="10">
        <f t="shared" si="304"/>
        <v>1275</v>
      </c>
      <c r="B1430" s="124" t="s">
        <v>1850</v>
      </c>
      <c r="C1430" s="273">
        <f t="shared" si="302"/>
        <v>130000</v>
      </c>
      <c r="D1430" s="273">
        <f t="shared" si="303"/>
        <v>0</v>
      </c>
      <c r="E1430" s="273"/>
      <c r="F1430" s="273"/>
      <c r="G1430" s="273"/>
      <c r="H1430" s="273"/>
      <c r="I1430" s="273"/>
      <c r="J1430" s="273"/>
      <c r="K1430" s="273"/>
      <c r="L1430" s="273"/>
      <c r="M1430" s="273"/>
      <c r="N1430" s="273"/>
      <c r="O1430" s="273"/>
      <c r="P1430" s="273"/>
      <c r="Q1430" s="273"/>
      <c r="R1430" s="273"/>
      <c r="S1430" s="273"/>
      <c r="T1430" s="273"/>
      <c r="U1430" s="273"/>
      <c r="V1430" s="273"/>
      <c r="W1430" s="273">
        <v>130000</v>
      </c>
      <c r="X1430" s="271"/>
      <c r="Y1430" s="271"/>
      <c r="Z1430" s="271"/>
      <c r="AA1430" s="271"/>
      <c r="AB1430" s="271"/>
      <c r="AC1430" s="271">
        <v>130000</v>
      </c>
      <c r="AD1430" s="269"/>
      <c r="AE1430" s="7"/>
      <c r="AF1430" s="13"/>
      <c r="AG1430" s="13"/>
      <c r="AH1430" s="13"/>
      <c r="AI1430" s="13"/>
    </row>
    <row r="1431" spans="1:35" x14ac:dyDescent="0.3">
      <c r="A1431" s="10">
        <f t="shared" si="304"/>
        <v>1276</v>
      </c>
      <c r="B1431" s="124" t="s">
        <v>1851</v>
      </c>
      <c r="C1431" s="273">
        <f t="shared" si="302"/>
        <v>130000</v>
      </c>
      <c r="D1431" s="273">
        <f t="shared" si="303"/>
        <v>0</v>
      </c>
      <c r="E1431" s="273"/>
      <c r="F1431" s="273"/>
      <c r="G1431" s="273"/>
      <c r="H1431" s="273"/>
      <c r="I1431" s="273"/>
      <c r="J1431" s="273"/>
      <c r="K1431" s="273"/>
      <c r="L1431" s="273"/>
      <c r="M1431" s="273"/>
      <c r="N1431" s="273"/>
      <c r="O1431" s="273"/>
      <c r="P1431" s="273"/>
      <c r="Q1431" s="273"/>
      <c r="R1431" s="273"/>
      <c r="S1431" s="273"/>
      <c r="T1431" s="273"/>
      <c r="U1431" s="273"/>
      <c r="V1431" s="273"/>
      <c r="W1431" s="273">
        <v>130000</v>
      </c>
      <c r="X1431" s="271"/>
      <c r="Y1431" s="271"/>
      <c r="Z1431" s="271"/>
      <c r="AA1431" s="271"/>
      <c r="AB1431" s="271"/>
      <c r="AC1431" s="271">
        <v>130000</v>
      </c>
      <c r="AD1431" s="269"/>
      <c r="AE1431" s="7"/>
      <c r="AF1431" s="13"/>
      <c r="AG1431" s="13"/>
      <c r="AH1431" s="13"/>
      <c r="AI1431" s="13"/>
    </row>
    <row r="1432" spans="1:35" x14ac:dyDescent="0.3">
      <c r="A1432" s="10">
        <f t="shared" si="304"/>
        <v>1277</v>
      </c>
      <c r="B1432" s="124" t="s">
        <v>1852</v>
      </c>
      <c r="C1432" s="273">
        <f t="shared" si="302"/>
        <v>130000</v>
      </c>
      <c r="D1432" s="273">
        <f t="shared" si="303"/>
        <v>0</v>
      </c>
      <c r="E1432" s="273"/>
      <c r="F1432" s="273"/>
      <c r="G1432" s="273"/>
      <c r="H1432" s="273"/>
      <c r="I1432" s="273"/>
      <c r="J1432" s="273"/>
      <c r="K1432" s="273"/>
      <c r="L1432" s="273"/>
      <c r="M1432" s="273"/>
      <c r="N1432" s="273"/>
      <c r="O1432" s="273"/>
      <c r="P1432" s="273"/>
      <c r="Q1432" s="273"/>
      <c r="R1432" s="273"/>
      <c r="S1432" s="273"/>
      <c r="T1432" s="273"/>
      <c r="U1432" s="273"/>
      <c r="V1432" s="273"/>
      <c r="W1432" s="273">
        <v>130000</v>
      </c>
      <c r="X1432" s="271"/>
      <c r="Y1432" s="271"/>
      <c r="Z1432" s="271"/>
      <c r="AA1432" s="271"/>
      <c r="AB1432" s="271"/>
      <c r="AC1432" s="271">
        <v>130000</v>
      </c>
      <c r="AD1432" s="269"/>
      <c r="AE1432" s="7"/>
      <c r="AF1432" s="13"/>
      <c r="AG1432" s="13"/>
      <c r="AH1432" s="13"/>
      <c r="AI1432" s="13"/>
    </row>
    <row r="1433" spans="1:35" x14ac:dyDescent="0.3">
      <c r="A1433" s="10"/>
      <c r="B1433" s="124" t="s">
        <v>208</v>
      </c>
      <c r="C1433" s="273">
        <f t="shared" ref="C1433:W1433" si="305">SUM(C1423:C1432)</f>
        <v>1300000</v>
      </c>
      <c r="D1433" s="273">
        <f t="shared" si="305"/>
        <v>0</v>
      </c>
      <c r="E1433" s="273">
        <f t="shared" si="305"/>
        <v>0</v>
      </c>
      <c r="F1433" s="273">
        <f t="shared" si="305"/>
        <v>0</v>
      </c>
      <c r="G1433" s="273">
        <f t="shared" si="305"/>
        <v>0</v>
      </c>
      <c r="H1433" s="273">
        <f t="shared" si="305"/>
        <v>0</v>
      </c>
      <c r="I1433" s="273">
        <f t="shared" si="305"/>
        <v>0</v>
      </c>
      <c r="J1433" s="273">
        <f t="shared" si="305"/>
        <v>0</v>
      </c>
      <c r="K1433" s="273">
        <f t="shared" si="305"/>
        <v>0</v>
      </c>
      <c r="L1433" s="273">
        <f t="shared" si="305"/>
        <v>0</v>
      </c>
      <c r="M1433" s="273">
        <f t="shared" si="305"/>
        <v>0</v>
      </c>
      <c r="N1433" s="273">
        <f t="shared" si="305"/>
        <v>0</v>
      </c>
      <c r="O1433" s="273">
        <f t="shared" si="305"/>
        <v>0</v>
      </c>
      <c r="P1433" s="273">
        <f t="shared" si="305"/>
        <v>0</v>
      </c>
      <c r="Q1433" s="273">
        <f t="shared" si="305"/>
        <v>0</v>
      </c>
      <c r="R1433" s="273">
        <f t="shared" si="305"/>
        <v>0</v>
      </c>
      <c r="S1433" s="273">
        <f t="shared" si="305"/>
        <v>0</v>
      </c>
      <c r="T1433" s="273">
        <f t="shared" si="305"/>
        <v>0</v>
      </c>
      <c r="U1433" s="273">
        <f t="shared" si="305"/>
        <v>0</v>
      </c>
      <c r="V1433" s="273">
        <f t="shared" si="305"/>
        <v>0</v>
      </c>
      <c r="W1433" s="273">
        <f t="shared" si="305"/>
        <v>1300000</v>
      </c>
      <c r="X1433" s="271"/>
      <c r="Y1433" s="271"/>
      <c r="Z1433" s="271"/>
      <c r="AA1433" s="271"/>
      <c r="AB1433" s="271"/>
      <c r="AC1433" s="271"/>
      <c r="AD1433" s="269"/>
      <c r="AE1433" s="7"/>
      <c r="AF1433" s="13"/>
      <c r="AG1433" s="13"/>
      <c r="AH1433" s="13"/>
      <c r="AI1433" s="13"/>
    </row>
    <row r="1434" spans="1:35" ht="15" customHeight="1" x14ac:dyDescent="0.3">
      <c r="A1434" s="265" t="s">
        <v>1853</v>
      </c>
      <c r="B1434" s="124"/>
      <c r="C1434" s="273"/>
      <c r="D1434" s="273"/>
      <c r="E1434" s="251"/>
      <c r="F1434" s="251"/>
      <c r="G1434" s="251"/>
      <c r="H1434" s="251"/>
      <c r="I1434" s="251"/>
      <c r="J1434" s="251"/>
      <c r="K1434" s="251"/>
      <c r="L1434" s="251"/>
      <c r="M1434" s="251"/>
      <c r="N1434" s="251"/>
      <c r="O1434" s="251"/>
      <c r="P1434" s="251"/>
      <c r="Q1434" s="251"/>
      <c r="R1434" s="251"/>
      <c r="S1434" s="251"/>
      <c r="T1434" s="251"/>
      <c r="U1434" s="251"/>
      <c r="V1434" s="251"/>
      <c r="W1434" s="251"/>
      <c r="X1434" s="271"/>
      <c r="Y1434" s="271"/>
      <c r="Z1434" s="271"/>
      <c r="AA1434" s="271"/>
      <c r="AB1434" s="271"/>
      <c r="AC1434" s="271"/>
      <c r="AD1434" s="269"/>
      <c r="AE1434" s="7"/>
      <c r="AF1434" s="13"/>
      <c r="AG1434" s="13"/>
      <c r="AH1434" s="13"/>
      <c r="AI1434" s="13"/>
    </row>
    <row r="1435" spans="1:35" ht="16.5" customHeight="1" x14ac:dyDescent="0.3">
      <c r="A1435" s="10">
        <f>A1432+1</f>
        <v>1278</v>
      </c>
      <c r="B1435" s="124" t="s">
        <v>1854</v>
      </c>
      <c r="C1435" s="273">
        <f>D1435+K1435+L1435+N1435+P1435+R1435+S1435+U1435+V1435+W1435</f>
        <v>130000</v>
      </c>
      <c r="D1435" s="273">
        <f>E1435+F1435+G1435+H1435+I1435</f>
        <v>0</v>
      </c>
      <c r="E1435" s="273"/>
      <c r="F1435" s="273"/>
      <c r="G1435" s="273"/>
      <c r="H1435" s="273"/>
      <c r="I1435" s="273"/>
      <c r="J1435" s="273"/>
      <c r="K1435" s="273"/>
      <c r="L1435" s="273"/>
      <c r="M1435" s="273"/>
      <c r="N1435" s="273"/>
      <c r="O1435" s="273"/>
      <c r="P1435" s="273"/>
      <c r="Q1435" s="273"/>
      <c r="R1435" s="273"/>
      <c r="S1435" s="273"/>
      <c r="T1435" s="273"/>
      <c r="U1435" s="273"/>
      <c r="V1435" s="273"/>
      <c r="W1435" s="273">
        <v>130000</v>
      </c>
      <c r="X1435" s="271"/>
      <c r="Y1435" s="271"/>
      <c r="Z1435" s="271"/>
      <c r="AA1435" s="271"/>
      <c r="AB1435" s="271"/>
      <c r="AC1435" s="271">
        <v>130000</v>
      </c>
      <c r="AD1435" s="269"/>
      <c r="AE1435" s="7"/>
      <c r="AF1435" s="13"/>
      <c r="AG1435" s="13"/>
      <c r="AH1435" s="13"/>
      <c r="AI1435" s="13"/>
    </row>
    <row r="1436" spans="1:35" x14ac:dyDescent="0.3">
      <c r="A1436" s="10">
        <f>A1435+1</f>
        <v>1279</v>
      </c>
      <c r="B1436" s="124" t="s">
        <v>1857</v>
      </c>
      <c r="C1436" s="273">
        <f>D1436+K1436+L1436+N1436+P1436+R1436+S1436+U1436+V1436+W1436</f>
        <v>130000</v>
      </c>
      <c r="D1436" s="273">
        <f>E1436+F1436+G1436+H1436+I1436</f>
        <v>0</v>
      </c>
      <c r="E1436" s="273"/>
      <c r="F1436" s="273"/>
      <c r="G1436" s="273"/>
      <c r="H1436" s="273"/>
      <c r="I1436" s="273"/>
      <c r="J1436" s="273"/>
      <c r="K1436" s="273"/>
      <c r="L1436" s="273"/>
      <c r="M1436" s="273"/>
      <c r="N1436" s="273"/>
      <c r="O1436" s="273"/>
      <c r="P1436" s="273"/>
      <c r="Q1436" s="273"/>
      <c r="R1436" s="273"/>
      <c r="S1436" s="273"/>
      <c r="T1436" s="273"/>
      <c r="U1436" s="273"/>
      <c r="V1436" s="273"/>
      <c r="W1436" s="273">
        <v>130000</v>
      </c>
      <c r="X1436" s="271"/>
      <c r="Y1436" s="271"/>
      <c r="Z1436" s="271"/>
      <c r="AA1436" s="271"/>
      <c r="AB1436" s="271"/>
      <c r="AC1436" s="271">
        <v>130000</v>
      </c>
      <c r="AD1436" s="269"/>
      <c r="AE1436" s="7"/>
      <c r="AF1436" s="13"/>
      <c r="AG1436" s="13"/>
      <c r="AH1436" s="13"/>
      <c r="AI1436" s="13"/>
    </row>
    <row r="1437" spans="1:35" x14ac:dyDescent="0.3">
      <c r="A1437" s="10">
        <f>A1436+1</f>
        <v>1280</v>
      </c>
      <c r="B1437" s="124" t="s">
        <v>1860</v>
      </c>
      <c r="C1437" s="273">
        <f>D1437+K1437+L1437+N1437+P1437+R1437+S1437+U1437+V1437+W1437</f>
        <v>130000</v>
      </c>
      <c r="D1437" s="273">
        <f>E1437+F1437+G1437+H1437+I1437</f>
        <v>0</v>
      </c>
      <c r="E1437" s="273"/>
      <c r="F1437" s="273"/>
      <c r="G1437" s="273"/>
      <c r="H1437" s="273"/>
      <c r="I1437" s="273"/>
      <c r="J1437" s="273"/>
      <c r="K1437" s="273"/>
      <c r="L1437" s="273"/>
      <c r="M1437" s="273"/>
      <c r="N1437" s="273"/>
      <c r="O1437" s="273"/>
      <c r="P1437" s="273"/>
      <c r="Q1437" s="273"/>
      <c r="R1437" s="273"/>
      <c r="S1437" s="273"/>
      <c r="T1437" s="273"/>
      <c r="U1437" s="273"/>
      <c r="V1437" s="273"/>
      <c r="W1437" s="273">
        <v>130000</v>
      </c>
      <c r="X1437" s="271"/>
      <c r="Y1437" s="271"/>
      <c r="Z1437" s="271"/>
      <c r="AA1437" s="271"/>
      <c r="AB1437" s="271"/>
      <c r="AC1437" s="271">
        <v>130000</v>
      </c>
      <c r="AD1437" s="269"/>
      <c r="AE1437" s="7"/>
      <c r="AF1437" s="13"/>
      <c r="AG1437" s="13"/>
      <c r="AH1437" s="13"/>
      <c r="AI1437" s="13"/>
    </row>
    <row r="1438" spans="1:35" x14ac:dyDescent="0.3">
      <c r="A1438" s="10"/>
      <c r="B1438" s="124" t="s">
        <v>208</v>
      </c>
      <c r="C1438" s="273">
        <f t="shared" ref="C1438:W1438" si="306">SUM(C1435:C1437)</f>
        <v>390000</v>
      </c>
      <c r="D1438" s="273">
        <f t="shared" si="306"/>
        <v>0</v>
      </c>
      <c r="E1438" s="273">
        <f t="shared" si="306"/>
        <v>0</v>
      </c>
      <c r="F1438" s="273">
        <f t="shared" si="306"/>
        <v>0</v>
      </c>
      <c r="G1438" s="273">
        <f t="shared" si="306"/>
        <v>0</v>
      </c>
      <c r="H1438" s="273">
        <f t="shared" si="306"/>
        <v>0</v>
      </c>
      <c r="I1438" s="273">
        <f t="shared" si="306"/>
        <v>0</v>
      </c>
      <c r="J1438" s="273">
        <f t="shared" si="306"/>
        <v>0</v>
      </c>
      <c r="K1438" s="273">
        <f t="shared" si="306"/>
        <v>0</v>
      </c>
      <c r="L1438" s="273">
        <f t="shared" si="306"/>
        <v>0</v>
      </c>
      <c r="M1438" s="273">
        <f t="shared" si="306"/>
        <v>0</v>
      </c>
      <c r="N1438" s="273">
        <f t="shared" si="306"/>
        <v>0</v>
      </c>
      <c r="O1438" s="273">
        <f t="shared" si="306"/>
        <v>0</v>
      </c>
      <c r="P1438" s="273">
        <f t="shared" si="306"/>
        <v>0</v>
      </c>
      <c r="Q1438" s="273">
        <f t="shared" si="306"/>
        <v>0</v>
      </c>
      <c r="R1438" s="273">
        <f t="shared" si="306"/>
        <v>0</v>
      </c>
      <c r="S1438" s="273">
        <f t="shared" si="306"/>
        <v>0</v>
      </c>
      <c r="T1438" s="273">
        <f t="shared" si="306"/>
        <v>0</v>
      </c>
      <c r="U1438" s="273">
        <f t="shared" si="306"/>
        <v>0</v>
      </c>
      <c r="V1438" s="273">
        <f t="shared" si="306"/>
        <v>0</v>
      </c>
      <c r="W1438" s="273">
        <f t="shared" si="306"/>
        <v>390000</v>
      </c>
      <c r="X1438" s="271"/>
      <c r="Y1438" s="271"/>
      <c r="Z1438" s="271"/>
      <c r="AA1438" s="271"/>
      <c r="AB1438" s="271"/>
      <c r="AC1438" s="271"/>
      <c r="AD1438" s="269"/>
      <c r="AE1438" s="7"/>
      <c r="AF1438" s="13"/>
      <c r="AG1438" s="13"/>
      <c r="AH1438" s="13"/>
      <c r="AI1438" s="13"/>
    </row>
    <row r="1439" spans="1:35" ht="15" customHeight="1" x14ac:dyDescent="0.3">
      <c r="A1439" s="264" t="s">
        <v>1861</v>
      </c>
      <c r="B1439" s="124"/>
      <c r="C1439" s="273"/>
      <c r="D1439" s="273"/>
      <c r="E1439" s="251"/>
      <c r="F1439" s="251"/>
      <c r="G1439" s="251"/>
      <c r="H1439" s="251"/>
      <c r="I1439" s="251"/>
      <c r="J1439" s="251"/>
      <c r="K1439" s="251"/>
      <c r="L1439" s="251"/>
      <c r="M1439" s="251"/>
      <c r="N1439" s="251"/>
      <c r="O1439" s="251"/>
      <c r="P1439" s="251"/>
      <c r="Q1439" s="251"/>
      <c r="R1439" s="251"/>
      <c r="S1439" s="251"/>
      <c r="T1439" s="251"/>
      <c r="U1439" s="251"/>
      <c r="V1439" s="251"/>
      <c r="W1439" s="251"/>
      <c r="X1439" s="271"/>
      <c r="Y1439" s="271"/>
      <c r="Z1439" s="271"/>
      <c r="AA1439" s="271"/>
      <c r="AB1439" s="271"/>
      <c r="AC1439" s="271"/>
      <c r="AD1439" s="269"/>
      <c r="AE1439" s="7"/>
      <c r="AF1439" s="13"/>
      <c r="AG1439" s="13"/>
      <c r="AH1439" s="13"/>
      <c r="AI1439" s="13"/>
    </row>
    <row r="1440" spans="1:35" x14ac:dyDescent="0.3">
      <c r="A1440" s="10">
        <f>A1437+1</f>
        <v>1281</v>
      </c>
      <c r="B1440" s="124" t="s">
        <v>1867</v>
      </c>
      <c r="C1440" s="273">
        <f t="shared" ref="C1440:C1445" si="307">D1440+K1440+L1440+N1440+P1440+R1440+S1440+U1440+V1440+W1440</f>
        <v>2431107.2400000002</v>
      </c>
      <c r="D1440" s="273">
        <f t="shared" ref="D1440:D1445" si="308">E1440+F1440+G1440+H1440+I1440</f>
        <v>771239</v>
      </c>
      <c r="E1440" s="273"/>
      <c r="F1440" s="273">
        <f>13*5502+607361</f>
        <v>678887</v>
      </c>
      <c r="G1440" s="273">
        <f>13*3910</f>
        <v>50830</v>
      </c>
      <c r="H1440" s="273"/>
      <c r="I1440" s="273">
        <f>13*3194</f>
        <v>41522</v>
      </c>
      <c r="J1440" s="273"/>
      <c r="K1440" s="273"/>
      <c r="L1440" s="273"/>
      <c r="M1440" s="273">
        <v>760.9</v>
      </c>
      <c r="N1440" s="273">
        <v>1659868.24</v>
      </c>
      <c r="O1440" s="273"/>
      <c r="P1440" s="273"/>
      <c r="Q1440" s="273"/>
      <c r="R1440" s="273"/>
      <c r="S1440" s="273"/>
      <c r="T1440" s="273"/>
      <c r="U1440" s="273"/>
      <c r="V1440" s="273"/>
      <c r="W1440" s="273"/>
      <c r="X1440" s="273"/>
      <c r="Y1440" s="271"/>
      <c r="Z1440" s="271"/>
      <c r="AA1440" s="271"/>
      <c r="AB1440" s="271"/>
      <c r="AC1440" s="271"/>
      <c r="AD1440" s="271"/>
      <c r="AE1440" s="269"/>
      <c r="AF1440" s="7"/>
      <c r="AG1440" s="13"/>
      <c r="AH1440" s="13"/>
      <c r="AI1440" s="13"/>
    </row>
    <row r="1441" spans="1:35" x14ac:dyDescent="0.3">
      <c r="A1441" s="10">
        <f>A1440+1</f>
        <v>1282</v>
      </c>
      <c r="B1441" s="124" t="s">
        <v>1871</v>
      </c>
      <c r="C1441" s="273">
        <f t="shared" si="307"/>
        <v>771239</v>
      </c>
      <c r="D1441" s="273">
        <f t="shared" si="308"/>
        <v>771239</v>
      </c>
      <c r="E1441" s="273"/>
      <c r="F1441" s="273">
        <f>13*5502+607361</f>
        <v>678887</v>
      </c>
      <c r="G1441" s="273">
        <f>13*3910</f>
        <v>50830</v>
      </c>
      <c r="H1441" s="273"/>
      <c r="I1441" s="273">
        <f>13*3194</f>
        <v>41522</v>
      </c>
      <c r="J1441" s="273"/>
      <c r="K1441" s="273"/>
      <c r="L1441" s="273"/>
      <c r="M1441" s="273"/>
      <c r="N1441" s="273"/>
      <c r="O1441" s="273"/>
      <c r="P1441" s="273"/>
      <c r="Q1441" s="273"/>
      <c r="R1441" s="273"/>
      <c r="S1441" s="273"/>
      <c r="T1441" s="273"/>
      <c r="U1441" s="273"/>
      <c r="V1441" s="273"/>
      <c r="W1441" s="273"/>
      <c r="X1441" s="273"/>
      <c r="Y1441" s="271"/>
      <c r="Z1441" s="271"/>
      <c r="AA1441" s="271"/>
      <c r="AB1441" s="271"/>
      <c r="AC1441" s="271"/>
      <c r="AD1441" s="271"/>
      <c r="AE1441" s="269"/>
      <c r="AF1441" s="7"/>
      <c r="AG1441" s="13"/>
      <c r="AH1441" s="13"/>
      <c r="AI1441" s="13"/>
    </row>
    <row r="1442" spans="1:35" x14ac:dyDescent="0.3">
      <c r="A1442" s="10">
        <f>A1441+1</f>
        <v>1283</v>
      </c>
      <c r="B1442" s="124" t="s">
        <v>1872</v>
      </c>
      <c r="C1442" s="273">
        <f t="shared" si="307"/>
        <v>3793622.6</v>
      </c>
      <c r="D1442" s="273">
        <f t="shared" si="308"/>
        <v>771239</v>
      </c>
      <c r="E1442" s="273"/>
      <c r="F1442" s="273">
        <f>13*5502+607361</f>
        <v>678887</v>
      </c>
      <c r="G1442" s="273">
        <f>13*3910</f>
        <v>50830</v>
      </c>
      <c r="H1442" s="273"/>
      <c r="I1442" s="273">
        <f>13*3194</f>
        <v>41522</v>
      </c>
      <c r="J1442" s="273"/>
      <c r="K1442" s="273"/>
      <c r="L1442" s="273"/>
      <c r="M1442" s="273">
        <v>799.9</v>
      </c>
      <c r="N1442" s="273">
        <v>3022383.6</v>
      </c>
      <c r="O1442" s="273"/>
      <c r="P1442" s="273"/>
      <c r="Q1442" s="273"/>
      <c r="R1442" s="273"/>
      <c r="S1442" s="273"/>
      <c r="T1442" s="273"/>
      <c r="U1442" s="273"/>
      <c r="V1442" s="273"/>
      <c r="W1442" s="273"/>
      <c r="X1442" s="273"/>
      <c r="Y1442" s="271"/>
      <c r="Z1442" s="271"/>
      <c r="AA1442" s="271"/>
      <c r="AB1442" s="271"/>
      <c r="AC1442" s="271"/>
      <c r="AD1442" s="271"/>
      <c r="AE1442" s="269"/>
      <c r="AF1442" s="7"/>
      <c r="AG1442" s="13"/>
      <c r="AH1442" s="13"/>
      <c r="AI1442" s="13"/>
    </row>
    <row r="1443" spans="1:35" x14ac:dyDescent="0.3">
      <c r="A1443" s="10">
        <f>A1442+1</f>
        <v>1284</v>
      </c>
      <c r="B1443" s="124" t="s">
        <v>1873</v>
      </c>
      <c r="C1443" s="273">
        <f t="shared" si="307"/>
        <v>771239</v>
      </c>
      <c r="D1443" s="273">
        <f t="shared" si="308"/>
        <v>771239</v>
      </c>
      <c r="E1443" s="273"/>
      <c r="F1443" s="273">
        <f>13*5502+607361</f>
        <v>678887</v>
      </c>
      <c r="G1443" s="273">
        <f>13*3910</f>
        <v>50830</v>
      </c>
      <c r="H1443" s="273"/>
      <c r="I1443" s="273">
        <f>13*3194</f>
        <v>41522</v>
      </c>
      <c r="J1443" s="273"/>
      <c r="K1443" s="273"/>
      <c r="L1443" s="273"/>
      <c r="M1443" s="273"/>
      <c r="N1443" s="273"/>
      <c r="O1443" s="273"/>
      <c r="P1443" s="273"/>
      <c r="Q1443" s="273"/>
      <c r="R1443" s="273"/>
      <c r="S1443" s="273"/>
      <c r="T1443" s="273"/>
      <c r="U1443" s="273"/>
      <c r="V1443" s="273"/>
      <c r="W1443" s="273"/>
      <c r="X1443" s="273"/>
      <c r="Y1443" s="271"/>
      <c r="Z1443" s="271"/>
      <c r="AA1443" s="271"/>
      <c r="AB1443" s="271"/>
      <c r="AC1443" s="271"/>
      <c r="AD1443" s="271"/>
      <c r="AE1443" s="269"/>
      <c r="AF1443" s="7"/>
      <c r="AG1443" s="13"/>
      <c r="AH1443" s="13"/>
      <c r="AI1443" s="13"/>
    </row>
    <row r="1444" spans="1:35" x14ac:dyDescent="0.3">
      <c r="A1444" s="10">
        <f>A1443+1</f>
        <v>1285</v>
      </c>
      <c r="B1444" s="124" t="s">
        <v>1898</v>
      </c>
      <c r="C1444" s="273">
        <f t="shared" si="307"/>
        <v>236301.2</v>
      </c>
      <c r="D1444" s="273">
        <f t="shared" si="308"/>
        <v>236301.2</v>
      </c>
      <c r="E1444" s="273"/>
      <c r="F1444" s="273">
        <v>0</v>
      </c>
      <c r="G1444" s="273">
        <v>194779.2</v>
      </c>
      <c r="H1444" s="273">
        <v>0</v>
      </c>
      <c r="I1444" s="273">
        <f>13*3194</f>
        <v>41522</v>
      </c>
      <c r="J1444" s="273"/>
      <c r="K1444" s="273"/>
      <c r="L1444" s="273"/>
      <c r="M1444" s="273"/>
      <c r="N1444" s="273"/>
      <c r="O1444" s="273"/>
      <c r="P1444" s="273"/>
      <c r="Q1444" s="273"/>
      <c r="R1444" s="273"/>
      <c r="S1444" s="273"/>
      <c r="T1444" s="273"/>
      <c r="U1444" s="273"/>
      <c r="V1444" s="273"/>
      <c r="W1444" s="273"/>
      <c r="X1444" s="273"/>
      <c r="Y1444" s="271"/>
      <c r="Z1444" s="271"/>
      <c r="AA1444" s="271"/>
      <c r="AB1444" s="271"/>
      <c r="AC1444" s="271"/>
      <c r="AD1444" s="271"/>
      <c r="AE1444" s="269"/>
      <c r="AF1444" s="7"/>
      <c r="AG1444" s="13"/>
      <c r="AH1444" s="13"/>
      <c r="AI1444" s="13"/>
    </row>
    <row r="1445" spans="1:35" x14ac:dyDescent="0.3">
      <c r="A1445" s="10">
        <f>A1444+1</f>
        <v>1286</v>
      </c>
      <c r="B1445" s="124" t="s">
        <v>1904</v>
      </c>
      <c r="C1445" s="273">
        <f t="shared" si="307"/>
        <v>2771653.6</v>
      </c>
      <c r="D1445" s="273">
        <f t="shared" si="308"/>
        <v>393267</v>
      </c>
      <c r="E1445" s="273">
        <f>13*2688+358323</f>
        <v>393267</v>
      </c>
      <c r="F1445" s="273"/>
      <c r="G1445" s="273"/>
      <c r="H1445" s="273"/>
      <c r="I1445" s="273"/>
      <c r="J1445" s="273"/>
      <c r="K1445" s="273"/>
      <c r="L1445" s="273"/>
      <c r="M1445" s="273">
        <v>305.89999999999998</v>
      </c>
      <c r="N1445" s="273">
        <v>2378373.6</v>
      </c>
      <c r="O1445" s="273"/>
      <c r="P1445" s="273"/>
      <c r="Q1445" s="273"/>
      <c r="R1445" s="273"/>
      <c r="S1445" s="273"/>
      <c r="T1445" s="273"/>
      <c r="U1445" s="273"/>
      <c r="V1445" s="273">
        <v>13</v>
      </c>
      <c r="W1445" s="273"/>
      <c r="X1445" s="271"/>
      <c r="Y1445" s="271"/>
      <c r="Z1445" s="271"/>
      <c r="AA1445" s="271"/>
      <c r="AB1445" s="271"/>
      <c r="AC1445" s="271"/>
      <c r="AD1445" s="269"/>
      <c r="AE1445" s="7"/>
      <c r="AF1445" s="13"/>
      <c r="AG1445" s="13"/>
      <c r="AH1445" s="13"/>
      <c r="AI1445" s="13"/>
    </row>
    <row r="1446" spans="1:35" x14ac:dyDescent="0.3">
      <c r="A1446" s="10"/>
      <c r="B1446" s="124" t="s">
        <v>208</v>
      </c>
      <c r="C1446" s="273">
        <f t="shared" ref="C1446:W1446" si="309">SUM(C1440:C1445)</f>
        <v>10775162.640000001</v>
      </c>
      <c r="D1446" s="273">
        <f t="shared" si="309"/>
        <v>3714524.2</v>
      </c>
      <c r="E1446" s="273">
        <f t="shared" si="309"/>
        <v>393267</v>
      </c>
      <c r="F1446" s="273">
        <f t="shared" si="309"/>
        <v>2715548</v>
      </c>
      <c r="G1446" s="273">
        <f t="shared" si="309"/>
        <v>398099.20000000001</v>
      </c>
      <c r="H1446" s="273">
        <f t="shared" si="309"/>
        <v>0</v>
      </c>
      <c r="I1446" s="273">
        <f t="shared" si="309"/>
        <v>207610</v>
      </c>
      <c r="J1446" s="273">
        <f t="shared" si="309"/>
        <v>0</v>
      </c>
      <c r="K1446" s="273">
        <f t="shared" si="309"/>
        <v>0</v>
      </c>
      <c r="L1446" s="273">
        <f t="shared" si="309"/>
        <v>0</v>
      </c>
      <c r="M1446" s="273">
        <f t="shared" si="309"/>
        <v>1866.6999999999998</v>
      </c>
      <c r="N1446" s="273">
        <f t="shared" si="309"/>
        <v>7060625.4399999995</v>
      </c>
      <c r="O1446" s="273">
        <f t="shared" si="309"/>
        <v>0</v>
      </c>
      <c r="P1446" s="273">
        <f t="shared" si="309"/>
        <v>0</v>
      </c>
      <c r="Q1446" s="273">
        <f t="shared" si="309"/>
        <v>0</v>
      </c>
      <c r="R1446" s="273">
        <f t="shared" si="309"/>
        <v>0</v>
      </c>
      <c r="S1446" s="273">
        <f t="shared" si="309"/>
        <v>0</v>
      </c>
      <c r="T1446" s="273">
        <f t="shared" si="309"/>
        <v>0</v>
      </c>
      <c r="U1446" s="273">
        <f t="shared" si="309"/>
        <v>0</v>
      </c>
      <c r="V1446" s="273">
        <f t="shared" si="309"/>
        <v>13</v>
      </c>
      <c r="W1446" s="273">
        <f t="shared" si="309"/>
        <v>0</v>
      </c>
      <c r="X1446" s="271"/>
      <c r="Y1446" s="271"/>
      <c r="Z1446" s="271"/>
      <c r="AA1446" s="271"/>
      <c r="AB1446" s="271"/>
      <c r="AC1446" s="271"/>
      <c r="AD1446" s="269"/>
      <c r="AE1446" s="7"/>
      <c r="AF1446" s="13"/>
      <c r="AG1446" s="13"/>
      <c r="AH1446" s="13"/>
      <c r="AI1446" s="13"/>
    </row>
    <row r="1447" spans="1:35" x14ac:dyDescent="0.3">
      <c r="A1447" s="374" t="s">
        <v>1911</v>
      </c>
      <c r="B1447" s="375"/>
      <c r="C1447" s="251">
        <f t="shared" ref="C1447:W1447" si="310">C1388+C1394+C1412+C1416+C1421+C1433+C1438+C1446</f>
        <v>172371266.42000002</v>
      </c>
      <c r="D1447" s="251">
        <f t="shared" si="310"/>
        <v>33881573.920000002</v>
      </c>
      <c r="E1447" s="251">
        <f t="shared" si="310"/>
        <v>5412829.8200000003</v>
      </c>
      <c r="F1447" s="251">
        <f t="shared" si="310"/>
        <v>19420285.740000002</v>
      </c>
      <c r="G1447" s="251">
        <f t="shared" si="310"/>
        <v>2755060.54</v>
      </c>
      <c r="H1447" s="251">
        <f t="shared" si="310"/>
        <v>2973429.8400000003</v>
      </c>
      <c r="I1447" s="251">
        <f t="shared" si="310"/>
        <v>3319967.98</v>
      </c>
      <c r="J1447" s="251">
        <f t="shared" si="310"/>
        <v>0</v>
      </c>
      <c r="K1447" s="251">
        <f t="shared" si="310"/>
        <v>0</v>
      </c>
      <c r="L1447" s="251">
        <f t="shared" si="310"/>
        <v>0</v>
      </c>
      <c r="M1447" s="251">
        <f t="shared" si="310"/>
        <v>2579.6999999999998</v>
      </c>
      <c r="N1447" s="251">
        <f t="shared" si="310"/>
        <v>12177844.34</v>
      </c>
      <c r="O1447" s="251">
        <f t="shared" si="310"/>
        <v>444</v>
      </c>
      <c r="P1447" s="251">
        <f t="shared" si="310"/>
        <v>11736252</v>
      </c>
      <c r="Q1447" s="251">
        <f t="shared" si="310"/>
        <v>12221.3</v>
      </c>
      <c r="R1447" s="251">
        <f t="shared" si="310"/>
        <v>103970677.33999999</v>
      </c>
      <c r="S1447" s="251">
        <f t="shared" si="310"/>
        <v>0</v>
      </c>
      <c r="T1447" s="251">
        <f t="shared" si="310"/>
        <v>950.65999999999985</v>
      </c>
      <c r="U1447" s="251">
        <f t="shared" si="310"/>
        <v>5461072.1600000001</v>
      </c>
      <c r="V1447" s="251">
        <f t="shared" si="310"/>
        <v>2596487.48</v>
      </c>
      <c r="W1447" s="251">
        <f t="shared" si="310"/>
        <v>2547359.1799999997</v>
      </c>
      <c r="X1447" s="271"/>
      <c r="Y1447" s="271"/>
      <c r="Z1447" s="271"/>
      <c r="AA1447" s="271"/>
      <c r="AB1447" s="271"/>
      <c r="AC1447" s="271"/>
      <c r="AD1447" s="269"/>
      <c r="AE1447" s="7"/>
      <c r="AF1447" s="13"/>
      <c r="AG1447" s="13"/>
      <c r="AH1447" s="13"/>
      <c r="AI1447" s="13"/>
    </row>
    <row r="1448" spans="1:35" x14ac:dyDescent="0.3">
      <c r="A1448" s="382" t="s">
        <v>1912</v>
      </c>
      <c r="B1448" s="383"/>
      <c r="C1448" s="383"/>
      <c r="D1448" s="383"/>
      <c r="E1448" s="383"/>
      <c r="F1448" s="383"/>
      <c r="G1448" s="383"/>
      <c r="H1448" s="383"/>
      <c r="I1448" s="383"/>
      <c r="J1448" s="383"/>
      <c r="K1448" s="383"/>
      <c r="L1448" s="383"/>
      <c r="M1448" s="383"/>
      <c r="N1448" s="383"/>
      <c r="O1448" s="383"/>
      <c r="P1448" s="383"/>
      <c r="Q1448" s="383"/>
      <c r="R1448" s="383"/>
      <c r="S1448" s="383"/>
      <c r="T1448" s="383"/>
      <c r="U1448" s="383"/>
      <c r="V1448" s="383"/>
      <c r="W1448" s="384"/>
      <c r="X1448" s="116"/>
      <c r="Y1448" s="277"/>
      <c r="Z1448" s="14"/>
      <c r="AA1448" s="15"/>
      <c r="AB1448" s="17"/>
      <c r="AC1448" s="15"/>
      <c r="AD1448" s="15"/>
    </row>
    <row r="1449" spans="1:35" x14ac:dyDescent="0.3">
      <c r="A1449" s="130" t="s">
        <v>1915</v>
      </c>
      <c r="B1449" s="111"/>
      <c r="C1449" s="273"/>
      <c r="D1449" s="273"/>
      <c r="E1449" s="273"/>
      <c r="F1449" s="273"/>
      <c r="G1449" s="273"/>
      <c r="H1449" s="273"/>
      <c r="I1449" s="273"/>
      <c r="J1449" s="273"/>
      <c r="K1449" s="273"/>
      <c r="L1449" s="273"/>
      <c r="M1449" s="273"/>
      <c r="N1449" s="273"/>
      <c r="O1449" s="273"/>
      <c r="P1449" s="273"/>
      <c r="Q1449" s="273"/>
      <c r="R1449" s="273"/>
      <c r="S1449" s="273"/>
      <c r="T1449" s="273"/>
      <c r="U1449" s="273"/>
      <c r="V1449" s="273"/>
      <c r="W1449" s="273"/>
      <c r="X1449" s="273"/>
      <c r="Y1449" s="273"/>
      <c r="Z1449" s="273"/>
      <c r="AA1449" s="273"/>
      <c r="AB1449" s="273"/>
      <c r="AC1449" s="15"/>
      <c r="AD1449" s="15"/>
    </row>
    <row r="1450" spans="1:35" x14ac:dyDescent="0.3">
      <c r="A1450" s="10">
        <f>A1445+1</f>
        <v>1287</v>
      </c>
      <c r="B1450" s="124" t="s">
        <v>1916</v>
      </c>
      <c r="C1450" s="273">
        <f t="shared" ref="C1450:C1482" si="311">D1450+K1450+L1450+N1450+P1450+R1450+S1450+U1450+V1450+W1450</f>
        <v>180279.78</v>
      </c>
      <c r="D1450" s="273">
        <f t="shared" ref="D1450:D1482" si="312">E1450+F1450+G1450+H1450+I1450</f>
        <v>0</v>
      </c>
      <c r="E1450" s="273"/>
      <c r="F1450" s="273"/>
      <c r="G1450" s="273"/>
      <c r="H1450" s="273"/>
      <c r="I1450" s="273"/>
      <c r="J1450" s="273"/>
      <c r="K1450" s="273"/>
      <c r="L1450" s="273"/>
      <c r="M1450" s="273"/>
      <c r="N1450" s="273"/>
      <c r="O1450" s="273"/>
      <c r="P1450" s="273"/>
      <c r="Q1450" s="273"/>
      <c r="R1450" s="273"/>
      <c r="S1450" s="273"/>
      <c r="T1450" s="273"/>
      <c r="U1450" s="273"/>
      <c r="V1450" s="273"/>
      <c r="W1450" s="273">
        <f>SUM(X1450:AP1450)</f>
        <v>180279.78</v>
      </c>
      <c r="X1450" s="273"/>
      <c r="AA1450" s="273"/>
      <c r="AB1450" s="273"/>
      <c r="AC1450" s="15"/>
      <c r="AD1450" s="15"/>
      <c r="AE1450" s="273">
        <v>180279.78</v>
      </c>
      <c r="AF1450" s="273"/>
    </row>
    <row r="1451" spans="1:35" x14ac:dyDescent="0.3">
      <c r="A1451" s="10">
        <f t="shared" ref="A1451:A1483" si="313">A1450+1</f>
        <v>1288</v>
      </c>
      <c r="B1451" s="124" t="s">
        <v>1918</v>
      </c>
      <c r="C1451" s="273">
        <f t="shared" si="311"/>
        <v>2130774</v>
      </c>
      <c r="D1451" s="273">
        <f t="shared" si="312"/>
        <v>0</v>
      </c>
      <c r="E1451" s="273"/>
      <c r="F1451" s="273"/>
      <c r="G1451" s="273"/>
      <c r="H1451" s="273"/>
      <c r="I1451" s="273"/>
      <c r="J1451" s="273"/>
      <c r="K1451" s="273"/>
      <c r="L1451" s="273"/>
      <c r="M1451" s="273">
        <v>223.7</v>
      </c>
      <c r="N1451" s="273">
        <v>2130774</v>
      </c>
      <c r="O1451" s="273"/>
      <c r="P1451" s="273"/>
      <c r="Q1451" s="273"/>
      <c r="R1451" s="273"/>
      <c r="S1451" s="273"/>
      <c r="T1451" s="273"/>
      <c r="U1451" s="273"/>
      <c r="V1451" s="273"/>
      <c r="W1451" s="273">
        <f t="shared" ref="W1451:W1477" si="314">SUM(Y1451:AP1451)</f>
        <v>0</v>
      </c>
      <c r="AA1451" s="15"/>
      <c r="AB1451" s="15"/>
      <c r="AC1451" s="273"/>
      <c r="AD1451" s="15"/>
      <c r="AE1451" s="273"/>
      <c r="AF1451" s="14"/>
    </row>
    <row r="1452" spans="1:35" x14ac:dyDescent="0.3">
      <c r="A1452" s="10">
        <f t="shared" si="313"/>
        <v>1289</v>
      </c>
      <c r="B1452" s="124" t="s">
        <v>1919</v>
      </c>
      <c r="C1452" s="273">
        <f t="shared" si="311"/>
        <v>157829.07999999999</v>
      </c>
      <c r="D1452" s="273">
        <f t="shared" si="312"/>
        <v>0</v>
      </c>
      <c r="E1452" s="273"/>
      <c r="F1452" s="273"/>
      <c r="G1452" s="273"/>
      <c r="H1452" s="273"/>
      <c r="I1452" s="273"/>
      <c r="J1452" s="273"/>
      <c r="K1452" s="273"/>
      <c r="L1452" s="273"/>
      <c r="M1452" s="273"/>
      <c r="N1452" s="273"/>
      <c r="O1452" s="273"/>
      <c r="P1452" s="273"/>
      <c r="Q1452" s="273"/>
      <c r="R1452" s="273"/>
      <c r="S1452" s="273"/>
      <c r="T1452" s="273"/>
      <c r="U1452" s="273"/>
      <c r="V1452" s="273"/>
      <c r="W1452" s="273">
        <f t="shared" si="314"/>
        <v>157829.07999999999</v>
      </c>
      <c r="AA1452" s="273"/>
      <c r="AB1452" s="273"/>
      <c r="AC1452" s="273"/>
      <c r="AD1452" s="15"/>
      <c r="AE1452" s="273">
        <v>157829.07999999999</v>
      </c>
      <c r="AF1452" s="273"/>
    </row>
    <row r="1453" spans="1:35" x14ac:dyDescent="0.3">
      <c r="A1453" s="10">
        <f t="shared" si="313"/>
        <v>1290</v>
      </c>
      <c r="B1453" s="124" t="s">
        <v>1921</v>
      </c>
      <c r="C1453" s="273">
        <f t="shared" si="311"/>
        <v>164217.9</v>
      </c>
      <c r="D1453" s="273">
        <f t="shared" si="312"/>
        <v>0</v>
      </c>
      <c r="E1453" s="273"/>
      <c r="F1453" s="273"/>
      <c r="G1453" s="273"/>
      <c r="H1453" s="273"/>
      <c r="I1453" s="273"/>
      <c r="J1453" s="273"/>
      <c r="K1453" s="273"/>
      <c r="L1453" s="273"/>
      <c r="M1453" s="273"/>
      <c r="N1453" s="273"/>
      <c r="O1453" s="273"/>
      <c r="P1453" s="273"/>
      <c r="Q1453" s="273"/>
      <c r="R1453" s="273"/>
      <c r="S1453" s="273"/>
      <c r="T1453" s="273"/>
      <c r="U1453" s="273"/>
      <c r="V1453" s="273"/>
      <c r="W1453" s="273">
        <f t="shared" si="314"/>
        <v>164217.9</v>
      </c>
      <c r="AA1453" s="273"/>
      <c r="AB1453" s="273"/>
      <c r="AC1453" s="273"/>
      <c r="AD1453" s="15"/>
      <c r="AE1453" s="273">
        <v>164217.9</v>
      </c>
      <c r="AF1453" s="273"/>
    </row>
    <row r="1454" spans="1:35" x14ac:dyDescent="0.3">
      <c r="A1454" s="10">
        <f t="shared" si="313"/>
        <v>1291</v>
      </c>
      <c r="B1454" s="124" t="s">
        <v>1922</v>
      </c>
      <c r="C1454" s="273">
        <f t="shared" si="311"/>
        <v>158608.21</v>
      </c>
      <c r="D1454" s="273">
        <f t="shared" si="312"/>
        <v>0</v>
      </c>
      <c r="E1454" s="273"/>
      <c r="F1454" s="273"/>
      <c r="G1454" s="273"/>
      <c r="H1454" s="273"/>
      <c r="I1454" s="273"/>
      <c r="J1454" s="273"/>
      <c r="K1454" s="273"/>
      <c r="L1454" s="273"/>
      <c r="M1454" s="273"/>
      <c r="N1454" s="273"/>
      <c r="O1454" s="273"/>
      <c r="P1454" s="273"/>
      <c r="Q1454" s="273"/>
      <c r="R1454" s="273"/>
      <c r="S1454" s="273"/>
      <c r="T1454" s="273"/>
      <c r="U1454" s="273"/>
      <c r="V1454" s="273"/>
      <c r="W1454" s="273">
        <f t="shared" si="314"/>
        <v>158608.21</v>
      </c>
      <c r="AA1454" s="273"/>
      <c r="AB1454" s="273"/>
      <c r="AC1454" s="273"/>
      <c r="AD1454" s="15"/>
      <c r="AE1454" s="273">
        <v>158608.21</v>
      </c>
      <c r="AF1454" s="273"/>
    </row>
    <row r="1455" spans="1:35" x14ac:dyDescent="0.3">
      <c r="A1455" s="10">
        <f t="shared" si="313"/>
        <v>1292</v>
      </c>
      <c r="B1455" s="124" t="s">
        <v>1924</v>
      </c>
      <c r="C1455" s="273">
        <f t="shared" si="311"/>
        <v>160088.54</v>
      </c>
      <c r="D1455" s="273">
        <f t="shared" si="312"/>
        <v>0</v>
      </c>
      <c r="E1455" s="273"/>
      <c r="F1455" s="273"/>
      <c r="G1455" s="273"/>
      <c r="H1455" s="273"/>
      <c r="I1455" s="273"/>
      <c r="J1455" s="273"/>
      <c r="K1455" s="273"/>
      <c r="L1455" s="273"/>
      <c r="M1455" s="273"/>
      <c r="N1455" s="273"/>
      <c r="O1455" s="273"/>
      <c r="P1455" s="273"/>
      <c r="Q1455" s="273"/>
      <c r="R1455" s="273"/>
      <c r="S1455" s="273"/>
      <c r="T1455" s="273"/>
      <c r="U1455" s="273"/>
      <c r="V1455" s="273"/>
      <c r="W1455" s="273">
        <f t="shared" si="314"/>
        <v>160088.54</v>
      </c>
      <c r="AA1455" s="273"/>
      <c r="AB1455" s="273"/>
      <c r="AC1455" s="273"/>
      <c r="AD1455" s="15"/>
      <c r="AE1455" s="273">
        <v>160088.54</v>
      </c>
      <c r="AF1455" s="273"/>
    </row>
    <row r="1456" spans="1:35" x14ac:dyDescent="0.3">
      <c r="A1456" s="10">
        <f t="shared" si="313"/>
        <v>1293</v>
      </c>
      <c r="B1456" s="124" t="s">
        <v>1925</v>
      </c>
      <c r="C1456" s="273">
        <f t="shared" si="311"/>
        <v>158997.76000000001</v>
      </c>
      <c r="D1456" s="273">
        <f t="shared" si="312"/>
        <v>0</v>
      </c>
      <c r="E1456" s="273"/>
      <c r="F1456" s="273"/>
      <c r="G1456" s="273"/>
      <c r="H1456" s="273"/>
      <c r="I1456" s="273"/>
      <c r="J1456" s="273"/>
      <c r="K1456" s="273"/>
      <c r="L1456" s="273"/>
      <c r="M1456" s="273"/>
      <c r="N1456" s="273"/>
      <c r="O1456" s="273"/>
      <c r="P1456" s="273"/>
      <c r="Q1456" s="273"/>
      <c r="R1456" s="273"/>
      <c r="S1456" s="273"/>
      <c r="T1456" s="273"/>
      <c r="U1456" s="273"/>
      <c r="V1456" s="273"/>
      <c r="W1456" s="273">
        <f t="shared" si="314"/>
        <v>158997.76000000001</v>
      </c>
      <c r="AA1456" s="273"/>
      <c r="AB1456" s="273"/>
      <c r="AC1456" s="273"/>
      <c r="AD1456" s="15"/>
      <c r="AE1456" s="273">
        <v>158997.76000000001</v>
      </c>
      <c r="AF1456" s="273"/>
    </row>
    <row r="1457" spans="1:34" x14ac:dyDescent="0.3">
      <c r="A1457" s="10">
        <f t="shared" si="313"/>
        <v>1294</v>
      </c>
      <c r="B1457" s="124" t="s">
        <v>1926</v>
      </c>
      <c r="C1457" s="273">
        <f t="shared" si="311"/>
        <v>259698.79</v>
      </c>
      <c r="D1457" s="273">
        <f t="shared" si="312"/>
        <v>0</v>
      </c>
      <c r="E1457" s="273"/>
      <c r="F1457" s="273"/>
      <c r="G1457" s="273"/>
      <c r="H1457" s="273"/>
      <c r="I1457" s="273"/>
      <c r="J1457" s="273"/>
      <c r="K1457" s="273"/>
      <c r="L1457" s="273"/>
      <c r="M1457" s="273"/>
      <c r="N1457" s="273"/>
      <c r="O1457" s="273"/>
      <c r="P1457" s="273"/>
      <c r="Q1457" s="273"/>
      <c r="R1457" s="273"/>
      <c r="S1457" s="273"/>
      <c r="T1457" s="273"/>
      <c r="U1457" s="273"/>
      <c r="V1457" s="273"/>
      <c r="W1457" s="273">
        <f t="shared" si="314"/>
        <v>259698.79</v>
      </c>
      <c r="AA1457" s="15"/>
      <c r="AB1457" s="15"/>
      <c r="AC1457" s="273"/>
      <c r="AD1457" s="15"/>
      <c r="AE1457" s="273"/>
      <c r="AF1457" s="273">
        <v>259698.79</v>
      </c>
    </row>
    <row r="1458" spans="1:34" x14ac:dyDescent="0.3">
      <c r="A1458" s="10">
        <f t="shared" si="313"/>
        <v>1295</v>
      </c>
      <c r="B1458" s="124" t="s">
        <v>1930</v>
      </c>
      <c r="C1458" s="273">
        <f t="shared" si="311"/>
        <v>197631.12</v>
      </c>
      <c r="D1458" s="273">
        <f t="shared" si="312"/>
        <v>0</v>
      </c>
      <c r="E1458" s="273"/>
      <c r="F1458" s="273"/>
      <c r="G1458" s="273"/>
      <c r="H1458" s="273"/>
      <c r="I1458" s="273"/>
      <c r="J1458" s="273"/>
      <c r="K1458" s="273"/>
      <c r="L1458" s="273"/>
      <c r="M1458" s="273"/>
      <c r="N1458" s="273"/>
      <c r="O1458" s="273"/>
      <c r="P1458" s="273"/>
      <c r="Q1458" s="273"/>
      <c r="R1458" s="273"/>
      <c r="S1458" s="273"/>
      <c r="T1458" s="273"/>
      <c r="U1458" s="273"/>
      <c r="V1458" s="273"/>
      <c r="W1458" s="273">
        <f t="shared" si="314"/>
        <v>197631.12</v>
      </c>
      <c r="AA1458" s="273"/>
      <c r="AB1458" s="15"/>
      <c r="AC1458" s="273"/>
      <c r="AD1458" s="15"/>
      <c r="AE1458" s="273">
        <v>197631.12</v>
      </c>
      <c r="AF1458" s="14"/>
    </row>
    <row r="1459" spans="1:34" x14ac:dyDescent="0.3">
      <c r="A1459" s="10">
        <f t="shared" si="313"/>
        <v>1296</v>
      </c>
      <c r="B1459" s="124" t="s">
        <v>1931</v>
      </c>
      <c r="C1459" s="273">
        <f t="shared" si="311"/>
        <v>5302280.1999999993</v>
      </c>
      <c r="D1459" s="273">
        <f t="shared" si="312"/>
        <v>4184101.1999999997</v>
      </c>
      <c r="E1459" s="273">
        <v>578008.80000000005</v>
      </c>
      <c r="F1459" s="273">
        <v>2738368.8</v>
      </c>
      <c r="G1459" s="273">
        <v>446845.2</v>
      </c>
      <c r="H1459" s="273"/>
      <c r="I1459" s="273">
        <v>420878.4</v>
      </c>
      <c r="J1459" s="273"/>
      <c r="K1459" s="273"/>
      <c r="L1459" s="273"/>
      <c r="M1459" s="273"/>
      <c r="N1459" s="273"/>
      <c r="O1459" s="273"/>
      <c r="P1459" s="273"/>
      <c r="Q1459" s="273"/>
      <c r="R1459" s="273"/>
      <c r="S1459" s="273"/>
      <c r="T1459" s="273"/>
      <c r="U1459" s="273"/>
      <c r="V1459" s="273">
        <f>(214531+392996*2+117656)</f>
        <v>1118179</v>
      </c>
      <c r="W1459" s="273">
        <f t="shared" si="314"/>
        <v>0</v>
      </c>
      <c r="AA1459" s="15"/>
      <c r="AB1459" s="15"/>
      <c r="AC1459" s="273"/>
      <c r="AD1459" s="15"/>
      <c r="AE1459" s="273"/>
      <c r="AF1459" s="14"/>
    </row>
    <row r="1460" spans="1:34" x14ac:dyDescent="0.3">
      <c r="A1460" s="10">
        <f t="shared" si="313"/>
        <v>1297</v>
      </c>
      <c r="B1460" s="124" t="s">
        <v>1932</v>
      </c>
      <c r="C1460" s="273">
        <f t="shared" si="311"/>
        <v>114372.25</v>
      </c>
      <c r="D1460" s="273">
        <f t="shared" si="312"/>
        <v>0</v>
      </c>
      <c r="E1460" s="273"/>
      <c r="F1460" s="273"/>
      <c r="G1460" s="273"/>
      <c r="H1460" s="273"/>
      <c r="I1460" s="273"/>
      <c r="J1460" s="273"/>
      <c r="K1460" s="273"/>
      <c r="L1460" s="273"/>
      <c r="M1460" s="273"/>
      <c r="N1460" s="273"/>
      <c r="O1460" s="273"/>
      <c r="P1460" s="273"/>
      <c r="Q1460" s="273"/>
      <c r="R1460" s="273"/>
      <c r="S1460" s="273"/>
      <c r="T1460" s="273"/>
      <c r="U1460" s="273"/>
      <c r="V1460" s="273"/>
      <c r="W1460" s="273">
        <f t="shared" si="314"/>
        <v>114372.25</v>
      </c>
      <c r="AA1460" s="273"/>
      <c r="AB1460" s="15"/>
      <c r="AC1460" s="235">
        <v>114372.25</v>
      </c>
      <c r="AD1460" s="15"/>
      <c r="AE1460" s="273"/>
      <c r="AF1460" s="14"/>
    </row>
    <row r="1461" spans="1:34" x14ac:dyDescent="0.3">
      <c r="A1461" s="10">
        <f t="shared" si="313"/>
        <v>1298</v>
      </c>
      <c r="B1461" s="124" t="s">
        <v>1933</v>
      </c>
      <c r="C1461" s="273">
        <f t="shared" si="311"/>
        <v>563065.97</v>
      </c>
      <c r="D1461" s="273">
        <f t="shared" si="312"/>
        <v>0</v>
      </c>
      <c r="E1461" s="273"/>
      <c r="F1461" s="273"/>
      <c r="G1461" s="273"/>
      <c r="H1461" s="273"/>
      <c r="I1461" s="273"/>
      <c r="J1461" s="273"/>
      <c r="K1461" s="273"/>
      <c r="L1461" s="273"/>
      <c r="M1461" s="273"/>
      <c r="N1461" s="273"/>
      <c r="O1461" s="273"/>
      <c r="P1461" s="273"/>
      <c r="Q1461" s="273"/>
      <c r="R1461" s="273"/>
      <c r="S1461" s="273"/>
      <c r="T1461" s="273"/>
      <c r="U1461" s="273"/>
      <c r="V1461" s="273"/>
      <c r="W1461" s="273">
        <f t="shared" si="314"/>
        <v>563065.97</v>
      </c>
      <c r="AA1461" s="273"/>
      <c r="AB1461" s="15"/>
      <c r="AC1461" s="273"/>
      <c r="AD1461" s="15"/>
      <c r="AE1461" s="273">
        <v>563065.97</v>
      </c>
      <c r="AF1461" s="273"/>
    </row>
    <row r="1462" spans="1:34" x14ac:dyDescent="0.3">
      <c r="A1462" s="10">
        <f t="shared" si="313"/>
        <v>1299</v>
      </c>
      <c r="B1462" s="124" t="s">
        <v>1934</v>
      </c>
      <c r="C1462" s="273">
        <f t="shared" si="311"/>
        <v>380090.65</v>
      </c>
      <c r="D1462" s="273">
        <f t="shared" si="312"/>
        <v>0</v>
      </c>
      <c r="E1462" s="273"/>
      <c r="F1462" s="273"/>
      <c r="G1462" s="273"/>
      <c r="H1462" s="273"/>
      <c r="I1462" s="273"/>
      <c r="J1462" s="273"/>
      <c r="K1462" s="273"/>
      <c r="L1462" s="273"/>
      <c r="M1462" s="273"/>
      <c r="N1462" s="273"/>
      <c r="O1462" s="273"/>
      <c r="P1462" s="273"/>
      <c r="Q1462" s="273"/>
      <c r="R1462" s="273"/>
      <c r="S1462" s="273"/>
      <c r="T1462" s="273"/>
      <c r="U1462" s="273"/>
      <c r="V1462" s="273"/>
      <c r="W1462" s="273">
        <f t="shared" si="314"/>
        <v>380090.65</v>
      </c>
      <c r="AA1462" s="273"/>
      <c r="AB1462" s="15"/>
      <c r="AC1462" s="273"/>
      <c r="AD1462" s="15"/>
      <c r="AE1462" s="273">
        <v>380090.65</v>
      </c>
      <c r="AF1462" s="273"/>
    </row>
    <row r="1463" spans="1:34" x14ac:dyDescent="0.3">
      <c r="A1463" s="10">
        <f t="shared" si="313"/>
        <v>1300</v>
      </c>
      <c r="B1463" s="124" t="s">
        <v>1936</v>
      </c>
      <c r="C1463" s="273">
        <f t="shared" si="311"/>
        <v>1523573.22</v>
      </c>
      <c r="D1463" s="273">
        <f t="shared" si="312"/>
        <v>0</v>
      </c>
      <c r="E1463" s="273"/>
      <c r="F1463" s="273"/>
      <c r="G1463" s="273"/>
      <c r="H1463" s="273"/>
      <c r="I1463" s="273"/>
      <c r="J1463" s="273"/>
      <c r="K1463" s="273"/>
      <c r="L1463" s="273"/>
      <c r="M1463" s="273"/>
      <c r="N1463" s="273"/>
      <c r="O1463" s="273"/>
      <c r="P1463" s="273"/>
      <c r="Q1463" s="273"/>
      <c r="R1463" s="273"/>
      <c r="S1463" s="273"/>
      <c r="T1463" s="273"/>
      <c r="U1463" s="273"/>
      <c r="V1463" s="273"/>
      <c r="W1463" s="273">
        <f t="shared" si="314"/>
        <v>1523573.22</v>
      </c>
      <c r="AB1463" s="15"/>
      <c r="AC1463" s="273"/>
      <c r="AD1463" s="15"/>
      <c r="AE1463" s="273"/>
      <c r="AF1463" s="273"/>
      <c r="AG1463" s="251">
        <v>1523573.22</v>
      </c>
    </row>
    <row r="1464" spans="1:34" x14ac:dyDescent="0.3">
      <c r="A1464" s="10">
        <f t="shared" si="313"/>
        <v>1301</v>
      </c>
      <c r="B1464" s="124" t="s">
        <v>1937</v>
      </c>
      <c r="C1464" s="273">
        <f t="shared" si="311"/>
        <v>387388.9</v>
      </c>
      <c r="D1464" s="273">
        <f t="shared" si="312"/>
        <v>0</v>
      </c>
      <c r="E1464" s="273"/>
      <c r="F1464" s="273"/>
      <c r="G1464" s="273"/>
      <c r="H1464" s="273"/>
      <c r="I1464" s="273"/>
      <c r="J1464" s="273"/>
      <c r="K1464" s="273"/>
      <c r="L1464" s="273"/>
      <c r="M1464" s="273"/>
      <c r="N1464" s="273"/>
      <c r="O1464" s="273"/>
      <c r="P1464" s="273"/>
      <c r="Q1464" s="273"/>
      <c r="R1464" s="273"/>
      <c r="S1464" s="273"/>
      <c r="T1464" s="273"/>
      <c r="U1464" s="273"/>
      <c r="V1464" s="273"/>
      <c r="W1464" s="273">
        <f t="shared" si="314"/>
        <v>387388.9</v>
      </c>
      <c r="AA1464" s="15"/>
      <c r="AB1464" s="15"/>
      <c r="AC1464" s="273"/>
      <c r="AD1464" s="15"/>
      <c r="AE1464" s="273">
        <v>387388.9</v>
      </c>
      <c r="AF1464" s="14"/>
    </row>
    <row r="1465" spans="1:34" x14ac:dyDescent="0.3">
      <c r="A1465" s="10">
        <f t="shared" si="313"/>
        <v>1302</v>
      </c>
      <c r="B1465" s="124" t="s">
        <v>1938</v>
      </c>
      <c r="C1465" s="273">
        <f t="shared" si="311"/>
        <v>1211219.3799999999</v>
      </c>
      <c r="D1465" s="273">
        <f t="shared" si="312"/>
        <v>0</v>
      </c>
      <c r="E1465" s="273"/>
      <c r="F1465" s="273"/>
      <c r="G1465" s="273"/>
      <c r="H1465" s="273"/>
      <c r="I1465" s="273"/>
      <c r="J1465" s="273"/>
      <c r="K1465" s="273"/>
      <c r="L1465" s="273"/>
      <c r="M1465" s="273"/>
      <c r="N1465" s="273"/>
      <c r="O1465" s="273"/>
      <c r="P1465" s="273"/>
      <c r="Q1465" s="273"/>
      <c r="R1465" s="273"/>
      <c r="S1465" s="273"/>
      <c r="T1465" s="273"/>
      <c r="U1465" s="273"/>
      <c r="V1465" s="273"/>
      <c r="W1465" s="273">
        <f t="shared" si="314"/>
        <v>1211219.3799999999</v>
      </c>
      <c r="AB1465" s="251"/>
      <c r="AC1465" s="273"/>
      <c r="AD1465" s="19"/>
      <c r="AE1465" s="273"/>
      <c r="AF1465" s="273"/>
      <c r="AG1465" s="251">
        <v>1211219.3799999999</v>
      </c>
    </row>
    <row r="1466" spans="1:34" x14ac:dyDescent="0.3">
      <c r="A1466" s="10">
        <f t="shared" si="313"/>
        <v>1303</v>
      </c>
      <c r="B1466" s="124" t="s">
        <v>1939</v>
      </c>
      <c r="C1466" s="273">
        <f t="shared" si="311"/>
        <v>269972.62</v>
      </c>
      <c r="D1466" s="273">
        <f t="shared" si="312"/>
        <v>0</v>
      </c>
      <c r="E1466" s="273"/>
      <c r="F1466" s="273"/>
      <c r="G1466" s="273"/>
      <c r="H1466" s="273"/>
      <c r="I1466" s="273"/>
      <c r="J1466" s="273"/>
      <c r="K1466" s="273"/>
      <c r="L1466" s="273"/>
      <c r="M1466" s="273"/>
      <c r="N1466" s="273"/>
      <c r="O1466" s="273"/>
      <c r="P1466" s="273"/>
      <c r="Q1466" s="273"/>
      <c r="R1466" s="273"/>
      <c r="S1466" s="273"/>
      <c r="T1466" s="273"/>
      <c r="U1466" s="273"/>
      <c r="V1466" s="273"/>
      <c r="W1466" s="273">
        <f t="shared" si="314"/>
        <v>269972.62</v>
      </c>
      <c r="AA1466" s="273"/>
      <c r="AB1466" s="273"/>
      <c r="AC1466" s="273">
        <v>269972.62</v>
      </c>
      <c r="AD1466" s="15"/>
      <c r="AE1466" s="273"/>
      <c r="AF1466" s="273"/>
    </row>
    <row r="1467" spans="1:34" x14ac:dyDescent="0.3">
      <c r="A1467" s="10">
        <f t="shared" si="313"/>
        <v>1304</v>
      </c>
      <c r="B1467" s="124" t="s">
        <v>1940</v>
      </c>
      <c r="C1467" s="273">
        <f t="shared" si="311"/>
        <v>216197.68</v>
      </c>
      <c r="D1467" s="273">
        <f t="shared" si="312"/>
        <v>0</v>
      </c>
      <c r="E1467" s="273"/>
      <c r="F1467" s="273"/>
      <c r="G1467" s="273"/>
      <c r="H1467" s="273"/>
      <c r="I1467" s="273"/>
      <c r="J1467" s="273"/>
      <c r="K1467" s="273"/>
      <c r="L1467" s="273"/>
      <c r="M1467" s="273"/>
      <c r="N1467" s="273"/>
      <c r="O1467" s="273"/>
      <c r="P1467" s="273"/>
      <c r="Q1467" s="273"/>
      <c r="R1467" s="273"/>
      <c r="S1467" s="273"/>
      <c r="T1467" s="273"/>
      <c r="U1467" s="273"/>
      <c r="V1467" s="273"/>
      <c r="W1467" s="273">
        <f t="shared" si="314"/>
        <v>216197.68</v>
      </c>
      <c r="AA1467" s="273"/>
      <c r="AC1467" s="273">
        <v>216197.68</v>
      </c>
      <c r="AD1467" s="15"/>
      <c r="AE1467" s="273"/>
      <c r="AF1467" s="273"/>
      <c r="AH1467" s="273"/>
    </row>
    <row r="1468" spans="1:34" x14ac:dyDescent="0.3">
      <c r="A1468" s="10">
        <f t="shared" si="313"/>
        <v>1305</v>
      </c>
      <c r="B1468" s="124" t="s">
        <v>1941</v>
      </c>
      <c r="C1468" s="273">
        <f t="shared" si="311"/>
        <v>240034.44</v>
      </c>
      <c r="D1468" s="273">
        <f t="shared" si="312"/>
        <v>0</v>
      </c>
      <c r="E1468" s="273"/>
      <c r="F1468" s="273"/>
      <c r="G1468" s="273"/>
      <c r="H1468" s="273"/>
      <c r="I1468" s="273"/>
      <c r="J1468" s="273"/>
      <c r="K1468" s="273"/>
      <c r="L1468" s="273"/>
      <c r="M1468" s="273"/>
      <c r="N1468" s="273"/>
      <c r="O1468" s="273"/>
      <c r="P1468" s="273"/>
      <c r="Q1468" s="273"/>
      <c r="R1468" s="273"/>
      <c r="S1468" s="273"/>
      <c r="T1468" s="273"/>
      <c r="U1468" s="273"/>
      <c r="V1468" s="273"/>
      <c r="W1468" s="273">
        <f t="shared" si="314"/>
        <v>240034.44</v>
      </c>
      <c r="AA1468" s="15"/>
      <c r="AB1468" s="15"/>
      <c r="AC1468" s="273"/>
      <c r="AD1468" s="15"/>
      <c r="AE1468" s="273">
        <v>240034.44</v>
      </c>
      <c r="AF1468" s="273"/>
    </row>
    <row r="1469" spans="1:34" x14ac:dyDescent="0.3">
      <c r="A1469" s="10">
        <f t="shared" si="313"/>
        <v>1306</v>
      </c>
      <c r="B1469" s="124" t="s">
        <v>1942</v>
      </c>
      <c r="C1469" s="273">
        <f t="shared" si="311"/>
        <v>155605.99</v>
      </c>
      <c r="D1469" s="273">
        <f t="shared" si="312"/>
        <v>0</v>
      </c>
      <c r="E1469" s="273"/>
      <c r="F1469" s="273"/>
      <c r="G1469" s="273"/>
      <c r="H1469" s="273"/>
      <c r="I1469" s="273"/>
      <c r="J1469" s="273"/>
      <c r="K1469" s="273"/>
      <c r="L1469" s="273"/>
      <c r="M1469" s="273"/>
      <c r="N1469" s="273"/>
      <c r="O1469" s="273"/>
      <c r="P1469" s="273"/>
      <c r="Q1469" s="273"/>
      <c r="R1469" s="273"/>
      <c r="S1469" s="273"/>
      <c r="T1469" s="273"/>
      <c r="U1469" s="273"/>
      <c r="V1469" s="273"/>
      <c r="W1469" s="273">
        <f t="shared" si="314"/>
        <v>155605.99</v>
      </c>
      <c r="AA1469" s="15"/>
      <c r="AB1469" s="15"/>
      <c r="AC1469" s="273"/>
      <c r="AD1469" s="15"/>
      <c r="AE1469" s="273">
        <v>155605.99</v>
      </c>
      <c r="AF1469" s="14"/>
    </row>
    <row r="1470" spans="1:34" x14ac:dyDescent="0.3">
      <c r="A1470" s="10">
        <f t="shared" si="313"/>
        <v>1307</v>
      </c>
      <c r="B1470" s="124" t="s">
        <v>1943</v>
      </c>
      <c r="C1470" s="273">
        <f t="shared" si="311"/>
        <v>232178.5</v>
      </c>
      <c r="D1470" s="273">
        <f t="shared" si="312"/>
        <v>0</v>
      </c>
      <c r="E1470" s="273"/>
      <c r="F1470" s="273"/>
      <c r="G1470" s="273"/>
      <c r="H1470" s="273"/>
      <c r="I1470" s="273"/>
      <c r="J1470" s="273"/>
      <c r="K1470" s="273"/>
      <c r="L1470" s="273"/>
      <c r="M1470" s="273"/>
      <c r="N1470" s="273"/>
      <c r="O1470" s="273"/>
      <c r="P1470" s="273"/>
      <c r="Q1470" s="273"/>
      <c r="R1470" s="273"/>
      <c r="S1470" s="273"/>
      <c r="T1470" s="273"/>
      <c r="U1470" s="273"/>
      <c r="V1470" s="273"/>
      <c r="W1470" s="273">
        <f t="shared" si="314"/>
        <v>232178.5</v>
      </c>
      <c r="Y1470" s="273"/>
      <c r="AA1470" s="273"/>
      <c r="AB1470" s="15"/>
      <c r="AC1470" s="273"/>
      <c r="AD1470" s="15"/>
      <c r="AF1470" s="273">
        <v>232178.5</v>
      </c>
    </row>
    <row r="1471" spans="1:34" x14ac:dyDescent="0.3">
      <c r="A1471" s="10">
        <f t="shared" si="313"/>
        <v>1308</v>
      </c>
      <c r="B1471" s="124" t="s">
        <v>1944</v>
      </c>
      <c r="C1471" s="273">
        <f t="shared" si="311"/>
        <v>1834871.1199999999</v>
      </c>
      <c r="D1471" s="273">
        <f t="shared" si="312"/>
        <v>1576753.2</v>
      </c>
      <c r="E1471" s="273">
        <v>1576753.2</v>
      </c>
      <c r="F1471" s="273"/>
      <c r="G1471" s="273"/>
      <c r="H1471" s="273"/>
      <c r="I1471" s="273"/>
      <c r="J1471" s="273"/>
      <c r="K1471" s="273"/>
      <c r="L1471" s="273"/>
      <c r="M1471" s="273"/>
      <c r="N1471" s="273"/>
      <c r="O1471" s="273"/>
      <c r="P1471" s="273"/>
      <c r="Q1471" s="273"/>
      <c r="R1471" s="273"/>
      <c r="S1471" s="273"/>
      <c r="T1471" s="273"/>
      <c r="U1471" s="273"/>
      <c r="V1471" s="273"/>
      <c r="W1471" s="273">
        <f t="shared" si="314"/>
        <v>258117.92</v>
      </c>
      <c r="Y1471" s="273"/>
      <c r="AA1471" s="15"/>
      <c r="AB1471" s="15"/>
      <c r="AC1471" s="273"/>
      <c r="AD1471" s="15"/>
      <c r="AF1471" s="273">
        <v>258117.92</v>
      </c>
    </row>
    <row r="1472" spans="1:34" x14ac:dyDescent="0.3">
      <c r="A1472" s="10">
        <f t="shared" si="313"/>
        <v>1309</v>
      </c>
      <c r="B1472" s="124" t="s">
        <v>1945</v>
      </c>
      <c r="C1472" s="273">
        <f t="shared" si="311"/>
        <v>391961.77</v>
      </c>
      <c r="D1472" s="273">
        <f t="shared" si="312"/>
        <v>0</v>
      </c>
      <c r="E1472" s="273"/>
      <c r="F1472" s="273"/>
      <c r="G1472" s="273"/>
      <c r="H1472" s="273"/>
      <c r="I1472" s="273"/>
      <c r="J1472" s="273"/>
      <c r="K1472" s="273"/>
      <c r="L1472" s="273"/>
      <c r="M1472" s="273"/>
      <c r="N1472" s="273"/>
      <c r="O1472" s="273"/>
      <c r="P1472" s="273"/>
      <c r="Q1472" s="273"/>
      <c r="R1472" s="273"/>
      <c r="S1472" s="273"/>
      <c r="T1472" s="273"/>
      <c r="U1472" s="273"/>
      <c r="V1472" s="273"/>
      <c r="W1472" s="273">
        <f t="shared" si="314"/>
        <v>391961.77</v>
      </c>
      <c r="Y1472" s="273"/>
      <c r="AA1472" s="15"/>
      <c r="AB1472" s="15"/>
      <c r="AD1472" s="15"/>
      <c r="AE1472" s="251">
        <f>216029.63+175932.14</f>
        <v>391961.77</v>
      </c>
      <c r="AF1472" s="273"/>
    </row>
    <row r="1473" spans="1:34" x14ac:dyDescent="0.3">
      <c r="A1473" s="10">
        <f t="shared" si="313"/>
        <v>1310</v>
      </c>
      <c r="B1473" s="124" t="s">
        <v>1947</v>
      </c>
      <c r="C1473" s="273">
        <f t="shared" ref="C1473:C1474" si="315">D1473+K1473+L1473+N1473+P1473+R1473+S1473+U1473+V1473+W1473</f>
        <v>3191575.9</v>
      </c>
      <c r="D1473" s="273">
        <f t="shared" ref="D1473:D1474" si="316">E1473+F1473+G1473+H1473+I1473</f>
        <v>3191575.9</v>
      </c>
      <c r="E1473" s="273"/>
      <c r="F1473" s="273">
        <v>2826238.3</v>
      </c>
      <c r="G1473" s="273">
        <v>365337.59999999998</v>
      </c>
      <c r="H1473" s="273"/>
      <c r="I1473" s="273"/>
      <c r="J1473" s="273"/>
      <c r="K1473" s="273"/>
      <c r="L1473" s="273"/>
      <c r="M1473" s="273"/>
      <c r="N1473" s="273"/>
      <c r="O1473" s="273"/>
      <c r="P1473" s="273"/>
      <c r="Q1473" s="273"/>
      <c r="R1473" s="273"/>
      <c r="S1473" s="273"/>
      <c r="T1473" s="273"/>
      <c r="U1473" s="273"/>
      <c r="V1473" s="273"/>
      <c r="W1473" s="273"/>
      <c r="Y1473" s="273"/>
      <c r="AA1473" s="15"/>
      <c r="AB1473" s="15"/>
      <c r="AD1473" s="15"/>
      <c r="AE1473" s="254"/>
      <c r="AF1473" s="273"/>
    </row>
    <row r="1474" spans="1:34" x14ac:dyDescent="0.3">
      <c r="A1474" s="10">
        <f t="shared" si="313"/>
        <v>1311</v>
      </c>
      <c r="B1474" s="124" t="s">
        <v>1949</v>
      </c>
      <c r="C1474" s="273">
        <f t="shared" si="315"/>
        <v>329421.70999999996</v>
      </c>
      <c r="D1474" s="273">
        <f t="shared" si="316"/>
        <v>0</v>
      </c>
      <c r="E1474" s="273"/>
      <c r="F1474" s="273"/>
      <c r="G1474" s="273"/>
      <c r="H1474" s="273"/>
      <c r="I1474" s="273"/>
      <c r="J1474" s="273"/>
      <c r="K1474" s="273"/>
      <c r="L1474" s="273"/>
      <c r="M1474" s="273"/>
      <c r="N1474" s="273"/>
      <c r="O1474" s="273"/>
      <c r="P1474" s="273"/>
      <c r="Q1474" s="273"/>
      <c r="R1474" s="273"/>
      <c r="S1474" s="273"/>
      <c r="T1474" s="273"/>
      <c r="U1474" s="273"/>
      <c r="V1474" s="273"/>
      <c r="W1474" s="273">
        <f t="shared" si="314"/>
        <v>329421.70999999996</v>
      </c>
      <c r="Y1474" s="273">
        <v>186271.24</v>
      </c>
      <c r="AA1474" s="273"/>
      <c r="AB1474" s="15">
        <v>143150.47</v>
      </c>
      <c r="AC1474" s="273"/>
      <c r="AD1474" s="15"/>
      <c r="AF1474" s="273"/>
    </row>
    <row r="1475" spans="1:34" x14ac:dyDescent="0.3">
      <c r="A1475" s="10">
        <f t="shared" si="313"/>
        <v>1312</v>
      </c>
      <c r="B1475" s="124" t="s">
        <v>1950</v>
      </c>
      <c r="C1475" s="273">
        <f t="shared" si="311"/>
        <v>101322.67</v>
      </c>
      <c r="D1475" s="273">
        <f t="shared" si="312"/>
        <v>0</v>
      </c>
      <c r="E1475" s="273"/>
      <c r="F1475" s="273"/>
      <c r="G1475" s="273"/>
      <c r="H1475" s="273"/>
      <c r="I1475" s="273"/>
      <c r="J1475" s="273"/>
      <c r="K1475" s="273"/>
      <c r="L1475" s="273"/>
      <c r="M1475" s="273"/>
      <c r="N1475" s="273"/>
      <c r="O1475" s="273"/>
      <c r="P1475" s="273"/>
      <c r="Q1475" s="273"/>
      <c r="R1475" s="273"/>
      <c r="S1475" s="273"/>
      <c r="T1475" s="273"/>
      <c r="U1475" s="273"/>
      <c r="V1475" s="273"/>
      <c r="W1475" s="273">
        <f t="shared" si="314"/>
        <v>101322.67</v>
      </c>
      <c r="Y1475" s="273"/>
      <c r="AA1475" s="273"/>
      <c r="AB1475" s="15"/>
      <c r="AC1475" s="273"/>
      <c r="AD1475" s="15"/>
      <c r="AF1475" s="273">
        <v>101322.67</v>
      </c>
    </row>
    <row r="1476" spans="1:34" x14ac:dyDescent="0.3">
      <c r="A1476" s="10">
        <f t="shared" si="313"/>
        <v>1313</v>
      </c>
      <c r="B1476" s="124" t="s">
        <v>3549</v>
      </c>
      <c r="C1476" s="273">
        <f t="shared" si="311"/>
        <v>1472748.1</v>
      </c>
      <c r="D1476" s="273">
        <f t="shared" si="312"/>
        <v>0</v>
      </c>
      <c r="E1476" s="273"/>
      <c r="F1476" s="273"/>
      <c r="G1476" s="273"/>
      <c r="H1476" s="273"/>
      <c r="I1476" s="273"/>
      <c r="J1476" s="273"/>
      <c r="K1476" s="273"/>
      <c r="L1476" s="273"/>
      <c r="M1476" s="273"/>
      <c r="N1476" s="273"/>
      <c r="O1476" s="273"/>
      <c r="P1476" s="273"/>
      <c r="Q1476" s="40"/>
      <c r="R1476" s="273"/>
      <c r="S1476" s="273"/>
      <c r="T1476" s="273"/>
      <c r="U1476" s="273"/>
      <c r="V1476" s="273"/>
      <c r="W1476" s="273">
        <f t="shared" si="314"/>
        <v>1472748.1</v>
      </c>
      <c r="Y1476" s="273"/>
      <c r="AA1476" s="273"/>
      <c r="AB1476" s="15"/>
      <c r="AC1476" s="273"/>
      <c r="AD1476" s="15"/>
      <c r="AF1476" s="273"/>
      <c r="AG1476" s="273">
        <v>1472748.1</v>
      </c>
    </row>
    <row r="1477" spans="1:34" x14ac:dyDescent="0.3">
      <c r="A1477" s="10">
        <f t="shared" si="313"/>
        <v>1314</v>
      </c>
      <c r="B1477" s="124" t="s">
        <v>1953</v>
      </c>
      <c r="C1477" s="273">
        <f t="shared" si="311"/>
        <v>316088.08</v>
      </c>
      <c r="D1477" s="273">
        <f t="shared" si="312"/>
        <v>0</v>
      </c>
      <c r="E1477" s="273"/>
      <c r="F1477" s="273"/>
      <c r="G1477" s="273"/>
      <c r="H1477" s="273"/>
      <c r="I1477" s="273"/>
      <c r="J1477" s="273"/>
      <c r="K1477" s="273"/>
      <c r="L1477" s="273"/>
      <c r="M1477" s="273"/>
      <c r="N1477" s="273"/>
      <c r="O1477" s="273"/>
      <c r="P1477" s="273"/>
      <c r="Q1477" s="273"/>
      <c r="R1477" s="273"/>
      <c r="S1477" s="273"/>
      <c r="T1477" s="273"/>
      <c r="U1477" s="273"/>
      <c r="V1477" s="273"/>
      <c r="W1477" s="273">
        <f t="shared" si="314"/>
        <v>316088.08</v>
      </c>
      <c r="Y1477" s="273"/>
      <c r="AA1477" s="273"/>
      <c r="AB1477" s="15"/>
      <c r="AC1477" s="273"/>
      <c r="AD1477" s="15"/>
      <c r="AF1477" s="273">
        <v>316088.08</v>
      </c>
    </row>
    <row r="1478" spans="1:34" x14ac:dyDescent="0.3">
      <c r="A1478" s="10">
        <f t="shared" si="313"/>
        <v>1315</v>
      </c>
      <c r="B1478" s="124" t="s">
        <v>1954</v>
      </c>
      <c r="C1478" s="273">
        <f t="shared" si="311"/>
        <v>224644.34</v>
      </c>
      <c r="D1478" s="273">
        <f t="shared" si="312"/>
        <v>0</v>
      </c>
      <c r="E1478" s="273"/>
      <c r="F1478" s="273"/>
      <c r="G1478" s="273"/>
      <c r="H1478" s="273"/>
      <c r="I1478" s="273"/>
      <c r="J1478" s="273"/>
      <c r="K1478" s="273"/>
      <c r="L1478" s="273"/>
      <c r="M1478" s="273"/>
      <c r="N1478" s="273"/>
      <c r="O1478" s="273"/>
      <c r="P1478" s="273"/>
      <c r="Q1478" s="273"/>
      <c r="R1478" s="273"/>
      <c r="S1478" s="273"/>
      <c r="T1478" s="273"/>
      <c r="U1478" s="273"/>
      <c r="V1478" s="273"/>
      <c r="W1478" s="273">
        <f>SUM(Z1478:AP1478)</f>
        <v>224644.34</v>
      </c>
      <c r="Z1478" s="273"/>
      <c r="AA1478" s="273"/>
      <c r="AC1478" s="273"/>
      <c r="AD1478" s="15"/>
      <c r="AE1478" s="273">
        <v>224644.34</v>
      </c>
      <c r="AH1478" s="273"/>
    </row>
    <row r="1479" spans="1:34" x14ac:dyDescent="0.3">
      <c r="A1479" s="10">
        <f t="shared" si="313"/>
        <v>1316</v>
      </c>
      <c r="B1479" s="124" t="s">
        <v>1955</v>
      </c>
      <c r="C1479" s="273">
        <f t="shared" si="311"/>
        <v>272126.63</v>
      </c>
      <c r="D1479" s="273">
        <f t="shared" si="312"/>
        <v>0</v>
      </c>
      <c r="E1479" s="273"/>
      <c r="F1479" s="273"/>
      <c r="G1479" s="273"/>
      <c r="H1479" s="273"/>
      <c r="I1479" s="273"/>
      <c r="J1479" s="273"/>
      <c r="K1479" s="273"/>
      <c r="L1479" s="273"/>
      <c r="M1479" s="273"/>
      <c r="N1479" s="273"/>
      <c r="O1479" s="273"/>
      <c r="P1479" s="273"/>
      <c r="Q1479" s="273"/>
      <c r="R1479" s="273"/>
      <c r="S1479" s="273"/>
      <c r="T1479" s="273"/>
      <c r="U1479" s="273"/>
      <c r="V1479" s="273"/>
      <c r="W1479" s="273">
        <f t="shared" ref="W1479:W1489" si="317">SUM(Y1479:AP1479)</f>
        <v>272126.63</v>
      </c>
      <c r="Y1479" s="273"/>
      <c r="Z1479" s="14"/>
      <c r="AA1479" s="15"/>
      <c r="AC1479" s="114">
        <v>272126.63</v>
      </c>
      <c r="AD1479" s="15"/>
      <c r="AH1479" s="15"/>
    </row>
    <row r="1480" spans="1:34" x14ac:dyDescent="0.3">
      <c r="A1480" s="10">
        <f t="shared" si="313"/>
        <v>1317</v>
      </c>
      <c r="B1480" s="124" t="s">
        <v>1957</v>
      </c>
      <c r="C1480" s="273">
        <f t="shared" si="311"/>
        <v>279106.84000000003</v>
      </c>
      <c r="D1480" s="273">
        <f t="shared" si="312"/>
        <v>0</v>
      </c>
      <c r="E1480" s="273"/>
      <c r="F1480" s="273"/>
      <c r="G1480" s="273"/>
      <c r="H1480" s="273"/>
      <c r="I1480" s="273"/>
      <c r="J1480" s="273"/>
      <c r="K1480" s="273"/>
      <c r="L1480" s="273"/>
      <c r="M1480" s="273"/>
      <c r="N1480" s="273"/>
      <c r="O1480" s="273"/>
      <c r="P1480" s="273"/>
      <c r="Q1480" s="273"/>
      <c r="R1480" s="273"/>
      <c r="S1480" s="273"/>
      <c r="T1480" s="273"/>
      <c r="U1480" s="273"/>
      <c r="V1480" s="273"/>
      <c r="W1480" s="273">
        <f t="shared" si="317"/>
        <v>279106.84000000003</v>
      </c>
      <c r="Y1480" s="261"/>
      <c r="AA1480" s="261"/>
      <c r="AC1480" s="261"/>
      <c r="AD1480" s="15"/>
      <c r="AF1480" s="261">
        <v>279106.84000000003</v>
      </c>
      <c r="AH1480" s="261"/>
    </row>
    <row r="1481" spans="1:34" x14ac:dyDescent="0.3">
      <c r="A1481" s="10">
        <f t="shared" si="313"/>
        <v>1318</v>
      </c>
      <c r="B1481" s="124" t="s">
        <v>1958</v>
      </c>
      <c r="C1481" s="273">
        <f t="shared" si="311"/>
        <v>10711599.600000001</v>
      </c>
      <c r="D1481" s="273">
        <f t="shared" si="312"/>
        <v>0</v>
      </c>
      <c r="E1481" s="273"/>
      <c r="F1481" s="273"/>
      <c r="G1481" s="273"/>
      <c r="H1481" s="273"/>
      <c r="I1481" s="273"/>
      <c r="J1481" s="273"/>
      <c r="K1481" s="273"/>
      <c r="L1481" s="273"/>
      <c r="M1481" s="273">
        <v>1323.4</v>
      </c>
      <c r="N1481" s="273">
        <f>M1481*8094</f>
        <v>10711599.600000001</v>
      </c>
      <c r="O1481" s="273"/>
      <c r="P1481" s="273"/>
      <c r="Q1481" s="273"/>
      <c r="R1481" s="273"/>
      <c r="S1481" s="273"/>
      <c r="T1481" s="273"/>
      <c r="U1481" s="273"/>
      <c r="V1481" s="273"/>
      <c r="W1481" s="273">
        <f t="shared" si="317"/>
        <v>0</v>
      </c>
      <c r="Y1481" s="273"/>
      <c r="AA1481" s="261"/>
      <c r="AC1481" s="273"/>
      <c r="AD1481" s="15"/>
      <c r="AF1481" s="261"/>
      <c r="AH1481" s="261"/>
    </row>
    <row r="1482" spans="1:34" x14ac:dyDescent="0.3">
      <c r="A1482" s="10">
        <f t="shared" si="313"/>
        <v>1319</v>
      </c>
      <c r="B1482" s="124" t="s">
        <v>3550</v>
      </c>
      <c r="C1482" s="273">
        <f t="shared" si="311"/>
        <v>454313.54</v>
      </c>
      <c r="D1482" s="273">
        <f t="shared" si="312"/>
        <v>0</v>
      </c>
      <c r="E1482" s="273"/>
      <c r="F1482" s="273"/>
      <c r="G1482" s="273"/>
      <c r="H1482" s="273"/>
      <c r="I1482" s="273"/>
      <c r="J1482" s="273"/>
      <c r="K1482" s="273"/>
      <c r="L1482" s="273"/>
      <c r="M1482" s="273"/>
      <c r="N1482" s="273"/>
      <c r="O1482" s="273"/>
      <c r="P1482" s="273"/>
      <c r="Q1482" s="273"/>
      <c r="R1482" s="273"/>
      <c r="S1482" s="273"/>
      <c r="T1482" s="273"/>
      <c r="U1482" s="273"/>
      <c r="V1482" s="273"/>
      <c r="W1482" s="273">
        <f t="shared" si="317"/>
        <v>454313.54</v>
      </c>
      <c r="Y1482" s="273"/>
      <c r="AA1482" s="261"/>
      <c r="AC1482" s="273"/>
      <c r="AD1482" s="15"/>
      <c r="AE1482" s="244">
        <v>454313.54</v>
      </c>
      <c r="AF1482" s="261"/>
      <c r="AH1482" s="261"/>
    </row>
    <row r="1483" spans="1:34" x14ac:dyDescent="0.3">
      <c r="A1483" s="10">
        <f t="shared" si="313"/>
        <v>1320</v>
      </c>
      <c r="B1483" s="124" t="s">
        <v>1959</v>
      </c>
      <c r="C1483" s="273">
        <f t="shared" ref="C1483:C1515" si="318">D1483+K1483+L1483+N1483+P1483+R1483+S1483+U1483+V1483+W1483</f>
        <v>100030.39</v>
      </c>
      <c r="D1483" s="273">
        <f t="shared" ref="D1483:D1515" si="319">E1483+F1483+G1483+H1483+I1483</f>
        <v>0</v>
      </c>
      <c r="E1483" s="273"/>
      <c r="F1483" s="273"/>
      <c r="G1483" s="273"/>
      <c r="H1483" s="273"/>
      <c r="I1483" s="273"/>
      <c r="J1483" s="273"/>
      <c r="K1483" s="273"/>
      <c r="L1483" s="273"/>
      <c r="M1483" s="273"/>
      <c r="N1483" s="273"/>
      <c r="O1483" s="273"/>
      <c r="P1483" s="273"/>
      <c r="Q1483" s="273"/>
      <c r="R1483" s="273"/>
      <c r="S1483" s="273"/>
      <c r="T1483" s="273"/>
      <c r="U1483" s="273"/>
      <c r="V1483" s="273"/>
      <c r="W1483" s="273">
        <f t="shared" si="317"/>
        <v>100030.39</v>
      </c>
      <c r="Y1483" s="273"/>
      <c r="AA1483" s="261"/>
      <c r="AC1483" s="273">
        <v>100030.39</v>
      </c>
      <c r="AD1483" s="15"/>
      <c r="AF1483" s="261"/>
      <c r="AH1483" s="273"/>
    </row>
    <row r="1484" spans="1:34" x14ac:dyDescent="0.3">
      <c r="A1484" s="10">
        <f t="shared" ref="A1484:A1516" si="320">A1483+1</f>
        <v>1321</v>
      </c>
      <c r="B1484" s="124" t="s">
        <v>1960</v>
      </c>
      <c r="C1484" s="273">
        <f t="shared" si="318"/>
        <v>80302.39</v>
      </c>
      <c r="D1484" s="273">
        <f t="shared" si="319"/>
        <v>0</v>
      </c>
      <c r="E1484" s="273"/>
      <c r="F1484" s="273"/>
      <c r="G1484" s="273"/>
      <c r="H1484" s="273"/>
      <c r="I1484" s="273"/>
      <c r="J1484" s="273"/>
      <c r="K1484" s="273"/>
      <c r="L1484" s="273"/>
      <c r="M1484" s="273"/>
      <c r="N1484" s="273"/>
      <c r="O1484" s="273"/>
      <c r="P1484" s="273"/>
      <c r="Q1484" s="273"/>
      <c r="R1484" s="273"/>
      <c r="S1484" s="273"/>
      <c r="T1484" s="273"/>
      <c r="U1484" s="273"/>
      <c r="V1484" s="273"/>
      <c r="W1484" s="273">
        <f t="shared" si="317"/>
        <v>80302.39</v>
      </c>
      <c r="Y1484" s="273"/>
      <c r="AA1484" s="273"/>
      <c r="AC1484" s="273">
        <v>80302.39</v>
      </c>
      <c r="AD1484" s="15"/>
      <c r="AF1484" s="273"/>
      <c r="AH1484" s="273"/>
    </row>
    <row r="1485" spans="1:34" x14ac:dyDescent="0.3">
      <c r="A1485" s="10">
        <f t="shared" si="320"/>
        <v>1322</v>
      </c>
      <c r="B1485" s="124" t="s">
        <v>1962</v>
      </c>
      <c r="C1485" s="273">
        <f t="shared" si="318"/>
        <v>6418350.9900000002</v>
      </c>
      <c r="D1485" s="273">
        <f t="shared" si="319"/>
        <v>6281626.6000000006</v>
      </c>
      <c r="E1485" s="273">
        <v>953996.2</v>
      </c>
      <c r="F1485" s="273">
        <v>4426135.2</v>
      </c>
      <c r="G1485" s="273">
        <v>901495.2</v>
      </c>
      <c r="H1485" s="273"/>
      <c r="I1485" s="273"/>
      <c r="J1485" s="273"/>
      <c r="K1485" s="273"/>
      <c r="L1485" s="273"/>
      <c r="M1485" s="273"/>
      <c r="N1485" s="273"/>
      <c r="O1485" s="273"/>
      <c r="P1485" s="273"/>
      <c r="Q1485" s="273"/>
      <c r="R1485" s="273"/>
      <c r="S1485" s="273"/>
      <c r="T1485" s="273"/>
      <c r="U1485" s="273"/>
      <c r="V1485" s="273"/>
      <c r="W1485" s="273">
        <f t="shared" si="317"/>
        <v>136724.39000000001</v>
      </c>
      <c r="Y1485" s="273"/>
      <c r="AA1485" s="261"/>
      <c r="AC1485" s="273">
        <v>136724.39000000001</v>
      </c>
      <c r="AD1485" s="15"/>
      <c r="AF1485" s="261"/>
      <c r="AH1485" s="15"/>
    </row>
    <row r="1486" spans="1:34" x14ac:dyDescent="0.3">
      <c r="A1486" s="10">
        <f t="shared" si="320"/>
        <v>1323</v>
      </c>
      <c r="B1486" s="124" t="s">
        <v>1963</v>
      </c>
      <c r="C1486" s="273">
        <f t="shared" si="318"/>
        <v>315676.07</v>
      </c>
      <c r="D1486" s="273">
        <f t="shared" si="319"/>
        <v>0</v>
      </c>
      <c r="E1486" s="273"/>
      <c r="F1486" s="273"/>
      <c r="G1486" s="273"/>
      <c r="H1486" s="273"/>
      <c r="I1486" s="273"/>
      <c r="J1486" s="273"/>
      <c r="K1486" s="273"/>
      <c r="L1486" s="273"/>
      <c r="M1486" s="273"/>
      <c r="N1486" s="273"/>
      <c r="O1486" s="273"/>
      <c r="P1486" s="273"/>
      <c r="Q1486" s="273"/>
      <c r="R1486" s="273"/>
      <c r="S1486" s="273"/>
      <c r="T1486" s="273"/>
      <c r="U1486" s="273"/>
      <c r="V1486" s="273"/>
      <c r="W1486" s="273">
        <f t="shared" si="317"/>
        <v>315676.07</v>
      </c>
      <c r="Y1486" s="273"/>
      <c r="AA1486" s="261"/>
      <c r="AC1486" s="273"/>
      <c r="AD1486" s="15"/>
      <c r="AF1486" s="261">
        <v>315676.07</v>
      </c>
      <c r="AH1486" s="15"/>
    </row>
    <row r="1487" spans="1:34" x14ac:dyDescent="0.3">
      <c r="A1487" s="10">
        <f t="shared" si="320"/>
        <v>1324</v>
      </c>
      <c r="B1487" s="124" t="s">
        <v>1964</v>
      </c>
      <c r="C1487" s="273">
        <f t="shared" si="318"/>
        <v>68786.75</v>
      </c>
      <c r="D1487" s="273">
        <f t="shared" si="319"/>
        <v>0</v>
      </c>
      <c r="E1487" s="273"/>
      <c r="F1487" s="273"/>
      <c r="G1487" s="273"/>
      <c r="H1487" s="273"/>
      <c r="I1487" s="273"/>
      <c r="J1487" s="273"/>
      <c r="K1487" s="273"/>
      <c r="L1487" s="273"/>
      <c r="M1487" s="273"/>
      <c r="N1487" s="273"/>
      <c r="O1487" s="273"/>
      <c r="P1487" s="273"/>
      <c r="Q1487" s="273"/>
      <c r="R1487" s="273"/>
      <c r="S1487" s="273"/>
      <c r="T1487" s="273"/>
      <c r="U1487" s="273"/>
      <c r="V1487" s="273"/>
      <c r="W1487" s="273">
        <f t="shared" si="317"/>
        <v>68786.75</v>
      </c>
      <c r="Y1487" s="273"/>
      <c r="AA1487" s="273"/>
      <c r="AC1487" s="273">
        <v>68786.75</v>
      </c>
      <c r="AD1487" s="15"/>
      <c r="AF1487" s="273"/>
      <c r="AH1487" s="15"/>
    </row>
    <row r="1488" spans="1:34" x14ac:dyDescent="0.3">
      <c r="A1488" s="10">
        <f t="shared" si="320"/>
        <v>1325</v>
      </c>
      <c r="B1488" s="124" t="s">
        <v>1966</v>
      </c>
      <c r="C1488" s="273">
        <f t="shared" si="318"/>
        <v>115665.85</v>
      </c>
      <c r="D1488" s="273">
        <f t="shared" si="319"/>
        <v>0</v>
      </c>
      <c r="E1488" s="273"/>
      <c r="F1488" s="273"/>
      <c r="G1488" s="273"/>
      <c r="H1488" s="273"/>
      <c r="I1488" s="273"/>
      <c r="J1488" s="273"/>
      <c r="K1488" s="273"/>
      <c r="L1488" s="273"/>
      <c r="M1488" s="273"/>
      <c r="N1488" s="273"/>
      <c r="O1488" s="273"/>
      <c r="P1488" s="273"/>
      <c r="Q1488" s="273"/>
      <c r="R1488" s="273"/>
      <c r="S1488" s="273"/>
      <c r="T1488" s="273"/>
      <c r="U1488" s="273"/>
      <c r="V1488" s="273"/>
      <c r="W1488" s="273">
        <f t="shared" si="317"/>
        <v>115665.85</v>
      </c>
      <c r="Y1488" s="273"/>
      <c r="AA1488" s="273"/>
      <c r="AC1488" s="273">
        <v>115665.85</v>
      </c>
      <c r="AD1488" s="15"/>
      <c r="AF1488" s="273"/>
      <c r="AH1488" s="15"/>
    </row>
    <row r="1489" spans="1:34" x14ac:dyDescent="0.3">
      <c r="A1489" s="10">
        <f t="shared" si="320"/>
        <v>1326</v>
      </c>
      <c r="B1489" s="124" t="s">
        <v>1967</v>
      </c>
      <c r="C1489" s="273">
        <f t="shared" si="318"/>
        <v>117965.82</v>
      </c>
      <c r="D1489" s="273">
        <f t="shared" si="319"/>
        <v>0</v>
      </c>
      <c r="E1489" s="273"/>
      <c r="F1489" s="273"/>
      <c r="G1489" s="273"/>
      <c r="H1489" s="273"/>
      <c r="I1489" s="273"/>
      <c r="J1489" s="273"/>
      <c r="K1489" s="273"/>
      <c r="L1489" s="273"/>
      <c r="M1489" s="273"/>
      <c r="N1489" s="273"/>
      <c r="O1489" s="273"/>
      <c r="P1489" s="273"/>
      <c r="Q1489" s="273"/>
      <c r="R1489" s="273"/>
      <c r="S1489" s="273"/>
      <c r="T1489" s="273"/>
      <c r="U1489" s="273"/>
      <c r="V1489" s="273"/>
      <c r="W1489" s="273">
        <f t="shared" si="317"/>
        <v>117965.82</v>
      </c>
      <c r="Y1489" s="273"/>
      <c r="AA1489" s="273"/>
      <c r="AC1489" s="273">
        <v>117965.82</v>
      </c>
      <c r="AD1489" s="15"/>
      <c r="AF1489" s="273"/>
      <c r="AH1489" s="15"/>
    </row>
    <row r="1490" spans="1:34" x14ac:dyDescent="0.3">
      <c r="A1490" s="10">
        <f t="shared" si="320"/>
        <v>1327</v>
      </c>
      <c r="B1490" s="124" t="s">
        <v>1968</v>
      </c>
      <c r="C1490" s="273">
        <f t="shared" si="318"/>
        <v>2497405.84</v>
      </c>
      <c r="D1490" s="273">
        <f t="shared" si="319"/>
        <v>2405318.4</v>
      </c>
      <c r="E1490" s="273">
        <f>(13*2688)+(2*358323)</f>
        <v>751590</v>
      </c>
      <c r="F1490" s="273">
        <v>1470348</v>
      </c>
      <c r="G1490" s="273">
        <v>183380.4</v>
      </c>
      <c r="H1490" s="273"/>
      <c r="I1490" s="273"/>
      <c r="J1490" s="273"/>
      <c r="K1490" s="273"/>
      <c r="L1490" s="273"/>
      <c r="M1490" s="273"/>
      <c r="N1490" s="273"/>
      <c r="O1490" s="273"/>
      <c r="P1490" s="273"/>
      <c r="Q1490" s="273"/>
      <c r="R1490" s="273"/>
      <c r="S1490" s="273"/>
      <c r="T1490" s="273"/>
      <c r="U1490" s="273"/>
      <c r="V1490" s="273"/>
      <c r="W1490" s="273">
        <f>SUM(X1490:AP1490)</f>
        <v>92087.44</v>
      </c>
      <c r="X1490" s="273">
        <v>92087.44</v>
      </c>
      <c r="Y1490" s="273"/>
      <c r="AA1490" s="273"/>
      <c r="AD1490" s="15"/>
      <c r="AF1490" s="273"/>
      <c r="AH1490" s="15"/>
    </row>
    <row r="1491" spans="1:34" x14ac:dyDescent="0.3">
      <c r="A1491" s="10">
        <f t="shared" si="320"/>
        <v>1328</v>
      </c>
      <c r="B1491" s="124" t="s">
        <v>1969</v>
      </c>
      <c r="C1491" s="273">
        <f t="shared" si="318"/>
        <v>130000</v>
      </c>
      <c r="D1491" s="273">
        <f t="shared" si="319"/>
        <v>0</v>
      </c>
      <c r="E1491" s="273"/>
      <c r="F1491" s="273"/>
      <c r="G1491" s="273"/>
      <c r="H1491" s="273"/>
      <c r="I1491" s="273"/>
      <c r="J1491" s="273"/>
      <c r="K1491" s="273"/>
      <c r="L1491" s="273"/>
      <c r="M1491" s="273"/>
      <c r="N1491" s="273"/>
      <c r="O1491" s="273"/>
      <c r="P1491" s="273"/>
      <c r="Q1491" s="273"/>
      <c r="R1491" s="273"/>
      <c r="S1491" s="273"/>
      <c r="T1491" s="273"/>
      <c r="U1491" s="273"/>
      <c r="V1491" s="273"/>
      <c r="W1491" s="273">
        <v>130000</v>
      </c>
      <c r="Y1491" s="273"/>
      <c r="AA1491" s="15"/>
      <c r="AC1491" s="273">
        <v>130000</v>
      </c>
      <c r="AD1491" s="15"/>
      <c r="AF1491" s="14"/>
      <c r="AH1491" s="15"/>
    </row>
    <row r="1492" spans="1:34" x14ac:dyDescent="0.3">
      <c r="A1492" s="10">
        <f t="shared" si="320"/>
        <v>1329</v>
      </c>
      <c r="B1492" s="124" t="s">
        <v>1970</v>
      </c>
      <c r="C1492" s="273">
        <f t="shared" si="318"/>
        <v>149364.20000000001</v>
      </c>
      <c r="D1492" s="273">
        <f t="shared" si="319"/>
        <v>0</v>
      </c>
      <c r="E1492" s="273"/>
      <c r="F1492" s="273"/>
      <c r="G1492" s="273"/>
      <c r="H1492" s="273"/>
      <c r="I1492" s="273"/>
      <c r="J1492" s="273"/>
      <c r="K1492" s="273"/>
      <c r="L1492" s="273"/>
      <c r="M1492" s="273"/>
      <c r="N1492" s="273"/>
      <c r="O1492" s="273"/>
      <c r="P1492" s="273"/>
      <c r="Q1492" s="273"/>
      <c r="R1492" s="273"/>
      <c r="S1492" s="273"/>
      <c r="T1492" s="273"/>
      <c r="U1492" s="273"/>
      <c r="V1492" s="273"/>
      <c r="W1492" s="273">
        <f>SUM(Z1492:AP1492)</f>
        <v>149364.20000000001</v>
      </c>
      <c r="AA1492" s="273"/>
      <c r="AC1492" s="273"/>
      <c r="AD1492" s="15"/>
      <c r="AE1492" s="273">
        <v>149364.20000000001</v>
      </c>
      <c r="AF1492" s="14"/>
      <c r="AH1492" s="15"/>
    </row>
    <row r="1493" spans="1:34" x14ac:dyDescent="0.3">
      <c r="A1493" s="10">
        <f t="shared" si="320"/>
        <v>1330</v>
      </c>
      <c r="B1493" s="124" t="s">
        <v>1971</v>
      </c>
      <c r="C1493" s="273">
        <f t="shared" si="318"/>
        <v>130000</v>
      </c>
      <c r="D1493" s="273">
        <f t="shared" si="319"/>
        <v>0</v>
      </c>
      <c r="E1493" s="273"/>
      <c r="F1493" s="273"/>
      <c r="G1493" s="273"/>
      <c r="H1493" s="273"/>
      <c r="I1493" s="273"/>
      <c r="J1493" s="273"/>
      <c r="K1493" s="273"/>
      <c r="L1493" s="273"/>
      <c r="M1493" s="273"/>
      <c r="N1493" s="273"/>
      <c r="O1493" s="273"/>
      <c r="P1493" s="273"/>
      <c r="Q1493" s="273"/>
      <c r="R1493" s="273"/>
      <c r="S1493" s="273"/>
      <c r="T1493" s="273"/>
      <c r="U1493" s="273"/>
      <c r="V1493" s="273"/>
      <c r="W1493" s="273">
        <v>130000</v>
      </c>
      <c r="AA1493" s="273"/>
      <c r="AC1493" s="273">
        <v>130000</v>
      </c>
      <c r="AD1493" s="15"/>
      <c r="AE1493" s="273"/>
      <c r="AF1493" s="14"/>
      <c r="AH1493" s="15"/>
    </row>
    <row r="1494" spans="1:34" x14ac:dyDescent="0.3">
      <c r="A1494" s="10">
        <f t="shared" si="320"/>
        <v>1331</v>
      </c>
      <c r="B1494" s="124" t="s">
        <v>1972</v>
      </c>
      <c r="C1494" s="273">
        <f t="shared" si="318"/>
        <v>8560948.2800000012</v>
      </c>
      <c r="D1494" s="273">
        <f t="shared" si="319"/>
        <v>8337422.4000000004</v>
      </c>
      <c r="E1494" s="273">
        <v>1755630</v>
      </c>
      <c r="F1494" s="273">
        <v>5444166</v>
      </c>
      <c r="G1494" s="273">
        <v>1137626.3999999999</v>
      </c>
      <c r="H1494" s="273"/>
      <c r="I1494" s="273"/>
      <c r="J1494" s="273"/>
      <c r="K1494" s="273"/>
      <c r="L1494" s="273"/>
      <c r="M1494" s="273"/>
      <c r="N1494" s="273"/>
      <c r="O1494" s="273"/>
      <c r="P1494" s="273"/>
      <c r="Q1494" s="273"/>
      <c r="R1494" s="273"/>
      <c r="S1494" s="273"/>
      <c r="T1494" s="273"/>
      <c r="U1494" s="273"/>
      <c r="V1494" s="273"/>
      <c r="W1494" s="273">
        <f>SUM(Z1494:AP1494)</f>
        <v>223525.88</v>
      </c>
      <c r="AA1494" s="273"/>
      <c r="AC1494" s="273">
        <v>223525.88</v>
      </c>
      <c r="AD1494" s="15"/>
      <c r="AE1494" s="273"/>
      <c r="AF1494" s="14"/>
      <c r="AH1494" s="15"/>
    </row>
    <row r="1495" spans="1:34" x14ac:dyDescent="0.3">
      <c r="A1495" s="10">
        <f t="shared" si="320"/>
        <v>1332</v>
      </c>
      <c r="B1495" s="124" t="s">
        <v>1973</v>
      </c>
      <c r="C1495" s="273">
        <f t="shared" si="318"/>
        <v>8535040.7599999998</v>
      </c>
      <c r="D1495" s="273">
        <f t="shared" si="319"/>
        <v>8308437.6000000006</v>
      </c>
      <c r="E1495" s="273">
        <v>1407933.6</v>
      </c>
      <c r="F1495" s="273">
        <v>5992705.2000000002</v>
      </c>
      <c r="G1495" s="273">
        <v>907798.8</v>
      </c>
      <c r="H1495" s="273"/>
      <c r="I1495" s="273"/>
      <c r="J1495" s="273"/>
      <c r="K1495" s="273"/>
      <c r="L1495" s="273"/>
      <c r="M1495" s="273"/>
      <c r="N1495" s="273"/>
      <c r="O1495" s="273"/>
      <c r="P1495" s="273"/>
      <c r="Q1495" s="273"/>
      <c r="R1495" s="273"/>
      <c r="S1495" s="273"/>
      <c r="T1495" s="273"/>
      <c r="U1495" s="273"/>
      <c r="V1495" s="273"/>
      <c r="W1495" s="273">
        <f>SUM(Z1495:AP1495)</f>
        <v>226603.16</v>
      </c>
      <c r="AA1495" s="273"/>
      <c r="AC1495" s="273">
        <v>226603.16</v>
      </c>
      <c r="AD1495" s="15"/>
      <c r="AE1495" s="269"/>
      <c r="AF1495" s="14"/>
      <c r="AH1495" s="15"/>
    </row>
    <row r="1496" spans="1:34" x14ac:dyDescent="0.3">
      <c r="A1496" s="10">
        <f t="shared" si="320"/>
        <v>1333</v>
      </c>
      <c r="B1496" s="124" t="s">
        <v>1974</v>
      </c>
      <c r="C1496" s="273">
        <f t="shared" si="318"/>
        <v>7307775.6799999997</v>
      </c>
      <c r="D1496" s="273">
        <f t="shared" si="319"/>
        <v>7111804.3999999994</v>
      </c>
      <c r="E1496" s="273">
        <v>1742470.8</v>
      </c>
      <c r="F1496" s="273">
        <v>5278534.8</v>
      </c>
      <c r="G1496" s="273">
        <v>90798.8</v>
      </c>
      <c r="H1496" s="273"/>
      <c r="I1496" s="273"/>
      <c r="J1496" s="273"/>
      <c r="K1496" s="273"/>
      <c r="L1496" s="273"/>
      <c r="M1496" s="273"/>
      <c r="N1496" s="273"/>
      <c r="O1496" s="273"/>
      <c r="P1496" s="273"/>
      <c r="Q1496" s="273"/>
      <c r="R1496" s="273"/>
      <c r="S1496" s="273"/>
      <c r="T1496" s="273"/>
      <c r="U1496" s="273"/>
      <c r="V1496" s="273"/>
      <c r="W1496" s="273">
        <f>SUM(Z1496:AP1496)</f>
        <v>195971.28</v>
      </c>
      <c r="AA1496" s="273"/>
      <c r="AC1496" s="273">
        <v>195971.28</v>
      </c>
      <c r="AD1496" s="15"/>
      <c r="AE1496" s="273"/>
      <c r="AF1496" s="14"/>
      <c r="AH1496" s="15"/>
    </row>
    <row r="1497" spans="1:34" x14ac:dyDescent="0.3">
      <c r="A1497" s="10">
        <f t="shared" si="320"/>
        <v>1334</v>
      </c>
      <c r="B1497" s="124" t="s">
        <v>1975</v>
      </c>
      <c r="C1497" s="273">
        <f t="shared" si="318"/>
        <v>157157.26</v>
      </c>
      <c r="D1497" s="273">
        <f t="shared" si="319"/>
        <v>0</v>
      </c>
      <c r="E1497" s="273"/>
      <c r="F1497" s="273"/>
      <c r="G1497" s="273"/>
      <c r="H1497" s="273"/>
      <c r="I1497" s="273"/>
      <c r="J1497" s="273"/>
      <c r="K1497" s="273"/>
      <c r="L1497" s="273"/>
      <c r="M1497" s="273"/>
      <c r="N1497" s="273"/>
      <c r="O1497" s="273"/>
      <c r="P1497" s="273"/>
      <c r="Q1497" s="273"/>
      <c r="R1497" s="273"/>
      <c r="S1497" s="273"/>
      <c r="T1497" s="273"/>
      <c r="U1497" s="273"/>
      <c r="V1497" s="273"/>
      <c r="W1497" s="273">
        <f>SUM(Z1497:AP1497)</f>
        <v>157157.26</v>
      </c>
      <c r="AA1497" s="273"/>
      <c r="AC1497" s="273"/>
      <c r="AD1497" s="15"/>
      <c r="AE1497" s="273">
        <v>157157.26</v>
      </c>
      <c r="AF1497" s="273"/>
      <c r="AH1497" s="273"/>
    </row>
    <row r="1498" spans="1:34" x14ac:dyDescent="0.3">
      <c r="A1498" s="10">
        <f t="shared" si="320"/>
        <v>1335</v>
      </c>
      <c r="B1498" s="124" t="s">
        <v>1976</v>
      </c>
      <c r="C1498" s="273">
        <f t="shared" si="318"/>
        <v>160222.38</v>
      </c>
      <c r="D1498" s="273">
        <f t="shared" si="319"/>
        <v>0</v>
      </c>
      <c r="E1498" s="273"/>
      <c r="F1498" s="273"/>
      <c r="G1498" s="273"/>
      <c r="H1498" s="273"/>
      <c r="I1498" s="273"/>
      <c r="J1498" s="273"/>
      <c r="K1498" s="273"/>
      <c r="L1498" s="273"/>
      <c r="M1498" s="273"/>
      <c r="N1498" s="273"/>
      <c r="O1498" s="273"/>
      <c r="P1498" s="273"/>
      <c r="Q1498" s="273"/>
      <c r="R1498" s="273"/>
      <c r="S1498" s="273"/>
      <c r="T1498" s="273"/>
      <c r="U1498" s="273"/>
      <c r="V1498" s="273"/>
      <c r="W1498" s="273">
        <f>SUM(Z1498:AP1498)</f>
        <v>160222.38</v>
      </c>
      <c r="AA1498" s="273"/>
      <c r="AC1498" s="273"/>
      <c r="AD1498" s="15"/>
      <c r="AE1498" s="273">
        <v>160222.38</v>
      </c>
      <c r="AF1498" s="273"/>
      <c r="AH1498" s="273"/>
    </row>
    <row r="1499" spans="1:34" x14ac:dyDescent="0.3">
      <c r="A1499" s="10">
        <f t="shared" si="320"/>
        <v>1336</v>
      </c>
      <c r="B1499" s="124" t="s">
        <v>1977</v>
      </c>
      <c r="C1499" s="273">
        <f t="shared" si="318"/>
        <v>100963.06</v>
      </c>
      <c r="D1499" s="273">
        <f t="shared" si="319"/>
        <v>0</v>
      </c>
      <c r="E1499" s="273"/>
      <c r="F1499" s="273"/>
      <c r="G1499" s="273"/>
      <c r="H1499" s="273"/>
      <c r="I1499" s="273"/>
      <c r="J1499" s="273"/>
      <c r="K1499" s="273"/>
      <c r="L1499" s="273"/>
      <c r="M1499" s="273"/>
      <c r="N1499" s="273"/>
      <c r="O1499" s="273"/>
      <c r="P1499" s="273"/>
      <c r="Q1499" s="273"/>
      <c r="R1499" s="273"/>
      <c r="S1499" s="273"/>
      <c r="T1499" s="273"/>
      <c r="U1499" s="273"/>
      <c r="V1499" s="273"/>
      <c r="W1499" s="273">
        <f t="shared" ref="W1499:W1505" si="321">SUM(Y1499:AP1499)</f>
        <v>100963.06</v>
      </c>
      <c r="Y1499" s="273"/>
      <c r="AA1499" s="273"/>
      <c r="AC1499" s="273">
        <v>100963.06</v>
      </c>
      <c r="AD1499" s="15"/>
      <c r="AF1499" s="14"/>
      <c r="AH1499" s="273"/>
    </row>
    <row r="1500" spans="1:34" s="40" customFormat="1" x14ac:dyDescent="0.3">
      <c r="A1500" s="10">
        <f t="shared" si="320"/>
        <v>1337</v>
      </c>
      <c r="B1500" s="20" t="s">
        <v>1978</v>
      </c>
      <c r="C1500" s="273">
        <f t="shared" si="318"/>
        <v>2603407.2000000002</v>
      </c>
      <c r="D1500" s="273">
        <f t="shared" si="319"/>
        <v>0</v>
      </c>
      <c r="E1500" s="273"/>
      <c r="F1500" s="273"/>
      <c r="G1500" s="273"/>
      <c r="H1500" s="273"/>
      <c r="I1500" s="273"/>
      <c r="J1500" s="273"/>
      <c r="K1500" s="273"/>
      <c r="L1500" s="273"/>
      <c r="M1500" s="273"/>
      <c r="N1500" s="273">
        <v>2603407.2000000002</v>
      </c>
      <c r="O1500" s="273"/>
      <c r="P1500" s="273"/>
      <c r="Q1500" s="273"/>
      <c r="R1500" s="273"/>
      <c r="S1500" s="273"/>
      <c r="T1500" s="273"/>
      <c r="U1500" s="273"/>
      <c r="V1500" s="273"/>
      <c r="W1500" s="273"/>
      <c r="X1500" s="273"/>
      <c r="Y1500" s="273"/>
      <c r="Z1500" s="14"/>
      <c r="AA1500" s="15"/>
      <c r="AB1500" s="15"/>
      <c r="AC1500" s="15"/>
      <c r="AD1500" s="15"/>
    </row>
    <row r="1501" spans="1:34" x14ac:dyDescent="0.3">
      <c r="A1501" s="10">
        <f t="shared" si="320"/>
        <v>1338</v>
      </c>
      <c r="B1501" s="124" t="s">
        <v>1979</v>
      </c>
      <c r="C1501" s="273">
        <f t="shared" si="318"/>
        <v>274786.93</v>
      </c>
      <c r="D1501" s="273">
        <f t="shared" si="319"/>
        <v>0</v>
      </c>
      <c r="E1501" s="273"/>
      <c r="F1501" s="273"/>
      <c r="G1501" s="273"/>
      <c r="H1501" s="273"/>
      <c r="I1501" s="273"/>
      <c r="J1501" s="273"/>
      <c r="K1501" s="273"/>
      <c r="L1501" s="273"/>
      <c r="M1501" s="273"/>
      <c r="N1501" s="273"/>
      <c r="O1501" s="273"/>
      <c r="P1501" s="273"/>
      <c r="Q1501" s="273"/>
      <c r="R1501" s="273"/>
      <c r="S1501" s="273"/>
      <c r="T1501" s="273"/>
      <c r="U1501" s="273"/>
      <c r="V1501" s="273"/>
      <c r="W1501" s="273">
        <f t="shared" si="321"/>
        <v>274786.93</v>
      </c>
      <c r="Y1501" s="273"/>
      <c r="AA1501" s="15"/>
      <c r="AC1501" s="273">
        <v>274786.93</v>
      </c>
      <c r="AD1501" s="15"/>
      <c r="AF1501" s="14"/>
      <c r="AH1501" s="15"/>
    </row>
    <row r="1502" spans="1:34" x14ac:dyDescent="0.3">
      <c r="A1502" s="10">
        <f t="shared" si="320"/>
        <v>1339</v>
      </c>
      <c r="B1502" s="124" t="s">
        <v>1980</v>
      </c>
      <c r="C1502" s="273">
        <f t="shared" si="318"/>
        <v>1014398.1000000001</v>
      </c>
      <c r="D1502" s="273">
        <f t="shared" si="319"/>
        <v>926206.8</v>
      </c>
      <c r="E1502" s="273">
        <f>(13*2688)+(2*358323)</f>
        <v>751590</v>
      </c>
      <c r="F1502" s="273"/>
      <c r="G1502" s="273">
        <v>174616.8</v>
      </c>
      <c r="H1502" s="273"/>
      <c r="I1502" s="273"/>
      <c r="J1502" s="273"/>
      <c r="K1502" s="273"/>
      <c r="L1502" s="273"/>
      <c r="M1502" s="273"/>
      <c r="N1502" s="273"/>
      <c r="O1502" s="273"/>
      <c r="P1502" s="273"/>
      <c r="Q1502" s="273"/>
      <c r="R1502" s="273"/>
      <c r="S1502" s="273"/>
      <c r="T1502" s="273"/>
      <c r="U1502" s="273"/>
      <c r="V1502" s="273"/>
      <c r="W1502" s="273">
        <f t="shared" si="321"/>
        <v>88191.3</v>
      </c>
      <c r="Y1502" s="273"/>
      <c r="AA1502" s="15"/>
      <c r="AC1502" s="273">
        <v>88191.3</v>
      </c>
      <c r="AD1502" s="15"/>
      <c r="AF1502" s="14"/>
      <c r="AH1502" s="117"/>
    </row>
    <row r="1503" spans="1:34" x14ac:dyDescent="0.3">
      <c r="A1503" s="10">
        <f t="shared" si="320"/>
        <v>1340</v>
      </c>
      <c r="B1503" s="124" t="s">
        <v>1981</v>
      </c>
      <c r="C1503" s="273">
        <f t="shared" si="318"/>
        <v>167808.08</v>
      </c>
      <c r="D1503" s="273">
        <f t="shared" si="319"/>
        <v>0</v>
      </c>
      <c r="E1503" s="273"/>
      <c r="F1503" s="273"/>
      <c r="G1503" s="273"/>
      <c r="H1503" s="273"/>
      <c r="I1503" s="273"/>
      <c r="J1503" s="273"/>
      <c r="K1503" s="273"/>
      <c r="L1503" s="273"/>
      <c r="M1503" s="273"/>
      <c r="N1503" s="273"/>
      <c r="O1503" s="273"/>
      <c r="P1503" s="273"/>
      <c r="Q1503" s="273"/>
      <c r="R1503" s="273"/>
      <c r="S1503" s="273"/>
      <c r="T1503" s="273"/>
      <c r="U1503" s="273"/>
      <c r="V1503" s="273"/>
      <c r="W1503" s="273">
        <f t="shared" si="321"/>
        <v>167808.08</v>
      </c>
      <c r="Y1503" s="273"/>
      <c r="AA1503" s="273"/>
      <c r="AC1503" s="273">
        <v>167808.08</v>
      </c>
      <c r="AD1503" s="15"/>
      <c r="AF1503" s="273"/>
      <c r="AH1503" s="273"/>
    </row>
    <row r="1504" spans="1:34" ht="18" customHeight="1" x14ac:dyDescent="0.3">
      <c r="A1504" s="10">
        <f t="shared" si="320"/>
        <v>1341</v>
      </c>
      <c r="B1504" s="124" t="s">
        <v>1982</v>
      </c>
      <c r="C1504" s="273">
        <f t="shared" si="318"/>
        <v>70641.86</v>
      </c>
      <c r="D1504" s="273">
        <f t="shared" si="319"/>
        <v>0</v>
      </c>
      <c r="E1504" s="273"/>
      <c r="F1504" s="273"/>
      <c r="G1504" s="273"/>
      <c r="H1504" s="273"/>
      <c r="I1504" s="273"/>
      <c r="J1504" s="273"/>
      <c r="K1504" s="273"/>
      <c r="L1504" s="273"/>
      <c r="M1504" s="273"/>
      <c r="N1504" s="273"/>
      <c r="O1504" s="273"/>
      <c r="P1504" s="273"/>
      <c r="Q1504" s="273"/>
      <c r="R1504" s="273"/>
      <c r="S1504" s="273"/>
      <c r="T1504" s="273"/>
      <c r="U1504" s="273"/>
      <c r="V1504" s="273"/>
      <c r="W1504" s="273">
        <f t="shared" si="321"/>
        <v>70641.86</v>
      </c>
      <c r="Y1504" s="273"/>
      <c r="AA1504" s="15"/>
      <c r="AC1504" s="273">
        <v>70641.86</v>
      </c>
      <c r="AD1504" s="14"/>
      <c r="AF1504" s="14"/>
      <c r="AH1504" s="273"/>
    </row>
    <row r="1505" spans="1:34" x14ac:dyDescent="0.3">
      <c r="A1505" s="10">
        <f t="shared" si="320"/>
        <v>1342</v>
      </c>
      <c r="B1505" s="124" t="s">
        <v>1983</v>
      </c>
      <c r="C1505" s="273">
        <f t="shared" si="318"/>
        <v>133787.99</v>
      </c>
      <c r="D1505" s="273">
        <f t="shared" si="319"/>
        <v>0</v>
      </c>
      <c r="E1505" s="273"/>
      <c r="F1505" s="273"/>
      <c r="G1505" s="273"/>
      <c r="H1505" s="273"/>
      <c r="I1505" s="273"/>
      <c r="J1505" s="273"/>
      <c r="K1505" s="273"/>
      <c r="L1505" s="273"/>
      <c r="M1505" s="273"/>
      <c r="N1505" s="273"/>
      <c r="O1505" s="273"/>
      <c r="P1505" s="273"/>
      <c r="Q1505" s="273"/>
      <c r="R1505" s="273"/>
      <c r="S1505" s="273"/>
      <c r="T1505" s="273"/>
      <c r="U1505" s="273"/>
      <c r="V1505" s="273"/>
      <c r="W1505" s="273">
        <f t="shared" si="321"/>
        <v>133787.99</v>
      </c>
      <c r="Y1505" s="273"/>
      <c r="AA1505" s="15"/>
      <c r="AC1505" s="273">
        <v>133787.99</v>
      </c>
      <c r="AD1505" s="15"/>
      <c r="AF1505" s="273"/>
      <c r="AH1505" s="15"/>
    </row>
    <row r="1506" spans="1:34" x14ac:dyDescent="0.3">
      <c r="A1506" s="10">
        <f t="shared" si="320"/>
        <v>1343</v>
      </c>
      <c r="B1506" s="124" t="s">
        <v>1984</v>
      </c>
      <c r="C1506" s="273">
        <f t="shared" si="318"/>
        <v>438557.8</v>
      </c>
      <c r="D1506" s="273">
        <f t="shared" si="319"/>
        <v>0</v>
      </c>
      <c r="E1506" s="273"/>
      <c r="F1506" s="273"/>
      <c r="G1506" s="273"/>
      <c r="H1506" s="273"/>
      <c r="I1506" s="273"/>
      <c r="J1506" s="273"/>
      <c r="K1506" s="273"/>
      <c r="L1506" s="273"/>
      <c r="M1506" s="273"/>
      <c r="N1506" s="273"/>
      <c r="O1506" s="273"/>
      <c r="P1506" s="273"/>
      <c r="Q1506" s="273"/>
      <c r="R1506" s="273"/>
      <c r="S1506" s="273"/>
      <c r="T1506" s="273"/>
      <c r="U1506" s="273"/>
      <c r="V1506" s="273"/>
      <c r="W1506" s="273">
        <f t="shared" ref="W1506:W1513" si="322">SUM(X1506:AP1506)</f>
        <v>438557.8</v>
      </c>
      <c r="X1506" s="36">
        <v>219278.9</v>
      </c>
      <c r="Y1506" s="273"/>
      <c r="AA1506" s="15"/>
      <c r="AB1506" s="36">
        <v>219278.9</v>
      </c>
      <c r="AC1506" s="273"/>
      <c r="AD1506" s="15"/>
      <c r="AF1506" s="14"/>
      <c r="AH1506" s="15"/>
    </row>
    <row r="1507" spans="1:34" x14ac:dyDescent="0.3">
      <c r="A1507" s="10">
        <f t="shared" si="320"/>
        <v>1344</v>
      </c>
      <c r="B1507" s="124" t="s">
        <v>1985</v>
      </c>
      <c r="C1507" s="273">
        <f t="shared" si="318"/>
        <v>7018747.5300000003</v>
      </c>
      <c r="D1507" s="273">
        <f t="shared" si="319"/>
        <v>5763158.4000000004</v>
      </c>
      <c r="E1507" s="273">
        <v>1341405.6000000001</v>
      </c>
      <c r="F1507" s="273">
        <v>3843871.2</v>
      </c>
      <c r="G1507" s="273">
        <v>577881.59999999998</v>
      </c>
      <c r="H1507" s="273"/>
      <c r="I1507" s="273"/>
      <c r="J1507" s="273"/>
      <c r="K1507" s="273"/>
      <c r="L1507" s="273"/>
      <c r="M1507" s="273"/>
      <c r="N1507" s="273"/>
      <c r="O1507" s="273"/>
      <c r="P1507" s="273"/>
      <c r="Q1507" s="273"/>
      <c r="R1507" s="273"/>
      <c r="S1507" s="273"/>
      <c r="T1507" s="273"/>
      <c r="U1507" s="273"/>
      <c r="V1507" s="273">
        <f xml:space="preserve"> (214531+392996*2+117656)</f>
        <v>1118179</v>
      </c>
      <c r="W1507" s="273">
        <f t="shared" si="322"/>
        <v>137410.13</v>
      </c>
      <c r="Y1507" s="273"/>
      <c r="AA1507" s="273"/>
      <c r="AC1507" s="273">
        <v>137410.13</v>
      </c>
      <c r="AD1507" s="15"/>
      <c r="AF1507" s="273"/>
      <c r="AH1507" s="15"/>
    </row>
    <row r="1508" spans="1:34" x14ac:dyDescent="0.3">
      <c r="A1508" s="10">
        <f t="shared" si="320"/>
        <v>1345</v>
      </c>
      <c r="B1508" s="124" t="s">
        <v>1986</v>
      </c>
      <c r="C1508" s="273">
        <f t="shared" si="318"/>
        <v>7040534.3600000003</v>
      </c>
      <c r="D1508" s="273">
        <f t="shared" si="319"/>
        <v>0</v>
      </c>
      <c r="E1508" s="273"/>
      <c r="F1508" s="273"/>
      <c r="G1508" s="273"/>
      <c r="H1508" s="273"/>
      <c r="I1508" s="273"/>
      <c r="J1508" s="273"/>
      <c r="K1508" s="273"/>
      <c r="L1508" s="273"/>
      <c r="M1508" s="273">
        <v>13</v>
      </c>
      <c r="N1508" s="273">
        <v>6734881.2000000002</v>
      </c>
      <c r="O1508" s="273"/>
      <c r="P1508" s="273"/>
      <c r="Q1508" s="273"/>
      <c r="R1508" s="273"/>
      <c r="S1508" s="273"/>
      <c r="T1508" s="273"/>
      <c r="U1508" s="273"/>
      <c r="V1508" s="273"/>
      <c r="W1508" s="273">
        <f t="shared" si="322"/>
        <v>305653.15999999997</v>
      </c>
      <c r="Y1508" s="273"/>
      <c r="AA1508" s="273"/>
      <c r="AC1508" s="273">
        <f>152826.58+152826.58</f>
        <v>305653.15999999997</v>
      </c>
      <c r="AD1508" s="15"/>
      <c r="AF1508" s="273"/>
      <c r="AH1508" s="15"/>
    </row>
    <row r="1509" spans="1:34" x14ac:dyDescent="0.3">
      <c r="A1509" s="10">
        <f t="shared" si="320"/>
        <v>1346</v>
      </c>
      <c r="B1509" s="124" t="s">
        <v>1987</v>
      </c>
      <c r="C1509" s="273">
        <f t="shared" si="318"/>
        <v>15015388.379999999</v>
      </c>
      <c r="D1509" s="273">
        <f t="shared" si="319"/>
        <v>12000609.6</v>
      </c>
      <c r="E1509" s="273"/>
      <c r="F1509" s="273">
        <v>12000609.6</v>
      </c>
      <c r="G1509" s="273"/>
      <c r="H1509" s="273"/>
      <c r="I1509" s="273"/>
      <c r="J1509" s="273"/>
      <c r="K1509" s="273"/>
      <c r="L1509" s="273"/>
      <c r="M1509" s="273"/>
      <c r="N1509" s="273"/>
      <c r="O1509" s="273"/>
      <c r="P1509" s="273"/>
      <c r="Q1509" s="273"/>
      <c r="R1509" s="273"/>
      <c r="S1509" s="273"/>
      <c r="T1509" s="273"/>
      <c r="U1509" s="273"/>
      <c r="V1509" s="273">
        <f>(214531+392996*6+117656)</f>
        <v>2690163</v>
      </c>
      <c r="W1509" s="273">
        <f t="shared" si="322"/>
        <v>324615.78000000003</v>
      </c>
      <c r="Y1509" s="273"/>
      <c r="AA1509" s="273"/>
      <c r="AC1509" s="273">
        <v>324615.78000000003</v>
      </c>
      <c r="AD1509" s="15"/>
      <c r="AF1509" s="14"/>
      <c r="AH1509" s="15"/>
    </row>
    <row r="1510" spans="1:34" x14ac:dyDescent="0.3">
      <c r="A1510" s="10">
        <f t="shared" si="320"/>
        <v>1347</v>
      </c>
      <c r="B1510" s="124" t="s">
        <v>1988</v>
      </c>
      <c r="C1510" s="273">
        <f t="shared" si="318"/>
        <v>368970.76</v>
      </c>
      <c r="D1510" s="273">
        <f t="shared" si="319"/>
        <v>0</v>
      </c>
      <c r="E1510" s="273"/>
      <c r="F1510" s="273"/>
      <c r="G1510" s="273"/>
      <c r="H1510" s="273"/>
      <c r="I1510" s="273"/>
      <c r="J1510" s="273"/>
      <c r="K1510" s="273"/>
      <c r="L1510" s="273"/>
      <c r="M1510" s="273"/>
      <c r="N1510" s="273"/>
      <c r="O1510" s="273"/>
      <c r="P1510" s="273"/>
      <c r="Q1510" s="273"/>
      <c r="R1510" s="273"/>
      <c r="S1510" s="273"/>
      <c r="T1510" s="273"/>
      <c r="U1510" s="273"/>
      <c r="V1510" s="273"/>
      <c r="W1510" s="273">
        <f t="shared" si="322"/>
        <v>368970.76</v>
      </c>
      <c r="Y1510" s="273"/>
      <c r="AA1510" s="273"/>
      <c r="AC1510" s="273">
        <v>368970.76</v>
      </c>
      <c r="AD1510" s="15"/>
      <c r="AF1510" s="273"/>
      <c r="AH1510" s="15"/>
    </row>
    <row r="1511" spans="1:34" x14ac:dyDescent="0.3">
      <c r="A1511" s="10">
        <f t="shared" si="320"/>
        <v>1348</v>
      </c>
      <c r="B1511" s="124" t="s">
        <v>1989</v>
      </c>
      <c r="C1511" s="273">
        <f t="shared" si="318"/>
        <v>11989186.98</v>
      </c>
      <c r="D1511" s="273">
        <f t="shared" si="319"/>
        <v>9858080.4000000004</v>
      </c>
      <c r="E1511" s="273">
        <v>2107368</v>
      </c>
      <c r="F1511" s="273">
        <v>6985946.4000000004</v>
      </c>
      <c r="G1511" s="273">
        <v>764766</v>
      </c>
      <c r="H1511" s="273"/>
      <c r="I1511" s="273"/>
      <c r="J1511" s="273"/>
      <c r="K1511" s="273"/>
      <c r="L1511" s="273"/>
      <c r="M1511" s="273"/>
      <c r="N1511" s="273"/>
      <c r="O1511" s="273"/>
      <c r="P1511" s="273"/>
      <c r="Q1511" s="273"/>
      <c r="R1511" s="273"/>
      <c r="S1511" s="273"/>
      <c r="T1511" s="273"/>
      <c r="U1511" s="273"/>
      <c r="V1511" s="273">
        <f>(214531+392996*4+117656)</f>
        <v>1904171</v>
      </c>
      <c r="W1511" s="273">
        <f t="shared" si="322"/>
        <v>226935.58</v>
      </c>
      <c r="Y1511" s="273"/>
      <c r="AA1511" s="15"/>
      <c r="AC1511" s="273">
        <v>226935.58</v>
      </c>
      <c r="AD1511" s="15"/>
      <c r="AF1511" s="14"/>
      <c r="AH1511" s="15"/>
    </row>
    <row r="1512" spans="1:34" x14ac:dyDescent="0.3">
      <c r="A1512" s="10">
        <f t="shared" si="320"/>
        <v>1349</v>
      </c>
      <c r="B1512" s="124" t="s">
        <v>1990</v>
      </c>
      <c r="C1512" s="273">
        <f t="shared" si="318"/>
        <v>2812199.54</v>
      </c>
      <c r="D1512" s="273">
        <f t="shared" si="319"/>
        <v>0</v>
      </c>
      <c r="E1512" s="273"/>
      <c r="F1512" s="273"/>
      <c r="G1512" s="273"/>
      <c r="H1512" s="273"/>
      <c r="I1512" s="273"/>
      <c r="J1512" s="273"/>
      <c r="K1512" s="273"/>
      <c r="L1512" s="273"/>
      <c r="M1512" s="273">
        <v>13</v>
      </c>
      <c r="N1512" s="273">
        <v>2712990</v>
      </c>
      <c r="O1512" s="273"/>
      <c r="P1512" s="273"/>
      <c r="Q1512" s="273"/>
      <c r="R1512" s="273"/>
      <c r="S1512" s="273"/>
      <c r="T1512" s="273"/>
      <c r="U1512" s="273"/>
      <c r="V1512" s="273"/>
      <c r="W1512" s="273">
        <f t="shared" si="322"/>
        <v>99209.54</v>
      </c>
      <c r="Y1512" s="273"/>
      <c r="AA1512" s="15"/>
      <c r="AC1512" s="273">
        <v>99209.54</v>
      </c>
      <c r="AD1512" s="15"/>
      <c r="AF1512" s="14"/>
      <c r="AH1512" s="15"/>
    </row>
    <row r="1513" spans="1:34" x14ac:dyDescent="0.3">
      <c r="A1513" s="10">
        <f t="shared" si="320"/>
        <v>1350</v>
      </c>
      <c r="B1513" s="124" t="s">
        <v>1991</v>
      </c>
      <c r="C1513" s="273">
        <f t="shared" si="318"/>
        <v>286709.65999999997</v>
      </c>
      <c r="D1513" s="273">
        <f t="shared" si="319"/>
        <v>0</v>
      </c>
      <c r="E1513" s="273"/>
      <c r="F1513" s="273"/>
      <c r="G1513" s="273"/>
      <c r="H1513" s="273"/>
      <c r="I1513" s="273"/>
      <c r="J1513" s="273"/>
      <c r="K1513" s="273"/>
      <c r="L1513" s="273"/>
      <c r="M1513" s="273"/>
      <c r="N1513" s="273"/>
      <c r="O1513" s="273"/>
      <c r="P1513" s="273"/>
      <c r="Q1513" s="273"/>
      <c r="R1513" s="273"/>
      <c r="S1513" s="273"/>
      <c r="T1513" s="273"/>
      <c r="U1513" s="273"/>
      <c r="V1513" s="273"/>
      <c r="W1513" s="273">
        <f t="shared" si="322"/>
        <v>286709.65999999997</v>
      </c>
      <c r="Y1513" s="273"/>
      <c r="AA1513" s="273"/>
      <c r="AC1513" s="273">
        <v>286709.65999999997</v>
      </c>
      <c r="AD1513" s="15"/>
      <c r="AF1513" s="273"/>
      <c r="AH1513" s="15"/>
    </row>
    <row r="1514" spans="1:34" x14ac:dyDescent="0.3">
      <c r="A1514" s="10">
        <f t="shared" si="320"/>
        <v>1351</v>
      </c>
      <c r="B1514" s="124" t="s">
        <v>1992</v>
      </c>
      <c r="C1514" s="273">
        <f t="shared" si="318"/>
        <v>24558900.300000001</v>
      </c>
      <c r="D1514" s="273">
        <f t="shared" si="319"/>
        <v>0</v>
      </c>
      <c r="E1514" s="273"/>
      <c r="F1514" s="273"/>
      <c r="G1514" s="273"/>
      <c r="H1514" s="273"/>
      <c r="I1514" s="273"/>
      <c r="J1514" s="273"/>
      <c r="K1514" s="273"/>
      <c r="L1514" s="273"/>
      <c r="M1514" s="273"/>
      <c r="N1514" s="273"/>
      <c r="O1514" s="273">
        <v>929.1</v>
      </c>
      <c r="P1514" s="273">
        <f>O1514*26433</f>
        <v>24558900.300000001</v>
      </c>
      <c r="Q1514" s="273"/>
      <c r="R1514" s="273"/>
      <c r="S1514" s="273"/>
      <c r="T1514" s="273"/>
      <c r="U1514" s="273"/>
      <c r="V1514" s="273"/>
      <c r="W1514" s="273">
        <f>SUM(Y1514:AP1514)</f>
        <v>0</v>
      </c>
      <c r="Y1514" s="273"/>
      <c r="AA1514" s="273"/>
      <c r="AC1514" s="273" t="s">
        <v>352</v>
      </c>
      <c r="AD1514" s="15"/>
      <c r="AF1514" s="273" t="s">
        <v>352</v>
      </c>
      <c r="AH1514" s="15"/>
    </row>
    <row r="1515" spans="1:34" x14ac:dyDescent="0.3">
      <c r="A1515" s="10">
        <f t="shared" si="320"/>
        <v>1352</v>
      </c>
      <c r="B1515" s="124" t="s">
        <v>1993</v>
      </c>
      <c r="C1515" s="273">
        <f t="shared" si="318"/>
        <v>196543.52</v>
      </c>
      <c r="D1515" s="273">
        <f t="shared" si="319"/>
        <v>0</v>
      </c>
      <c r="E1515" s="273"/>
      <c r="F1515" s="273"/>
      <c r="G1515" s="273"/>
      <c r="H1515" s="273"/>
      <c r="I1515" s="273"/>
      <c r="J1515" s="273"/>
      <c r="K1515" s="273"/>
      <c r="L1515" s="273"/>
      <c r="M1515" s="273"/>
      <c r="N1515" s="273"/>
      <c r="O1515" s="273"/>
      <c r="P1515" s="273"/>
      <c r="Q1515" s="273"/>
      <c r="R1515" s="273"/>
      <c r="S1515" s="273"/>
      <c r="T1515" s="273"/>
      <c r="U1515" s="273"/>
      <c r="V1515" s="273"/>
      <c r="W1515" s="273">
        <f>SUM(Y1515:AP1515)</f>
        <v>196543.52</v>
      </c>
      <c r="Y1515" s="273"/>
      <c r="AA1515" s="273"/>
      <c r="AC1515" s="273">
        <v>196543.52</v>
      </c>
      <c r="AD1515" s="15"/>
      <c r="AF1515" s="273"/>
      <c r="AH1515" s="15"/>
    </row>
    <row r="1516" spans="1:34" x14ac:dyDescent="0.3">
      <c r="A1516" s="10">
        <f t="shared" si="320"/>
        <v>1353</v>
      </c>
      <c r="B1516" s="124" t="s">
        <v>1994</v>
      </c>
      <c r="C1516" s="273">
        <f t="shared" ref="C1516:C1547" si="323">D1516+K1516+L1516+N1516+P1516+R1516+S1516+U1516+V1516+W1516</f>
        <v>337004.02</v>
      </c>
      <c r="D1516" s="273">
        <f t="shared" ref="D1516:D1547" si="324">E1516+F1516+G1516+H1516+I1516</f>
        <v>0</v>
      </c>
      <c r="E1516" s="273"/>
      <c r="F1516" s="273"/>
      <c r="G1516" s="273"/>
      <c r="H1516" s="273"/>
      <c r="I1516" s="273"/>
      <c r="J1516" s="273"/>
      <c r="K1516" s="273"/>
      <c r="L1516" s="273"/>
      <c r="M1516" s="273"/>
      <c r="N1516" s="273"/>
      <c r="O1516" s="273"/>
      <c r="P1516" s="273"/>
      <c r="Q1516" s="273"/>
      <c r="R1516" s="273"/>
      <c r="S1516" s="273"/>
      <c r="T1516" s="273"/>
      <c r="U1516" s="273"/>
      <c r="V1516" s="273"/>
      <c r="W1516" s="273">
        <f>SUM(Y1516:AP1516)</f>
        <v>337004.02</v>
      </c>
      <c r="Y1516" s="273"/>
      <c r="AA1516" s="273"/>
      <c r="AC1516" s="273">
        <v>337004.02</v>
      </c>
      <c r="AD1516" s="15"/>
      <c r="AF1516" s="273"/>
      <c r="AH1516" s="15"/>
    </row>
    <row r="1517" spans="1:34" x14ac:dyDescent="0.3">
      <c r="A1517" s="10">
        <f t="shared" ref="A1517:A1548" si="325">A1516+1</f>
        <v>1354</v>
      </c>
      <c r="B1517" s="124" t="s">
        <v>2000</v>
      </c>
      <c r="C1517" s="273">
        <f t="shared" si="323"/>
        <v>351340.08999999997</v>
      </c>
      <c r="D1517" s="273">
        <f t="shared" si="324"/>
        <v>0</v>
      </c>
      <c r="E1517" s="273"/>
      <c r="F1517" s="273"/>
      <c r="G1517" s="273"/>
      <c r="H1517" s="273"/>
      <c r="I1517" s="273"/>
      <c r="J1517" s="273"/>
      <c r="K1517" s="273"/>
      <c r="L1517" s="273"/>
      <c r="M1517" s="273"/>
      <c r="N1517" s="273"/>
      <c r="O1517" s="273"/>
      <c r="P1517" s="273"/>
      <c r="Q1517" s="273"/>
      <c r="R1517" s="273"/>
      <c r="S1517" s="273"/>
      <c r="T1517" s="273"/>
      <c r="U1517" s="273"/>
      <c r="V1517" s="273"/>
      <c r="W1517" s="273">
        <f t="shared" ref="W1517:W1522" si="326">SUM(Z1517:AP1517)</f>
        <v>351340.08999999997</v>
      </c>
      <c r="AA1517" s="273"/>
      <c r="AC1517" s="273">
        <f>89861.08+90983.68</f>
        <v>180844.76</v>
      </c>
      <c r="AD1517" s="15"/>
      <c r="AE1517" s="273">
        <v>170495.33</v>
      </c>
      <c r="AF1517" s="273"/>
      <c r="AH1517" s="273"/>
    </row>
    <row r="1518" spans="1:34" x14ac:dyDescent="0.3">
      <c r="A1518" s="10">
        <f t="shared" si="325"/>
        <v>1355</v>
      </c>
      <c r="B1518" s="124" t="s">
        <v>2001</v>
      </c>
      <c r="C1518" s="273">
        <f t="shared" si="323"/>
        <v>394978.01</v>
      </c>
      <c r="D1518" s="273">
        <f t="shared" si="324"/>
        <v>0</v>
      </c>
      <c r="E1518" s="273"/>
      <c r="F1518" s="273"/>
      <c r="G1518" s="273"/>
      <c r="H1518" s="273"/>
      <c r="I1518" s="273"/>
      <c r="J1518" s="273"/>
      <c r="K1518" s="273"/>
      <c r="L1518" s="273"/>
      <c r="M1518" s="273"/>
      <c r="N1518" s="273"/>
      <c r="O1518" s="273"/>
      <c r="P1518" s="273"/>
      <c r="Q1518" s="273"/>
      <c r="R1518" s="273"/>
      <c r="S1518" s="273"/>
      <c r="T1518" s="273"/>
      <c r="U1518" s="273"/>
      <c r="V1518" s="273"/>
      <c r="W1518" s="273">
        <f t="shared" si="326"/>
        <v>394978.01</v>
      </c>
      <c r="AA1518" s="273"/>
      <c r="AC1518" s="273"/>
      <c r="AD1518" s="15"/>
      <c r="AE1518" s="273">
        <v>394978.01</v>
      </c>
      <c r="AF1518" s="273"/>
      <c r="AH1518" s="15"/>
    </row>
    <row r="1519" spans="1:34" x14ac:dyDescent="0.3">
      <c r="A1519" s="10">
        <f t="shared" si="325"/>
        <v>1356</v>
      </c>
      <c r="B1519" s="124" t="s">
        <v>2002</v>
      </c>
      <c r="C1519" s="273">
        <f t="shared" si="323"/>
        <v>1641962.44</v>
      </c>
      <c r="D1519" s="273">
        <f t="shared" si="324"/>
        <v>0</v>
      </c>
      <c r="E1519" s="273"/>
      <c r="F1519" s="273"/>
      <c r="G1519" s="273"/>
      <c r="H1519" s="273"/>
      <c r="I1519" s="273"/>
      <c r="J1519" s="273"/>
      <c r="K1519" s="273"/>
      <c r="L1519" s="273"/>
      <c r="M1519" s="273"/>
      <c r="N1519" s="273"/>
      <c r="O1519" s="273"/>
      <c r="P1519" s="273"/>
      <c r="Q1519" s="273"/>
      <c r="R1519" s="273"/>
      <c r="S1519" s="273"/>
      <c r="T1519" s="273"/>
      <c r="U1519" s="273"/>
      <c r="V1519" s="273"/>
      <c r="W1519" s="273">
        <f t="shared" si="326"/>
        <v>1641962.44</v>
      </c>
      <c r="AC1519" s="273"/>
      <c r="AD1519" s="15"/>
      <c r="AE1519" s="251">
        <v>396574.91</v>
      </c>
      <c r="AF1519" s="273"/>
      <c r="AG1519" s="251">
        <v>1245387.53</v>
      </c>
      <c r="AH1519" s="15"/>
    </row>
    <row r="1520" spans="1:34" x14ac:dyDescent="0.3">
      <c r="A1520" s="10">
        <f t="shared" si="325"/>
        <v>1357</v>
      </c>
      <c r="B1520" s="124" t="s">
        <v>2003</v>
      </c>
      <c r="C1520" s="273">
        <f t="shared" si="323"/>
        <v>267648.78999999998</v>
      </c>
      <c r="D1520" s="273">
        <f t="shared" si="324"/>
        <v>0</v>
      </c>
      <c r="E1520" s="273"/>
      <c r="F1520" s="273"/>
      <c r="G1520" s="273"/>
      <c r="H1520" s="273"/>
      <c r="I1520" s="273"/>
      <c r="J1520" s="273"/>
      <c r="K1520" s="273"/>
      <c r="L1520" s="273"/>
      <c r="M1520" s="273"/>
      <c r="N1520" s="273"/>
      <c r="O1520" s="273"/>
      <c r="P1520" s="273"/>
      <c r="Q1520" s="273"/>
      <c r="R1520" s="273"/>
      <c r="S1520" s="273"/>
      <c r="T1520" s="273"/>
      <c r="U1520" s="273"/>
      <c r="V1520" s="273"/>
      <c r="W1520" s="273">
        <f t="shared" si="326"/>
        <v>267648.78999999998</v>
      </c>
      <c r="AA1520" s="15"/>
      <c r="AC1520" s="273">
        <v>267648.78999999998</v>
      </c>
      <c r="AD1520" s="15"/>
      <c r="AE1520" s="273"/>
      <c r="AF1520" s="273"/>
      <c r="AH1520" s="15"/>
    </row>
    <row r="1521" spans="1:34" x14ac:dyDescent="0.3">
      <c r="A1521" s="10">
        <f t="shared" si="325"/>
        <v>1358</v>
      </c>
      <c r="B1521" s="124" t="s">
        <v>2004</v>
      </c>
      <c r="C1521" s="273">
        <f t="shared" si="323"/>
        <v>670666.80000000005</v>
      </c>
      <c r="D1521" s="273">
        <f t="shared" si="324"/>
        <v>0</v>
      </c>
      <c r="E1521" s="273"/>
      <c r="F1521" s="273"/>
      <c r="G1521" s="273"/>
      <c r="H1521" s="273"/>
      <c r="I1521" s="273"/>
      <c r="J1521" s="273"/>
      <c r="K1521" s="273"/>
      <c r="L1521" s="273"/>
      <c r="M1521" s="273"/>
      <c r="N1521" s="273"/>
      <c r="O1521" s="273"/>
      <c r="P1521" s="273"/>
      <c r="Q1521" s="273"/>
      <c r="R1521" s="273"/>
      <c r="S1521" s="273"/>
      <c r="T1521" s="273"/>
      <c r="U1521" s="273"/>
      <c r="V1521" s="273"/>
      <c r="W1521" s="273">
        <f t="shared" si="326"/>
        <v>670666.80000000005</v>
      </c>
      <c r="AA1521" s="273"/>
      <c r="AC1521" s="273">
        <v>217225.85</v>
      </c>
      <c r="AD1521" s="15"/>
      <c r="AE1521" s="251">
        <v>453440.95</v>
      </c>
      <c r="AH1521" s="15"/>
    </row>
    <row r="1522" spans="1:34" x14ac:dyDescent="0.3">
      <c r="A1522" s="10">
        <f t="shared" si="325"/>
        <v>1359</v>
      </c>
      <c r="B1522" s="124" t="s">
        <v>2008</v>
      </c>
      <c r="C1522" s="273">
        <f t="shared" si="323"/>
        <v>915792.04</v>
      </c>
      <c r="D1522" s="273">
        <f t="shared" si="324"/>
        <v>751590</v>
      </c>
      <c r="E1522" s="273">
        <f>(13*2688)+(2*358323)</f>
        <v>751590</v>
      </c>
      <c r="F1522" s="273"/>
      <c r="G1522" s="273"/>
      <c r="H1522" s="273"/>
      <c r="I1522" s="273"/>
      <c r="J1522" s="273"/>
      <c r="K1522" s="273"/>
      <c r="L1522" s="273"/>
      <c r="M1522" s="273"/>
      <c r="N1522" s="273"/>
      <c r="O1522" s="273"/>
      <c r="P1522" s="273"/>
      <c r="Q1522" s="273"/>
      <c r="R1522" s="273"/>
      <c r="S1522" s="273"/>
      <c r="T1522" s="273"/>
      <c r="U1522" s="273"/>
      <c r="V1522" s="273"/>
      <c r="W1522" s="273">
        <f t="shared" si="326"/>
        <v>164202.04</v>
      </c>
      <c r="AA1522" s="15"/>
      <c r="AC1522" s="273"/>
      <c r="AD1522" s="15"/>
      <c r="AE1522" s="273">
        <v>164202.04</v>
      </c>
      <c r="AF1522" s="14"/>
      <c r="AH1522" s="15"/>
    </row>
    <row r="1523" spans="1:34" x14ac:dyDescent="0.3">
      <c r="A1523" s="10">
        <f t="shared" si="325"/>
        <v>1360</v>
      </c>
      <c r="B1523" s="124" t="s">
        <v>2010</v>
      </c>
      <c r="C1523" s="273">
        <f t="shared" si="323"/>
        <v>618334.30000000005</v>
      </c>
      <c r="D1523" s="273">
        <f t="shared" si="324"/>
        <v>0</v>
      </c>
      <c r="E1523" s="273"/>
      <c r="F1523" s="273"/>
      <c r="G1523" s="273"/>
      <c r="H1523" s="273"/>
      <c r="I1523" s="273"/>
      <c r="J1523" s="273"/>
      <c r="K1523" s="273"/>
      <c r="L1523" s="273"/>
      <c r="M1523" s="273"/>
      <c r="N1523" s="273"/>
      <c r="O1523" s="273"/>
      <c r="P1523" s="273"/>
      <c r="Q1523" s="273"/>
      <c r="R1523" s="273"/>
      <c r="S1523" s="273"/>
      <c r="T1523" s="273"/>
      <c r="U1523" s="273"/>
      <c r="V1523" s="273"/>
      <c r="W1523" s="273">
        <f>SUM(Y1523:AP1523)</f>
        <v>618334.30000000005</v>
      </c>
      <c r="Y1523" s="273"/>
      <c r="AA1523" s="15"/>
      <c r="AC1523" s="273">
        <v>276102.40999999997</v>
      </c>
      <c r="AD1523" s="15"/>
      <c r="AF1523" s="273">
        <v>342231.89</v>
      </c>
      <c r="AH1523" s="15"/>
    </row>
    <row r="1524" spans="1:34" x14ac:dyDescent="0.3">
      <c r="A1524" s="10">
        <f t="shared" si="325"/>
        <v>1361</v>
      </c>
      <c r="B1524" s="124" t="s">
        <v>2011</v>
      </c>
      <c r="C1524" s="273">
        <f t="shared" si="323"/>
        <v>494193.73</v>
      </c>
      <c r="D1524" s="273">
        <f t="shared" si="324"/>
        <v>0</v>
      </c>
      <c r="E1524" s="273"/>
      <c r="F1524" s="273"/>
      <c r="G1524" s="273"/>
      <c r="H1524" s="273"/>
      <c r="I1524" s="273"/>
      <c r="J1524" s="273"/>
      <c r="K1524" s="273"/>
      <c r="L1524" s="273"/>
      <c r="M1524" s="273"/>
      <c r="N1524" s="273"/>
      <c r="O1524" s="273"/>
      <c r="P1524" s="273"/>
      <c r="Q1524" s="273"/>
      <c r="R1524" s="273"/>
      <c r="S1524" s="273"/>
      <c r="T1524" s="273"/>
      <c r="U1524" s="273"/>
      <c r="V1524" s="273"/>
      <c r="W1524" s="273">
        <f>SUM(Y1524:AP1524)</f>
        <v>494193.73</v>
      </c>
      <c r="Y1524" s="273"/>
      <c r="AA1524" s="15"/>
      <c r="AC1524" s="273">
        <v>207259.57</v>
      </c>
      <c r="AD1524" s="15"/>
      <c r="AF1524" s="273">
        <v>286934.15999999997</v>
      </c>
      <c r="AH1524" s="15"/>
    </row>
    <row r="1525" spans="1:34" x14ac:dyDescent="0.3">
      <c r="A1525" s="10">
        <f t="shared" si="325"/>
        <v>1362</v>
      </c>
      <c r="B1525" s="124" t="s">
        <v>2012</v>
      </c>
      <c r="C1525" s="273">
        <f t="shared" si="323"/>
        <v>488105.82999999996</v>
      </c>
      <c r="D1525" s="273">
        <f t="shared" si="324"/>
        <v>0</v>
      </c>
      <c r="E1525" s="273"/>
      <c r="F1525" s="273"/>
      <c r="G1525" s="273"/>
      <c r="H1525" s="273"/>
      <c r="I1525" s="273"/>
      <c r="J1525" s="273"/>
      <c r="K1525" s="273"/>
      <c r="L1525" s="273"/>
      <c r="M1525" s="273"/>
      <c r="N1525" s="273"/>
      <c r="O1525" s="273"/>
      <c r="P1525" s="273"/>
      <c r="Q1525" s="273"/>
      <c r="R1525" s="273"/>
      <c r="S1525" s="273"/>
      <c r="T1525" s="273"/>
      <c r="U1525" s="273"/>
      <c r="V1525" s="273"/>
      <c r="W1525" s="273">
        <f>SUM(Y1525:AP1525)</f>
        <v>488105.82999999996</v>
      </c>
      <c r="Y1525" s="273"/>
      <c r="AA1525" s="15"/>
      <c r="AC1525" s="273">
        <v>208899.6</v>
      </c>
      <c r="AD1525" s="15"/>
      <c r="AF1525" s="273">
        <v>279206.23</v>
      </c>
      <c r="AH1525" s="15"/>
    </row>
    <row r="1526" spans="1:34" x14ac:dyDescent="0.3">
      <c r="A1526" s="10">
        <f t="shared" si="325"/>
        <v>1363</v>
      </c>
      <c r="B1526" s="124" t="s">
        <v>2013</v>
      </c>
      <c r="C1526" s="273">
        <f t="shared" si="323"/>
        <v>438424.84</v>
      </c>
      <c r="D1526" s="273">
        <f t="shared" si="324"/>
        <v>0</v>
      </c>
      <c r="E1526" s="273"/>
      <c r="F1526" s="273"/>
      <c r="G1526" s="273"/>
      <c r="H1526" s="273"/>
      <c r="I1526" s="273"/>
      <c r="J1526" s="273"/>
      <c r="K1526" s="273"/>
      <c r="L1526" s="273"/>
      <c r="M1526" s="273"/>
      <c r="N1526" s="273"/>
      <c r="O1526" s="273"/>
      <c r="P1526" s="273"/>
      <c r="Q1526" s="273"/>
      <c r="R1526" s="273"/>
      <c r="S1526" s="273"/>
      <c r="T1526" s="273"/>
      <c r="U1526" s="273"/>
      <c r="V1526" s="273"/>
      <c r="W1526" s="273">
        <f>SUM(Y1526:AP1526)</f>
        <v>438424.84</v>
      </c>
      <c r="Y1526" s="273"/>
      <c r="AA1526" s="15"/>
      <c r="AC1526" s="273"/>
      <c r="AD1526" s="15"/>
      <c r="AE1526" s="244">
        <v>438424.84</v>
      </c>
      <c r="AF1526" s="273"/>
      <c r="AH1526" s="15"/>
    </row>
    <row r="1527" spans="1:34" x14ac:dyDescent="0.3">
      <c r="A1527" s="10">
        <f t="shared" si="325"/>
        <v>1364</v>
      </c>
      <c r="B1527" s="124" t="s">
        <v>2016</v>
      </c>
      <c r="C1527" s="273">
        <f t="shared" si="323"/>
        <v>404741.39</v>
      </c>
      <c r="D1527" s="273">
        <f t="shared" si="324"/>
        <v>0</v>
      </c>
      <c r="E1527" s="273"/>
      <c r="F1527" s="273"/>
      <c r="G1527" s="273"/>
      <c r="H1527" s="273"/>
      <c r="I1527" s="273"/>
      <c r="J1527" s="273"/>
      <c r="K1527" s="273"/>
      <c r="L1527" s="273"/>
      <c r="M1527" s="273"/>
      <c r="N1527" s="273"/>
      <c r="O1527" s="273"/>
      <c r="P1527" s="273"/>
      <c r="Q1527" s="273"/>
      <c r="R1527" s="273"/>
      <c r="S1527" s="273"/>
      <c r="T1527" s="273"/>
      <c r="U1527" s="273"/>
      <c r="V1527" s="273"/>
      <c r="W1527" s="273">
        <f>SUM(Y1527:AP1527)</f>
        <v>404741.39</v>
      </c>
      <c r="Y1527" s="273"/>
      <c r="AA1527" s="273"/>
      <c r="AC1527" s="273"/>
      <c r="AD1527" s="15"/>
      <c r="AF1527" s="273">
        <v>404741.39</v>
      </c>
      <c r="AH1527" s="15"/>
    </row>
    <row r="1528" spans="1:34" x14ac:dyDescent="0.3">
      <c r="A1528" s="10">
        <f t="shared" si="325"/>
        <v>1365</v>
      </c>
      <c r="B1528" s="124" t="s">
        <v>2017</v>
      </c>
      <c r="C1528" s="273">
        <f t="shared" si="323"/>
        <v>233880.52</v>
      </c>
      <c r="D1528" s="273">
        <f t="shared" si="324"/>
        <v>0</v>
      </c>
      <c r="E1528" s="273"/>
      <c r="F1528" s="273"/>
      <c r="G1528" s="273"/>
      <c r="H1528" s="273"/>
      <c r="I1528" s="273"/>
      <c r="J1528" s="273"/>
      <c r="K1528" s="273"/>
      <c r="L1528" s="273"/>
      <c r="M1528" s="273"/>
      <c r="N1528" s="273"/>
      <c r="O1528" s="273"/>
      <c r="P1528" s="273"/>
      <c r="Q1528" s="273"/>
      <c r="R1528" s="273"/>
      <c r="S1528" s="273"/>
      <c r="T1528" s="273"/>
      <c r="U1528" s="273"/>
      <c r="V1528" s="273"/>
      <c r="W1528" s="273">
        <f t="shared" ref="W1528:W1533" si="327">SUM(Z1528:AP1528)</f>
        <v>233880.52</v>
      </c>
      <c r="AA1528" s="273"/>
      <c r="AC1528" s="273">
        <f>45818.84+43738.18+43738.18</f>
        <v>133295.19999999998</v>
      </c>
      <c r="AD1528" s="15"/>
      <c r="AE1528" s="273">
        <v>100585.32</v>
      </c>
      <c r="AF1528" s="273"/>
      <c r="AH1528" s="15"/>
    </row>
    <row r="1529" spans="1:34" x14ac:dyDescent="0.3">
      <c r="A1529" s="10">
        <f t="shared" si="325"/>
        <v>1366</v>
      </c>
      <c r="B1529" s="124" t="s">
        <v>2018</v>
      </c>
      <c r="C1529" s="273">
        <f t="shared" si="323"/>
        <v>2096583.6800000002</v>
      </c>
      <c r="D1529" s="273">
        <f t="shared" si="324"/>
        <v>1890145.2000000002</v>
      </c>
      <c r="E1529" s="273">
        <v>506043.6</v>
      </c>
      <c r="F1529" s="273">
        <v>1384101.6</v>
      </c>
      <c r="G1529" s="273"/>
      <c r="H1529" s="273"/>
      <c r="I1529" s="273"/>
      <c r="J1529" s="273"/>
      <c r="K1529" s="273"/>
      <c r="L1529" s="273"/>
      <c r="M1529" s="273"/>
      <c r="N1529" s="273"/>
      <c r="O1529" s="273"/>
      <c r="P1529" s="273"/>
      <c r="Q1529" s="273"/>
      <c r="R1529" s="273"/>
      <c r="S1529" s="273"/>
      <c r="T1529" s="273"/>
      <c r="U1529" s="273"/>
      <c r="V1529" s="273"/>
      <c r="W1529" s="273">
        <f t="shared" si="327"/>
        <v>206438.48</v>
      </c>
      <c r="AA1529" s="15"/>
      <c r="AC1529" s="273">
        <f>103219.24+103219.24</f>
        <v>206438.48</v>
      </c>
      <c r="AD1529" s="15"/>
      <c r="AE1529" s="273"/>
      <c r="AF1529" s="14"/>
      <c r="AH1529" s="15"/>
    </row>
    <row r="1530" spans="1:34" x14ac:dyDescent="0.3">
      <c r="A1530" s="10">
        <f t="shared" si="325"/>
        <v>1367</v>
      </c>
      <c r="B1530" s="124" t="s">
        <v>2019</v>
      </c>
      <c r="C1530" s="273">
        <f t="shared" si="323"/>
        <v>231886</v>
      </c>
      <c r="D1530" s="273">
        <f t="shared" si="324"/>
        <v>0</v>
      </c>
      <c r="E1530" s="273"/>
      <c r="F1530" s="273"/>
      <c r="G1530" s="273"/>
      <c r="H1530" s="273"/>
      <c r="I1530" s="273"/>
      <c r="J1530" s="273"/>
      <c r="K1530" s="273"/>
      <c r="L1530" s="273"/>
      <c r="M1530" s="273"/>
      <c r="N1530" s="273"/>
      <c r="O1530" s="273"/>
      <c r="P1530" s="273"/>
      <c r="Q1530" s="273"/>
      <c r="R1530" s="273"/>
      <c r="S1530" s="273"/>
      <c r="T1530" s="273"/>
      <c r="U1530" s="273"/>
      <c r="V1530" s="273"/>
      <c r="W1530" s="273">
        <f t="shared" si="327"/>
        <v>231886</v>
      </c>
      <c r="AA1530" s="273"/>
      <c r="AC1530" s="273">
        <f>45371.23+43301.45+43301.45</f>
        <v>131974.13</v>
      </c>
      <c r="AD1530" s="15"/>
      <c r="AE1530" s="273">
        <v>99911.87</v>
      </c>
      <c r="AF1530" s="273"/>
      <c r="AH1530" s="273"/>
    </row>
    <row r="1531" spans="1:34" x14ac:dyDescent="0.3">
      <c r="A1531" s="10">
        <f t="shared" si="325"/>
        <v>1368</v>
      </c>
      <c r="B1531" s="124" t="s">
        <v>2020</v>
      </c>
      <c r="C1531" s="273">
        <f t="shared" si="323"/>
        <v>146884.57</v>
      </c>
      <c r="D1531" s="273">
        <f t="shared" si="324"/>
        <v>0</v>
      </c>
      <c r="E1531" s="273"/>
      <c r="F1531" s="273"/>
      <c r="G1531" s="273"/>
      <c r="H1531" s="273"/>
      <c r="I1531" s="273"/>
      <c r="J1531" s="273"/>
      <c r="K1531" s="273"/>
      <c r="L1531" s="273"/>
      <c r="M1531" s="273"/>
      <c r="N1531" s="273"/>
      <c r="O1531" s="273"/>
      <c r="P1531" s="273"/>
      <c r="Q1531" s="273"/>
      <c r="R1531" s="273"/>
      <c r="S1531" s="273"/>
      <c r="T1531" s="273"/>
      <c r="U1531" s="273"/>
      <c r="V1531" s="273"/>
      <c r="W1531" s="273">
        <f t="shared" si="327"/>
        <v>146884.57</v>
      </c>
      <c r="AA1531" s="273"/>
      <c r="AC1531" s="273">
        <v>46010.6</v>
      </c>
      <c r="AD1531" s="15"/>
      <c r="AE1531" s="273">
        <v>100873.97</v>
      </c>
      <c r="AF1531" s="273"/>
      <c r="AH1531" s="273"/>
    </row>
    <row r="1532" spans="1:34" x14ac:dyDescent="0.3">
      <c r="A1532" s="10">
        <f t="shared" si="325"/>
        <v>1369</v>
      </c>
      <c r="B1532" s="124" t="s">
        <v>2021</v>
      </c>
      <c r="C1532" s="273">
        <f t="shared" si="323"/>
        <v>262091.92</v>
      </c>
      <c r="D1532" s="273">
        <f t="shared" si="324"/>
        <v>0</v>
      </c>
      <c r="E1532" s="273"/>
      <c r="F1532" s="273"/>
      <c r="G1532" s="273"/>
      <c r="H1532" s="273"/>
      <c r="I1532" s="273"/>
      <c r="J1532" s="273"/>
      <c r="K1532" s="273"/>
      <c r="L1532" s="273"/>
      <c r="M1532" s="273"/>
      <c r="N1532" s="273"/>
      <c r="O1532" s="273"/>
      <c r="P1532" s="273"/>
      <c r="Q1532" s="273"/>
      <c r="R1532" s="273"/>
      <c r="S1532" s="273"/>
      <c r="T1532" s="273"/>
      <c r="U1532" s="273"/>
      <c r="V1532" s="273"/>
      <c r="W1532" s="273">
        <f t="shared" si="327"/>
        <v>262091.92</v>
      </c>
      <c r="AA1532" s="273"/>
      <c r="AC1532" s="273">
        <f>52152.37+49914.68+49914.68</f>
        <v>151981.73000000001</v>
      </c>
      <c r="AD1532" s="15"/>
      <c r="AE1532" s="273">
        <v>110110.19</v>
      </c>
      <c r="AF1532" s="273"/>
      <c r="AH1532" s="273"/>
    </row>
    <row r="1533" spans="1:34" x14ac:dyDescent="0.3">
      <c r="A1533" s="10">
        <f t="shared" si="325"/>
        <v>1370</v>
      </c>
      <c r="B1533" s="124" t="s">
        <v>2023</v>
      </c>
      <c r="C1533" s="273">
        <f t="shared" si="323"/>
        <v>232740.66999999998</v>
      </c>
      <c r="D1533" s="273">
        <f t="shared" si="324"/>
        <v>0</v>
      </c>
      <c r="E1533" s="273"/>
      <c r="F1533" s="273"/>
      <c r="G1533" s="273"/>
      <c r="H1533" s="273"/>
      <c r="I1533" s="273"/>
      <c r="J1533" s="273"/>
      <c r="K1533" s="273"/>
      <c r="L1533" s="273"/>
      <c r="M1533" s="273"/>
      <c r="N1533" s="273"/>
      <c r="O1533" s="273"/>
      <c r="P1533" s="273"/>
      <c r="Q1533" s="273"/>
      <c r="R1533" s="273"/>
      <c r="S1533" s="273"/>
      <c r="T1533" s="273"/>
      <c r="U1533" s="273"/>
      <c r="V1533" s="273"/>
      <c r="W1533" s="273">
        <f t="shared" si="327"/>
        <v>232740.66999999998</v>
      </c>
      <c r="AA1533" s="273"/>
      <c r="AC1533" s="273">
        <f>45562.97+43488.61+43488.61</f>
        <v>132540.19</v>
      </c>
      <c r="AD1533" s="15"/>
      <c r="AE1533" s="273">
        <v>100200.48</v>
      </c>
      <c r="AF1533" s="273"/>
      <c r="AH1533" s="15"/>
    </row>
    <row r="1534" spans="1:34" x14ac:dyDescent="0.3">
      <c r="A1534" s="10">
        <f t="shared" si="325"/>
        <v>1371</v>
      </c>
      <c r="B1534" s="124" t="s">
        <v>2025</v>
      </c>
      <c r="C1534" s="273">
        <f t="shared" si="323"/>
        <v>130000</v>
      </c>
      <c r="D1534" s="273">
        <f t="shared" si="324"/>
        <v>0</v>
      </c>
      <c r="E1534" s="273"/>
      <c r="F1534" s="273"/>
      <c r="G1534" s="273"/>
      <c r="H1534" s="273"/>
      <c r="I1534" s="273"/>
      <c r="J1534" s="273"/>
      <c r="K1534" s="273"/>
      <c r="L1534" s="273"/>
      <c r="M1534" s="273"/>
      <c r="N1534" s="273"/>
      <c r="O1534" s="273"/>
      <c r="P1534" s="273"/>
      <c r="Q1534" s="273"/>
      <c r="R1534" s="273"/>
      <c r="S1534" s="273"/>
      <c r="T1534" s="273"/>
      <c r="U1534" s="273"/>
      <c r="V1534" s="273"/>
      <c r="W1534" s="273">
        <v>130000</v>
      </c>
      <c r="AA1534" s="273"/>
      <c r="AC1534" s="273"/>
      <c r="AD1534" s="15"/>
      <c r="AE1534" s="273"/>
      <c r="AF1534" s="14"/>
      <c r="AH1534" s="15"/>
    </row>
    <row r="1535" spans="1:34" x14ac:dyDescent="0.3">
      <c r="A1535" s="10">
        <f t="shared" si="325"/>
        <v>1372</v>
      </c>
      <c r="B1535" s="124" t="s">
        <v>2026</v>
      </c>
      <c r="C1535" s="273">
        <f t="shared" si="323"/>
        <v>995768.4</v>
      </c>
      <c r="D1535" s="273">
        <f t="shared" si="324"/>
        <v>0</v>
      </c>
      <c r="E1535" s="273"/>
      <c r="F1535" s="273"/>
      <c r="G1535" s="273"/>
      <c r="H1535" s="273"/>
      <c r="I1535" s="273"/>
      <c r="J1535" s="273"/>
      <c r="K1535" s="273"/>
      <c r="L1535" s="273"/>
      <c r="M1535" s="273">
        <v>13</v>
      </c>
      <c r="N1535" s="273">
        <v>995768.4</v>
      </c>
      <c r="O1535" s="273"/>
      <c r="P1535" s="273"/>
      <c r="Q1535" s="273"/>
      <c r="R1535" s="273"/>
      <c r="S1535" s="273"/>
      <c r="T1535" s="273"/>
      <c r="U1535" s="273"/>
      <c r="V1535" s="273"/>
      <c r="W1535" s="273"/>
      <c r="AA1535" s="15"/>
      <c r="AC1535" s="273">
        <f>50835+48604.51+48604.51</f>
        <v>148044.02000000002</v>
      </c>
      <c r="AD1535" s="15"/>
      <c r="AE1535" s="273"/>
      <c r="AF1535" s="273"/>
      <c r="AH1535" s="15"/>
    </row>
    <row r="1536" spans="1:34" x14ac:dyDescent="0.3">
      <c r="A1536" s="10">
        <f t="shared" si="325"/>
        <v>1373</v>
      </c>
      <c r="B1536" s="124" t="s">
        <v>2027</v>
      </c>
      <c r="C1536" s="273">
        <f t="shared" si="323"/>
        <v>265660.17000000004</v>
      </c>
      <c r="D1536" s="273">
        <f t="shared" si="324"/>
        <v>0</v>
      </c>
      <c r="E1536" s="273"/>
      <c r="F1536" s="273"/>
      <c r="G1536" s="273"/>
      <c r="H1536" s="273"/>
      <c r="I1536" s="273"/>
      <c r="J1536" s="273"/>
      <c r="K1536" s="273"/>
      <c r="L1536" s="273"/>
      <c r="M1536" s="273"/>
      <c r="N1536" s="273"/>
      <c r="O1536" s="273"/>
      <c r="P1536" s="273"/>
      <c r="Q1536" s="273"/>
      <c r="R1536" s="273"/>
      <c r="S1536" s="273"/>
      <c r="T1536" s="273"/>
      <c r="U1536" s="273"/>
      <c r="V1536" s="273"/>
      <c r="W1536" s="273">
        <f>SUM(Z1536:AP1536)</f>
        <v>265660.17000000004</v>
      </c>
      <c r="AA1536" s="15"/>
      <c r="AC1536" s="273">
        <f>63988.31+61456.66+78758.54+61456.66</f>
        <v>265660.17000000004</v>
      </c>
      <c r="AD1536" s="15"/>
      <c r="AE1536" s="273"/>
      <c r="AF1536" s="273"/>
      <c r="AH1536" s="273"/>
    </row>
    <row r="1537" spans="1:34" x14ac:dyDescent="0.3">
      <c r="A1537" s="10">
        <f t="shared" si="325"/>
        <v>1374</v>
      </c>
      <c r="B1537" s="124" t="s">
        <v>2028</v>
      </c>
      <c r="C1537" s="273">
        <f t="shared" si="323"/>
        <v>325806.07</v>
      </c>
      <c r="D1537" s="273">
        <f t="shared" si="324"/>
        <v>0</v>
      </c>
      <c r="E1537" s="273"/>
      <c r="F1537" s="273"/>
      <c r="G1537" s="273"/>
      <c r="H1537" s="273"/>
      <c r="I1537" s="273"/>
      <c r="J1537" s="273"/>
      <c r="K1537" s="273"/>
      <c r="L1537" s="273"/>
      <c r="M1537" s="273"/>
      <c r="N1537" s="273"/>
      <c r="O1537" s="273"/>
      <c r="P1537" s="273"/>
      <c r="Q1537" s="273"/>
      <c r="R1537" s="273"/>
      <c r="S1537" s="273"/>
      <c r="T1537" s="273"/>
      <c r="U1537" s="273"/>
      <c r="V1537" s="273"/>
      <c r="W1537" s="273">
        <f>SUM(Z1537:AP1537)</f>
        <v>325806.07</v>
      </c>
      <c r="AA1537" s="15"/>
      <c r="AC1537" s="273">
        <f>77798.27+95689.78+76159.01+76159.01</f>
        <v>325806.07</v>
      </c>
      <c r="AD1537" s="15"/>
      <c r="AE1537" s="273"/>
      <c r="AF1537" s="273"/>
      <c r="AH1537" s="273"/>
    </row>
    <row r="1538" spans="1:34" x14ac:dyDescent="0.3">
      <c r="A1538" s="10">
        <f t="shared" si="325"/>
        <v>1375</v>
      </c>
      <c r="B1538" s="124" t="s">
        <v>2029</v>
      </c>
      <c r="C1538" s="273">
        <f t="shared" si="323"/>
        <v>968168.4</v>
      </c>
      <c r="D1538" s="273">
        <f t="shared" si="324"/>
        <v>0</v>
      </c>
      <c r="E1538" s="273"/>
      <c r="F1538" s="273"/>
      <c r="G1538" s="273"/>
      <c r="H1538" s="273"/>
      <c r="I1538" s="273"/>
      <c r="J1538" s="273"/>
      <c r="K1538" s="273"/>
      <c r="L1538" s="273"/>
      <c r="M1538" s="273">
        <v>13</v>
      </c>
      <c r="N1538" s="273">
        <v>968168.4</v>
      </c>
      <c r="O1538" s="273"/>
      <c r="P1538" s="273"/>
      <c r="Q1538" s="273"/>
      <c r="R1538" s="273"/>
      <c r="S1538" s="273"/>
      <c r="T1538" s="273"/>
      <c r="U1538" s="273"/>
      <c r="V1538" s="273"/>
      <c r="W1538" s="273"/>
      <c r="AA1538" s="15"/>
      <c r="AC1538" s="273">
        <f>50194.64+44424.44</f>
        <v>94619.08</v>
      </c>
      <c r="AD1538" s="15"/>
      <c r="AE1538" s="273"/>
      <c r="AF1538" s="273"/>
      <c r="AH1538" s="15"/>
    </row>
    <row r="1539" spans="1:34" x14ac:dyDescent="0.3">
      <c r="A1539" s="10">
        <f t="shared" si="325"/>
        <v>1376</v>
      </c>
      <c r="B1539" s="124" t="s">
        <v>2031</v>
      </c>
      <c r="C1539" s="273">
        <f t="shared" si="323"/>
        <v>157517.44</v>
      </c>
      <c r="D1539" s="273">
        <f t="shared" si="324"/>
        <v>0</v>
      </c>
      <c r="E1539" s="273"/>
      <c r="F1539" s="273"/>
      <c r="G1539" s="273"/>
      <c r="H1539" s="273"/>
      <c r="I1539" s="273"/>
      <c r="J1539" s="273"/>
      <c r="K1539" s="273"/>
      <c r="L1539" s="273"/>
      <c r="M1539" s="273"/>
      <c r="N1539" s="273"/>
      <c r="O1539" s="273"/>
      <c r="P1539" s="273"/>
      <c r="Q1539" s="273"/>
      <c r="R1539" s="273"/>
      <c r="S1539" s="273"/>
      <c r="T1539" s="273"/>
      <c r="U1539" s="273"/>
      <c r="V1539" s="273"/>
      <c r="W1539" s="273">
        <f t="shared" ref="W1539:W1550" si="328">SUM(Z1539:AP1539)</f>
        <v>157517.44</v>
      </c>
      <c r="AA1539" s="15"/>
      <c r="AC1539" s="273"/>
      <c r="AD1539" s="15"/>
      <c r="AE1539" s="273">
        <v>157517.44</v>
      </c>
      <c r="AF1539" s="273"/>
      <c r="AH1539" s="15"/>
    </row>
    <row r="1540" spans="1:34" x14ac:dyDescent="0.3">
      <c r="A1540" s="10">
        <f t="shared" si="325"/>
        <v>1377</v>
      </c>
      <c r="B1540" s="124" t="s">
        <v>2032</v>
      </c>
      <c r="C1540" s="273">
        <f t="shared" si="323"/>
        <v>157596.85</v>
      </c>
      <c r="D1540" s="273">
        <f t="shared" si="324"/>
        <v>0</v>
      </c>
      <c r="E1540" s="273"/>
      <c r="F1540" s="273"/>
      <c r="G1540" s="273"/>
      <c r="H1540" s="273"/>
      <c r="I1540" s="273"/>
      <c r="J1540" s="273"/>
      <c r="K1540" s="273"/>
      <c r="L1540" s="273"/>
      <c r="M1540" s="273"/>
      <c r="N1540" s="273"/>
      <c r="O1540" s="273"/>
      <c r="P1540" s="273"/>
      <c r="Q1540" s="273"/>
      <c r="R1540" s="273"/>
      <c r="S1540" s="273"/>
      <c r="T1540" s="273"/>
      <c r="U1540" s="273"/>
      <c r="V1540" s="273"/>
      <c r="W1540" s="273">
        <f t="shared" si="328"/>
        <v>157596.85</v>
      </c>
      <c r="AA1540" s="15"/>
      <c r="AC1540" s="273">
        <v>157596.85</v>
      </c>
      <c r="AD1540" s="15"/>
      <c r="AE1540" s="273"/>
      <c r="AF1540" s="273"/>
      <c r="AH1540" s="15"/>
    </row>
    <row r="1541" spans="1:34" x14ac:dyDescent="0.3">
      <c r="A1541" s="10">
        <f t="shared" si="325"/>
        <v>1378</v>
      </c>
      <c r="B1541" s="124" t="s">
        <v>2035</v>
      </c>
      <c r="C1541" s="273">
        <f t="shared" si="323"/>
        <v>789309.06</v>
      </c>
      <c r="D1541" s="273">
        <f t="shared" si="324"/>
        <v>0</v>
      </c>
      <c r="E1541" s="273"/>
      <c r="F1541" s="273"/>
      <c r="G1541" s="273"/>
      <c r="H1541" s="273"/>
      <c r="I1541" s="273"/>
      <c r="J1541" s="273"/>
      <c r="K1541" s="273"/>
      <c r="L1541" s="273"/>
      <c r="M1541" s="273"/>
      <c r="N1541" s="273"/>
      <c r="O1541" s="273"/>
      <c r="P1541" s="273"/>
      <c r="Q1541" s="273"/>
      <c r="R1541" s="273"/>
      <c r="S1541" s="273"/>
      <c r="T1541" s="273"/>
      <c r="U1541" s="273"/>
      <c r="V1541" s="273"/>
      <c r="W1541" s="273">
        <f t="shared" si="328"/>
        <v>789309.06</v>
      </c>
      <c r="AA1541" s="273"/>
      <c r="AC1541" s="273"/>
      <c r="AD1541" s="15"/>
      <c r="AE1541" s="273">
        <v>492705.49</v>
      </c>
      <c r="AF1541" s="273">
        <v>296603.57</v>
      </c>
      <c r="AH1541" s="15"/>
    </row>
    <row r="1542" spans="1:34" x14ac:dyDescent="0.3">
      <c r="A1542" s="10">
        <f t="shared" si="325"/>
        <v>1379</v>
      </c>
      <c r="B1542" s="124" t="s">
        <v>2036</v>
      </c>
      <c r="C1542" s="273">
        <f t="shared" si="323"/>
        <v>156146.35</v>
      </c>
      <c r="D1542" s="273">
        <f t="shared" si="324"/>
        <v>0</v>
      </c>
      <c r="E1542" s="273"/>
      <c r="F1542" s="273"/>
      <c r="G1542" s="273"/>
      <c r="H1542" s="273"/>
      <c r="I1542" s="273"/>
      <c r="J1542" s="273"/>
      <c r="K1542" s="273"/>
      <c r="L1542" s="273"/>
      <c r="M1542" s="273"/>
      <c r="N1542" s="273"/>
      <c r="O1542" s="273"/>
      <c r="P1542" s="273"/>
      <c r="Q1542" s="273"/>
      <c r="R1542" s="273"/>
      <c r="S1542" s="273"/>
      <c r="T1542" s="273"/>
      <c r="U1542" s="273"/>
      <c r="V1542" s="273"/>
      <c r="W1542" s="273">
        <f t="shared" si="328"/>
        <v>156146.35</v>
      </c>
      <c r="AA1542" s="15"/>
      <c r="AC1542" s="273">
        <v>156146.35</v>
      </c>
      <c r="AD1542" s="15"/>
      <c r="AE1542" s="273"/>
      <c r="AF1542" s="14"/>
      <c r="AH1542" s="15"/>
    </row>
    <row r="1543" spans="1:34" x14ac:dyDescent="0.3">
      <c r="A1543" s="10">
        <f t="shared" si="325"/>
        <v>1380</v>
      </c>
      <c r="B1543" s="124" t="s">
        <v>2037</v>
      </c>
      <c r="C1543" s="273">
        <f t="shared" si="323"/>
        <v>157554.6</v>
      </c>
      <c r="D1543" s="273">
        <f t="shared" si="324"/>
        <v>0</v>
      </c>
      <c r="E1543" s="273"/>
      <c r="F1543" s="273"/>
      <c r="G1543" s="273"/>
      <c r="H1543" s="273"/>
      <c r="I1543" s="273"/>
      <c r="J1543" s="273"/>
      <c r="K1543" s="273"/>
      <c r="L1543" s="273"/>
      <c r="M1543" s="273"/>
      <c r="N1543" s="273"/>
      <c r="O1543" s="251"/>
      <c r="P1543" s="273"/>
      <c r="Q1543" s="273"/>
      <c r="R1543" s="273"/>
      <c r="S1543" s="273"/>
      <c r="T1543" s="273"/>
      <c r="U1543" s="273"/>
      <c r="V1543" s="273"/>
      <c r="W1543" s="273">
        <f t="shared" si="328"/>
        <v>157554.6</v>
      </c>
      <c r="AA1543" s="15"/>
      <c r="AC1543" s="273">
        <v>157554.6</v>
      </c>
      <c r="AD1543" s="15"/>
      <c r="AE1543" s="273"/>
      <c r="AF1543" s="14"/>
      <c r="AH1543" s="15"/>
    </row>
    <row r="1544" spans="1:34" x14ac:dyDescent="0.3">
      <c r="A1544" s="10">
        <f t="shared" si="325"/>
        <v>1381</v>
      </c>
      <c r="B1544" s="124" t="s">
        <v>2038</v>
      </c>
      <c r="C1544" s="273">
        <f t="shared" si="323"/>
        <v>578977.97</v>
      </c>
      <c r="D1544" s="273">
        <f t="shared" si="324"/>
        <v>0</v>
      </c>
      <c r="E1544" s="273"/>
      <c r="F1544" s="273"/>
      <c r="G1544" s="273"/>
      <c r="H1544" s="273"/>
      <c r="I1544" s="273"/>
      <c r="J1544" s="273"/>
      <c r="K1544" s="273"/>
      <c r="L1544" s="273"/>
      <c r="M1544" s="273"/>
      <c r="N1544" s="273"/>
      <c r="O1544" s="273"/>
      <c r="P1544" s="273"/>
      <c r="Q1544" s="273"/>
      <c r="R1544" s="273"/>
      <c r="S1544" s="273"/>
      <c r="T1544" s="273"/>
      <c r="U1544" s="273"/>
      <c r="V1544" s="273"/>
      <c r="W1544" s="273">
        <f t="shared" si="328"/>
        <v>578977.97</v>
      </c>
      <c r="AA1544" s="15"/>
      <c r="AC1544" s="273">
        <v>156949.06</v>
      </c>
      <c r="AD1544" s="15"/>
      <c r="AE1544" s="273"/>
      <c r="AF1544" s="273">
        <v>422028.91</v>
      </c>
      <c r="AH1544" s="15"/>
    </row>
    <row r="1545" spans="1:34" x14ac:dyDescent="0.3">
      <c r="A1545" s="10">
        <f t="shared" si="325"/>
        <v>1382</v>
      </c>
      <c r="B1545" s="124" t="s">
        <v>2039</v>
      </c>
      <c r="C1545" s="273">
        <f t="shared" si="323"/>
        <v>2196609.6</v>
      </c>
      <c r="D1545" s="273">
        <f t="shared" si="324"/>
        <v>2196609.6</v>
      </c>
      <c r="E1545" s="273">
        <v>1176920.3999999999</v>
      </c>
      <c r="F1545" s="273"/>
      <c r="G1545" s="273">
        <v>603174</v>
      </c>
      <c r="H1545" s="273"/>
      <c r="I1545" s="273">
        <v>416515.2</v>
      </c>
      <c r="J1545" s="273"/>
      <c r="K1545" s="273"/>
      <c r="L1545" s="273"/>
      <c r="M1545" s="273"/>
      <c r="N1545" s="273"/>
      <c r="O1545" s="273"/>
      <c r="P1545" s="273"/>
      <c r="Q1545" s="273"/>
      <c r="R1545" s="273"/>
      <c r="S1545" s="273"/>
      <c r="T1545" s="273"/>
      <c r="U1545" s="273"/>
      <c r="V1545" s="273"/>
      <c r="W1545" s="273">
        <f t="shared" si="328"/>
        <v>0</v>
      </c>
      <c r="AA1545" s="273"/>
      <c r="AC1545" s="273"/>
      <c r="AD1545" s="15"/>
      <c r="AE1545" s="273"/>
      <c r="AF1545" s="14"/>
      <c r="AH1545" s="15"/>
    </row>
    <row r="1546" spans="1:34" x14ac:dyDescent="0.3">
      <c r="A1546" s="10">
        <f t="shared" si="325"/>
        <v>1383</v>
      </c>
      <c r="B1546" s="124" t="s">
        <v>2040</v>
      </c>
      <c r="C1546" s="273">
        <f t="shared" si="323"/>
        <v>4933443.99</v>
      </c>
      <c r="D1546" s="273">
        <f t="shared" si="324"/>
        <v>4288458</v>
      </c>
      <c r="E1546" s="273"/>
      <c r="F1546" s="273">
        <v>3173816.4</v>
      </c>
      <c r="G1546" s="273">
        <v>532108.80000000005</v>
      </c>
      <c r="H1546" s="273"/>
      <c r="I1546" s="273">
        <v>582532.80000000005</v>
      </c>
      <c r="J1546" s="273"/>
      <c r="K1546" s="273"/>
      <c r="L1546" s="273"/>
      <c r="M1546" s="273"/>
      <c r="N1546" s="273"/>
      <c r="O1546" s="273"/>
      <c r="P1546" s="273"/>
      <c r="Q1546" s="273"/>
      <c r="R1546" s="273"/>
      <c r="S1546" s="273"/>
      <c r="T1546" s="273"/>
      <c r="U1546" s="273"/>
      <c r="V1546" s="273"/>
      <c r="W1546" s="273">
        <f t="shared" si="328"/>
        <v>644985.99</v>
      </c>
      <c r="AA1546" s="15"/>
      <c r="AC1546" s="273">
        <v>121203.3</v>
      </c>
      <c r="AD1546" s="15"/>
      <c r="AE1546" s="273">
        <v>243569.9</v>
      </c>
      <c r="AF1546" s="273">
        <v>280212.78999999998</v>
      </c>
      <c r="AH1546" s="15"/>
    </row>
    <row r="1547" spans="1:34" x14ac:dyDescent="0.3">
      <c r="A1547" s="10">
        <f t="shared" si="325"/>
        <v>1384</v>
      </c>
      <c r="B1547" s="124" t="s">
        <v>2041</v>
      </c>
      <c r="C1547" s="273">
        <f t="shared" si="323"/>
        <v>4080739.5999999996</v>
      </c>
      <c r="D1547" s="273">
        <f t="shared" si="324"/>
        <v>1949258.4</v>
      </c>
      <c r="E1547" s="273">
        <v>1292341.2</v>
      </c>
      <c r="F1547" s="273"/>
      <c r="G1547" s="273">
        <v>656917.19999999995</v>
      </c>
      <c r="H1547" s="273"/>
      <c r="I1547" s="273"/>
      <c r="J1547" s="273"/>
      <c r="K1547" s="273"/>
      <c r="L1547" s="273"/>
      <c r="M1547" s="273"/>
      <c r="N1547" s="273"/>
      <c r="O1547" s="273"/>
      <c r="P1547" s="273"/>
      <c r="Q1547" s="273"/>
      <c r="R1547" s="273"/>
      <c r="S1547" s="273"/>
      <c r="T1547" s="273"/>
      <c r="U1547" s="273"/>
      <c r="V1547" s="273">
        <f>(214531+392996*3+117656)</f>
        <v>1511175</v>
      </c>
      <c r="W1547" s="273">
        <f t="shared" si="328"/>
        <v>620306.19999999995</v>
      </c>
      <c r="AA1547" s="273"/>
      <c r="AC1547" s="273"/>
      <c r="AD1547" s="15"/>
      <c r="AE1547" s="273">
        <v>257659.73</v>
      </c>
      <c r="AF1547" s="273">
        <v>362646.47</v>
      </c>
      <c r="AH1547" s="15"/>
    </row>
    <row r="1548" spans="1:34" x14ac:dyDescent="0.3">
      <c r="A1548" s="10">
        <f t="shared" si="325"/>
        <v>1385</v>
      </c>
      <c r="B1548" s="124" t="s">
        <v>2043</v>
      </c>
      <c r="C1548" s="273">
        <f t="shared" ref="C1548:C1575" si="329">D1548+K1548+L1548+N1548+P1548+R1548+S1548+U1548+V1548+W1548</f>
        <v>18997365.800000001</v>
      </c>
      <c r="D1548" s="273">
        <f t="shared" ref="D1548:D1575" si="330">E1548+F1548+G1548+H1548+I1548</f>
        <v>14818687.4</v>
      </c>
      <c r="E1548" s="273">
        <v>4737836.4000000004</v>
      </c>
      <c r="F1548" s="273">
        <v>8695098</v>
      </c>
      <c r="G1548" s="273">
        <v>170466.2</v>
      </c>
      <c r="H1548" s="273"/>
      <c r="I1548" s="273">
        <v>1215286.8</v>
      </c>
      <c r="J1548" s="273"/>
      <c r="K1548" s="273"/>
      <c r="L1548" s="273"/>
      <c r="M1548" s="273">
        <v>13</v>
      </c>
      <c r="N1548" s="273">
        <v>4178678.4</v>
      </c>
      <c r="O1548" s="273"/>
      <c r="P1548" s="273"/>
      <c r="Q1548" s="273"/>
      <c r="R1548" s="273"/>
      <c r="S1548" s="273"/>
      <c r="T1548" s="273"/>
      <c r="U1548" s="273"/>
      <c r="V1548" s="273"/>
      <c r="W1548" s="273">
        <f t="shared" si="328"/>
        <v>0</v>
      </c>
      <c r="AA1548" s="15"/>
      <c r="AC1548" s="273"/>
      <c r="AD1548" s="15"/>
      <c r="AE1548" s="273"/>
      <c r="AF1548" s="14"/>
      <c r="AH1548" s="15"/>
    </row>
    <row r="1549" spans="1:34" x14ac:dyDescent="0.3">
      <c r="A1549" s="10">
        <f t="shared" ref="A1549:A1575" si="331">A1548+1</f>
        <v>1386</v>
      </c>
      <c r="B1549" s="124" t="s">
        <v>2044</v>
      </c>
      <c r="C1549" s="273">
        <f t="shared" si="329"/>
        <v>6098236.9199999999</v>
      </c>
      <c r="D1549" s="273">
        <f t="shared" si="330"/>
        <v>5926462.7999999998</v>
      </c>
      <c r="E1549" s="273">
        <v>1648048.8</v>
      </c>
      <c r="F1549" s="273">
        <v>3239035.2</v>
      </c>
      <c r="G1549" s="273">
        <v>611779.19999999995</v>
      </c>
      <c r="H1549" s="273"/>
      <c r="I1549" s="273">
        <v>427599.6</v>
      </c>
      <c r="J1549" s="273"/>
      <c r="K1549" s="273"/>
      <c r="L1549" s="273"/>
      <c r="M1549" s="273"/>
      <c r="N1549" s="273"/>
      <c r="O1549" s="273"/>
      <c r="P1549" s="273"/>
      <c r="Q1549" s="273"/>
      <c r="R1549" s="273"/>
      <c r="S1549" s="273"/>
      <c r="T1549" s="273"/>
      <c r="U1549" s="273"/>
      <c r="V1549" s="273"/>
      <c r="W1549" s="273">
        <f t="shared" si="328"/>
        <v>171774.12</v>
      </c>
      <c r="AA1549" s="15"/>
      <c r="AC1549" s="273"/>
      <c r="AD1549" s="15"/>
      <c r="AE1549" s="273"/>
      <c r="AF1549" s="273">
        <v>171774.12</v>
      </c>
      <c r="AH1549" s="15"/>
    </row>
    <row r="1550" spans="1:34" x14ac:dyDescent="0.3">
      <c r="A1550" s="10">
        <f t="shared" si="331"/>
        <v>1387</v>
      </c>
      <c r="B1550" s="124" t="s">
        <v>2045</v>
      </c>
      <c r="C1550" s="273">
        <f t="shared" si="329"/>
        <v>563614.01</v>
      </c>
      <c r="D1550" s="273">
        <f t="shared" si="330"/>
        <v>0</v>
      </c>
      <c r="E1550" s="273"/>
      <c r="F1550" s="273"/>
      <c r="G1550" s="273"/>
      <c r="H1550" s="273"/>
      <c r="I1550" s="273"/>
      <c r="J1550" s="273"/>
      <c r="K1550" s="273"/>
      <c r="L1550" s="273"/>
      <c r="M1550" s="273"/>
      <c r="N1550" s="273"/>
      <c r="O1550" s="273"/>
      <c r="P1550" s="273"/>
      <c r="Q1550" s="273"/>
      <c r="R1550" s="273"/>
      <c r="S1550" s="273"/>
      <c r="T1550" s="273"/>
      <c r="U1550" s="273"/>
      <c r="V1550" s="273"/>
      <c r="W1550" s="273">
        <f t="shared" si="328"/>
        <v>563614.01</v>
      </c>
      <c r="AA1550" s="273"/>
      <c r="AC1550" s="273">
        <v>118143.95</v>
      </c>
      <c r="AD1550" s="15"/>
      <c r="AE1550" s="273">
        <v>236484.64</v>
      </c>
      <c r="AF1550" s="273">
        <v>208985.42</v>
      </c>
      <c r="AH1550" s="15"/>
    </row>
    <row r="1551" spans="1:34" x14ac:dyDescent="0.3">
      <c r="A1551" s="10">
        <f t="shared" si="331"/>
        <v>1388</v>
      </c>
      <c r="B1551" s="124" t="s">
        <v>2046</v>
      </c>
      <c r="C1551" s="273">
        <f t="shared" si="329"/>
        <v>502456.48</v>
      </c>
      <c r="D1551" s="273">
        <f t="shared" si="330"/>
        <v>0</v>
      </c>
      <c r="E1551" s="273"/>
      <c r="F1551" s="273"/>
      <c r="G1551" s="273"/>
      <c r="H1551" s="273"/>
      <c r="I1551" s="273"/>
      <c r="J1551" s="273"/>
      <c r="K1551" s="273"/>
      <c r="L1551" s="273"/>
      <c r="M1551" s="273"/>
      <c r="N1551" s="273"/>
      <c r="O1551" s="273"/>
      <c r="P1551" s="273"/>
      <c r="Q1551" s="273"/>
      <c r="R1551" s="273"/>
      <c r="S1551" s="273"/>
      <c r="T1551" s="273"/>
      <c r="U1551" s="273"/>
      <c r="V1551" s="273"/>
      <c r="W1551" s="273">
        <f t="shared" ref="W1551:W1565" si="332">SUM(Y1551:AP1551)</f>
        <v>502456.48</v>
      </c>
      <c r="Y1551" s="273"/>
      <c r="AA1551" s="15"/>
      <c r="AC1551" s="273">
        <v>209522.6</v>
      </c>
      <c r="AD1551" s="15"/>
      <c r="AF1551" s="273">
        <v>292933.88</v>
      </c>
      <c r="AH1551" s="15"/>
    </row>
    <row r="1552" spans="1:34" x14ac:dyDescent="0.3">
      <c r="A1552" s="10">
        <f t="shared" si="331"/>
        <v>1389</v>
      </c>
      <c r="B1552" s="124" t="s">
        <v>2047</v>
      </c>
      <c r="C1552" s="273">
        <f t="shared" si="329"/>
        <v>2101716.02</v>
      </c>
      <c r="D1552" s="273">
        <f t="shared" si="330"/>
        <v>1712395.2</v>
      </c>
      <c r="E1552" s="273"/>
      <c r="F1552" s="273">
        <v>1712395.2</v>
      </c>
      <c r="G1552" s="273"/>
      <c r="H1552" s="273"/>
      <c r="I1552" s="273"/>
      <c r="J1552" s="273"/>
      <c r="K1552" s="273"/>
      <c r="L1552" s="273"/>
      <c r="M1552" s="273"/>
      <c r="N1552" s="273"/>
      <c r="O1552" s="273"/>
      <c r="P1552" s="273"/>
      <c r="Q1552" s="273"/>
      <c r="R1552" s="273"/>
      <c r="S1552" s="273"/>
      <c r="T1552" s="273"/>
      <c r="U1552" s="273"/>
      <c r="V1552" s="273"/>
      <c r="W1552" s="273">
        <f t="shared" si="332"/>
        <v>389320.82</v>
      </c>
      <c r="Y1552" s="273"/>
      <c r="AA1552" s="15"/>
      <c r="AC1552" s="273">
        <f>80485.28+80485.28+83501.22</f>
        <v>244471.78</v>
      </c>
      <c r="AD1552" s="15"/>
      <c r="AF1552" s="14"/>
      <c r="AH1552" s="273">
        <v>144849.04</v>
      </c>
    </row>
    <row r="1553" spans="1:34" x14ac:dyDescent="0.3">
      <c r="A1553" s="10">
        <f t="shared" si="331"/>
        <v>1390</v>
      </c>
      <c r="B1553" s="124" t="s">
        <v>2048</v>
      </c>
      <c r="C1553" s="273">
        <f t="shared" si="329"/>
        <v>161740.52000000002</v>
      </c>
      <c r="D1553" s="273">
        <f t="shared" si="330"/>
        <v>0</v>
      </c>
      <c r="E1553" s="273"/>
      <c r="F1553" s="273"/>
      <c r="G1553" s="273"/>
      <c r="H1553" s="273"/>
      <c r="I1553" s="273"/>
      <c r="J1553" s="273"/>
      <c r="K1553" s="273"/>
      <c r="L1553" s="273"/>
      <c r="M1553" s="273"/>
      <c r="N1553" s="273"/>
      <c r="O1553" s="273"/>
      <c r="P1553" s="273"/>
      <c r="Q1553" s="273"/>
      <c r="R1553" s="273"/>
      <c r="S1553" s="273"/>
      <c r="T1553" s="273"/>
      <c r="U1553" s="273"/>
      <c r="V1553" s="273"/>
      <c r="W1553" s="273">
        <f t="shared" si="332"/>
        <v>161740.52000000002</v>
      </c>
      <c r="Y1553" s="273"/>
      <c r="AA1553" s="273"/>
      <c r="AC1553" s="273">
        <f>81749.44+79991.08</f>
        <v>161740.52000000002</v>
      </c>
      <c r="AD1553" s="15"/>
      <c r="AF1553" s="14"/>
      <c r="AH1553" s="15"/>
    </row>
    <row r="1554" spans="1:34" x14ac:dyDescent="0.3">
      <c r="A1554" s="10">
        <f t="shared" si="331"/>
        <v>1391</v>
      </c>
      <c r="B1554" s="124" t="s">
        <v>2049</v>
      </c>
      <c r="C1554" s="273">
        <f t="shared" si="329"/>
        <v>156447.93</v>
      </c>
      <c r="D1554" s="273">
        <f t="shared" si="330"/>
        <v>0</v>
      </c>
      <c r="E1554" s="273"/>
      <c r="F1554" s="273"/>
      <c r="G1554" s="273"/>
      <c r="H1554" s="273"/>
      <c r="I1554" s="273"/>
      <c r="J1554" s="273"/>
      <c r="K1554" s="273"/>
      <c r="L1554" s="273"/>
      <c r="M1554" s="273"/>
      <c r="N1554" s="273"/>
      <c r="O1554" s="273"/>
      <c r="P1554" s="273"/>
      <c r="Q1554" s="273"/>
      <c r="R1554" s="273"/>
      <c r="S1554" s="273"/>
      <c r="T1554" s="273"/>
      <c r="U1554" s="273"/>
      <c r="V1554" s="273"/>
      <c r="W1554" s="273">
        <f t="shared" si="332"/>
        <v>156447.93</v>
      </c>
      <c r="Y1554" s="273"/>
      <c r="AA1554" s="15"/>
      <c r="AC1554" s="273">
        <f>79062.65+77385.28</f>
        <v>156447.93</v>
      </c>
      <c r="AD1554" s="15"/>
      <c r="AF1554" s="14"/>
      <c r="AH1554" s="15"/>
    </row>
    <row r="1555" spans="1:34" x14ac:dyDescent="0.3">
      <c r="A1555" s="10">
        <f t="shared" si="331"/>
        <v>1392</v>
      </c>
      <c r="B1555" s="124" t="s">
        <v>2051</v>
      </c>
      <c r="C1555" s="273">
        <f t="shared" si="329"/>
        <v>79122.48</v>
      </c>
      <c r="D1555" s="273">
        <f t="shared" si="330"/>
        <v>0</v>
      </c>
      <c r="E1555" s="273"/>
      <c r="F1555" s="273"/>
      <c r="G1555" s="273"/>
      <c r="H1555" s="273"/>
      <c r="I1555" s="273"/>
      <c r="J1555" s="273"/>
      <c r="K1555" s="273"/>
      <c r="L1555" s="273"/>
      <c r="M1555" s="273"/>
      <c r="N1555" s="273"/>
      <c r="O1555" s="273"/>
      <c r="P1555" s="273"/>
      <c r="Q1555" s="273"/>
      <c r="R1555" s="273"/>
      <c r="S1555" s="273"/>
      <c r="T1555" s="273"/>
      <c r="U1555" s="273"/>
      <c r="V1555" s="273"/>
      <c r="W1555" s="273">
        <f t="shared" si="332"/>
        <v>79122.48</v>
      </c>
      <c r="Y1555" s="118" t="s">
        <v>352</v>
      </c>
      <c r="AA1555" s="15"/>
      <c r="AC1555" s="273">
        <v>79122.48</v>
      </c>
      <c r="AD1555" s="15"/>
      <c r="AF1555" s="14"/>
      <c r="AH1555" s="15"/>
    </row>
    <row r="1556" spans="1:34" x14ac:dyDescent="0.3">
      <c r="A1556" s="10">
        <f t="shared" si="331"/>
        <v>1393</v>
      </c>
      <c r="B1556" s="124" t="s">
        <v>2053</v>
      </c>
      <c r="C1556" s="273">
        <f t="shared" si="329"/>
        <v>539744.25</v>
      </c>
      <c r="D1556" s="273">
        <f t="shared" si="330"/>
        <v>0</v>
      </c>
      <c r="E1556" s="273"/>
      <c r="F1556" s="273"/>
      <c r="G1556" s="273"/>
      <c r="H1556" s="273"/>
      <c r="I1556" s="273"/>
      <c r="J1556" s="273"/>
      <c r="K1556" s="273"/>
      <c r="L1556" s="273"/>
      <c r="M1556" s="273"/>
      <c r="N1556" s="273"/>
      <c r="O1556" s="273"/>
      <c r="P1556" s="273"/>
      <c r="Q1556" s="273"/>
      <c r="R1556" s="273"/>
      <c r="S1556" s="273"/>
      <c r="T1556" s="273"/>
      <c r="U1556" s="273"/>
      <c r="V1556" s="273"/>
      <c r="W1556" s="273">
        <f t="shared" si="332"/>
        <v>539744.25</v>
      </c>
      <c r="Y1556" s="273"/>
      <c r="AA1556" s="273"/>
      <c r="AC1556" s="273">
        <v>219680.29</v>
      </c>
      <c r="AD1556" s="15"/>
      <c r="AF1556" s="273">
        <v>320063.96000000002</v>
      </c>
      <c r="AH1556" s="15"/>
    </row>
    <row r="1557" spans="1:34" x14ac:dyDescent="0.3">
      <c r="A1557" s="10">
        <f t="shared" si="331"/>
        <v>1394</v>
      </c>
      <c r="B1557" s="124" t="s">
        <v>2054</v>
      </c>
      <c r="C1557" s="273">
        <f t="shared" si="329"/>
        <v>451961.79</v>
      </c>
      <c r="D1557" s="273">
        <f t="shared" si="330"/>
        <v>0</v>
      </c>
      <c r="E1557" s="273"/>
      <c r="F1557" s="273"/>
      <c r="G1557" s="273"/>
      <c r="H1557" s="273"/>
      <c r="I1557" s="273"/>
      <c r="J1557" s="273"/>
      <c r="K1557" s="273"/>
      <c r="L1557" s="273"/>
      <c r="M1557" s="273"/>
      <c r="N1557" s="273"/>
      <c r="O1557" s="273"/>
      <c r="P1557" s="273"/>
      <c r="Q1557" s="273"/>
      <c r="R1557" s="273"/>
      <c r="S1557" s="273"/>
      <c r="T1557" s="273"/>
      <c r="U1557" s="273"/>
      <c r="V1557" s="273"/>
      <c r="W1557" s="273">
        <f t="shared" si="332"/>
        <v>451961.79</v>
      </c>
      <c r="Y1557" s="273"/>
      <c r="AA1557" s="273"/>
      <c r="AC1557" s="273">
        <v>192160.46</v>
      </c>
      <c r="AD1557" s="15"/>
      <c r="AF1557" s="273">
        <v>259801.33</v>
      </c>
      <c r="AH1557" s="15"/>
    </row>
    <row r="1558" spans="1:34" x14ac:dyDescent="0.3">
      <c r="A1558" s="10">
        <f t="shared" si="331"/>
        <v>1395</v>
      </c>
      <c r="B1558" s="124" t="s">
        <v>2055</v>
      </c>
      <c r="C1558" s="273">
        <f t="shared" si="329"/>
        <v>720645.58000000007</v>
      </c>
      <c r="D1558" s="273">
        <f t="shared" si="330"/>
        <v>0</v>
      </c>
      <c r="E1558" s="273"/>
      <c r="F1558" s="273"/>
      <c r="G1558" s="273"/>
      <c r="H1558" s="273"/>
      <c r="I1558" s="273"/>
      <c r="J1558" s="273"/>
      <c r="K1558" s="273"/>
      <c r="L1558" s="273"/>
      <c r="M1558" s="273"/>
      <c r="N1558" s="273"/>
      <c r="O1558" s="273"/>
      <c r="P1558" s="273"/>
      <c r="Q1558" s="273"/>
      <c r="R1558" s="273"/>
      <c r="S1558" s="273"/>
      <c r="T1558" s="273"/>
      <c r="U1558" s="273"/>
      <c r="V1558" s="273"/>
      <c r="W1558" s="273">
        <f t="shared" si="332"/>
        <v>720645.58000000007</v>
      </c>
      <c r="Y1558" s="273">
        <v>395407.28</v>
      </c>
      <c r="AA1558" s="273"/>
      <c r="AC1558" s="273"/>
      <c r="AD1558" s="15"/>
      <c r="AF1558" s="273">
        <v>325238.3</v>
      </c>
      <c r="AH1558" s="15"/>
    </row>
    <row r="1559" spans="1:34" x14ac:dyDescent="0.3">
      <c r="A1559" s="10">
        <f t="shared" si="331"/>
        <v>1396</v>
      </c>
      <c r="B1559" s="124" t="s">
        <v>2056</v>
      </c>
      <c r="C1559" s="273">
        <f t="shared" si="329"/>
        <v>1251323.31</v>
      </c>
      <c r="D1559" s="273">
        <f t="shared" si="330"/>
        <v>0</v>
      </c>
      <c r="E1559" s="273"/>
      <c r="F1559" s="273"/>
      <c r="G1559" s="273"/>
      <c r="H1559" s="273"/>
      <c r="I1559" s="273"/>
      <c r="J1559" s="273"/>
      <c r="K1559" s="273"/>
      <c r="L1559" s="273"/>
      <c r="M1559" s="273"/>
      <c r="N1559" s="273"/>
      <c r="O1559" s="273"/>
      <c r="P1559" s="273"/>
      <c r="Q1559" s="273"/>
      <c r="R1559" s="273"/>
      <c r="S1559" s="273"/>
      <c r="T1559" s="273"/>
      <c r="U1559" s="273"/>
      <c r="V1559" s="273"/>
      <c r="W1559" s="273">
        <f t="shared" si="332"/>
        <v>1251323.31</v>
      </c>
      <c r="Y1559" s="273">
        <v>381241.12</v>
      </c>
      <c r="AA1559" s="15"/>
      <c r="AC1559" s="273">
        <v>210142.7</v>
      </c>
      <c r="AD1559" s="15"/>
      <c r="AE1559" s="36">
        <v>381241.12</v>
      </c>
      <c r="AF1559" s="273">
        <v>278698.37</v>
      </c>
      <c r="AH1559" s="15"/>
    </row>
    <row r="1560" spans="1:34" x14ac:dyDescent="0.3">
      <c r="A1560" s="10">
        <f t="shared" si="331"/>
        <v>1397</v>
      </c>
      <c r="B1560" s="124" t="s">
        <v>2057</v>
      </c>
      <c r="C1560" s="273">
        <f t="shared" si="329"/>
        <v>494922.14</v>
      </c>
      <c r="D1560" s="273">
        <f t="shared" si="330"/>
        <v>0</v>
      </c>
      <c r="E1560" s="273"/>
      <c r="F1560" s="273"/>
      <c r="G1560" s="273"/>
      <c r="H1560" s="273"/>
      <c r="I1560" s="273"/>
      <c r="J1560" s="273"/>
      <c r="K1560" s="273"/>
      <c r="L1560" s="273"/>
      <c r="M1560" s="273"/>
      <c r="N1560" s="273"/>
      <c r="O1560" s="273"/>
      <c r="P1560" s="273"/>
      <c r="Q1560" s="273"/>
      <c r="R1560" s="273"/>
      <c r="S1560" s="273"/>
      <c r="T1560" s="273"/>
      <c r="U1560" s="273"/>
      <c r="V1560" s="273"/>
      <c r="W1560" s="273">
        <f t="shared" si="332"/>
        <v>494922.14</v>
      </c>
      <c r="Y1560" s="273"/>
      <c r="AA1560" s="15"/>
      <c r="AC1560" s="273">
        <v>208470.92</v>
      </c>
      <c r="AD1560" s="15"/>
      <c r="AF1560" s="273">
        <v>286451.21999999997</v>
      </c>
      <c r="AH1560" s="15"/>
    </row>
    <row r="1561" spans="1:34" x14ac:dyDescent="0.3">
      <c r="A1561" s="10">
        <f t="shared" si="331"/>
        <v>1398</v>
      </c>
      <c r="B1561" s="124" t="s">
        <v>2058</v>
      </c>
      <c r="C1561" s="273">
        <f t="shared" si="329"/>
        <v>497376.71</v>
      </c>
      <c r="D1561" s="273">
        <f t="shared" si="330"/>
        <v>0</v>
      </c>
      <c r="E1561" s="273"/>
      <c r="F1561" s="273"/>
      <c r="G1561" s="273"/>
      <c r="H1561" s="273"/>
      <c r="I1561" s="273"/>
      <c r="J1561" s="273"/>
      <c r="K1561" s="273"/>
      <c r="L1561" s="273"/>
      <c r="M1561" s="273"/>
      <c r="N1561" s="273"/>
      <c r="O1561" s="273"/>
      <c r="P1561" s="273"/>
      <c r="Q1561" s="273"/>
      <c r="R1561" s="273"/>
      <c r="S1561" s="273"/>
      <c r="T1561" s="273"/>
      <c r="U1561" s="273"/>
      <c r="V1561" s="273"/>
      <c r="W1561" s="273">
        <f t="shared" si="332"/>
        <v>497376.71</v>
      </c>
      <c r="Y1561" s="273">
        <v>144842.29</v>
      </c>
      <c r="AA1561" s="273"/>
      <c r="AC1561" s="273">
        <f>72437.1+75248.21+72437.1</f>
        <v>220122.41</v>
      </c>
      <c r="AD1561" s="15"/>
      <c r="AF1561" s="273"/>
      <c r="AH1561" s="273">
        <v>132412.01</v>
      </c>
    </row>
    <row r="1562" spans="1:34" x14ac:dyDescent="0.3">
      <c r="A1562" s="10">
        <f t="shared" si="331"/>
        <v>1399</v>
      </c>
      <c r="B1562" s="124" t="s">
        <v>2059</v>
      </c>
      <c r="C1562" s="273">
        <f t="shared" si="329"/>
        <v>1882425.77</v>
      </c>
      <c r="D1562" s="273">
        <f t="shared" si="330"/>
        <v>0</v>
      </c>
      <c r="E1562" s="273"/>
      <c r="F1562" s="273"/>
      <c r="G1562" s="273"/>
      <c r="H1562" s="273"/>
      <c r="I1562" s="273"/>
      <c r="J1562" s="273"/>
      <c r="K1562" s="273"/>
      <c r="L1562" s="273"/>
      <c r="M1562" s="273"/>
      <c r="N1562" s="273"/>
      <c r="O1562" s="273"/>
      <c r="P1562" s="273"/>
      <c r="Q1562" s="273"/>
      <c r="R1562" s="273"/>
      <c r="S1562" s="273"/>
      <c r="T1562" s="273"/>
      <c r="U1562" s="273"/>
      <c r="V1562" s="273"/>
      <c r="W1562" s="273">
        <f>SUM(Y1562:AP1562)</f>
        <v>1882425.77</v>
      </c>
      <c r="Y1562" s="251"/>
      <c r="AA1562" s="15"/>
      <c r="AC1562" s="273">
        <v>201194.23999999999</v>
      </c>
      <c r="AD1562" s="15"/>
      <c r="AE1562" s="244">
        <v>434225.41</v>
      </c>
      <c r="AG1562" s="251">
        <v>1247006.1200000001</v>
      </c>
      <c r="AH1562" s="15"/>
    </row>
    <row r="1563" spans="1:34" x14ac:dyDescent="0.3">
      <c r="A1563" s="10">
        <f t="shared" si="331"/>
        <v>1400</v>
      </c>
      <c r="B1563" s="124" t="s">
        <v>2060</v>
      </c>
      <c r="C1563" s="273">
        <f t="shared" si="329"/>
        <v>204858.66</v>
      </c>
      <c r="D1563" s="273">
        <f t="shared" si="330"/>
        <v>0</v>
      </c>
      <c r="E1563" s="273"/>
      <c r="F1563" s="273"/>
      <c r="G1563" s="273"/>
      <c r="H1563" s="273"/>
      <c r="I1563" s="273"/>
      <c r="J1563" s="273"/>
      <c r="K1563" s="273"/>
      <c r="L1563" s="273"/>
      <c r="M1563" s="273"/>
      <c r="N1563" s="273"/>
      <c r="O1563" s="273"/>
      <c r="P1563" s="273"/>
      <c r="Q1563" s="273"/>
      <c r="R1563" s="273"/>
      <c r="S1563" s="273"/>
      <c r="T1563" s="273"/>
      <c r="U1563" s="273"/>
      <c r="V1563" s="273"/>
      <c r="W1563" s="273">
        <f t="shared" si="332"/>
        <v>204858.66</v>
      </c>
      <c r="Y1563" s="273"/>
      <c r="AA1563" s="15"/>
      <c r="AC1563" s="273">
        <v>204858.66</v>
      </c>
      <c r="AD1563" s="15"/>
      <c r="AF1563" s="273"/>
      <c r="AH1563" s="15"/>
    </row>
    <row r="1564" spans="1:34" x14ac:dyDescent="0.3">
      <c r="A1564" s="10">
        <f t="shared" si="331"/>
        <v>1401</v>
      </c>
      <c r="B1564" s="124" t="s">
        <v>2061</v>
      </c>
      <c r="C1564" s="273">
        <f t="shared" si="329"/>
        <v>219080.22</v>
      </c>
      <c r="D1564" s="273">
        <f t="shared" si="330"/>
        <v>0</v>
      </c>
      <c r="E1564" s="273"/>
      <c r="F1564" s="273"/>
      <c r="G1564" s="273"/>
      <c r="H1564" s="273"/>
      <c r="I1564" s="273"/>
      <c r="J1564" s="273"/>
      <c r="K1564" s="273"/>
      <c r="L1564" s="273"/>
      <c r="M1564" s="273"/>
      <c r="N1564" s="273"/>
      <c r="O1564" s="273"/>
      <c r="P1564" s="273"/>
      <c r="Q1564" s="273"/>
      <c r="R1564" s="273"/>
      <c r="S1564" s="273"/>
      <c r="T1564" s="273"/>
      <c r="U1564" s="273"/>
      <c r="V1564" s="273"/>
      <c r="W1564" s="273">
        <f t="shared" si="332"/>
        <v>219080.22</v>
      </c>
      <c r="Y1564" s="273"/>
      <c r="AA1564" s="15"/>
      <c r="AC1564" s="273">
        <v>219080.22</v>
      </c>
      <c r="AD1564" s="15"/>
      <c r="AF1564" s="273"/>
      <c r="AH1564" s="15"/>
    </row>
    <row r="1565" spans="1:34" x14ac:dyDescent="0.3">
      <c r="A1565" s="10">
        <f t="shared" si="331"/>
        <v>1402</v>
      </c>
      <c r="B1565" s="124" t="s">
        <v>2062</v>
      </c>
      <c r="C1565" s="273">
        <f t="shared" si="329"/>
        <v>612550.46</v>
      </c>
      <c r="D1565" s="273">
        <f t="shared" si="330"/>
        <v>0</v>
      </c>
      <c r="E1565" s="273"/>
      <c r="F1565" s="273"/>
      <c r="G1565" s="273"/>
      <c r="H1565" s="273"/>
      <c r="I1565" s="273"/>
      <c r="J1565" s="273"/>
      <c r="K1565" s="273"/>
      <c r="L1565" s="273"/>
      <c r="M1565" s="273"/>
      <c r="N1565" s="273"/>
      <c r="O1565" s="273"/>
      <c r="P1565" s="273"/>
      <c r="Q1565" s="273"/>
      <c r="R1565" s="273"/>
      <c r="S1565" s="273"/>
      <c r="T1565" s="273"/>
      <c r="U1565" s="273"/>
      <c r="V1565" s="273"/>
      <c r="W1565" s="273">
        <f t="shared" si="332"/>
        <v>612550.46</v>
      </c>
      <c r="Y1565" s="273">
        <v>394273.98</v>
      </c>
      <c r="AA1565" s="273"/>
      <c r="AC1565" s="273">
        <v>218276.48000000001</v>
      </c>
      <c r="AD1565" s="15"/>
      <c r="AF1565" s="273"/>
      <c r="AH1565" s="15"/>
    </row>
    <row r="1566" spans="1:34" x14ac:dyDescent="0.3">
      <c r="A1566" s="10">
        <f t="shared" si="331"/>
        <v>1403</v>
      </c>
      <c r="B1566" s="124" t="s">
        <v>2063</v>
      </c>
      <c r="C1566" s="273">
        <f t="shared" si="329"/>
        <v>130000</v>
      </c>
      <c r="D1566" s="273">
        <f t="shared" si="330"/>
        <v>0</v>
      </c>
      <c r="E1566" s="273"/>
      <c r="F1566" s="273"/>
      <c r="G1566" s="273"/>
      <c r="H1566" s="273"/>
      <c r="I1566" s="273"/>
      <c r="J1566" s="273"/>
      <c r="K1566" s="273"/>
      <c r="L1566" s="273"/>
      <c r="M1566" s="273"/>
      <c r="N1566" s="273"/>
      <c r="O1566" s="273"/>
      <c r="P1566" s="273"/>
      <c r="Q1566" s="273"/>
      <c r="R1566" s="273"/>
      <c r="S1566" s="273"/>
      <c r="T1566" s="273"/>
      <c r="U1566" s="273"/>
      <c r="V1566" s="273"/>
      <c r="W1566" s="273">
        <v>130000</v>
      </c>
      <c r="Y1566" s="273"/>
      <c r="AA1566" s="15"/>
      <c r="AC1566" s="273">
        <v>130000</v>
      </c>
      <c r="AD1566" s="15"/>
      <c r="AF1566" s="14"/>
      <c r="AH1566" s="15"/>
    </row>
    <row r="1567" spans="1:34" x14ac:dyDescent="0.3">
      <c r="A1567" s="10">
        <f t="shared" si="331"/>
        <v>1404</v>
      </c>
      <c r="B1567" s="124" t="s">
        <v>2065</v>
      </c>
      <c r="C1567" s="273">
        <f t="shared" si="329"/>
        <v>120193.26</v>
      </c>
      <c r="D1567" s="273">
        <f t="shared" si="330"/>
        <v>0</v>
      </c>
      <c r="E1567" s="273"/>
      <c r="F1567" s="273"/>
      <c r="G1567" s="273"/>
      <c r="H1567" s="273"/>
      <c r="I1567" s="273"/>
      <c r="J1567" s="273"/>
      <c r="K1567" s="273"/>
      <c r="L1567" s="273"/>
      <c r="M1567" s="273"/>
      <c r="N1567" s="273"/>
      <c r="O1567" s="273"/>
      <c r="P1567" s="273"/>
      <c r="Q1567" s="273"/>
      <c r="R1567" s="273"/>
      <c r="S1567" s="273"/>
      <c r="T1567" s="273"/>
      <c r="U1567" s="273"/>
      <c r="V1567" s="273"/>
      <c r="W1567" s="273">
        <f t="shared" ref="W1567:W1574" si="333">SUM(Y1567:AP1567)</f>
        <v>120193.26</v>
      </c>
      <c r="Y1567" s="273"/>
      <c r="AA1567" s="273"/>
      <c r="AC1567" s="273">
        <v>120193.26</v>
      </c>
      <c r="AD1567" s="15"/>
      <c r="AF1567" s="14"/>
      <c r="AH1567" s="15"/>
    </row>
    <row r="1568" spans="1:34" x14ac:dyDescent="0.3">
      <c r="A1568" s="10">
        <f t="shared" si="331"/>
        <v>1405</v>
      </c>
      <c r="B1568" s="124" t="s">
        <v>2066</v>
      </c>
      <c r="C1568" s="273">
        <f t="shared" si="329"/>
        <v>268919.8</v>
      </c>
      <c r="D1568" s="273">
        <f t="shared" si="330"/>
        <v>0</v>
      </c>
      <c r="E1568" s="273"/>
      <c r="F1568" s="273"/>
      <c r="G1568" s="273"/>
      <c r="H1568" s="273"/>
      <c r="I1568" s="273"/>
      <c r="J1568" s="273"/>
      <c r="K1568" s="273"/>
      <c r="L1568" s="273"/>
      <c r="M1568" s="273"/>
      <c r="N1568" s="273"/>
      <c r="O1568" s="273"/>
      <c r="P1568" s="273"/>
      <c r="Q1568" s="273"/>
      <c r="R1568" s="273"/>
      <c r="S1568" s="273"/>
      <c r="T1568" s="273"/>
      <c r="U1568" s="273"/>
      <c r="V1568" s="273"/>
      <c r="W1568" s="273">
        <f t="shared" si="333"/>
        <v>268919.8</v>
      </c>
      <c r="Y1568" s="273"/>
      <c r="AA1568" s="15"/>
      <c r="AC1568" s="273"/>
      <c r="AD1568" s="15"/>
      <c r="AF1568" s="273">
        <v>268919.8</v>
      </c>
      <c r="AH1568" s="15"/>
    </row>
    <row r="1569" spans="1:34" x14ac:dyDescent="0.3">
      <c r="A1569" s="10">
        <f t="shared" si="331"/>
        <v>1406</v>
      </c>
      <c r="B1569" s="124" t="s">
        <v>2067</v>
      </c>
      <c r="C1569" s="273">
        <f t="shared" si="329"/>
        <v>91748.54</v>
      </c>
      <c r="D1569" s="273">
        <f t="shared" si="330"/>
        <v>0</v>
      </c>
      <c r="E1569" s="273"/>
      <c r="F1569" s="273"/>
      <c r="G1569" s="273"/>
      <c r="H1569" s="273"/>
      <c r="I1569" s="273"/>
      <c r="J1569" s="273"/>
      <c r="K1569" s="273"/>
      <c r="L1569" s="273"/>
      <c r="M1569" s="273"/>
      <c r="N1569" s="273"/>
      <c r="O1569" s="273"/>
      <c r="P1569" s="273"/>
      <c r="Q1569" s="273"/>
      <c r="R1569" s="273"/>
      <c r="S1569" s="273"/>
      <c r="T1569" s="273"/>
      <c r="U1569" s="273"/>
      <c r="V1569" s="273"/>
      <c r="W1569" s="273">
        <f t="shared" si="333"/>
        <v>91748.54</v>
      </c>
      <c r="Y1569" s="273"/>
      <c r="AA1569" s="273"/>
      <c r="AC1569" s="273">
        <v>91748.54</v>
      </c>
      <c r="AD1569" s="15"/>
      <c r="AF1569" s="273"/>
      <c r="AH1569" s="15"/>
    </row>
    <row r="1570" spans="1:34" x14ac:dyDescent="0.3">
      <c r="A1570" s="10">
        <f t="shared" si="331"/>
        <v>1407</v>
      </c>
      <c r="B1570" s="124" t="s">
        <v>2068</v>
      </c>
      <c r="C1570" s="273">
        <f t="shared" si="329"/>
        <v>133521.65</v>
      </c>
      <c r="D1570" s="273">
        <f t="shared" si="330"/>
        <v>0</v>
      </c>
      <c r="E1570" s="273"/>
      <c r="F1570" s="273"/>
      <c r="G1570" s="273"/>
      <c r="H1570" s="273"/>
      <c r="I1570" s="273"/>
      <c r="J1570" s="273"/>
      <c r="K1570" s="273"/>
      <c r="L1570" s="273"/>
      <c r="M1570" s="273"/>
      <c r="N1570" s="273"/>
      <c r="O1570" s="273"/>
      <c r="P1570" s="273"/>
      <c r="Q1570" s="273"/>
      <c r="R1570" s="273"/>
      <c r="S1570" s="273"/>
      <c r="T1570" s="273"/>
      <c r="U1570" s="273"/>
      <c r="V1570" s="273"/>
      <c r="W1570" s="273">
        <f t="shared" si="333"/>
        <v>133521.65</v>
      </c>
      <c r="Y1570" s="273"/>
      <c r="AA1570" s="273"/>
      <c r="AC1570" s="273">
        <v>133521.65</v>
      </c>
      <c r="AD1570" s="15"/>
      <c r="AF1570" s="273"/>
      <c r="AH1570" s="15"/>
    </row>
    <row r="1571" spans="1:34" x14ac:dyDescent="0.3">
      <c r="A1571" s="10">
        <f t="shared" si="331"/>
        <v>1408</v>
      </c>
      <c r="B1571" s="124" t="s">
        <v>2069</v>
      </c>
      <c r="C1571" s="273">
        <f t="shared" si="329"/>
        <v>2244196.85</v>
      </c>
      <c r="D1571" s="273">
        <f t="shared" si="330"/>
        <v>2110675.2000000002</v>
      </c>
      <c r="E1571" s="273">
        <v>2110675.2000000002</v>
      </c>
      <c r="F1571" s="273"/>
      <c r="G1571" s="273"/>
      <c r="H1571" s="273"/>
      <c r="I1571" s="273"/>
      <c r="J1571" s="273"/>
      <c r="K1571" s="273"/>
      <c r="L1571" s="273"/>
      <c r="M1571" s="273"/>
      <c r="N1571" s="273"/>
      <c r="O1571" s="273"/>
      <c r="P1571" s="273"/>
      <c r="Q1571" s="273"/>
      <c r="R1571" s="273"/>
      <c r="S1571" s="273"/>
      <c r="T1571" s="273"/>
      <c r="U1571" s="273"/>
      <c r="V1571" s="273"/>
      <c r="W1571" s="273">
        <f t="shared" si="333"/>
        <v>133521.65</v>
      </c>
      <c r="Y1571" s="273"/>
      <c r="AA1571" s="273"/>
      <c r="AC1571" s="273">
        <v>133521.65</v>
      </c>
      <c r="AD1571" s="15"/>
      <c r="AF1571" s="273"/>
      <c r="AH1571" s="15"/>
    </row>
    <row r="1572" spans="1:34" x14ac:dyDescent="0.3">
      <c r="A1572" s="10">
        <f t="shared" si="331"/>
        <v>1409</v>
      </c>
      <c r="B1572" s="124" t="s">
        <v>2070</v>
      </c>
      <c r="C1572" s="273">
        <f t="shared" si="329"/>
        <v>209681.08</v>
      </c>
      <c r="D1572" s="273">
        <f t="shared" si="330"/>
        <v>0</v>
      </c>
      <c r="E1572" s="273"/>
      <c r="F1572" s="273"/>
      <c r="G1572" s="273"/>
      <c r="H1572" s="273"/>
      <c r="I1572" s="273"/>
      <c r="J1572" s="273"/>
      <c r="K1572" s="273"/>
      <c r="L1572" s="273"/>
      <c r="M1572" s="273"/>
      <c r="N1572" s="273"/>
      <c r="O1572" s="273"/>
      <c r="P1572" s="273"/>
      <c r="Q1572" s="273"/>
      <c r="R1572" s="273"/>
      <c r="S1572" s="273"/>
      <c r="T1572" s="273"/>
      <c r="U1572" s="273"/>
      <c r="V1572" s="273"/>
      <c r="W1572" s="273">
        <f t="shared" si="333"/>
        <v>209681.08</v>
      </c>
      <c r="Y1572" s="273"/>
      <c r="AA1572" s="273"/>
      <c r="AC1572" s="273">
        <v>209681.08</v>
      </c>
      <c r="AD1572" s="15"/>
      <c r="AF1572" s="273"/>
      <c r="AH1572" s="15"/>
    </row>
    <row r="1573" spans="1:34" x14ac:dyDescent="0.3">
      <c r="A1573" s="10">
        <f t="shared" si="331"/>
        <v>1410</v>
      </c>
      <c r="B1573" s="124" t="s">
        <v>2071</v>
      </c>
      <c r="C1573" s="273">
        <f t="shared" si="329"/>
        <v>259198.42</v>
      </c>
      <c r="D1573" s="273">
        <f t="shared" si="330"/>
        <v>0</v>
      </c>
      <c r="E1573" s="273"/>
      <c r="F1573" s="273"/>
      <c r="G1573" s="273"/>
      <c r="H1573" s="273"/>
      <c r="I1573" s="273"/>
      <c r="J1573" s="273"/>
      <c r="K1573" s="273"/>
      <c r="L1573" s="273"/>
      <c r="M1573" s="273"/>
      <c r="N1573" s="273"/>
      <c r="O1573" s="273"/>
      <c r="P1573" s="273"/>
      <c r="Q1573" s="273"/>
      <c r="R1573" s="273"/>
      <c r="S1573" s="273"/>
      <c r="T1573" s="273"/>
      <c r="U1573" s="273"/>
      <c r="V1573" s="273"/>
      <c r="W1573" s="273">
        <f t="shared" si="333"/>
        <v>259198.42</v>
      </c>
      <c r="Y1573" s="273"/>
      <c r="AA1573" s="15"/>
      <c r="AC1573" s="273"/>
      <c r="AD1573" s="15"/>
      <c r="AF1573" s="273">
        <v>259198.42</v>
      </c>
      <c r="AH1573" s="15"/>
    </row>
    <row r="1574" spans="1:34" x14ac:dyDescent="0.3">
      <c r="A1574" s="10">
        <f t="shared" si="331"/>
        <v>1411</v>
      </c>
      <c r="B1574" s="124" t="s">
        <v>2072</v>
      </c>
      <c r="C1574" s="273">
        <f t="shared" si="329"/>
        <v>136654.25</v>
      </c>
      <c r="D1574" s="273">
        <f t="shared" si="330"/>
        <v>0</v>
      </c>
      <c r="E1574" s="273"/>
      <c r="F1574" s="273"/>
      <c r="G1574" s="273"/>
      <c r="H1574" s="273"/>
      <c r="I1574" s="273"/>
      <c r="J1574" s="273"/>
      <c r="K1574" s="273"/>
      <c r="L1574" s="273"/>
      <c r="M1574" s="273"/>
      <c r="N1574" s="273"/>
      <c r="O1574" s="273"/>
      <c r="P1574" s="273"/>
      <c r="Q1574" s="273"/>
      <c r="R1574" s="273"/>
      <c r="S1574" s="273"/>
      <c r="T1574" s="273"/>
      <c r="U1574" s="273"/>
      <c r="V1574" s="273"/>
      <c r="W1574" s="273">
        <f t="shared" si="333"/>
        <v>136654.25</v>
      </c>
      <c r="Y1574" s="273"/>
      <c r="AA1574" s="15"/>
      <c r="AC1574" s="273">
        <v>136654.25</v>
      </c>
      <c r="AD1574" s="15"/>
      <c r="AF1574" s="273"/>
      <c r="AH1574" s="15"/>
    </row>
    <row r="1575" spans="1:34" x14ac:dyDescent="0.3">
      <c r="A1575" s="10">
        <f t="shared" si="331"/>
        <v>1412</v>
      </c>
      <c r="B1575" s="124" t="s">
        <v>2073</v>
      </c>
      <c r="C1575" s="273">
        <f t="shared" si="329"/>
        <v>315877.34000000003</v>
      </c>
      <c r="D1575" s="273">
        <f t="shared" si="330"/>
        <v>0</v>
      </c>
      <c r="E1575" s="273"/>
      <c r="F1575" s="273"/>
      <c r="G1575" s="273"/>
      <c r="H1575" s="273"/>
      <c r="I1575" s="273"/>
      <c r="J1575" s="273"/>
      <c r="K1575" s="273"/>
      <c r="L1575" s="273"/>
      <c r="M1575" s="273"/>
      <c r="N1575" s="273"/>
      <c r="O1575" s="273"/>
      <c r="P1575" s="273"/>
      <c r="Q1575" s="273"/>
      <c r="R1575" s="273"/>
      <c r="S1575" s="273"/>
      <c r="T1575" s="273"/>
      <c r="U1575" s="273"/>
      <c r="V1575" s="273"/>
      <c r="W1575" s="273">
        <f>SUM(X1575:AP1575)</f>
        <v>315877.34000000003</v>
      </c>
      <c r="X1575" s="273"/>
      <c r="Y1575" s="273"/>
      <c r="AA1575" s="273"/>
      <c r="AC1575" s="15"/>
      <c r="AD1575" s="15"/>
      <c r="AF1575" s="273">
        <v>315877.34000000003</v>
      </c>
      <c r="AH1575" s="15"/>
    </row>
    <row r="1576" spans="1:34" x14ac:dyDescent="0.3">
      <c r="A1576" s="8" t="s">
        <v>208</v>
      </c>
      <c r="B1576" s="122"/>
      <c r="C1576" s="273">
        <f>SUM(C1450:C1575)</f>
        <v>208246248.37</v>
      </c>
      <c r="D1576" s="273">
        <f t="shared" ref="D1576:V1576" si="334">SUM(D1450:D1575)</f>
        <v>105589376.7</v>
      </c>
      <c r="E1576" s="273">
        <f t="shared" si="334"/>
        <v>25190201.800000001</v>
      </c>
      <c r="F1576" s="273">
        <f t="shared" si="334"/>
        <v>69211369.900000006</v>
      </c>
      <c r="G1576" s="273">
        <f t="shared" si="334"/>
        <v>8124992.1999999993</v>
      </c>
      <c r="H1576" s="273">
        <f t="shared" si="334"/>
        <v>0</v>
      </c>
      <c r="I1576" s="273">
        <f t="shared" si="334"/>
        <v>3062812.8000000003</v>
      </c>
      <c r="J1576" s="273">
        <f t="shared" si="334"/>
        <v>0</v>
      </c>
      <c r="K1576" s="273">
        <f t="shared" si="334"/>
        <v>0</v>
      </c>
      <c r="L1576" s="273">
        <f t="shared" si="334"/>
        <v>0</v>
      </c>
      <c r="M1576" s="273">
        <f t="shared" si="334"/>
        <v>1612.1000000000001</v>
      </c>
      <c r="N1576" s="273">
        <f t="shared" si="334"/>
        <v>31036267.199999996</v>
      </c>
      <c r="O1576" s="273">
        <f t="shared" si="334"/>
        <v>929.1</v>
      </c>
      <c r="P1576" s="273">
        <f t="shared" si="334"/>
        <v>24558900.300000001</v>
      </c>
      <c r="Q1576" s="273">
        <f t="shared" si="334"/>
        <v>0</v>
      </c>
      <c r="R1576" s="273">
        <f t="shared" si="334"/>
        <v>0</v>
      </c>
      <c r="S1576" s="273">
        <f t="shared" si="334"/>
        <v>0</v>
      </c>
      <c r="T1576" s="273">
        <f t="shared" si="334"/>
        <v>0</v>
      </c>
      <c r="U1576" s="273">
        <f t="shared" si="334"/>
        <v>0</v>
      </c>
      <c r="V1576" s="273">
        <f t="shared" si="334"/>
        <v>8341867</v>
      </c>
      <c r="W1576" s="273">
        <f>SUM(X1576:AP1576)</f>
        <v>0</v>
      </c>
      <c r="X1576" s="273"/>
      <c r="Y1576" s="273"/>
      <c r="Z1576" s="14"/>
      <c r="AA1576" s="15"/>
      <c r="AC1576" s="15"/>
      <c r="AD1576" s="15"/>
      <c r="AH1576" s="15"/>
    </row>
    <row r="1577" spans="1:34" ht="24" customHeight="1" x14ac:dyDescent="0.3">
      <c r="A1577" s="385" t="s">
        <v>2078</v>
      </c>
      <c r="B1577" s="386"/>
      <c r="C1577" s="251">
        <f t="shared" ref="C1577:W1577" si="335">C1576</f>
        <v>208246248.37</v>
      </c>
      <c r="D1577" s="251">
        <f t="shared" si="335"/>
        <v>105589376.7</v>
      </c>
      <c r="E1577" s="251">
        <f t="shared" si="335"/>
        <v>25190201.800000001</v>
      </c>
      <c r="F1577" s="251">
        <f t="shared" si="335"/>
        <v>69211369.900000006</v>
      </c>
      <c r="G1577" s="251">
        <f t="shared" si="335"/>
        <v>8124992.1999999993</v>
      </c>
      <c r="H1577" s="251">
        <f t="shared" si="335"/>
        <v>0</v>
      </c>
      <c r="I1577" s="251">
        <f t="shared" si="335"/>
        <v>3062812.8000000003</v>
      </c>
      <c r="J1577" s="251">
        <f t="shared" si="335"/>
        <v>0</v>
      </c>
      <c r="K1577" s="251">
        <f t="shared" si="335"/>
        <v>0</v>
      </c>
      <c r="L1577" s="251">
        <f t="shared" si="335"/>
        <v>0</v>
      </c>
      <c r="M1577" s="251">
        <f t="shared" si="335"/>
        <v>1612.1000000000001</v>
      </c>
      <c r="N1577" s="251">
        <f t="shared" si="335"/>
        <v>31036267.199999996</v>
      </c>
      <c r="O1577" s="251">
        <f t="shared" si="335"/>
        <v>929.1</v>
      </c>
      <c r="P1577" s="251">
        <f t="shared" si="335"/>
        <v>24558900.300000001</v>
      </c>
      <c r="Q1577" s="251">
        <f t="shared" si="335"/>
        <v>0</v>
      </c>
      <c r="R1577" s="251">
        <f t="shared" si="335"/>
        <v>0</v>
      </c>
      <c r="S1577" s="251">
        <f t="shared" si="335"/>
        <v>0</v>
      </c>
      <c r="T1577" s="251">
        <f t="shared" si="335"/>
        <v>0</v>
      </c>
      <c r="U1577" s="251">
        <f t="shared" si="335"/>
        <v>0</v>
      </c>
      <c r="V1577" s="251">
        <f t="shared" si="335"/>
        <v>8341867</v>
      </c>
      <c r="W1577" s="251">
        <f t="shared" si="335"/>
        <v>0</v>
      </c>
      <c r="X1577" s="273"/>
      <c r="Y1577" s="273"/>
      <c r="Z1577" s="14"/>
      <c r="AA1577" s="15"/>
      <c r="AB1577" s="15"/>
      <c r="AC1577" s="15"/>
      <c r="AD1577" s="15"/>
    </row>
    <row r="1578" spans="1:34" x14ac:dyDescent="0.3">
      <c r="A1578" s="376" t="s">
        <v>2079</v>
      </c>
      <c r="B1578" s="377"/>
      <c r="C1578" s="377"/>
      <c r="D1578" s="377"/>
      <c r="E1578" s="377"/>
      <c r="F1578" s="377"/>
      <c r="G1578" s="377"/>
      <c r="H1578" s="377"/>
      <c r="I1578" s="377"/>
      <c r="J1578" s="377"/>
      <c r="K1578" s="377"/>
      <c r="L1578" s="377"/>
      <c r="M1578" s="377"/>
      <c r="N1578" s="377"/>
      <c r="O1578" s="377"/>
      <c r="P1578" s="377"/>
      <c r="Q1578" s="377"/>
      <c r="R1578" s="377"/>
      <c r="S1578" s="377"/>
      <c r="T1578" s="377"/>
      <c r="U1578" s="377"/>
      <c r="V1578" s="377"/>
      <c r="W1578" s="378"/>
      <c r="X1578" s="269"/>
      <c r="Y1578" s="7"/>
      <c r="Z1578" s="3"/>
      <c r="AA1578" s="13"/>
      <c r="AB1578" s="13"/>
      <c r="AC1578" s="13"/>
    </row>
    <row r="1579" spans="1:34" x14ac:dyDescent="0.3">
      <c r="A1579" s="131" t="s">
        <v>2080</v>
      </c>
      <c r="B1579" s="111"/>
      <c r="C1579" s="273"/>
      <c r="D1579" s="273"/>
      <c r="E1579" s="273"/>
      <c r="F1579" s="273"/>
      <c r="G1579" s="273"/>
      <c r="H1579" s="273"/>
      <c r="I1579" s="273"/>
      <c r="J1579" s="273"/>
      <c r="K1579" s="273"/>
      <c r="L1579" s="273"/>
      <c r="M1579" s="273"/>
      <c r="N1579" s="273"/>
      <c r="O1579" s="273"/>
      <c r="P1579" s="273"/>
      <c r="Q1579" s="273"/>
      <c r="R1579" s="273"/>
      <c r="S1579" s="273"/>
      <c r="T1579" s="273"/>
      <c r="U1579" s="273"/>
      <c r="V1579" s="273"/>
      <c r="W1579" s="273"/>
      <c r="X1579" s="269"/>
      <c r="Y1579" s="7"/>
      <c r="Z1579" s="3"/>
      <c r="AA1579" s="13"/>
      <c r="AB1579" s="13"/>
      <c r="AC1579" s="13"/>
    </row>
    <row r="1580" spans="1:34" x14ac:dyDescent="0.3">
      <c r="A1580" s="10">
        <f>A1575+1</f>
        <v>1413</v>
      </c>
      <c r="B1580" s="124" t="s">
        <v>2081</v>
      </c>
      <c r="C1580" s="273">
        <f>D1580+K1580+L1580+N1580+P1580+R1580+S1580+U1580+V1580+W1580</f>
        <v>5894640.6000000006</v>
      </c>
      <c r="D1580" s="273">
        <f>E1580+F1580+G1580+H1580+I1580</f>
        <v>0</v>
      </c>
      <c r="E1580" s="273"/>
      <c r="F1580" s="273"/>
      <c r="G1580" s="273"/>
      <c r="H1580" s="273"/>
      <c r="I1580" s="273"/>
      <c r="J1580" s="273"/>
      <c r="K1580" s="273"/>
      <c r="L1580" s="273"/>
      <c r="M1580" s="273">
        <v>944.2</v>
      </c>
      <c r="N1580" s="273">
        <f>M1580*6243</f>
        <v>5894640.6000000006</v>
      </c>
      <c r="O1580" s="273"/>
      <c r="P1580" s="273"/>
      <c r="Q1580" s="273"/>
      <c r="R1580" s="273"/>
      <c r="S1580" s="273"/>
      <c r="T1580" s="273"/>
      <c r="U1580" s="273"/>
      <c r="V1580" s="273"/>
      <c r="W1580" s="273"/>
      <c r="X1580" s="269"/>
      <c r="Y1580" s="7"/>
      <c r="Z1580" s="3"/>
      <c r="AA1580" s="13"/>
      <c r="AB1580" s="13"/>
      <c r="AC1580" s="13"/>
    </row>
    <row r="1581" spans="1:34" x14ac:dyDescent="0.3">
      <c r="A1581" s="10">
        <f>A1580+1</f>
        <v>1414</v>
      </c>
      <c r="B1581" s="124" t="s">
        <v>2082</v>
      </c>
      <c r="C1581" s="273">
        <f>D1581+K1581+L1581+N1581+P1581+R1581+S1581+U1581+V1581+W1581</f>
        <v>25205400</v>
      </c>
      <c r="D1581" s="273">
        <f>E1581+F1581+G1581+H1581+I1581</f>
        <v>0</v>
      </c>
      <c r="E1581" s="273"/>
      <c r="F1581" s="273"/>
      <c r="G1581" s="273"/>
      <c r="H1581" s="273"/>
      <c r="I1581" s="273"/>
      <c r="J1581" s="273"/>
      <c r="K1581" s="273"/>
      <c r="L1581" s="273"/>
      <c r="M1581" s="273"/>
      <c r="N1581" s="273"/>
      <c r="O1581" s="273"/>
      <c r="P1581" s="273"/>
      <c r="Q1581" s="273">
        <v>1800</v>
      </c>
      <c r="R1581" s="273">
        <f>Q1581*14003</f>
        <v>25205400</v>
      </c>
      <c r="S1581" s="273"/>
      <c r="T1581" s="273"/>
      <c r="U1581" s="273"/>
      <c r="V1581" s="273"/>
      <c r="W1581" s="273"/>
      <c r="X1581" s="269"/>
      <c r="Y1581" s="7"/>
      <c r="Z1581" s="3"/>
      <c r="AA1581" s="13"/>
      <c r="AB1581" s="13"/>
      <c r="AC1581" s="13"/>
    </row>
    <row r="1582" spans="1:34" x14ac:dyDescent="0.3">
      <c r="A1582" s="10">
        <f>A1581+1</f>
        <v>1415</v>
      </c>
      <c r="B1582" s="124" t="s">
        <v>2083</v>
      </c>
      <c r="C1582" s="273">
        <f>D1582+K1582+L1582+N1582+P1582+R1582+S1582+U1582+V1582+W1582</f>
        <v>25205400</v>
      </c>
      <c r="D1582" s="273">
        <f>E1582+F1582+G1582+H1582+I1582</f>
        <v>0</v>
      </c>
      <c r="E1582" s="273"/>
      <c r="F1582" s="273"/>
      <c r="G1582" s="273"/>
      <c r="H1582" s="273"/>
      <c r="I1582" s="273"/>
      <c r="J1582" s="273"/>
      <c r="K1582" s="273"/>
      <c r="L1582" s="273"/>
      <c r="M1582" s="273"/>
      <c r="N1582" s="273"/>
      <c r="O1582" s="273"/>
      <c r="P1582" s="273"/>
      <c r="Q1582" s="273">
        <v>1800</v>
      </c>
      <c r="R1582" s="273">
        <f>Q1582*14003</f>
        <v>25205400</v>
      </c>
      <c r="S1582" s="273"/>
      <c r="T1582" s="273"/>
      <c r="U1582" s="273"/>
      <c r="V1582" s="273"/>
      <c r="W1582" s="273"/>
      <c r="X1582" s="269"/>
      <c r="Y1582" s="7"/>
      <c r="Z1582" s="3"/>
      <c r="AA1582" s="13"/>
      <c r="AB1582" s="13"/>
      <c r="AC1582" s="13"/>
    </row>
    <row r="1583" spans="1:34" x14ac:dyDescent="0.3">
      <c r="A1583" s="133" t="s">
        <v>208</v>
      </c>
      <c r="B1583" s="122"/>
      <c r="C1583" s="273">
        <f t="shared" ref="C1583:W1583" si="336">SUM(C1580:C1582)</f>
        <v>56305440.600000001</v>
      </c>
      <c r="D1583" s="273">
        <f t="shared" si="336"/>
        <v>0</v>
      </c>
      <c r="E1583" s="273">
        <f t="shared" si="336"/>
        <v>0</v>
      </c>
      <c r="F1583" s="273">
        <f t="shared" si="336"/>
        <v>0</v>
      </c>
      <c r="G1583" s="273">
        <f t="shared" si="336"/>
        <v>0</v>
      </c>
      <c r="H1583" s="273">
        <f t="shared" si="336"/>
        <v>0</v>
      </c>
      <c r="I1583" s="273">
        <f t="shared" si="336"/>
        <v>0</v>
      </c>
      <c r="J1583" s="273">
        <f t="shared" si="336"/>
        <v>0</v>
      </c>
      <c r="K1583" s="273">
        <f t="shared" si="336"/>
        <v>0</v>
      </c>
      <c r="L1583" s="273">
        <f t="shared" si="336"/>
        <v>0</v>
      </c>
      <c r="M1583" s="273">
        <f t="shared" si="336"/>
        <v>944.2</v>
      </c>
      <c r="N1583" s="273">
        <f t="shared" si="336"/>
        <v>5894640.6000000006</v>
      </c>
      <c r="O1583" s="273">
        <f t="shared" si="336"/>
        <v>0</v>
      </c>
      <c r="P1583" s="273">
        <f t="shared" si="336"/>
        <v>0</v>
      </c>
      <c r="Q1583" s="273">
        <f t="shared" si="336"/>
        <v>3600</v>
      </c>
      <c r="R1583" s="273">
        <f t="shared" si="336"/>
        <v>50410800</v>
      </c>
      <c r="S1583" s="273">
        <f t="shared" si="336"/>
        <v>0</v>
      </c>
      <c r="T1583" s="273">
        <f t="shared" si="336"/>
        <v>0</v>
      </c>
      <c r="U1583" s="273">
        <f t="shared" si="336"/>
        <v>0</v>
      </c>
      <c r="V1583" s="273">
        <f t="shared" si="336"/>
        <v>0</v>
      </c>
      <c r="W1583" s="273">
        <f t="shared" si="336"/>
        <v>0</v>
      </c>
      <c r="X1583" s="269"/>
      <c r="Y1583" s="7"/>
      <c r="Z1583" s="3"/>
      <c r="AA1583" s="13"/>
      <c r="AB1583" s="13"/>
      <c r="AC1583" s="13"/>
    </row>
    <row r="1584" spans="1:34" x14ac:dyDescent="0.3">
      <c r="A1584" s="131" t="s">
        <v>2084</v>
      </c>
      <c r="B1584" s="111"/>
      <c r="C1584" s="273"/>
      <c r="D1584" s="273"/>
      <c r="E1584" s="273"/>
      <c r="F1584" s="273"/>
      <c r="G1584" s="273"/>
      <c r="H1584" s="273"/>
      <c r="I1584" s="273"/>
      <c r="J1584" s="273"/>
      <c r="K1584" s="273"/>
      <c r="L1584" s="273"/>
      <c r="M1584" s="273"/>
      <c r="N1584" s="273"/>
      <c r="O1584" s="273"/>
      <c r="P1584" s="273"/>
      <c r="Q1584" s="273"/>
      <c r="R1584" s="273"/>
      <c r="S1584" s="273"/>
      <c r="T1584" s="273"/>
      <c r="U1584" s="273"/>
      <c r="V1584" s="273"/>
      <c r="W1584" s="273"/>
      <c r="X1584" s="269"/>
      <c r="Y1584" s="7"/>
      <c r="Z1584" s="3"/>
      <c r="AA1584" s="13"/>
      <c r="AB1584" s="13"/>
      <c r="AC1584" s="13"/>
    </row>
    <row r="1585" spans="1:31" x14ac:dyDescent="0.3">
      <c r="A1585" s="10">
        <f>A1582+1</f>
        <v>1416</v>
      </c>
      <c r="B1585" s="124" t="s">
        <v>2085</v>
      </c>
      <c r="C1585" s="273">
        <f t="shared" ref="C1585:C1591" si="337">D1585+K1585+L1585+N1585+P1585+R1585+S1585+U1585+V1585+W1585</f>
        <v>23171490.140000001</v>
      </c>
      <c r="D1585" s="273">
        <f t="shared" ref="D1585:D1591" si="338">E1585+F1585+G1585+H1585+I1585</f>
        <v>7890921.6000000006</v>
      </c>
      <c r="E1585" s="273">
        <v>1151206.8</v>
      </c>
      <c r="F1585" s="273">
        <v>4040353.2</v>
      </c>
      <c r="G1585" s="273">
        <v>908744.4</v>
      </c>
      <c r="H1585" s="273">
        <v>1110997.2</v>
      </c>
      <c r="I1585" s="273">
        <v>679620</v>
      </c>
      <c r="J1585" s="273"/>
      <c r="K1585" s="273"/>
      <c r="L1585" s="273"/>
      <c r="M1585" s="273"/>
      <c r="N1585" s="273"/>
      <c r="O1585" s="273">
        <v>843</v>
      </c>
      <c r="P1585" s="273">
        <v>5853189.54</v>
      </c>
      <c r="Q1585" s="273"/>
      <c r="R1585" s="273"/>
      <c r="S1585" s="273"/>
      <c r="T1585" s="273"/>
      <c r="U1585" s="273"/>
      <c r="V1585" s="273">
        <f>13*(214531+392996+117656)</f>
        <v>9427379</v>
      </c>
      <c r="W1585" s="273"/>
      <c r="X1585" s="269"/>
      <c r="Y1585" s="7"/>
      <c r="Z1585" s="3"/>
      <c r="AA1585" s="13"/>
      <c r="AB1585" s="13"/>
      <c r="AC1585" s="13"/>
    </row>
    <row r="1586" spans="1:31" x14ac:dyDescent="0.3">
      <c r="A1586" s="10">
        <f t="shared" ref="A1586:A1591" si="339">A1585+1</f>
        <v>1417</v>
      </c>
      <c r="B1586" s="124" t="s">
        <v>2086</v>
      </c>
      <c r="C1586" s="273">
        <f t="shared" si="337"/>
        <v>9427379</v>
      </c>
      <c r="D1586" s="273">
        <f t="shared" si="338"/>
        <v>0</v>
      </c>
      <c r="E1586" s="273"/>
      <c r="F1586" s="273"/>
      <c r="G1586" s="273"/>
      <c r="H1586" s="273"/>
      <c r="I1586" s="273"/>
      <c r="J1586" s="273"/>
      <c r="K1586" s="273"/>
      <c r="L1586" s="273"/>
      <c r="M1586" s="273"/>
      <c r="N1586" s="273"/>
      <c r="O1586" s="273"/>
      <c r="P1586" s="273"/>
      <c r="Q1586" s="273"/>
      <c r="R1586" s="273"/>
      <c r="S1586" s="273"/>
      <c r="T1586" s="273"/>
      <c r="U1586" s="273"/>
      <c r="V1586" s="273">
        <f>13*(214531+392996+117656)</f>
        <v>9427379</v>
      </c>
      <c r="W1586" s="273"/>
      <c r="X1586" s="269"/>
      <c r="Y1586" s="7"/>
      <c r="Z1586" s="269"/>
      <c r="AA1586" s="13"/>
      <c r="AB1586" s="13"/>
      <c r="AC1586" s="13"/>
    </row>
    <row r="1587" spans="1:31" x14ac:dyDescent="0.3">
      <c r="A1587" s="10">
        <f t="shared" si="339"/>
        <v>1418</v>
      </c>
      <c r="B1587" s="124" t="s">
        <v>2087</v>
      </c>
      <c r="C1587" s="273">
        <f t="shared" si="337"/>
        <v>2307134.88</v>
      </c>
      <c r="D1587" s="273">
        <f t="shared" si="338"/>
        <v>0</v>
      </c>
      <c r="E1587" s="273"/>
      <c r="F1587" s="273"/>
      <c r="G1587" s="273"/>
      <c r="H1587" s="273"/>
      <c r="I1587" s="273"/>
      <c r="J1587" s="273"/>
      <c r="K1587" s="273"/>
      <c r="L1587" s="273"/>
      <c r="M1587" s="273"/>
      <c r="N1587" s="273"/>
      <c r="O1587" s="273">
        <v>189.9</v>
      </c>
      <c r="P1587" s="273">
        <v>2307134.88</v>
      </c>
      <c r="Q1587" s="273"/>
      <c r="R1587" s="273"/>
      <c r="S1587" s="273"/>
      <c r="T1587" s="273"/>
      <c r="U1587" s="273"/>
      <c r="V1587" s="273"/>
      <c r="W1587" s="273"/>
      <c r="X1587" s="269"/>
      <c r="Y1587" s="7"/>
      <c r="Z1587" s="269"/>
      <c r="AA1587" s="13"/>
      <c r="AB1587" s="13"/>
      <c r="AC1587" s="13"/>
    </row>
    <row r="1588" spans="1:31" x14ac:dyDescent="0.3">
      <c r="A1588" s="10">
        <f t="shared" si="339"/>
        <v>1419</v>
      </c>
      <c r="B1588" s="124" t="s">
        <v>2088</v>
      </c>
      <c r="C1588" s="273">
        <f t="shared" si="337"/>
        <v>2307134.88</v>
      </c>
      <c r="D1588" s="273">
        <f t="shared" si="338"/>
        <v>0</v>
      </c>
      <c r="E1588" s="273"/>
      <c r="F1588" s="273"/>
      <c r="G1588" s="273"/>
      <c r="H1588" s="273"/>
      <c r="I1588" s="273"/>
      <c r="J1588" s="273"/>
      <c r="K1588" s="273"/>
      <c r="L1588" s="273"/>
      <c r="M1588" s="273"/>
      <c r="N1588" s="273"/>
      <c r="O1588" s="273">
        <v>189.9</v>
      </c>
      <c r="P1588" s="273">
        <v>2307134.88</v>
      </c>
      <c r="Q1588" s="273"/>
      <c r="R1588" s="273"/>
      <c r="S1588" s="273"/>
      <c r="T1588" s="273"/>
      <c r="U1588" s="273"/>
      <c r="V1588" s="273"/>
      <c r="W1588" s="273"/>
      <c r="X1588" s="269"/>
      <c r="Y1588" s="7"/>
      <c r="Z1588" s="269"/>
      <c r="AA1588" s="13"/>
      <c r="AB1588" s="13"/>
      <c r="AC1588" s="13"/>
    </row>
    <row r="1589" spans="1:31" x14ac:dyDescent="0.3">
      <c r="A1589" s="10">
        <f t="shared" si="339"/>
        <v>1420</v>
      </c>
      <c r="B1589" s="124" t="s">
        <v>2090</v>
      </c>
      <c r="C1589" s="273">
        <f t="shared" si="337"/>
        <v>14353312.24</v>
      </c>
      <c r="D1589" s="273">
        <f t="shared" si="338"/>
        <v>966298</v>
      </c>
      <c r="E1589" s="273">
        <f>(2688*13)+(358323*2)</f>
        <v>751590</v>
      </c>
      <c r="F1589" s="273">
        <f>13*5502</f>
        <v>71526</v>
      </c>
      <c r="G1589" s="273">
        <f>13*3910</f>
        <v>50830</v>
      </c>
      <c r="H1589" s="273">
        <f>13*3910</f>
        <v>50830</v>
      </c>
      <c r="I1589" s="273">
        <f>13*3194</f>
        <v>41522</v>
      </c>
      <c r="J1589" s="273"/>
      <c r="K1589" s="273"/>
      <c r="L1589" s="273"/>
      <c r="M1589" s="273">
        <v>278</v>
      </c>
      <c r="N1589" s="273">
        <v>1652500.36</v>
      </c>
      <c r="O1589" s="273">
        <v>163</v>
      </c>
      <c r="P1589" s="273">
        <v>2307134.88</v>
      </c>
      <c r="Q1589" s="273"/>
      <c r="R1589" s="273"/>
      <c r="S1589" s="273"/>
      <c r="T1589" s="273"/>
      <c r="U1589" s="273"/>
      <c r="V1589" s="273">
        <f>13*(214531+392996+117656)</f>
        <v>9427379</v>
      </c>
      <c r="W1589" s="273"/>
      <c r="X1589" s="269"/>
      <c r="Y1589" s="84"/>
      <c r="Z1589" s="269"/>
      <c r="AA1589" s="82"/>
      <c r="AB1589" s="82"/>
      <c r="AC1589" s="82"/>
    </row>
    <row r="1590" spans="1:31" x14ac:dyDescent="0.3">
      <c r="A1590" s="10">
        <f t="shared" si="339"/>
        <v>1421</v>
      </c>
      <c r="B1590" s="124" t="s">
        <v>2093</v>
      </c>
      <c r="C1590" s="273">
        <f t="shared" si="337"/>
        <v>9427379</v>
      </c>
      <c r="D1590" s="273">
        <f t="shared" si="338"/>
        <v>0</v>
      </c>
      <c r="E1590" s="273"/>
      <c r="F1590" s="273"/>
      <c r="G1590" s="273"/>
      <c r="H1590" s="273"/>
      <c r="I1590" s="273"/>
      <c r="J1590" s="273"/>
      <c r="K1590" s="273"/>
      <c r="L1590" s="273"/>
      <c r="M1590" s="273"/>
      <c r="N1590" s="273"/>
      <c r="O1590" s="273"/>
      <c r="P1590" s="273"/>
      <c r="Q1590" s="273"/>
      <c r="R1590" s="273"/>
      <c r="S1590" s="273"/>
      <c r="T1590" s="273"/>
      <c r="U1590" s="273"/>
      <c r="V1590" s="273">
        <f>13*(214531+392996+117656)</f>
        <v>9427379</v>
      </c>
      <c r="W1590" s="273"/>
      <c r="X1590" s="269"/>
      <c r="Y1590" s="84"/>
      <c r="Z1590" s="269"/>
      <c r="AA1590" s="82"/>
      <c r="AB1590" s="82"/>
      <c r="AC1590" s="82"/>
    </row>
    <row r="1591" spans="1:31" x14ac:dyDescent="0.3">
      <c r="A1591" s="10">
        <f t="shared" si="339"/>
        <v>1422</v>
      </c>
      <c r="B1591" s="124" t="s">
        <v>2095</v>
      </c>
      <c r="C1591" s="273">
        <f t="shared" si="337"/>
        <v>546108</v>
      </c>
      <c r="D1591" s="273">
        <f t="shared" si="338"/>
        <v>0</v>
      </c>
      <c r="E1591" s="273"/>
      <c r="F1591" s="273"/>
      <c r="G1591" s="273"/>
      <c r="H1591" s="273"/>
      <c r="I1591" s="273"/>
      <c r="J1591" s="273"/>
      <c r="K1591" s="273"/>
      <c r="L1591" s="273"/>
      <c r="M1591" s="273"/>
      <c r="N1591" s="273"/>
      <c r="O1591" s="273">
        <v>1106.7</v>
      </c>
      <c r="P1591" s="273">
        <v>546108</v>
      </c>
      <c r="Q1591" s="273"/>
      <c r="R1591" s="273"/>
      <c r="S1591" s="273"/>
      <c r="T1591" s="273"/>
      <c r="U1591" s="273"/>
      <c r="V1591" s="273"/>
      <c r="W1591" s="273"/>
      <c r="X1591" s="269"/>
      <c r="Y1591" s="84"/>
      <c r="Z1591" s="269"/>
      <c r="AA1591" s="82"/>
      <c r="AB1591" s="82"/>
      <c r="AC1591" s="82"/>
    </row>
    <row r="1592" spans="1:31" x14ac:dyDescent="0.3">
      <c r="A1592" s="133" t="s">
        <v>208</v>
      </c>
      <c r="B1592" s="122"/>
      <c r="C1592" s="273">
        <f t="shared" ref="C1592:W1592" si="340">SUM(C1585:C1591)</f>
        <v>61539938.140000008</v>
      </c>
      <c r="D1592" s="273">
        <f t="shared" si="340"/>
        <v>8857219.6000000015</v>
      </c>
      <c r="E1592" s="273">
        <f t="shared" si="340"/>
        <v>1902796.8</v>
      </c>
      <c r="F1592" s="273">
        <f t="shared" si="340"/>
        <v>4111879.2</v>
      </c>
      <c r="G1592" s="273">
        <f t="shared" si="340"/>
        <v>959574.4</v>
      </c>
      <c r="H1592" s="273">
        <f t="shared" si="340"/>
        <v>1161827.2</v>
      </c>
      <c r="I1592" s="273">
        <f t="shared" si="340"/>
        <v>721142</v>
      </c>
      <c r="J1592" s="273">
        <f t="shared" si="340"/>
        <v>0</v>
      </c>
      <c r="K1592" s="273">
        <f t="shared" si="340"/>
        <v>0</v>
      </c>
      <c r="L1592" s="273">
        <f t="shared" si="340"/>
        <v>0</v>
      </c>
      <c r="M1592" s="273">
        <f t="shared" si="340"/>
        <v>278</v>
      </c>
      <c r="N1592" s="273">
        <f t="shared" si="340"/>
        <v>1652500.36</v>
      </c>
      <c r="O1592" s="273">
        <f t="shared" si="340"/>
        <v>2492.5</v>
      </c>
      <c r="P1592" s="273">
        <f t="shared" si="340"/>
        <v>13320702.18</v>
      </c>
      <c r="Q1592" s="273">
        <f t="shared" si="340"/>
        <v>0</v>
      </c>
      <c r="R1592" s="273">
        <f t="shared" si="340"/>
        <v>0</v>
      </c>
      <c r="S1592" s="273">
        <f t="shared" si="340"/>
        <v>0</v>
      </c>
      <c r="T1592" s="273">
        <f t="shared" si="340"/>
        <v>0</v>
      </c>
      <c r="U1592" s="273">
        <f t="shared" si="340"/>
        <v>0</v>
      </c>
      <c r="V1592" s="273">
        <f t="shared" si="340"/>
        <v>37709516</v>
      </c>
      <c r="W1592" s="273">
        <f t="shared" si="340"/>
        <v>0</v>
      </c>
      <c r="X1592" s="269"/>
      <c r="Y1592" s="84"/>
      <c r="Z1592" s="269"/>
      <c r="AA1592" s="82"/>
      <c r="AB1592" s="82"/>
      <c r="AC1592" s="82"/>
    </row>
    <row r="1593" spans="1:31" x14ac:dyDescent="0.3">
      <c r="A1593" s="131" t="s">
        <v>2098</v>
      </c>
      <c r="B1593" s="111"/>
      <c r="C1593" s="273"/>
      <c r="D1593" s="273"/>
      <c r="E1593" s="273"/>
      <c r="F1593" s="273"/>
      <c r="G1593" s="273"/>
      <c r="H1593" s="273"/>
      <c r="I1593" s="273"/>
      <c r="J1593" s="273"/>
      <c r="K1593" s="273"/>
      <c r="L1593" s="273"/>
      <c r="M1593" s="273"/>
      <c r="N1593" s="273"/>
      <c r="O1593" s="273"/>
      <c r="P1593" s="273"/>
      <c r="Q1593" s="273"/>
      <c r="R1593" s="273"/>
      <c r="S1593" s="273"/>
      <c r="T1593" s="273"/>
      <c r="U1593" s="273"/>
      <c r="V1593" s="273"/>
      <c r="W1593" s="273"/>
      <c r="X1593" s="269"/>
      <c r="Y1593" s="84"/>
      <c r="Z1593" s="269"/>
      <c r="AA1593" s="82"/>
      <c r="AB1593" s="82"/>
      <c r="AC1593" s="82"/>
    </row>
    <row r="1594" spans="1:31" x14ac:dyDescent="0.3">
      <c r="A1594" s="10">
        <f>A1591+1</f>
        <v>1423</v>
      </c>
      <c r="B1594" s="124" t="s">
        <v>2099</v>
      </c>
      <c r="C1594" s="273">
        <f t="shared" ref="C1594:C1599" si="341">D1594+K1594+L1594+N1594+P1594+R1594+S1594+U1594+V1594+W1594</f>
        <v>304782.61</v>
      </c>
      <c r="D1594" s="273">
        <f t="shared" ref="D1594:D1599" si="342">E1594+F1594+G1594+H1594+I1594</f>
        <v>0</v>
      </c>
      <c r="E1594" s="273"/>
      <c r="F1594" s="273"/>
      <c r="G1594" s="273"/>
      <c r="H1594" s="273"/>
      <c r="I1594" s="273"/>
      <c r="J1594" s="273"/>
      <c r="K1594" s="273"/>
      <c r="L1594" s="273"/>
      <c r="M1594" s="273"/>
      <c r="N1594" s="273"/>
      <c r="O1594" s="273"/>
      <c r="P1594" s="273"/>
      <c r="Q1594" s="273"/>
      <c r="R1594" s="273"/>
      <c r="S1594" s="273"/>
      <c r="T1594" s="273"/>
      <c r="U1594" s="273"/>
      <c r="V1594" s="273"/>
      <c r="W1594" s="273">
        <f t="shared" ref="W1594:W1599" si="343">SUM(Y1594:AE1594)</f>
        <v>304782.61</v>
      </c>
      <c r="Y1594" s="84"/>
      <c r="Z1594" s="269"/>
      <c r="AA1594" s="82"/>
      <c r="AB1594" s="82"/>
      <c r="AC1594" s="271">
        <v>107164.56</v>
      </c>
      <c r="AE1594" s="269">
        <v>197618.05</v>
      </c>
    </row>
    <row r="1595" spans="1:31" x14ac:dyDescent="0.3">
      <c r="A1595" s="10">
        <f>A1594+1</f>
        <v>1424</v>
      </c>
      <c r="B1595" s="124" t="s">
        <v>2100</v>
      </c>
      <c r="C1595" s="273">
        <f t="shared" si="341"/>
        <v>514069.18</v>
      </c>
      <c r="D1595" s="273">
        <f t="shared" si="342"/>
        <v>0</v>
      </c>
      <c r="E1595" s="273"/>
      <c r="F1595" s="273"/>
      <c r="G1595" s="273"/>
      <c r="H1595" s="273"/>
      <c r="I1595" s="273"/>
      <c r="J1595" s="273"/>
      <c r="K1595" s="273"/>
      <c r="L1595" s="273"/>
      <c r="M1595" s="273"/>
      <c r="N1595" s="273"/>
      <c r="O1595" s="273"/>
      <c r="P1595" s="273"/>
      <c r="Q1595" s="273"/>
      <c r="R1595" s="273"/>
      <c r="S1595" s="273"/>
      <c r="T1595" s="273"/>
      <c r="U1595" s="273"/>
      <c r="V1595" s="273"/>
      <c r="W1595" s="273">
        <f t="shared" si="343"/>
        <v>514069.18</v>
      </c>
      <c r="Y1595" s="84"/>
      <c r="Z1595" s="269"/>
      <c r="AA1595" s="82"/>
      <c r="AB1595" s="82"/>
      <c r="AC1595" s="271">
        <f>102638.23+120893.3+101053.79</f>
        <v>324585.32</v>
      </c>
      <c r="AE1595" s="269">
        <v>189483.86</v>
      </c>
    </row>
    <row r="1596" spans="1:31" x14ac:dyDescent="0.3">
      <c r="A1596" s="10">
        <f>A1595+1</f>
        <v>1425</v>
      </c>
      <c r="B1596" s="124" t="s">
        <v>2101</v>
      </c>
      <c r="C1596" s="273">
        <f t="shared" si="341"/>
        <v>514069.18</v>
      </c>
      <c r="D1596" s="273">
        <f t="shared" si="342"/>
        <v>0</v>
      </c>
      <c r="E1596" s="273"/>
      <c r="F1596" s="273"/>
      <c r="G1596" s="273"/>
      <c r="H1596" s="273"/>
      <c r="I1596" s="273"/>
      <c r="J1596" s="273"/>
      <c r="K1596" s="273"/>
      <c r="L1596" s="273"/>
      <c r="M1596" s="273"/>
      <c r="N1596" s="273"/>
      <c r="O1596" s="273"/>
      <c r="P1596" s="273"/>
      <c r="Q1596" s="273"/>
      <c r="R1596" s="273"/>
      <c r="S1596" s="273"/>
      <c r="T1596" s="273"/>
      <c r="U1596" s="273"/>
      <c r="V1596" s="273"/>
      <c r="W1596" s="273">
        <f t="shared" si="343"/>
        <v>514069.18</v>
      </c>
      <c r="Y1596" s="84"/>
      <c r="Z1596" s="269"/>
      <c r="AA1596" s="82"/>
      <c r="AB1596" s="82"/>
      <c r="AC1596" s="271">
        <f>102638.23+120893.3+101053.79</f>
        <v>324585.32</v>
      </c>
      <c r="AE1596" s="269">
        <v>189483.86</v>
      </c>
    </row>
    <row r="1597" spans="1:31" x14ac:dyDescent="0.3">
      <c r="A1597" s="10">
        <f>A1596+1</f>
        <v>1426</v>
      </c>
      <c r="B1597" s="124" t="s">
        <v>2102</v>
      </c>
      <c r="C1597" s="273">
        <f t="shared" si="341"/>
        <v>517932.61</v>
      </c>
      <c r="D1597" s="273">
        <f t="shared" si="342"/>
        <v>0</v>
      </c>
      <c r="E1597" s="273"/>
      <c r="F1597" s="273"/>
      <c r="G1597" s="273"/>
      <c r="H1597" s="273"/>
      <c r="I1597" s="273"/>
      <c r="J1597" s="273"/>
      <c r="K1597" s="273"/>
      <c r="L1597" s="273"/>
      <c r="M1597" s="273"/>
      <c r="N1597" s="273"/>
      <c r="O1597" s="273"/>
      <c r="P1597" s="273"/>
      <c r="Q1597" s="273"/>
      <c r="R1597" s="273"/>
      <c r="S1597" s="273"/>
      <c r="T1597" s="273"/>
      <c r="U1597" s="273"/>
      <c r="V1597" s="273"/>
      <c r="W1597" s="273">
        <f t="shared" si="343"/>
        <v>517932.61</v>
      </c>
      <c r="Y1597" s="84"/>
      <c r="Z1597" s="269"/>
      <c r="AA1597" s="82"/>
      <c r="AB1597" s="82"/>
      <c r="AC1597" s="271">
        <f>103495.62+121755.54+101872.32</f>
        <v>327123.48</v>
      </c>
      <c r="AE1597" s="269">
        <v>190809.13</v>
      </c>
    </row>
    <row r="1598" spans="1:31" x14ac:dyDescent="0.3">
      <c r="A1598" s="10">
        <f>A1597+1</f>
        <v>1427</v>
      </c>
      <c r="B1598" s="124" t="s">
        <v>2103</v>
      </c>
      <c r="C1598" s="273">
        <f t="shared" si="341"/>
        <v>517932.61</v>
      </c>
      <c r="D1598" s="273">
        <f t="shared" si="342"/>
        <v>0</v>
      </c>
      <c r="E1598" s="273"/>
      <c r="F1598" s="273"/>
      <c r="G1598" s="273"/>
      <c r="H1598" s="273"/>
      <c r="I1598" s="273"/>
      <c r="J1598" s="273"/>
      <c r="K1598" s="273"/>
      <c r="L1598" s="273"/>
      <c r="M1598" s="273"/>
      <c r="N1598" s="273"/>
      <c r="O1598" s="273"/>
      <c r="P1598" s="273"/>
      <c r="Q1598" s="273"/>
      <c r="R1598" s="273"/>
      <c r="S1598" s="273"/>
      <c r="T1598" s="273"/>
      <c r="U1598" s="273"/>
      <c r="V1598" s="273"/>
      <c r="W1598" s="273">
        <f t="shared" si="343"/>
        <v>517932.61</v>
      </c>
      <c r="Y1598" s="84"/>
      <c r="Z1598" s="269"/>
      <c r="AA1598" s="82"/>
      <c r="AB1598" s="82"/>
      <c r="AC1598" s="271">
        <f>103495.62+121755.54+101872.32</f>
        <v>327123.48</v>
      </c>
      <c r="AE1598" s="269">
        <v>190809.13</v>
      </c>
    </row>
    <row r="1599" spans="1:31" x14ac:dyDescent="0.3">
      <c r="A1599" s="10">
        <f>A1598+1</f>
        <v>1428</v>
      </c>
      <c r="B1599" s="124" t="s">
        <v>2104</v>
      </c>
      <c r="C1599" s="273">
        <f t="shared" si="341"/>
        <v>540518.56000000006</v>
      </c>
      <c r="D1599" s="273">
        <f t="shared" si="342"/>
        <v>0</v>
      </c>
      <c r="E1599" s="273"/>
      <c r="F1599" s="273"/>
      <c r="G1599" s="273"/>
      <c r="H1599" s="273"/>
      <c r="I1599" s="273"/>
      <c r="J1599" s="273"/>
      <c r="K1599" s="273"/>
      <c r="L1599" s="273"/>
      <c r="M1599" s="273"/>
      <c r="N1599" s="273"/>
      <c r="O1599" s="273"/>
      <c r="P1599" s="273"/>
      <c r="Q1599" s="273"/>
      <c r="R1599" s="273"/>
      <c r="S1599" s="273"/>
      <c r="T1599" s="273"/>
      <c r="U1599" s="273"/>
      <c r="V1599" s="273"/>
      <c r="W1599" s="273">
        <f t="shared" si="343"/>
        <v>540518.56000000006</v>
      </c>
      <c r="Y1599" s="84"/>
      <c r="Z1599" s="269"/>
      <c r="AA1599" s="82"/>
      <c r="AB1599" s="82"/>
      <c r="AC1599" s="271">
        <f>108508.02+106657.58+126796.21</f>
        <v>341961.81</v>
      </c>
      <c r="AE1599" s="269">
        <v>198556.75</v>
      </c>
    </row>
    <row r="1600" spans="1:31" x14ac:dyDescent="0.3">
      <c r="A1600" s="133" t="s">
        <v>208</v>
      </c>
      <c r="B1600" s="122"/>
      <c r="C1600" s="273">
        <f t="shared" ref="C1600:W1600" si="344">SUM(C1594:C1599)</f>
        <v>2909304.75</v>
      </c>
      <c r="D1600" s="273">
        <f t="shared" si="344"/>
        <v>0</v>
      </c>
      <c r="E1600" s="273">
        <f t="shared" si="344"/>
        <v>0</v>
      </c>
      <c r="F1600" s="273">
        <f t="shared" si="344"/>
        <v>0</v>
      </c>
      <c r="G1600" s="273">
        <f t="shared" si="344"/>
        <v>0</v>
      </c>
      <c r="H1600" s="273">
        <f t="shared" si="344"/>
        <v>0</v>
      </c>
      <c r="I1600" s="273">
        <f t="shared" si="344"/>
        <v>0</v>
      </c>
      <c r="J1600" s="273">
        <f t="shared" si="344"/>
        <v>0</v>
      </c>
      <c r="K1600" s="273">
        <f t="shared" si="344"/>
        <v>0</v>
      </c>
      <c r="L1600" s="273">
        <f t="shared" si="344"/>
        <v>0</v>
      </c>
      <c r="M1600" s="273">
        <f t="shared" si="344"/>
        <v>0</v>
      </c>
      <c r="N1600" s="273">
        <f t="shared" si="344"/>
        <v>0</v>
      </c>
      <c r="O1600" s="273">
        <f t="shared" si="344"/>
        <v>0</v>
      </c>
      <c r="P1600" s="273">
        <f t="shared" si="344"/>
        <v>0</v>
      </c>
      <c r="Q1600" s="273">
        <f t="shared" si="344"/>
        <v>0</v>
      </c>
      <c r="R1600" s="273">
        <f t="shared" si="344"/>
        <v>0</v>
      </c>
      <c r="S1600" s="273">
        <f t="shared" si="344"/>
        <v>0</v>
      </c>
      <c r="T1600" s="273">
        <f t="shared" si="344"/>
        <v>0</v>
      </c>
      <c r="U1600" s="273">
        <f t="shared" si="344"/>
        <v>0</v>
      </c>
      <c r="V1600" s="273">
        <f t="shared" si="344"/>
        <v>0</v>
      </c>
      <c r="W1600" s="273">
        <f t="shared" si="344"/>
        <v>2909304.75</v>
      </c>
      <c r="X1600" s="269"/>
      <c r="Y1600" s="84"/>
      <c r="Z1600" s="269"/>
      <c r="AA1600" s="82"/>
      <c r="AB1600" s="82"/>
      <c r="AC1600" s="82"/>
    </row>
    <row r="1601" spans="1:33" x14ac:dyDescent="0.3">
      <c r="A1601" s="131" t="s">
        <v>2110</v>
      </c>
      <c r="B1601" s="111"/>
      <c r="C1601" s="273"/>
      <c r="D1601" s="273"/>
      <c r="E1601" s="273"/>
      <c r="F1601" s="273"/>
      <c r="G1601" s="273"/>
      <c r="H1601" s="273"/>
      <c r="I1601" s="273"/>
      <c r="J1601" s="273"/>
      <c r="K1601" s="273"/>
      <c r="L1601" s="273"/>
      <c r="M1601" s="273"/>
      <c r="N1601" s="273"/>
      <c r="O1601" s="273"/>
      <c r="P1601" s="273"/>
      <c r="Q1601" s="273"/>
      <c r="R1601" s="273"/>
      <c r="S1601" s="273"/>
      <c r="T1601" s="273"/>
      <c r="U1601" s="273"/>
      <c r="V1601" s="273"/>
      <c r="W1601" s="273"/>
      <c r="X1601" s="269"/>
      <c r="Y1601" s="84"/>
      <c r="Z1601" s="269"/>
      <c r="AA1601" s="82"/>
      <c r="AB1601" s="82"/>
      <c r="AC1601" s="82"/>
    </row>
    <row r="1602" spans="1:33" x14ac:dyDescent="0.3">
      <c r="A1602" s="10">
        <f>A1599+1</f>
        <v>1429</v>
      </c>
      <c r="B1602" s="124" t="s">
        <v>2111</v>
      </c>
      <c r="C1602" s="273">
        <f t="shared" ref="C1602:C1613" si="345">D1602+K1602+L1602+N1602+P1602+R1602+S1602+U1602+V1602+W1602</f>
        <v>130000</v>
      </c>
      <c r="D1602" s="273">
        <f t="shared" ref="D1602:D1613" si="346">E1602+F1602+G1602+H1602+I1602</f>
        <v>0</v>
      </c>
      <c r="E1602" s="273"/>
      <c r="F1602" s="273"/>
      <c r="G1602" s="273"/>
      <c r="H1602" s="273"/>
      <c r="I1602" s="273"/>
      <c r="J1602" s="273"/>
      <c r="K1602" s="273"/>
      <c r="L1602" s="273"/>
      <c r="M1602" s="273"/>
      <c r="N1602" s="273"/>
      <c r="O1602" s="273"/>
      <c r="P1602" s="273"/>
      <c r="Q1602" s="273"/>
      <c r="R1602" s="273"/>
      <c r="S1602" s="273"/>
      <c r="T1602" s="273"/>
      <c r="U1602" s="273"/>
      <c r="V1602" s="273"/>
      <c r="W1602" s="273">
        <v>130000</v>
      </c>
      <c r="X1602" s="269"/>
      <c r="Y1602" s="84"/>
      <c r="Z1602" s="269"/>
      <c r="AA1602" s="82"/>
      <c r="AB1602" s="82"/>
      <c r="AC1602" s="82">
        <v>130000</v>
      </c>
    </row>
    <row r="1603" spans="1:33" x14ac:dyDescent="0.3">
      <c r="A1603" s="10">
        <f t="shared" ref="A1603:A1613" si="347">A1602+1</f>
        <v>1430</v>
      </c>
      <c r="B1603" s="124" t="s">
        <v>2112</v>
      </c>
      <c r="C1603" s="273">
        <f t="shared" si="345"/>
        <v>130000</v>
      </c>
      <c r="D1603" s="273">
        <f t="shared" si="346"/>
        <v>0</v>
      </c>
      <c r="E1603" s="273"/>
      <c r="F1603" s="273"/>
      <c r="G1603" s="273"/>
      <c r="H1603" s="273"/>
      <c r="I1603" s="273"/>
      <c r="J1603" s="273"/>
      <c r="K1603" s="273"/>
      <c r="L1603" s="273"/>
      <c r="M1603" s="273"/>
      <c r="N1603" s="273"/>
      <c r="O1603" s="273"/>
      <c r="P1603" s="273"/>
      <c r="Q1603" s="273"/>
      <c r="R1603" s="273"/>
      <c r="S1603" s="273"/>
      <c r="T1603" s="273"/>
      <c r="U1603" s="273"/>
      <c r="V1603" s="273"/>
      <c r="W1603" s="273">
        <v>130000</v>
      </c>
      <c r="X1603" s="269"/>
      <c r="Y1603" s="84"/>
      <c r="Z1603" s="269"/>
      <c r="AA1603" s="82"/>
      <c r="AB1603" s="82"/>
      <c r="AC1603" s="82">
        <v>130000</v>
      </c>
    </row>
    <row r="1604" spans="1:33" x14ac:dyDescent="0.3">
      <c r="A1604" s="10">
        <f t="shared" si="347"/>
        <v>1431</v>
      </c>
      <c r="B1604" s="124" t="s">
        <v>2113</v>
      </c>
      <c r="C1604" s="273">
        <f t="shared" si="345"/>
        <v>130000</v>
      </c>
      <c r="D1604" s="273">
        <f t="shared" si="346"/>
        <v>0</v>
      </c>
      <c r="E1604" s="273"/>
      <c r="F1604" s="273"/>
      <c r="G1604" s="273"/>
      <c r="H1604" s="273"/>
      <c r="I1604" s="273"/>
      <c r="J1604" s="273"/>
      <c r="K1604" s="273"/>
      <c r="L1604" s="273"/>
      <c r="M1604" s="273"/>
      <c r="N1604" s="273"/>
      <c r="O1604" s="273"/>
      <c r="P1604" s="273"/>
      <c r="Q1604" s="273"/>
      <c r="R1604" s="273"/>
      <c r="S1604" s="273"/>
      <c r="T1604" s="273"/>
      <c r="U1604" s="273"/>
      <c r="V1604" s="273"/>
      <c r="W1604" s="273">
        <v>130000</v>
      </c>
      <c r="X1604" s="269"/>
      <c r="Y1604" s="84"/>
      <c r="Z1604" s="269"/>
      <c r="AA1604" s="82"/>
      <c r="AB1604" s="82"/>
      <c r="AC1604" s="82">
        <v>130000</v>
      </c>
    </row>
    <row r="1605" spans="1:33" x14ac:dyDescent="0.3">
      <c r="A1605" s="10">
        <f t="shared" si="347"/>
        <v>1432</v>
      </c>
      <c r="B1605" s="124" t="s">
        <v>2114</v>
      </c>
      <c r="C1605" s="273">
        <f t="shared" si="345"/>
        <v>130000</v>
      </c>
      <c r="D1605" s="273">
        <f t="shared" si="346"/>
        <v>0</v>
      </c>
      <c r="E1605" s="273"/>
      <c r="F1605" s="273"/>
      <c r="G1605" s="273"/>
      <c r="H1605" s="273"/>
      <c r="I1605" s="273"/>
      <c r="J1605" s="273"/>
      <c r="K1605" s="273"/>
      <c r="L1605" s="273"/>
      <c r="M1605" s="273"/>
      <c r="N1605" s="273"/>
      <c r="O1605" s="273"/>
      <c r="P1605" s="273"/>
      <c r="Q1605" s="273"/>
      <c r="R1605" s="273"/>
      <c r="S1605" s="273"/>
      <c r="T1605" s="273"/>
      <c r="U1605" s="273"/>
      <c r="V1605" s="273"/>
      <c r="W1605" s="273">
        <v>130000</v>
      </c>
      <c r="X1605" s="269"/>
      <c r="Y1605" s="84"/>
      <c r="Z1605" s="269"/>
      <c r="AA1605" s="82"/>
      <c r="AB1605" s="82"/>
      <c r="AC1605" s="82">
        <v>130000</v>
      </c>
    </row>
    <row r="1606" spans="1:33" x14ac:dyDescent="0.3">
      <c r="A1606" s="10">
        <f t="shared" si="347"/>
        <v>1433</v>
      </c>
      <c r="B1606" s="124" t="s">
        <v>2115</v>
      </c>
      <c r="C1606" s="273">
        <f t="shared" si="345"/>
        <v>130000</v>
      </c>
      <c r="D1606" s="273">
        <f t="shared" si="346"/>
        <v>0</v>
      </c>
      <c r="E1606" s="273"/>
      <c r="F1606" s="273"/>
      <c r="G1606" s="273"/>
      <c r="H1606" s="273"/>
      <c r="I1606" s="273"/>
      <c r="J1606" s="273"/>
      <c r="K1606" s="273"/>
      <c r="L1606" s="273"/>
      <c r="M1606" s="273"/>
      <c r="N1606" s="273"/>
      <c r="O1606" s="273"/>
      <c r="P1606" s="273"/>
      <c r="Q1606" s="273"/>
      <c r="R1606" s="273"/>
      <c r="S1606" s="273"/>
      <c r="T1606" s="273"/>
      <c r="U1606" s="273"/>
      <c r="V1606" s="273"/>
      <c r="W1606" s="273">
        <v>130000</v>
      </c>
      <c r="X1606" s="269"/>
      <c r="Y1606" s="84"/>
      <c r="Z1606" s="269"/>
      <c r="AA1606" s="82"/>
      <c r="AB1606" s="82"/>
      <c r="AC1606" s="82">
        <v>130000</v>
      </c>
    </row>
    <row r="1607" spans="1:33" x14ac:dyDescent="0.3">
      <c r="A1607" s="10">
        <f t="shared" si="347"/>
        <v>1434</v>
      </c>
      <c r="B1607" s="124" t="s">
        <v>2116</v>
      </c>
      <c r="C1607" s="273">
        <f t="shared" si="345"/>
        <v>130000</v>
      </c>
      <c r="D1607" s="273">
        <f t="shared" si="346"/>
        <v>0</v>
      </c>
      <c r="E1607" s="273"/>
      <c r="F1607" s="273"/>
      <c r="G1607" s="273"/>
      <c r="H1607" s="273"/>
      <c r="I1607" s="273"/>
      <c r="J1607" s="273"/>
      <c r="K1607" s="273"/>
      <c r="L1607" s="273"/>
      <c r="M1607" s="273"/>
      <c r="N1607" s="273"/>
      <c r="O1607" s="273"/>
      <c r="P1607" s="273"/>
      <c r="Q1607" s="273"/>
      <c r="R1607" s="273"/>
      <c r="S1607" s="273"/>
      <c r="T1607" s="273"/>
      <c r="U1607" s="273"/>
      <c r="V1607" s="273"/>
      <c r="W1607" s="273">
        <v>130000</v>
      </c>
      <c r="X1607" s="269"/>
      <c r="Y1607" s="84"/>
      <c r="Z1607" s="269"/>
      <c r="AA1607" s="82"/>
      <c r="AB1607" s="82"/>
      <c r="AC1607" s="82">
        <v>130000</v>
      </c>
    </row>
    <row r="1608" spans="1:33" x14ac:dyDescent="0.3">
      <c r="A1608" s="10">
        <f t="shared" si="347"/>
        <v>1435</v>
      </c>
      <c r="B1608" s="124" t="s">
        <v>2117</v>
      </c>
      <c r="C1608" s="273">
        <f t="shared" si="345"/>
        <v>130000</v>
      </c>
      <c r="D1608" s="273">
        <f t="shared" si="346"/>
        <v>0</v>
      </c>
      <c r="E1608" s="273"/>
      <c r="F1608" s="273"/>
      <c r="G1608" s="273"/>
      <c r="H1608" s="273"/>
      <c r="I1608" s="273"/>
      <c r="J1608" s="273"/>
      <c r="K1608" s="273"/>
      <c r="L1608" s="273"/>
      <c r="M1608" s="273"/>
      <c r="N1608" s="273"/>
      <c r="O1608" s="273"/>
      <c r="P1608" s="273"/>
      <c r="Q1608" s="273"/>
      <c r="R1608" s="273"/>
      <c r="S1608" s="273"/>
      <c r="T1608" s="273"/>
      <c r="U1608" s="273"/>
      <c r="V1608" s="273"/>
      <c r="W1608" s="273">
        <v>130000</v>
      </c>
      <c r="X1608" s="269"/>
      <c r="Y1608" s="84"/>
      <c r="Z1608" s="269"/>
      <c r="AA1608" s="82"/>
      <c r="AB1608" s="82"/>
      <c r="AC1608" s="82">
        <v>130000</v>
      </c>
    </row>
    <row r="1609" spans="1:33" x14ac:dyDescent="0.3">
      <c r="A1609" s="10">
        <f t="shared" si="347"/>
        <v>1436</v>
      </c>
      <c r="B1609" s="124" t="s">
        <v>2118</v>
      </c>
      <c r="C1609" s="273">
        <f t="shared" si="345"/>
        <v>130000</v>
      </c>
      <c r="D1609" s="273">
        <f t="shared" si="346"/>
        <v>0</v>
      </c>
      <c r="E1609" s="273"/>
      <c r="F1609" s="273"/>
      <c r="G1609" s="273"/>
      <c r="H1609" s="273"/>
      <c r="I1609" s="273"/>
      <c r="J1609" s="273"/>
      <c r="K1609" s="273"/>
      <c r="L1609" s="273"/>
      <c r="M1609" s="273"/>
      <c r="N1609" s="273"/>
      <c r="O1609" s="273"/>
      <c r="P1609" s="273"/>
      <c r="Q1609" s="273"/>
      <c r="R1609" s="273"/>
      <c r="S1609" s="273"/>
      <c r="T1609" s="273"/>
      <c r="U1609" s="273"/>
      <c r="V1609" s="273"/>
      <c r="W1609" s="273">
        <v>130000</v>
      </c>
      <c r="X1609" s="269"/>
      <c r="Y1609" s="84"/>
      <c r="Z1609" s="269"/>
      <c r="AA1609" s="82"/>
      <c r="AB1609" s="82"/>
      <c r="AC1609" s="82">
        <v>130000</v>
      </c>
    </row>
    <row r="1610" spans="1:33" x14ac:dyDescent="0.3">
      <c r="A1610" s="10">
        <f t="shared" si="347"/>
        <v>1437</v>
      </c>
      <c r="B1610" s="124" t="s">
        <v>2119</v>
      </c>
      <c r="C1610" s="273">
        <f t="shared" si="345"/>
        <v>130000</v>
      </c>
      <c r="D1610" s="273">
        <f t="shared" si="346"/>
        <v>0</v>
      </c>
      <c r="E1610" s="273"/>
      <c r="F1610" s="273"/>
      <c r="G1610" s="273"/>
      <c r="H1610" s="273"/>
      <c r="I1610" s="273"/>
      <c r="J1610" s="273"/>
      <c r="K1610" s="273"/>
      <c r="L1610" s="273"/>
      <c r="M1610" s="273"/>
      <c r="N1610" s="273"/>
      <c r="O1610" s="273"/>
      <c r="P1610" s="273"/>
      <c r="Q1610" s="273"/>
      <c r="R1610" s="273"/>
      <c r="S1610" s="273"/>
      <c r="T1610" s="273"/>
      <c r="U1610" s="273"/>
      <c r="V1610" s="273"/>
      <c r="W1610" s="273">
        <v>130000</v>
      </c>
      <c r="X1610" s="269"/>
      <c r="Y1610" s="84"/>
      <c r="Z1610" s="269"/>
      <c r="AA1610" s="82"/>
      <c r="AB1610" s="82"/>
      <c r="AC1610" s="82">
        <v>130000</v>
      </c>
    </row>
    <row r="1611" spans="1:33" x14ac:dyDescent="0.3">
      <c r="A1611" s="10">
        <f t="shared" si="347"/>
        <v>1438</v>
      </c>
      <c r="B1611" s="124" t="s">
        <v>2120</v>
      </c>
      <c r="C1611" s="273">
        <f t="shared" si="345"/>
        <v>130000</v>
      </c>
      <c r="D1611" s="273">
        <f t="shared" si="346"/>
        <v>0</v>
      </c>
      <c r="E1611" s="273"/>
      <c r="F1611" s="273"/>
      <c r="G1611" s="273"/>
      <c r="H1611" s="273"/>
      <c r="I1611" s="273"/>
      <c r="J1611" s="273"/>
      <c r="K1611" s="273"/>
      <c r="L1611" s="273"/>
      <c r="M1611" s="273"/>
      <c r="N1611" s="273"/>
      <c r="O1611" s="273"/>
      <c r="P1611" s="273"/>
      <c r="Q1611" s="273"/>
      <c r="R1611" s="273"/>
      <c r="S1611" s="273"/>
      <c r="T1611" s="273"/>
      <c r="U1611" s="273"/>
      <c r="V1611" s="273"/>
      <c r="W1611" s="273">
        <v>130000</v>
      </c>
      <c r="X1611" s="269"/>
      <c r="Y1611" s="84"/>
      <c r="Z1611" s="269"/>
      <c r="AA1611" s="82"/>
      <c r="AB1611" s="82"/>
      <c r="AC1611" s="82">
        <v>130000</v>
      </c>
    </row>
    <row r="1612" spans="1:33" x14ac:dyDescent="0.3">
      <c r="A1612" s="10">
        <f t="shared" si="347"/>
        <v>1439</v>
      </c>
      <c r="B1612" s="124" t="s">
        <v>2121</v>
      </c>
      <c r="C1612" s="273">
        <f t="shared" si="345"/>
        <v>7268445.0599999996</v>
      </c>
      <c r="D1612" s="273">
        <f t="shared" si="346"/>
        <v>0</v>
      </c>
      <c r="E1612" s="273"/>
      <c r="F1612" s="273"/>
      <c r="G1612" s="273"/>
      <c r="H1612" s="273"/>
      <c r="I1612" s="273"/>
      <c r="J1612" s="273"/>
      <c r="K1612" s="273"/>
      <c r="L1612" s="273"/>
      <c r="M1612" s="273"/>
      <c r="N1612" s="273"/>
      <c r="O1612" s="273"/>
      <c r="P1612" s="273"/>
      <c r="Q1612" s="273"/>
      <c r="R1612" s="273"/>
      <c r="S1612" s="273"/>
      <c r="T1612" s="273">
        <v>681.5</v>
      </c>
      <c r="U1612" s="273">
        <v>7268445.0599999996</v>
      </c>
      <c r="V1612" s="273"/>
      <c r="W1612" s="273"/>
      <c r="X1612" s="269"/>
      <c r="Y1612" s="84"/>
      <c r="Z1612" s="269"/>
      <c r="AA1612" s="82"/>
      <c r="AB1612" s="82"/>
      <c r="AC1612" s="82"/>
    </row>
    <row r="1613" spans="1:33" x14ac:dyDescent="0.3">
      <c r="A1613" s="10">
        <f t="shared" si="347"/>
        <v>1440</v>
      </c>
      <c r="B1613" s="124" t="s">
        <v>2122</v>
      </c>
      <c r="C1613" s="273">
        <f t="shared" si="345"/>
        <v>130000</v>
      </c>
      <c r="D1613" s="273">
        <f t="shared" si="346"/>
        <v>0</v>
      </c>
      <c r="E1613" s="273"/>
      <c r="F1613" s="273"/>
      <c r="G1613" s="273"/>
      <c r="H1613" s="273"/>
      <c r="I1613" s="273"/>
      <c r="J1613" s="273"/>
      <c r="K1613" s="273"/>
      <c r="L1613" s="273"/>
      <c r="M1613" s="273"/>
      <c r="N1613" s="273"/>
      <c r="O1613" s="273"/>
      <c r="P1613" s="273"/>
      <c r="Q1613" s="273"/>
      <c r="R1613" s="273"/>
      <c r="S1613" s="273"/>
      <c r="T1613" s="273"/>
      <c r="U1613" s="273"/>
      <c r="V1613" s="273"/>
      <c r="W1613" s="273">
        <v>130000</v>
      </c>
      <c r="X1613" s="269"/>
      <c r="Y1613" s="84"/>
      <c r="Z1613" s="269"/>
      <c r="AA1613" s="82"/>
      <c r="AB1613" s="82"/>
      <c r="AC1613" s="82">
        <v>130000</v>
      </c>
    </row>
    <row r="1614" spans="1:33" x14ac:dyDescent="0.3">
      <c r="A1614" s="133" t="s">
        <v>208</v>
      </c>
      <c r="B1614" s="122"/>
      <c r="C1614" s="273">
        <f t="shared" ref="C1614:W1614" si="348">SUM(C1602:C1613)</f>
        <v>8698445.0599999987</v>
      </c>
      <c r="D1614" s="273">
        <f t="shared" si="348"/>
        <v>0</v>
      </c>
      <c r="E1614" s="273">
        <f t="shared" si="348"/>
        <v>0</v>
      </c>
      <c r="F1614" s="273">
        <f t="shared" si="348"/>
        <v>0</v>
      </c>
      <c r="G1614" s="273">
        <f t="shared" si="348"/>
        <v>0</v>
      </c>
      <c r="H1614" s="273">
        <f t="shared" si="348"/>
        <v>0</v>
      </c>
      <c r="I1614" s="273">
        <f t="shared" si="348"/>
        <v>0</v>
      </c>
      <c r="J1614" s="273">
        <f t="shared" si="348"/>
        <v>0</v>
      </c>
      <c r="K1614" s="273">
        <f t="shared" si="348"/>
        <v>0</v>
      </c>
      <c r="L1614" s="273">
        <f t="shared" si="348"/>
        <v>0</v>
      </c>
      <c r="M1614" s="273">
        <f t="shared" si="348"/>
        <v>0</v>
      </c>
      <c r="N1614" s="273">
        <f t="shared" si="348"/>
        <v>0</v>
      </c>
      <c r="O1614" s="273">
        <f t="shared" si="348"/>
        <v>0</v>
      </c>
      <c r="P1614" s="273">
        <f t="shared" si="348"/>
        <v>0</v>
      </c>
      <c r="Q1614" s="273">
        <f t="shared" si="348"/>
        <v>0</v>
      </c>
      <c r="R1614" s="273">
        <f t="shared" si="348"/>
        <v>0</v>
      </c>
      <c r="S1614" s="273">
        <f t="shared" si="348"/>
        <v>0</v>
      </c>
      <c r="T1614" s="273">
        <f t="shared" si="348"/>
        <v>681.5</v>
      </c>
      <c r="U1614" s="273">
        <f t="shared" si="348"/>
        <v>7268445.0599999996</v>
      </c>
      <c r="V1614" s="273">
        <f t="shared" si="348"/>
        <v>0</v>
      </c>
      <c r="W1614" s="273">
        <f t="shared" si="348"/>
        <v>1430000</v>
      </c>
      <c r="X1614" s="269"/>
      <c r="Y1614" s="84"/>
      <c r="Z1614" s="269"/>
      <c r="AA1614" s="82"/>
      <c r="AB1614" s="82"/>
      <c r="AC1614" s="82"/>
    </row>
    <row r="1615" spans="1:33" x14ac:dyDescent="0.3">
      <c r="A1615" s="131" t="s">
        <v>2123</v>
      </c>
      <c r="B1615" s="111"/>
      <c r="C1615" s="273"/>
      <c r="D1615" s="273"/>
      <c r="E1615" s="273"/>
      <c r="F1615" s="273"/>
      <c r="G1615" s="273"/>
      <c r="H1615" s="273"/>
      <c r="I1615" s="273"/>
      <c r="J1615" s="273"/>
      <c r="K1615" s="273"/>
      <c r="L1615" s="273"/>
      <c r="M1615" s="273"/>
      <c r="N1615" s="273"/>
      <c r="O1615" s="273"/>
      <c r="P1615" s="273"/>
      <c r="Q1615" s="273"/>
      <c r="R1615" s="273"/>
      <c r="S1615" s="273"/>
      <c r="T1615" s="273"/>
      <c r="U1615" s="273"/>
      <c r="V1615" s="273"/>
      <c r="W1615" s="273"/>
      <c r="X1615" s="269"/>
      <c r="Y1615" s="84"/>
      <c r="Z1615" s="269"/>
      <c r="AA1615" s="82"/>
      <c r="AB1615" s="82"/>
      <c r="AC1615" s="82"/>
    </row>
    <row r="1616" spans="1:33" x14ac:dyDescent="0.3">
      <c r="A1616" s="10">
        <f>A1613+1</f>
        <v>1441</v>
      </c>
      <c r="B1616" s="124" t="s">
        <v>2125</v>
      </c>
      <c r="C1616" s="273">
        <f>D1616+K1616+L1616+N1616+P1616+R1616+S1616+U1616+V1616+W1616</f>
        <v>256585.06</v>
      </c>
      <c r="D1616" s="273">
        <f>E1616+F1616+G1616+H1616+I1616</f>
        <v>0</v>
      </c>
      <c r="E1616" s="273"/>
      <c r="F1616" s="273"/>
      <c r="G1616" s="273"/>
      <c r="H1616" s="273"/>
      <c r="I1616" s="273"/>
      <c r="J1616" s="273"/>
      <c r="K1616" s="273"/>
      <c r="L1616" s="273"/>
      <c r="M1616" s="273"/>
      <c r="N1616" s="273"/>
      <c r="O1616" s="273"/>
      <c r="P1616" s="273"/>
      <c r="Q1616" s="273"/>
      <c r="R1616" s="273"/>
      <c r="S1616" s="273"/>
      <c r="T1616" s="273"/>
      <c r="U1616" s="273"/>
      <c r="V1616" s="273"/>
      <c r="W1616" s="273">
        <f>SUM(X1616:AG1616)</f>
        <v>256585.06</v>
      </c>
      <c r="X1616" s="271"/>
      <c r="Y1616" s="84"/>
      <c r="AA1616" s="82"/>
      <c r="AB1616" s="82"/>
      <c r="AC1616" s="82">
        <v>89139.88</v>
      </c>
      <c r="AE1616" s="269">
        <v>167445.18</v>
      </c>
      <c r="AG1616" s="269"/>
    </row>
    <row r="1617" spans="1:29" x14ac:dyDescent="0.3">
      <c r="A1617" s="133" t="s">
        <v>208</v>
      </c>
      <c r="B1617" s="122"/>
      <c r="C1617" s="273">
        <f t="shared" ref="C1617:W1617" si="349">SUM(C1616:C1616)</f>
        <v>256585.06</v>
      </c>
      <c r="D1617" s="273">
        <f t="shared" si="349"/>
        <v>0</v>
      </c>
      <c r="E1617" s="273">
        <f t="shared" si="349"/>
        <v>0</v>
      </c>
      <c r="F1617" s="273">
        <f t="shared" si="349"/>
        <v>0</v>
      </c>
      <c r="G1617" s="273">
        <f t="shared" si="349"/>
        <v>0</v>
      </c>
      <c r="H1617" s="273">
        <f t="shared" si="349"/>
        <v>0</v>
      </c>
      <c r="I1617" s="273">
        <f t="shared" si="349"/>
        <v>0</v>
      </c>
      <c r="J1617" s="273">
        <f t="shared" si="349"/>
        <v>0</v>
      </c>
      <c r="K1617" s="273">
        <f t="shared" si="349"/>
        <v>0</v>
      </c>
      <c r="L1617" s="273">
        <f t="shared" si="349"/>
        <v>0</v>
      </c>
      <c r="M1617" s="273">
        <f t="shared" si="349"/>
        <v>0</v>
      </c>
      <c r="N1617" s="273">
        <f t="shared" si="349"/>
        <v>0</v>
      </c>
      <c r="O1617" s="273">
        <f t="shared" si="349"/>
        <v>0</v>
      </c>
      <c r="P1617" s="273">
        <f t="shared" si="349"/>
        <v>0</v>
      </c>
      <c r="Q1617" s="273">
        <f t="shared" si="349"/>
        <v>0</v>
      </c>
      <c r="R1617" s="273">
        <f t="shared" si="349"/>
        <v>0</v>
      </c>
      <c r="S1617" s="273">
        <f t="shared" si="349"/>
        <v>0</v>
      </c>
      <c r="T1617" s="273">
        <f t="shared" si="349"/>
        <v>0</v>
      </c>
      <c r="U1617" s="273">
        <f t="shared" si="349"/>
        <v>0</v>
      </c>
      <c r="V1617" s="273">
        <f t="shared" si="349"/>
        <v>0</v>
      </c>
      <c r="W1617" s="273">
        <f t="shared" si="349"/>
        <v>256585.06</v>
      </c>
      <c r="X1617" s="269"/>
      <c r="Y1617" s="94"/>
      <c r="Z1617" s="269"/>
      <c r="AA1617" s="82"/>
      <c r="AB1617" s="82"/>
      <c r="AC1617" s="82"/>
    </row>
    <row r="1618" spans="1:29" x14ac:dyDescent="0.3">
      <c r="A1618" s="131" t="s">
        <v>2129</v>
      </c>
      <c r="B1618" s="111"/>
      <c r="C1618" s="273"/>
      <c r="D1618" s="273"/>
      <c r="E1618" s="273"/>
      <c r="F1618" s="273"/>
      <c r="G1618" s="273"/>
      <c r="H1618" s="273"/>
      <c r="I1618" s="273"/>
      <c r="J1618" s="273"/>
      <c r="K1618" s="273"/>
      <c r="L1618" s="273"/>
      <c r="M1618" s="273"/>
      <c r="N1618" s="273"/>
      <c r="O1618" s="273"/>
      <c r="P1618" s="273"/>
      <c r="Q1618" s="273"/>
      <c r="R1618" s="273"/>
      <c r="S1618" s="273"/>
      <c r="T1618" s="273"/>
      <c r="U1618" s="273"/>
      <c r="V1618" s="273"/>
      <c r="W1618" s="273"/>
      <c r="X1618" s="269"/>
      <c r="Y1618" s="94"/>
      <c r="Z1618" s="269"/>
      <c r="AA1618" s="82"/>
      <c r="AB1618" s="82"/>
      <c r="AC1618" s="82"/>
    </row>
    <row r="1619" spans="1:29" x14ac:dyDescent="0.3">
      <c r="A1619" s="10">
        <f>A1616+1</f>
        <v>1442</v>
      </c>
      <c r="B1619" s="124" t="s">
        <v>2130</v>
      </c>
      <c r="C1619" s="273">
        <f>D1619+K1619+L1619+N1619+P1619+R1619+S1619+U1619+V1619+W1619</f>
        <v>3237936.42</v>
      </c>
      <c r="D1619" s="273">
        <f>E1619+F1619+G1619+H1619+I1619</f>
        <v>0</v>
      </c>
      <c r="E1619" s="273"/>
      <c r="F1619" s="273"/>
      <c r="G1619" s="273"/>
      <c r="H1619" s="273"/>
      <c r="I1619" s="273"/>
      <c r="J1619" s="273"/>
      <c r="K1619" s="273"/>
      <c r="L1619" s="273"/>
      <c r="M1619" s="273">
        <v>380</v>
      </c>
      <c r="N1619" s="273">
        <v>2114874</v>
      </c>
      <c r="O1619" s="273"/>
      <c r="P1619" s="273"/>
      <c r="Q1619" s="273"/>
      <c r="R1619" s="273"/>
      <c r="S1619" s="273"/>
      <c r="T1619" s="273">
        <v>620</v>
      </c>
      <c r="U1619" s="273">
        <v>1123062.42</v>
      </c>
      <c r="V1619" s="273"/>
      <c r="W1619" s="273"/>
      <c r="X1619" s="269"/>
      <c r="Y1619" s="94"/>
      <c r="Z1619" s="269"/>
      <c r="AA1619" s="82"/>
      <c r="AB1619" s="82"/>
      <c r="AC1619" s="82"/>
    </row>
    <row r="1620" spans="1:29" x14ac:dyDescent="0.3">
      <c r="A1620" s="133" t="s">
        <v>208</v>
      </c>
      <c r="B1620" s="122"/>
      <c r="C1620" s="273">
        <f t="shared" ref="C1620:W1620" si="350">C1619</f>
        <v>3237936.42</v>
      </c>
      <c r="D1620" s="273">
        <f t="shared" si="350"/>
        <v>0</v>
      </c>
      <c r="E1620" s="273">
        <f t="shared" si="350"/>
        <v>0</v>
      </c>
      <c r="F1620" s="273">
        <f t="shared" si="350"/>
        <v>0</v>
      </c>
      <c r="G1620" s="273">
        <f t="shared" si="350"/>
        <v>0</v>
      </c>
      <c r="H1620" s="273">
        <f t="shared" si="350"/>
        <v>0</v>
      </c>
      <c r="I1620" s="273">
        <f t="shared" si="350"/>
        <v>0</v>
      </c>
      <c r="J1620" s="273">
        <f t="shared" si="350"/>
        <v>0</v>
      </c>
      <c r="K1620" s="273">
        <f t="shared" si="350"/>
        <v>0</v>
      </c>
      <c r="L1620" s="273">
        <f t="shared" si="350"/>
        <v>0</v>
      </c>
      <c r="M1620" s="273">
        <f t="shared" si="350"/>
        <v>380</v>
      </c>
      <c r="N1620" s="273">
        <f t="shared" si="350"/>
        <v>2114874</v>
      </c>
      <c r="O1620" s="273">
        <f t="shared" si="350"/>
        <v>0</v>
      </c>
      <c r="P1620" s="273">
        <f t="shared" si="350"/>
        <v>0</v>
      </c>
      <c r="Q1620" s="273">
        <f t="shared" si="350"/>
        <v>0</v>
      </c>
      <c r="R1620" s="273">
        <f t="shared" si="350"/>
        <v>0</v>
      </c>
      <c r="S1620" s="273">
        <f t="shared" si="350"/>
        <v>0</v>
      </c>
      <c r="T1620" s="273">
        <f t="shared" si="350"/>
        <v>620</v>
      </c>
      <c r="U1620" s="273">
        <f t="shared" si="350"/>
        <v>1123062.42</v>
      </c>
      <c r="V1620" s="273">
        <f t="shared" si="350"/>
        <v>0</v>
      </c>
      <c r="W1620" s="273">
        <f t="shared" si="350"/>
        <v>0</v>
      </c>
      <c r="X1620" s="269"/>
      <c r="Y1620" s="94"/>
      <c r="Z1620" s="269"/>
      <c r="AA1620" s="82"/>
      <c r="AB1620" s="82"/>
      <c r="AC1620" s="82"/>
    </row>
    <row r="1621" spans="1:29" x14ac:dyDescent="0.3">
      <c r="A1621" s="131" t="s">
        <v>2143</v>
      </c>
      <c r="B1621" s="111"/>
      <c r="C1621" s="273"/>
      <c r="D1621" s="273"/>
      <c r="E1621" s="273"/>
      <c r="F1621" s="273"/>
      <c r="G1621" s="273"/>
      <c r="H1621" s="273"/>
      <c r="I1621" s="273"/>
      <c r="J1621" s="273"/>
      <c r="K1621" s="273"/>
      <c r="L1621" s="273"/>
      <c r="M1621" s="273"/>
      <c r="N1621" s="273"/>
      <c r="O1621" s="273"/>
      <c r="P1621" s="273"/>
      <c r="Q1621" s="273"/>
      <c r="R1621" s="273"/>
      <c r="S1621" s="273"/>
      <c r="T1621" s="273"/>
      <c r="U1621" s="273"/>
      <c r="V1621" s="273"/>
      <c r="W1621" s="273"/>
      <c r="X1621" s="269"/>
      <c r="Y1621" s="94"/>
      <c r="Z1621" s="269"/>
      <c r="AA1621" s="82"/>
      <c r="AB1621" s="82"/>
      <c r="AC1621" s="82"/>
    </row>
    <row r="1622" spans="1:29" x14ac:dyDescent="0.3">
      <c r="A1622" s="10">
        <f>A1619+1</f>
        <v>1443</v>
      </c>
      <c r="B1622" s="124" t="s">
        <v>2144</v>
      </c>
      <c r="C1622" s="273">
        <f t="shared" ref="C1622:C1629" si="351">D1622+K1622+L1622+N1622+P1622+R1622+S1622+U1622+V1622+W1622</f>
        <v>130000</v>
      </c>
      <c r="D1622" s="273">
        <f t="shared" ref="D1622:D1629" si="352">E1622+F1622+G1622+H1622+I1622</f>
        <v>0</v>
      </c>
      <c r="E1622" s="273"/>
      <c r="F1622" s="273"/>
      <c r="G1622" s="273"/>
      <c r="H1622" s="273"/>
      <c r="I1622" s="273"/>
      <c r="J1622" s="273"/>
      <c r="K1622" s="273"/>
      <c r="L1622" s="273"/>
      <c r="M1622" s="273"/>
      <c r="N1622" s="273"/>
      <c r="O1622" s="273"/>
      <c r="P1622" s="273"/>
      <c r="Q1622" s="273"/>
      <c r="R1622" s="273"/>
      <c r="S1622" s="273"/>
      <c r="T1622" s="273"/>
      <c r="U1622" s="273"/>
      <c r="V1622" s="273"/>
      <c r="W1622" s="273">
        <v>130000</v>
      </c>
      <c r="X1622" s="269"/>
      <c r="Y1622" s="94"/>
      <c r="Z1622" s="269"/>
      <c r="AA1622" s="82"/>
      <c r="AB1622" s="82"/>
      <c r="AC1622" s="82">
        <v>130000</v>
      </c>
    </row>
    <row r="1623" spans="1:29" x14ac:dyDescent="0.3">
      <c r="A1623" s="10">
        <f t="shared" ref="A1623:A1629" si="353">A1622+1</f>
        <v>1444</v>
      </c>
      <c r="B1623" s="124" t="s">
        <v>2145</v>
      </c>
      <c r="C1623" s="273">
        <f t="shared" si="351"/>
        <v>130000</v>
      </c>
      <c r="D1623" s="273">
        <f t="shared" si="352"/>
        <v>0</v>
      </c>
      <c r="E1623" s="273"/>
      <c r="F1623" s="273"/>
      <c r="G1623" s="273"/>
      <c r="H1623" s="273"/>
      <c r="I1623" s="273"/>
      <c r="J1623" s="273"/>
      <c r="K1623" s="273"/>
      <c r="L1623" s="273"/>
      <c r="M1623" s="273"/>
      <c r="N1623" s="273"/>
      <c r="O1623" s="273"/>
      <c r="P1623" s="273"/>
      <c r="Q1623" s="273"/>
      <c r="R1623" s="273"/>
      <c r="S1623" s="273"/>
      <c r="T1623" s="273"/>
      <c r="U1623" s="273"/>
      <c r="V1623" s="273"/>
      <c r="W1623" s="273">
        <v>130000</v>
      </c>
      <c r="X1623" s="269"/>
      <c r="Y1623" s="94"/>
      <c r="Z1623" s="269"/>
      <c r="AA1623" s="82"/>
      <c r="AB1623" s="82"/>
      <c r="AC1623" s="82">
        <v>130000</v>
      </c>
    </row>
    <row r="1624" spans="1:29" x14ac:dyDescent="0.3">
      <c r="A1624" s="10">
        <f t="shared" si="353"/>
        <v>1445</v>
      </c>
      <c r="B1624" s="124" t="s">
        <v>2146</v>
      </c>
      <c r="C1624" s="273">
        <f t="shared" si="351"/>
        <v>130000</v>
      </c>
      <c r="D1624" s="273">
        <f t="shared" si="352"/>
        <v>0</v>
      </c>
      <c r="E1624" s="273"/>
      <c r="F1624" s="273"/>
      <c r="G1624" s="273"/>
      <c r="H1624" s="273"/>
      <c r="I1624" s="273"/>
      <c r="J1624" s="273"/>
      <c r="K1624" s="273"/>
      <c r="L1624" s="273"/>
      <c r="M1624" s="273"/>
      <c r="N1624" s="273"/>
      <c r="O1624" s="273"/>
      <c r="P1624" s="273"/>
      <c r="Q1624" s="273"/>
      <c r="R1624" s="273"/>
      <c r="S1624" s="273"/>
      <c r="T1624" s="273"/>
      <c r="U1624" s="273"/>
      <c r="V1624" s="273"/>
      <c r="W1624" s="273">
        <v>130000</v>
      </c>
      <c r="X1624" s="269"/>
      <c r="Y1624" s="94"/>
      <c r="Z1624" s="269"/>
      <c r="AA1624" s="82"/>
      <c r="AB1624" s="82"/>
      <c r="AC1624" s="82">
        <v>130000</v>
      </c>
    </row>
    <row r="1625" spans="1:29" x14ac:dyDescent="0.3">
      <c r="A1625" s="10">
        <f t="shared" si="353"/>
        <v>1446</v>
      </c>
      <c r="B1625" s="124" t="s">
        <v>2147</v>
      </c>
      <c r="C1625" s="273">
        <f t="shared" si="351"/>
        <v>8021238.4000000013</v>
      </c>
      <c r="D1625" s="273">
        <f t="shared" si="352"/>
        <v>0</v>
      </c>
      <c r="E1625" s="273"/>
      <c r="F1625" s="273"/>
      <c r="G1625" s="273"/>
      <c r="H1625" s="273"/>
      <c r="I1625" s="273"/>
      <c r="J1625" s="273"/>
      <c r="K1625" s="273"/>
      <c r="L1625" s="273"/>
      <c r="M1625" s="273"/>
      <c r="N1625" s="273"/>
      <c r="O1625" s="273"/>
      <c r="P1625" s="273"/>
      <c r="Q1625" s="273"/>
      <c r="R1625" s="273"/>
      <c r="S1625" s="273"/>
      <c r="T1625" s="273">
        <v>664.2</v>
      </c>
      <c r="U1625" s="273">
        <f>T1625*11890</f>
        <v>7897338.0000000009</v>
      </c>
      <c r="V1625" s="273"/>
      <c r="W1625" s="273">
        <f>SUM(X1625:AC1625)</f>
        <v>123900.4</v>
      </c>
      <c r="X1625" s="269"/>
      <c r="Y1625" s="94"/>
      <c r="Z1625" s="269"/>
      <c r="AA1625" s="82"/>
      <c r="AB1625" s="82"/>
      <c r="AC1625" s="82">
        <v>123900.4</v>
      </c>
    </row>
    <row r="1626" spans="1:29" x14ac:dyDescent="0.3">
      <c r="A1626" s="10">
        <f t="shared" si="353"/>
        <v>1447</v>
      </c>
      <c r="B1626" s="124" t="s">
        <v>2148</v>
      </c>
      <c r="C1626" s="273">
        <f t="shared" si="351"/>
        <v>39878316.530000001</v>
      </c>
      <c r="D1626" s="273">
        <f t="shared" si="352"/>
        <v>27392413.550000004</v>
      </c>
      <c r="E1626" s="273">
        <v>2599442.4</v>
      </c>
      <c r="F1626" s="273">
        <v>11628182.4</v>
      </c>
      <c r="G1626" s="273">
        <v>3968596.8</v>
      </c>
      <c r="H1626" s="273">
        <v>8089971.5999999996</v>
      </c>
      <c r="I1626" s="273">
        <v>1106220.3500000001</v>
      </c>
      <c r="J1626" s="273"/>
      <c r="K1626" s="273"/>
      <c r="L1626" s="273"/>
      <c r="M1626" s="273">
        <v>824.27</v>
      </c>
      <c r="N1626" s="273">
        <v>2928523.98</v>
      </c>
      <c r="O1626" s="273"/>
      <c r="P1626" s="273"/>
      <c r="Q1626" s="273"/>
      <c r="R1626" s="273"/>
      <c r="S1626" s="273"/>
      <c r="T1626" s="273"/>
      <c r="U1626" s="273"/>
      <c r="V1626" s="273">
        <f>13*(214531+392996+117656)</f>
        <v>9427379</v>
      </c>
      <c r="W1626" s="273">
        <v>130000</v>
      </c>
      <c r="X1626" s="269"/>
      <c r="Y1626" s="94"/>
      <c r="Z1626" s="269"/>
      <c r="AA1626" s="82"/>
      <c r="AB1626" s="82"/>
      <c r="AC1626" s="273">
        <v>130000</v>
      </c>
    </row>
    <row r="1627" spans="1:29" x14ac:dyDescent="0.3">
      <c r="A1627" s="10">
        <f t="shared" si="353"/>
        <v>1448</v>
      </c>
      <c r="B1627" s="124" t="s">
        <v>2149</v>
      </c>
      <c r="C1627" s="273">
        <f t="shared" si="351"/>
        <v>48804034.930000007</v>
      </c>
      <c r="D1627" s="273">
        <f t="shared" si="352"/>
        <v>27245749.550000004</v>
      </c>
      <c r="E1627" s="273">
        <v>2599442.4</v>
      </c>
      <c r="F1627" s="273">
        <v>11628182.4</v>
      </c>
      <c r="G1627" s="273">
        <v>3968596.8</v>
      </c>
      <c r="H1627" s="273">
        <v>7943307.5999999996</v>
      </c>
      <c r="I1627" s="273">
        <v>1106220.3500000001</v>
      </c>
      <c r="J1627" s="273"/>
      <c r="K1627" s="273"/>
      <c r="L1627" s="273"/>
      <c r="M1627" s="273">
        <v>824.27</v>
      </c>
      <c r="N1627" s="273">
        <v>2928523.98</v>
      </c>
      <c r="O1627" s="273"/>
      <c r="P1627" s="273"/>
      <c r="Q1627" s="273"/>
      <c r="R1627" s="273"/>
      <c r="S1627" s="273"/>
      <c r="T1627" s="273">
        <v>3498.7</v>
      </c>
      <c r="U1627" s="273">
        <v>9202382.4000000004</v>
      </c>
      <c r="V1627" s="273">
        <f>13*(214531+392996+117656)</f>
        <v>9427379</v>
      </c>
      <c r="W1627" s="273"/>
      <c r="X1627" s="269"/>
      <c r="Y1627" s="94"/>
      <c r="Z1627" s="269"/>
      <c r="AA1627" s="82"/>
      <c r="AB1627" s="82"/>
      <c r="AC1627" s="82"/>
    </row>
    <row r="1628" spans="1:29" x14ac:dyDescent="0.3">
      <c r="A1628" s="10">
        <f t="shared" si="353"/>
        <v>1449</v>
      </c>
      <c r="B1628" s="124" t="s">
        <v>2150</v>
      </c>
      <c r="C1628" s="273">
        <f t="shared" si="351"/>
        <v>48804034.930000007</v>
      </c>
      <c r="D1628" s="273">
        <f t="shared" si="352"/>
        <v>27245749.550000004</v>
      </c>
      <c r="E1628" s="273">
        <v>2599442.4</v>
      </c>
      <c r="F1628" s="273">
        <v>11628182.4</v>
      </c>
      <c r="G1628" s="273">
        <v>3968596.8</v>
      </c>
      <c r="H1628" s="273">
        <v>7943307.5999999996</v>
      </c>
      <c r="I1628" s="273">
        <v>1106220.3500000001</v>
      </c>
      <c r="J1628" s="273"/>
      <c r="K1628" s="273"/>
      <c r="L1628" s="273"/>
      <c r="M1628" s="273">
        <v>824.27</v>
      </c>
      <c r="N1628" s="273">
        <v>2928523.98</v>
      </c>
      <c r="O1628" s="273"/>
      <c r="P1628" s="273"/>
      <c r="Q1628" s="273"/>
      <c r="R1628" s="273"/>
      <c r="S1628" s="273"/>
      <c r="T1628" s="273">
        <v>3502.6</v>
      </c>
      <c r="U1628" s="273">
        <v>9202382.4000000004</v>
      </c>
      <c r="V1628" s="273">
        <f>13*(214531+392996+117656)</f>
        <v>9427379</v>
      </c>
      <c r="W1628" s="273"/>
      <c r="X1628" s="269"/>
      <c r="Y1628" s="94"/>
      <c r="Z1628" s="269"/>
      <c r="AA1628" s="82"/>
      <c r="AB1628" s="82"/>
      <c r="AC1628" s="82"/>
    </row>
    <row r="1629" spans="1:29" x14ac:dyDescent="0.3">
      <c r="A1629" s="10">
        <f t="shared" si="353"/>
        <v>1450</v>
      </c>
      <c r="B1629" s="124" t="s">
        <v>2151</v>
      </c>
      <c r="C1629" s="273">
        <f t="shared" si="351"/>
        <v>130000</v>
      </c>
      <c r="D1629" s="273">
        <f t="shared" si="352"/>
        <v>0</v>
      </c>
      <c r="E1629" s="273"/>
      <c r="F1629" s="273"/>
      <c r="G1629" s="273"/>
      <c r="H1629" s="273"/>
      <c r="I1629" s="273"/>
      <c r="J1629" s="273"/>
      <c r="K1629" s="273"/>
      <c r="L1629" s="273"/>
      <c r="M1629" s="273"/>
      <c r="N1629" s="273"/>
      <c r="O1629" s="273"/>
      <c r="P1629" s="273"/>
      <c r="Q1629" s="273"/>
      <c r="R1629" s="273"/>
      <c r="S1629" s="273"/>
      <c r="T1629" s="273"/>
      <c r="U1629" s="273"/>
      <c r="V1629" s="273"/>
      <c r="W1629" s="273">
        <v>130000</v>
      </c>
      <c r="X1629" s="269"/>
      <c r="Y1629" s="94"/>
      <c r="Z1629" s="269"/>
      <c r="AA1629" s="82"/>
      <c r="AB1629" s="82"/>
      <c r="AC1629" s="82"/>
    </row>
    <row r="1630" spans="1:29" x14ac:dyDescent="0.3">
      <c r="A1630" s="133" t="s">
        <v>208</v>
      </c>
      <c r="B1630" s="122"/>
      <c r="C1630" s="273">
        <f t="shared" ref="C1630:W1630" si="354">SUM(C1622:C1629)</f>
        <v>146027624.79000002</v>
      </c>
      <c r="D1630" s="273">
        <f t="shared" si="354"/>
        <v>81883912.650000006</v>
      </c>
      <c r="E1630" s="273">
        <f t="shared" si="354"/>
        <v>7798327.1999999993</v>
      </c>
      <c r="F1630" s="273">
        <f t="shared" si="354"/>
        <v>34884547.200000003</v>
      </c>
      <c r="G1630" s="273">
        <f t="shared" si="354"/>
        <v>11905790.399999999</v>
      </c>
      <c r="H1630" s="273">
        <f t="shared" si="354"/>
        <v>23976586.799999997</v>
      </c>
      <c r="I1630" s="273">
        <f t="shared" si="354"/>
        <v>3318661.0500000003</v>
      </c>
      <c r="J1630" s="273">
        <f t="shared" si="354"/>
        <v>0</v>
      </c>
      <c r="K1630" s="273">
        <f t="shared" si="354"/>
        <v>0</v>
      </c>
      <c r="L1630" s="273">
        <f t="shared" si="354"/>
        <v>0</v>
      </c>
      <c r="M1630" s="273">
        <f t="shared" si="354"/>
        <v>2472.81</v>
      </c>
      <c r="N1630" s="273">
        <f t="shared" si="354"/>
        <v>8785571.9399999995</v>
      </c>
      <c r="O1630" s="273">
        <f t="shared" si="354"/>
        <v>0</v>
      </c>
      <c r="P1630" s="273">
        <f t="shared" si="354"/>
        <v>0</v>
      </c>
      <c r="Q1630" s="273">
        <f t="shared" si="354"/>
        <v>0</v>
      </c>
      <c r="R1630" s="273">
        <f t="shared" si="354"/>
        <v>0</v>
      </c>
      <c r="S1630" s="273">
        <f t="shared" si="354"/>
        <v>0</v>
      </c>
      <c r="T1630" s="273">
        <f t="shared" si="354"/>
        <v>7665.5</v>
      </c>
      <c r="U1630" s="273">
        <f t="shared" si="354"/>
        <v>26302102.800000004</v>
      </c>
      <c r="V1630" s="273">
        <f t="shared" si="354"/>
        <v>28282137</v>
      </c>
      <c r="W1630" s="273">
        <f t="shared" si="354"/>
        <v>773900.4</v>
      </c>
      <c r="X1630" s="269"/>
      <c r="Y1630" s="94"/>
      <c r="Z1630" s="269"/>
      <c r="AA1630" s="82"/>
      <c r="AB1630" s="82"/>
      <c r="AC1630" s="82"/>
    </row>
    <row r="1631" spans="1:29" x14ac:dyDescent="0.3">
      <c r="A1631" s="131" t="s">
        <v>2152</v>
      </c>
      <c r="B1631" s="111"/>
      <c r="C1631" s="273"/>
      <c r="D1631" s="273"/>
      <c r="E1631" s="273"/>
      <c r="F1631" s="273"/>
      <c r="G1631" s="273"/>
      <c r="H1631" s="273"/>
      <c r="I1631" s="273"/>
      <c r="J1631" s="273"/>
      <c r="K1631" s="273"/>
      <c r="L1631" s="273"/>
      <c r="M1631" s="273"/>
      <c r="N1631" s="273"/>
      <c r="O1631" s="273"/>
      <c r="P1631" s="273"/>
      <c r="Q1631" s="273"/>
      <c r="R1631" s="273"/>
      <c r="S1631" s="273"/>
      <c r="T1631" s="273"/>
      <c r="U1631" s="273"/>
      <c r="V1631" s="273"/>
      <c r="W1631" s="273"/>
      <c r="X1631" s="269"/>
      <c r="Y1631" s="94"/>
      <c r="Z1631" s="269"/>
      <c r="AA1631" s="82"/>
      <c r="AB1631" s="82"/>
      <c r="AC1631" s="82"/>
    </row>
    <row r="1632" spans="1:29" x14ac:dyDescent="0.3">
      <c r="A1632" s="10">
        <f>A1629+1</f>
        <v>1451</v>
      </c>
      <c r="B1632" s="124" t="s">
        <v>3205</v>
      </c>
      <c r="C1632" s="273">
        <f>D1632+K1632+L1632+N1632+P1632+R1632+S1632+U1632+V1632+W1632</f>
        <v>105222</v>
      </c>
      <c r="D1632" s="273">
        <f>E1632+F1632+G1632+H1632+I1632</f>
        <v>0</v>
      </c>
      <c r="E1632" s="273"/>
      <c r="F1632" s="273"/>
      <c r="G1632" s="273"/>
      <c r="H1632" s="273"/>
      <c r="I1632" s="273"/>
      <c r="J1632" s="273"/>
      <c r="K1632" s="273"/>
      <c r="L1632" s="273"/>
      <c r="M1632" s="273">
        <v>13</v>
      </c>
      <c r="N1632" s="273">
        <f>13*8094</f>
        <v>105222</v>
      </c>
      <c r="O1632" s="273"/>
      <c r="P1632" s="273"/>
      <c r="Q1632" s="273"/>
      <c r="R1632" s="273"/>
      <c r="S1632" s="273"/>
      <c r="T1632" s="273"/>
      <c r="U1632" s="273"/>
      <c r="V1632" s="273"/>
      <c r="W1632" s="273"/>
      <c r="X1632" s="269"/>
      <c r="Y1632" s="94"/>
      <c r="Z1632" s="269"/>
      <c r="AA1632" s="82"/>
      <c r="AB1632" s="82"/>
      <c r="AC1632" s="82"/>
    </row>
    <row r="1633" spans="1:33" x14ac:dyDescent="0.3">
      <c r="A1633" s="10">
        <f>A1632+1</f>
        <v>1452</v>
      </c>
      <c r="B1633" s="124" t="s">
        <v>2164</v>
      </c>
      <c r="C1633" s="273">
        <f>D1633+K1633+L1633+N1633+P1633+R1633+S1633+U1633+V1633+W1633</f>
        <v>33280154.32</v>
      </c>
      <c r="D1633" s="273">
        <f>E1633+F1633+G1633+H1633+I1633</f>
        <v>0</v>
      </c>
      <c r="E1633" s="273"/>
      <c r="F1633" s="273"/>
      <c r="G1633" s="273"/>
      <c r="H1633" s="273"/>
      <c r="I1633" s="273"/>
      <c r="J1633" s="273"/>
      <c r="K1633" s="273"/>
      <c r="L1633" s="273"/>
      <c r="M1633" s="273"/>
      <c r="N1633" s="273"/>
      <c r="O1633" s="273"/>
      <c r="P1633" s="273"/>
      <c r="Q1633" s="273">
        <v>3001</v>
      </c>
      <c r="R1633" s="273">
        <v>33280154.32</v>
      </c>
      <c r="S1633" s="273"/>
      <c r="T1633" s="273"/>
      <c r="U1633" s="273"/>
      <c r="V1633" s="273"/>
      <c r="W1633" s="273"/>
      <c r="X1633" s="269"/>
      <c r="Y1633" s="94"/>
      <c r="Z1633" s="269"/>
      <c r="AA1633" s="82"/>
      <c r="AB1633" s="82"/>
      <c r="AC1633" s="82"/>
    </row>
    <row r="1634" spans="1:33" x14ac:dyDescent="0.3">
      <c r="A1634" s="133" t="s">
        <v>208</v>
      </c>
      <c r="B1634" s="122"/>
      <c r="C1634" s="273">
        <f t="shared" ref="C1634:W1634" si="355">SUM(C1632:C1633)</f>
        <v>33385376.32</v>
      </c>
      <c r="D1634" s="273">
        <f t="shared" si="355"/>
        <v>0</v>
      </c>
      <c r="E1634" s="273">
        <f t="shared" si="355"/>
        <v>0</v>
      </c>
      <c r="F1634" s="273">
        <f t="shared" si="355"/>
        <v>0</v>
      </c>
      <c r="G1634" s="273">
        <f t="shared" si="355"/>
        <v>0</v>
      </c>
      <c r="H1634" s="273">
        <f t="shared" si="355"/>
        <v>0</v>
      </c>
      <c r="I1634" s="273">
        <f t="shared" si="355"/>
        <v>0</v>
      </c>
      <c r="J1634" s="273">
        <f t="shared" si="355"/>
        <v>0</v>
      </c>
      <c r="K1634" s="273">
        <f t="shared" si="355"/>
        <v>0</v>
      </c>
      <c r="L1634" s="273">
        <f t="shared" si="355"/>
        <v>0</v>
      </c>
      <c r="M1634" s="273">
        <f t="shared" si="355"/>
        <v>13</v>
      </c>
      <c r="N1634" s="273">
        <f t="shared" si="355"/>
        <v>105222</v>
      </c>
      <c r="O1634" s="273">
        <f t="shared" si="355"/>
        <v>0</v>
      </c>
      <c r="P1634" s="273">
        <f t="shared" si="355"/>
        <v>0</v>
      </c>
      <c r="Q1634" s="273">
        <f t="shared" si="355"/>
        <v>3001</v>
      </c>
      <c r="R1634" s="273">
        <f t="shared" si="355"/>
        <v>33280154.32</v>
      </c>
      <c r="S1634" s="273">
        <f t="shared" si="355"/>
        <v>0</v>
      </c>
      <c r="T1634" s="273">
        <f t="shared" si="355"/>
        <v>0</v>
      </c>
      <c r="U1634" s="273">
        <f t="shared" si="355"/>
        <v>0</v>
      </c>
      <c r="V1634" s="273">
        <f t="shared" si="355"/>
        <v>0</v>
      </c>
      <c r="W1634" s="273">
        <f t="shared" si="355"/>
        <v>0</v>
      </c>
      <c r="X1634" s="269"/>
      <c r="Y1634" s="94"/>
      <c r="Z1634" s="269"/>
      <c r="AA1634" s="82"/>
      <c r="AB1634" s="82"/>
      <c r="AC1634" s="82"/>
    </row>
    <row r="1635" spans="1:33" x14ac:dyDescent="0.3">
      <c r="A1635" s="131" t="s">
        <v>2165</v>
      </c>
      <c r="B1635" s="111"/>
      <c r="C1635" s="273"/>
      <c r="D1635" s="273"/>
      <c r="E1635" s="273"/>
      <c r="F1635" s="273"/>
      <c r="G1635" s="273"/>
      <c r="H1635" s="273"/>
      <c r="I1635" s="273"/>
      <c r="J1635" s="273"/>
      <c r="K1635" s="273"/>
      <c r="L1635" s="273"/>
      <c r="M1635" s="273"/>
      <c r="N1635" s="273"/>
      <c r="O1635" s="273"/>
      <c r="P1635" s="273"/>
      <c r="Q1635" s="273"/>
      <c r="R1635" s="273"/>
      <c r="S1635" s="273"/>
      <c r="T1635" s="273"/>
      <c r="U1635" s="273"/>
      <c r="V1635" s="273"/>
      <c r="W1635" s="273"/>
      <c r="X1635" s="269"/>
      <c r="Y1635" s="94"/>
      <c r="Z1635" s="269"/>
      <c r="AA1635" s="82"/>
      <c r="AB1635" s="82"/>
      <c r="AC1635" s="82"/>
    </row>
    <row r="1636" spans="1:33" x14ac:dyDescent="0.3">
      <c r="A1636" s="10">
        <f>A1633+1</f>
        <v>1453</v>
      </c>
      <c r="B1636" s="124" t="s">
        <v>2167</v>
      </c>
      <c r="C1636" s="273">
        <f>D1636+K1636+L1636+N1636+P1636+R1636+S1636+U1636+V1636+W1636</f>
        <v>21526674.120000001</v>
      </c>
      <c r="D1636" s="273">
        <f>E1636+F1636+G1636+H1636+I1636</f>
        <v>0</v>
      </c>
      <c r="E1636" s="273"/>
      <c r="F1636" s="273"/>
      <c r="G1636" s="273"/>
      <c r="H1636" s="273"/>
      <c r="I1636" s="273"/>
      <c r="J1636" s="273"/>
      <c r="K1636" s="273"/>
      <c r="L1636" s="273"/>
      <c r="M1636" s="273"/>
      <c r="N1636" s="273"/>
      <c r="O1636" s="273"/>
      <c r="P1636" s="273"/>
      <c r="Q1636" s="273">
        <v>4320</v>
      </c>
      <c r="R1636" s="273">
        <v>21526674.120000001</v>
      </c>
      <c r="S1636" s="273"/>
      <c r="T1636" s="273"/>
      <c r="U1636" s="273"/>
      <c r="V1636" s="273"/>
      <c r="W1636" s="273"/>
      <c r="X1636" s="269"/>
      <c r="Y1636" s="94"/>
      <c r="Z1636" s="269"/>
      <c r="AA1636" s="82"/>
      <c r="AB1636" s="82"/>
      <c r="AC1636" s="82"/>
    </row>
    <row r="1637" spans="1:33" x14ac:dyDescent="0.3">
      <c r="A1637" s="133" t="s">
        <v>208</v>
      </c>
      <c r="B1637" s="122"/>
      <c r="C1637" s="273">
        <f t="shared" ref="C1637:W1637" si="356">SUM(C1636:C1636)</f>
        <v>21526674.120000001</v>
      </c>
      <c r="D1637" s="273">
        <f t="shared" si="356"/>
        <v>0</v>
      </c>
      <c r="E1637" s="273">
        <f t="shared" si="356"/>
        <v>0</v>
      </c>
      <c r="F1637" s="273">
        <f t="shared" si="356"/>
        <v>0</v>
      </c>
      <c r="G1637" s="273">
        <f t="shared" si="356"/>
        <v>0</v>
      </c>
      <c r="H1637" s="273">
        <f t="shared" si="356"/>
        <v>0</v>
      </c>
      <c r="I1637" s="273">
        <f t="shared" si="356"/>
        <v>0</v>
      </c>
      <c r="J1637" s="273">
        <f t="shared" si="356"/>
        <v>0</v>
      </c>
      <c r="K1637" s="273">
        <f t="shared" si="356"/>
        <v>0</v>
      </c>
      <c r="L1637" s="273">
        <f t="shared" si="356"/>
        <v>0</v>
      </c>
      <c r="M1637" s="273">
        <f t="shared" si="356"/>
        <v>0</v>
      </c>
      <c r="N1637" s="273">
        <f t="shared" si="356"/>
        <v>0</v>
      </c>
      <c r="O1637" s="273">
        <f t="shared" si="356"/>
        <v>0</v>
      </c>
      <c r="P1637" s="273">
        <f t="shared" si="356"/>
        <v>0</v>
      </c>
      <c r="Q1637" s="273">
        <f t="shared" si="356"/>
        <v>4320</v>
      </c>
      <c r="R1637" s="273">
        <f t="shared" si="356"/>
        <v>21526674.120000001</v>
      </c>
      <c r="S1637" s="273">
        <f t="shared" si="356"/>
        <v>0</v>
      </c>
      <c r="T1637" s="273">
        <f t="shared" si="356"/>
        <v>0</v>
      </c>
      <c r="U1637" s="273">
        <f t="shared" si="356"/>
        <v>0</v>
      </c>
      <c r="V1637" s="273">
        <f t="shared" si="356"/>
        <v>0</v>
      </c>
      <c r="W1637" s="273">
        <f t="shared" si="356"/>
        <v>0</v>
      </c>
      <c r="X1637" s="269"/>
      <c r="Y1637" s="94"/>
      <c r="Z1637" s="269"/>
      <c r="AA1637" s="82"/>
      <c r="AB1637" s="82"/>
      <c r="AC1637" s="82"/>
    </row>
    <row r="1638" spans="1:33" x14ac:dyDescent="0.3">
      <c r="A1638" s="131" t="s">
        <v>2168</v>
      </c>
      <c r="B1638" s="111"/>
      <c r="C1638" s="273"/>
      <c r="D1638" s="273"/>
      <c r="E1638" s="273"/>
      <c r="F1638" s="273"/>
      <c r="G1638" s="273"/>
      <c r="H1638" s="273"/>
      <c r="I1638" s="273"/>
      <c r="J1638" s="273"/>
      <c r="K1638" s="273"/>
      <c r="L1638" s="273"/>
      <c r="M1638" s="273"/>
      <c r="N1638" s="273"/>
      <c r="O1638" s="273"/>
      <c r="P1638" s="273"/>
      <c r="Q1638" s="273"/>
      <c r="R1638" s="273"/>
      <c r="S1638" s="273"/>
      <c r="T1638" s="273"/>
      <c r="U1638" s="273"/>
      <c r="V1638" s="273"/>
      <c r="W1638" s="273"/>
      <c r="X1638" s="269"/>
      <c r="Y1638" s="94"/>
      <c r="Z1638" s="269"/>
      <c r="AA1638" s="82"/>
      <c r="AB1638" s="82"/>
      <c r="AC1638" s="82"/>
    </row>
    <row r="1639" spans="1:33" x14ac:dyDescent="0.3">
      <c r="A1639" s="10">
        <f>A1636+1</f>
        <v>1454</v>
      </c>
      <c r="B1639" s="124" t="s">
        <v>2169</v>
      </c>
      <c r="C1639" s="273">
        <f t="shared" ref="C1639:C1645" si="357">D1639+K1639+L1639+N1639+P1639+R1639+S1639+U1639+V1639+W1639</f>
        <v>98261.36</v>
      </c>
      <c r="D1639" s="273">
        <f t="shared" ref="D1639:D1645" si="358">E1639+F1639+G1639+H1639+I1639</f>
        <v>0</v>
      </c>
      <c r="E1639" s="273"/>
      <c r="F1639" s="273"/>
      <c r="G1639" s="273"/>
      <c r="H1639" s="273"/>
      <c r="I1639" s="273"/>
      <c r="J1639" s="273"/>
      <c r="K1639" s="273"/>
      <c r="L1639" s="273"/>
      <c r="M1639" s="273"/>
      <c r="N1639" s="273"/>
      <c r="O1639" s="273"/>
      <c r="P1639" s="273"/>
      <c r="Q1639" s="273"/>
      <c r="R1639" s="273"/>
      <c r="S1639" s="273"/>
      <c r="T1639" s="273"/>
      <c r="U1639" s="273"/>
      <c r="V1639" s="273"/>
      <c r="W1639" s="273">
        <f>SUM(X1639:AH1639)</f>
        <v>98261.36</v>
      </c>
      <c r="X1639" s="269"/>
      <c r="Y1639" s="94"/>
      <c r="Z1639" s="269"/>
      <c r="AA1639" s="82"/>
      <c r="AB1639" s="82"/>
      <c r="AC1639" s="271">
        <v>98261.36</v>
      </c>
    </row>
    <row r="1640" spans="1:33" x14ac:dyDescent="0.3">
      <c r="A1640" s="10">
        <f t="shared" ref="A1640:A1645" si="359">A1639+1</f>
        <v>1455</v>
      </c>
      <c r="B1640" s="124" t="s">
        <v>2170</v>
      </c>
      <c r="C1640" s="273">
        <f t="shared" si="357"/>
        <v>305710.40000000002</v>
      </c>
      <c r="D1640" s="273">
        <f t="shared" si="358"/>
        <v>0</v>
      </c>
      <c r="E1640" s="273"/>
      <c r="F1640" s="273"/>
      <c r="G1640" s="273"/>
      <c r="H1640" s="273"/>
      <c r="I1640" s="273"/>
      <c r="J1640" s="273"/>
      <c r="K1640" s="273"/>
      <c r="L1640" s="273"/>
      <c r="M1640" s="273"/>
      <c r="N1640" s="273"/>
      <c r="O1640" s="273"/>
      <c r="P1640" s="273"/>
      <c r="Q1640" s="273"/>
      <c r="R1640" s="273"/>
      <c r="S1640" s="273"/>
      <c r="T1640" s="273"/>
      <c r="U1640" s="273"/>
      <c r="V1640" s="273"/>
      <c r="W1640" s="273">
        <f>SUM(X1640:AH1640)</f>
        <v>305710.40000000002</v>
      </c>
      <c r="X1640" s="269"/>
      <c r="Z1640" s="269"/>
      <c r="AA1640" s="82"/>
      <c r="AB1640" s="82"/>
      <c r="AC1640" s="271"/>
      <c r="AF1640" s="94">
        <v>305710.40000000002</v>
      </c>
    </row>
    <row r="1641" spans="1:33" x14ac:dyDescent="0.3">
      <c r="A1641" s="10">
        <f t="shared" si="359"/>
        <v>1456</v>
      </c>
      <c r="B1641" s="124" t="s">
        <v>2171</v>
      </c>
      <c r="C1641" s="273">
        <f t="shared" si="357"/>
        <v>130000</v>
      </c>
      <c r="D1641" s="273">
        <f t="shared" si="358"/>
        <v>0</v>
      </c>
      <c r="E1641" s="273"/>
      <c r="F1641" s="273"/>
      <c r="G1641" s="273"/>
      <c r="H1641" s="273"/>
      <c r="I1641" s="273"/>
      <c r="J1641" s="273"/>
      <c r="K1641" s="273"/>
      <c r="L1641" s="273"/>
      <c r="M1641" s="273"/>
      <c r="N1641" s="273"/>
      <c r="O1641" s="273"/>
      <c r="P1641" s="273"/>
      <c r="Q1641" s="273"/>
      <c r="R1641" s="273"/>
      <c r="S1641" s="273"/>
      <c r="T1641" s="273"/>
      <c r="U1641" s="273"/>
      <c r="V1641" s="273"/>
      <c r="W1641" s="273">
        <v>130000</v>
      </c>
      <c r="X1641" s="269"/>
      <c r="Y1641" s="94"/>
      <c r="Z1641" s="269"/>
      <c r="AA1641" s="82"/>
      <c r="AB1641" s="82"/>
      <c r="AC1641" s="271">
        <v>130000</v>
      </c>
    </row>
    <row r="1642" spans="1:33" x14ac:dyDescent="0.3">
      <c r="A1642" s="10">
        <f t="shared" si="359"/>
        <v>1457</v>
      </c>
      <c r="B1642" s="124" t="s">
        <v>2172</v>
      </c>
      <c r="C1642" s="273">
        <f t="shared" si="357"/>
        <v>130000</v>
      </c>
      <c r="D1642" s="273">
        <f t="shared" si="358"/>
        <v>0</v>
      </c>
      <c r="E1642" s="273"/>
      <c r="F1642" s="273"/>
      <c r="G1642" s="273"/>
      <c r="H1642" s="273"/>
      <c r="I1642" s="273"/>
      <c r="J1642" s="273"/>
      <c r="K1642" s="273"/>
      <c r="L1642" s="273"/>
      <c r="M1642" s="273"/>
      <c r="N1642" s="273"/>
      <c r="O1642" s="273"/>
      <c r="P1642" s="273"/>
      <c r="Q1642" s="273"/>
      <c r="R1642" s="273"/>
      <c r="S1642" s="273"/>
      <c r="T1642" s="273"/>
      <c r="U1642" s="273"/>
      <c r="V1642" s="273"/>
      <c r="W1642" s="273">
        <v>130000</v>
      </c>
      <c r="X1642" s="269"/>
      <c r="Y1642" s="94"/>
      <c r="Z1642" s="269"/>
      <c r="AA1642" s="82"/>
      <c r="AB1642" s="82"/>
      <c r="AC1642" s="271">
        <v>130000</v>
      </c>
    </row>
    <row r="1643" spans="1:33" x14ac:dyDescent="0.3">
      <c r="A1643" s="10">
        <f t="shared" si="359"/>
        <v>1458</v>
      </c>
      <c r="B1643" s="124" t="s">
        <v>2173</v>
      </c>
      <c r="C1643" s="273">
        <f t="shared" si="357"/>
        <v>99679.63</v>
      </c>
      <c r="D1643" s="273">
        <f t="shared" si="358"/>
        <v>0</v>
      </c>
      <c r="E1643" s="273"/>
      <c r="F1643" s="273"/>
      <c r="G1643" s="273"/>
      <c r="H1643" s="273"/>
      <c r="I1643" s="273"/>
      <c r="J1643" s="273"/>
      <c r="K1643" s="273"/>
      <c r="L1643" s="273"/>
      <c r="M1643" s="273"/>
      <c r="N1643" s="273"/>
      <c r="O1643" s="273"/>
      <c r="P1643" s="273"/>
      <c r="Q1643" s="273"/>
      <c r="R1643" s="273"/>
      <c r="S1643" s="273"/>
      <c r="T1643" s="273"/>
      <c r="U1643" s="273"/>
      <c r="V1643" s="273"/>
      <c r="W1643" s="273">
        <f>SUM(X1643:AC1643)</f>
        <v>99679.63</v>
      </c>
      <c r="X1643" s="269"/>
      <c r="Y1643" s="94"/>
      <c r="Z1643" s="269"/>
      <c r="AA1643" s="82"/>
      <c r="AB1643" s="82"/>
      <c r="AC1643" s="271">
        <v>99679.63</v>
      </c>
    </row>
    <row r="1644" spans="1:33" x14ac:dyDescent="0.3">
      <c r="A1644" s="10">
        <f t="shared" si="359"/>
        <v>1459</v>
      </c>
      <c r="B1644" s="124" t="s">
        <v>2174</v>
      </c>
      <c r="C1644" s="273">
        <f t="shared" si="357"/>
        <v>130000</v>
      </c>
      <c r="D1644" s="273">
        <f t="shared" si="358"/>
        <v>0</v>
      </c>
      <c r="E1644" s="273"/>
      <c r="F1644" s="273"/>
      <c r="G1644" s="273"/>
      <c r="H1644" s="273"/>
      <c r="I1644" s="273"/>
      <c r="J1644" s="273"/>
      <c r="K1644" s="273"/>
      <c r="L1644" s="273"/>
      <c r="M1644" s="273"/>
      <c r="N1644" s="273"/>
      <c r="O1644" s="273"/>
      <c r="P1644" s="273"/>
      <c r="Q1644" s="273"/>
      <c r="R1644" s="273"/>
      <c r="S1644" s="273"/>
      <c r="T1644" s="273"/>
      <c r="U1644" s="273"/>
      <c r="V1644" s="273"/>
      <c r="W1644" s="273">
        <v>130000</v>
      </c>
      <c r="X1644" s="269"/>
      <c r="Y1644" s="94"/>
      <c r="Z1644" s="269"/>
      <c r="AA1644" s="82"/>
      <c r="AB1644" s="82"/>
      <c r="AC1644" s="82">
        <v>130000</v>
      </c>
    </row>
    <row r="1645" spans="1:33" x14ac:dyDescent="0.3">
      <c r="A1645" s="10">
        <f t="shared" si="359"/>
        <v>1460</v>
      </c>
      <c r="B1645" s="124" t="s">
        <v>2175</v>
      </c>
      <c r="C1645" s="273">
        <f t="shared" si="357"/>
        <v>130000</v>
      </c>
      <c r="D1645" s="273">
        <f t="shared" si="358"/>
        <v>0</v>
      </c>
      <c r="E1645" s="273"/>
      <c r="F1645" s="273"/>
      <c r="G1645" s="273"/>
      <c r="H1645" s="273"/>
      <c r="I1645" s="273"/>
      <c r="J1645" s="273"/>
      <c r="K1645" s="273"/>
      <c r="L1645" s="273"/>
      <c r="M1645" s="273"/>
      <c r="N1645" s="273"/>
      <c r="O1645" s="273"/>
      <c r="P1645" s="273"/>
      <c r="Q1645" s="273"/>
      <c r="R1645" s="273"/>
      <c r="S1645" s="273"/>
      <c r="T1645" s="273"/>
      <c r="U1645" s="273"/>
      <c r="V1645" s="273"/>
      <c r="W1645" s="273">
        <v>130000</v>
      </c>
      <c r="X1645" s="269"/>
      <c r="Y1645" s="94"/>
      <c r="Z1645" s="269"/>
      <c r="AA1645" s="82"/>
      <c r="AB1645" s="82"/>
      <c r="AC1645" s="82">
        <v>130000</v>
      </c>
    </row>
    <row r="1646" spans="1:33" x14ac:dyDescent="0.3">
      <c r="A1646" s="133" t="s">
        <v>208</v>
      </c>
      <c r="B1646" s="122"/>
      <c r="C1646" s="273">
        <f t="shared" ref="C1646:W1646" si="360">SUM(C1639:C1645)</f>
        <v>1023651.39</v>
      </c>
      <c r="D1646" s="273">
        <f t="shared" si="360"/>
        <v>0</v>
      </c>
      <c r="E1646" s="273">
        <f t="shared" si="360"/>
        <v>0</v>
      </c>
      <c r="F1646" s="273">
        <f t="shared" si="360"/>
        <v>0</v>
      </c>
      <c r="G1646" s="273">
        <f t="shared" si="360"/>
        <v>0</v>
      </c>
      <c r="H1646" s="273">
        <f t="shared" si="360"/>
        <v>0</v>
      </c>
      <c r="I1646" s="273">
        <f t="shared" si="360"/>
        <v>0</v>
      </c>
      <c r="J1646" s="273">
        <f t="shared" si="360"/>
        <v>0</v>
      </c>
      <c r="K1646" s="273">
        <f t="shared" si="360"/>
        <v>0</v>
      </c>
      <c r="L1646" s="273">
        <f t="shared" si="360"/>
        <v>0</v>
      </c>
      <c r="M1646" s="273">
        <f t="shared" si="360"/>
        <v>0</v>
      </c>
      <c r="N1646" s="273">
        <f t="shared" si="360"/>
        <v>0</v>
      </c>
      <c r="O1646" s="273">
        <f t="shared" si="360"/>
        <v>0</v>
      </c>
      <c r="P1646" s="273">
        <f t="shared" si="360"/>
        <v>0</v>
      </c>
      <c r="Q1646" s="273">
        <f t="shared" si="360"/>
        <v>0</v>
      </c>
      <c r="R1646" s="273">
        <f t="shared" si="360"/>
        <v>0</v>
      </c>
      <c r="S1646" s="273">
        <f t="shared" si="360"/>
        <v>0</v>
      </c>
      <c r="T1646" s="273">
        <f t="shared" si="360"/>
        <v>0</v>
      </c>
      <c r="U1646" s="273">
        <f t="shared" si="360"/>
        <v>0</v>
      </c>
      <c r="V1646" s="273">
        <f t="shared" si="360"/>
        <v>0</v>
      </c>
      <c r="W1646" s="273">
        <f t="shared" si="360"/>
        <v>1023651.39</v>
      </c>
      <c r="X1646" s="269"/>
      <c r="Y1646" s="94"/>
      <c r="Z1646" s="269"/>
      <c r="AA1646" s="82"/>
      <c r="AB1646" s="82"/>
      <c r="AC1646" s="82"/>
    </row>
    <row r="1647" spans="1:33" x14ac:dyDescent="0.3">
      <c r="A1647" s="131" t="s">
        <v>2181</v>
      </c>
      <c r="B1647" s="111"/>
      <c r="C1647" s="273"/>
      <c r="D1647" s="273"/>
      <c r="E1647" s="273"/>
      <c r="F1647" s="273"/>
      <c r="G1647" s="273"/>
      <c r="H1647" s="273"/>
      <c r="I1647" s="273"/>
      <c r="J1647" s="273"/>
      <c r="K1647" s="273"/>
      <c r="L1647" s="273"/>
      <c r="M1647" s="273"/>
      <c r="N1647" s="273"/>
      <c r="O1647" s="273"/>
      <c r="P1647" s="273"/>
      <c r="Q1647" s="273"/>
      <c r="R1647" s="273"/>
      <c r="S1647" s="273"/>
      <c r="T1647" s="273"/>
      <c r="U1647" s="273"/>
      <c r="V1647" s="273"/>
      <c r="W1647" s="273"/>
      <c r="X1647" s="269"/>
      <c r="Y1647" s="94"/>
      <c r="Z1647" s="269"/>
      <c r="AA1647" s="82"/>
      <c r="AB1647" s="82"/>
      <c r="AC1647" s="82"/>
    </row>
    <row r="1648" spans="1:33" x14ac:dyDescent="0.3">
      <c r="A1648" s="10">
        <f>A1645+1</f>
        <v>1461</v>
      </c>
      <c r="B1648" s="124" t="s">
        <v>2182</v>
      </c>
      <c r="C1648" s="273">
        <f t="shared" ref="C1648:C1655" si="361">D1648+K1648+L1648+N1648+P1648+R1648+S1648+U1648+V1648+W1648</f>
        <v>192030.89</v>
      </c>
      <c r="D1648" s="273">
        <f t="shared" ref="D1648:D1655" si="362">E1648+F1648+G1648+H1648+I1648</f>
        <v>0</v>
      </c>
      <c r="E1648" s="273"/>
      <c r="F1648" s="273"/>
      <c r="G1648" s="273"/>
      <c r="H1648" s="273"/>
      <c r="I1648" s="273"/>
      <c r="J1648" s="273"/>
      <c r="K1648" s="273"/>
      <c r="L1648" s="273"/>
      <c r="M1648" s="273"/>
      <c r="N1648" s="273"/>
      <c r="O1648" s="273"/>
      <c r="P1648" s="273"/>
      <c r="Q1648" s="273"/>
      <c r="R1648" s="273"/>
      <c r="S1648" s="273"/>
      <c r="T1648" s="273"/>
      <c r="U1648" s="273"/>
      <c r="V1648" s="273"/>
      <c r="W1648" s="273">
        <f t="shared" ref="W1648:W1655" si="363">SUM(AA1648:AG1648)</f>
        <v>192030.89</v>
      </c>
      <c r="AA1648" s="82"/>
      <c r="AB1648" s="82"/>
      <c r="AC1648" s="271">
        <v>192030.89</v>
      </c>
      <c r="AE1648" s="269"/>
      <c r="AF1648" s="94"/>
      <c r="AG1648" s="269"/>
    </row>
    <row r="1649" spans="1:37" x14ac:dyDescent="0.3">
      <c r="A1649" s="10">
        <f t="shared" ref="A1649:A1655" si="364">A1648+1</f>
        <v>1462</v>
      </c>
      <c r="B1649" s="124" t="s">
        <v>2183</v>
      </c>
      <c r="C1649" s="273">
        <f t="shared" si="361"/>
        <v>562660.14</v>
      </c>
      <c r="D1649" s="273">
        <f t="shared" si="362"/>
        <v>0</v>
      </c>
      <c r="E1649" s="273"/>
      <c r="F1649" s="273"/>
      <c r="G1649" s="273"/>
      <c r="H1649" s="273"/>
      <c r="I1649" s="273"/>
      <c r="J1649" s="273"/>
      <c r="K1649" s="273"/>
      <c r="L1649" s="273"/>
      <c r="M1649" s="273"/>
      <c r="N1649" s="273"/>
      <c r="O1649" s="273"/>
      <c r="P1649" s="273"/>
      <c r="Q1649" s="273"/>
      <c r="R1649" s="273"/>
      <c r="S1649" s="273"/>
      <c r="T1649" s="273"/>
      <c r="U1649" s="273"/>
      <c r="V1649" s="273"/>
      <c r="W1649" s="273">
        <f t="shared" si="363"/>
        <v>562660.14</v>
      </c>
      <c r="AA1649" s="82"/>
      <c r="AB1649" s="82"/>
      <c r="AC1649" s="271"/>
      <c r="AE1649" s="269"/>
      <c r="AF1649" s="94"/>
      <c r="AG1649" s="269">
        <v>562660.14</v>
      </c>
    </row>
    <row r="1650" spans="1:37" x14ac:dyDescent="0.3">
      <c r="A1650" s="10">
        <f t="shared" si="364"/>
        <v>1463</v>
      </c>
      <c r="B1650" s="124" t="s">
        <v>2184</v>
      </c>
      <c r="C1650" s="273">
        <f t="shared" si="361"/>
        <v>448446.39</v>
      </c>
      <c r="D1650" s="273">
        <f t="shared" si="362"/>
        <v>0</v>
      </c>
      <c r="E1650" s="273"/>
      <c r="F1650" s="273"/>
      <c r="G1650" s="273"/>
      <c r="H1650" s="273"/>
      <c r="I1650" s="273"/>
      <c r="J1650" s="273"/>
      <c r="K1650" s="273"/>
      <c r="L1650" s="273"/>
      <c r="M1650" s="273"/>
      <c r="N1650" s="273"/>
      <c r="O1650" s="273"/>
      <c r="P1650" s="273"/>
      <c r="Q1650" s="273"/>
      <c r="R1650" s="273"/>
      <c r="S1650" s="273"/>
      <c r="T1650" s="273"/>
      <c r="U1650" s="273"/>
      <c r="V1650" s="273"/>
      <c r="W1650" s="273">
        <f t="shared" si="363"/>
        <v>448446.39</v>
      </c>
      <c r="AA1650" s="82"/>
      <c r="AB1650" s="82"/>
      <c r="AC1650" s="271"/>
      <c r="AE1650" s="269">
        <v>242144.32</v>
      </c>
      <c r="AF1650" s="94">
        <v>206302.07</v>
      </c>
      <c r="AG1650" s="269"/>
    </row>
    <row r="1651" spans="1:37" x14ac:dyDescent="0.3">
      <c r="A1651" s="10">
        <f t="shared" si="364"/>
        <v>1464</v>
      </c>
      <c r="B1651" s="124" t="s">
        <v>2185</v>
      </c>
      <c r="C1651" s="273">
        <f t="shared" si="361"/>
        <v>838622.77</v>
      </c>
      <c r="D1651" s="273">
        <f t="shared" si="362"/>
        <v>0</v>
      </c>
      <c r="E1651" s="273"/>
      <c r="F1651" s="273"/>
      <c r="G1651" s="273"/>
      <c r="H1651" s="273"/>
      <c r="I1651" s="273"/>
      <c r="J1651" s="273"/>
      <c r="K1651" s="273"/>
      <c r="L1651" s="273"/>
      <c r="M1651" s="273"/>
      <c r="N1651" s="273"/>
      <c r="O1651" s="273"/>
      <c r="P1651" s="273"/>
      <c r="Q1651" s="273"/>
      <c r="R1651" s="273"/>
      <c r="S1651" s="273"/>
      <c r="T1651" s="273"/>
      <c r="U1651" s="273"/>
      <c r="V1651" s="273"/>
      <c r="W1651" s="273">
        <f t="shared" si="363"/>
        <v>838622.77</v>
      </c>
      <c r="AA1651" s="82"/>
      <c r="AB1651" s="82"/>
      <c r="AC1651" s="271"/>
      <c r="AE1651" s="269"/>
      <c r="AF1651" s="94"/>
      <c r="AG1651" s="269">
        <v>838622.77</v>
      </c>
    </row>
    <row r="1652" spans="1:37" x14ac:dyDescent="0.3">
      <c r="A1652" s="10">
        <f t="shared" si="364"/>
        <v>1465</v>
      </c>
      <c r="B1652" s="124" t="s">
        <v>2186</v>
      </c>
      <c r="C1652" s="273">
        <f t="shared" si="361"/>
        <v>202196.69</v>
      </c>
      <c r="D1652" s="273">
        <f t="shared" si="362"/>
        <v>0</v>
      </c>
      <c r="E1652" s="273"/>
      <c r="F1652" s="273"/>
      <c r="G1652" s="273"/>
      <c r="H1652" s="273"/>
      <c r="I1652" s="273"/>
      <c r="J1652" s="273"/>
      <c r="K1652" s="273"/>
      <c r="L1652" s="273"/>
      <c r="M1652" s="273"/>
      <c r="N1652" s="273"/>
      <c r="O1652" s="273"/>
      <c r="P1652" s="273"/>
      <c r="Q1652" s="273"/>
      <c r="R1652" s="273"/>
      <c r="S1652" s="273"/>
      <c r="T1652" s="273"/>
      <c r="U1652" s="273"/>
      <c r="V1652" s="273"/>
      <c r="W1652" s="273">
        <f t="shared" si="363"/>
        <v>202196.69</v>
      </c>
      <c r="AA1652" s="82"/>
      <c r="AB1652" s="82"/>
      <c r="AC1652" s="271">
        <v>202196.69</v>
      </c>
      <c r="AE1652" s="269"/>
      <c r="AF1652" s="94"/>
      <c r="AG1652" s="269"/>
    </row>
    <row r="1653" spans="1:37" x14ac:dyDescent="0.3">
      <c r="A1653" s="10">
        <f t="shared" si="364"/>
        <v>1466</v>
      </c>
      <c r="B1653" s="124" t="s">
        <v>2187</v>
      </c>
      <c r="C1653" s="273">
        <f t="shared" si="361"/>
        <v>202196.69</v>
      </c>
      <c r="D1653" s="273">
        <f t="shared" si="362"/>
        <v>0</v>
      </c>
      <c r="E1653" s="273"/>
      <c r="F1653" s="273"/>
      <c r="G1653" s="273"/>
      <c r="H1653" s="273"/>
      <c r="I1653" s="273"/>
      <c r="J1653" s="273"/>
      <c r="K1653" s="273"/>
      <c r="L1653" s="273"/>
      <c r="M1653" s="273"/>
      <c r="N1653" s="273"/>
      <c r="O1653" s="273"/>
      <c r="P1653" s="273"/>
      <c r="Q1653" s="273"/>
      <c r="R1653" s="273"/>
      <c r="S1653" s="273"/>
      <c r="T1653" s="273"/>
      <c r="U1653" s="273"/>
      <c r="V1653" s="273"/>
      <c r="W1653" s="273">
        <f t="shared" si="363"/>
        <v>202196.69</v>
      </c>
      <c r="AA1653" s="82"/>
      <c r="AB1653" s="82"/>
      <c r="AC1653" s="271">
        <v>202196.69</v>
      </c>
      <c r="AE1653" s="269"/>
      <c r="AF1653" s="94"/>
      <c r="AG1653" s="269"/>
    </row>
    <row r="1654" spans="1:37" x14ac:dyDescent="0.3">
      <c r="A1654" s="10">
        <f t="shared" si="364"/>
        <v>1467</v>
      </c>
      <c r="B1654" s="124" t="s">
        <v>2188</v>
      </c>
      <c r="C1654" s="273">
        <f t="shared" si="361"/>
        <v>202679.24</v>
      </c>
      <c r="D1654" s="273">
        <f t="shared" si="362"/>
        <v>0</v>
      </c>
      <c r="E1654" s="273"/>
      <c r="F1654" s="273"/>
      <c r="G1654" s="273"/>
      <c r="H1654" s="273"/>
      <c r="I1654" s="273"/>
      <c r="J1654" s="273"/>
      <c r="K1654" s="273"/>
      <c r="L1654" s="273"/>
      <c r="M1654" s="273"/>
      <c r="N1654" s="273"/>
      <c r="O1654" s="273"/>
      <c r="P1654" s="273"/>
      <c r="Q1654" s="273"/>
      <c r="R1654" s="273"/>
      <c r="S1654" s="273"/>
      <c r="T1654" s="273"/>
      <c r="U1654" s="273"/>
      <c r="V1654" s="273"/>
      <c r="W1654" s="273">
        <f t="shared" si="363"/>
        <v>202679.24</v>
      </c>
      <c r="AA1654" s="82"/>
      <c r="AB1654" s="82"/>
      <c r="AC1654" s="271">
        <v>202679.24</v>
      </c>
      <c r="AE1654" s="269"/>
      <c r="AF1654" s="94"/>
      <c r="AG1654" s="269"/>
    </row>
    <row r="1655" spans="1:37" x14ac:dyDescent="0.3">
      <c r="A1655" s="10">
        <f t="shared" si="364"/>
        <v>1468</v>
      </c>
      <c r="B1655" s="124" t="s">
        <v>2189</v>
      </c>
      <c r="C1655" s="273">
        <f t="shared" si="361"/>
        <v>982644.77</v>
      </c>
      <c r="D1655" s="273">
        <f t="shared" si="362"/>
        <v>0</v>
      </c>
      <c r="E1655" s="273"/>
      <c r="F1655" s="273"/>
      <c r="G1655" s="273"/>
      <c r="H1655" s="273"/>
      <c r="I1655" s="273"/>
      <c r="J1655" s="273"/>
      <c r="K1655" s="273"/>
      <c r="L1655" s="273"/>
      <c r="M1655" s="273"/>
      <c r="N1655" s="273"/>
      <c r="O1655" s="273"/>
      <c r="P1655" s="273"/>
      <c r="Q1655" s="273"/>
      <c r="R1655" s="273"/>
      <c r="S1655" s="273"/>
      <c r="T1655" s="273"/>
      <c r="U1655" s="273"/>
      <c r="V1655" s="273"/>
      <c r="W1655" s="273">
        <f t="shared" si="363"/>
        <v>982644.77</v>
      </c>
      <c r="AA1655" s="82"/>
      <c r="AB1655" s="82"/>
      <c r="AC1655" s="271">
        <v>232177.03</v>
      </c>
      <c r="AE1655" s="269">
        <v>413111.87</v>
      </c>
      <c r="AF1655" s="94">
        <v>337355.87</v>
      </c>
      <c r="AG1655" s="269"/>
    </row>
    <row r="1656" spans="1:37" x14ac:dyDescent="0.3">
      <c r="A1656" s="133" t="s">
        <v>208</v>
      </c>
      <c r="B1656" s="122"/>
      <c r="C1656" s="273">
        <f t="shared" ref="C1656:W1656" si="365">SUM(C1648:C1655)</f>
        <v>3631477.5799999996</v>
      </c>
      <c r="D1656" s="273">
        <f t="shared" si="365"/>
        <v>0</v>
      </c>
      <c r="E1656" s="273">
        <f t="shared" si="365"/>
        <v>0</v>
      </c>
      <c r="F1656" s="273">
        <f t="shared" si="365"/>
        <v>0</v>
      </c>
      <c r="G1656" s="273">
        <f t="shared" si="365"/>
        <v>0</v>
      </c>
      <c r="H1656" s="273">
        <f t="shared" si="365"/>
        <v>0</v>
      </c>
      <c r="I1656" s="273">
        <f t="shared" si="365"/>
        <v>0</v>
      </c>
      <c r="J1656" s="273">
        <f t="shared" si="365"/>
        <v>0</v>
      </c>
      <c r="K1656" s="273">
        <f t="shared" si="365"/>
        <v>0</v>
      </c>
      <c r="L1656" s="273">
        <f t="shared" si="365"/>
        <v>0</v>
      </c>
      <c r="M1656" s="273">
        <f t="shared" si="365"/>
        <v>0</v>
      </c>
      <c r="N1656" s="273">
        <f t="shared" si="365"/>
        <v>0</v>
      </c>
      <c r="O1656" s="273">
        <f t="shared" si="365"/>
        <v>0</v>
      </c>
      <c r="P1656" s="273">
        <f t="shared" si="365"/>
        <v>0</v>
      </c>
      <c r="Q1656" s="273">
        <f t="shared" si="365"/>
        <v>0</v>
      </c>
      <c r="R1656" s="273">
        <f t="shared" si="365"/>
        <v>0</v>
      </c>
      <c r="S1656" s="273">
        <f t="shared" si="365"/>
        <v>0</v>
      </c>
      <c r="T1656" s="273">
        <f t="shared" si="365"/>
        <v>0</v>
      </c>
      <c r="U1656" s="273">
        <f t="shared" si="365"/>
        <v>0</v>
      </c>
      <c r="V1656" s="273">
        <f t="shared" si="365"/>
        <v>0</v>
      </c>
      <c r="W1656" s="273">
        <f t="shared" si="365"/>
        <v>3631477.5799999996</v>
      </c>
      <c r="X1656" s="269"/>
      <c r="Y1656" s="94"/>
      <c r="Z1656" s="269"/>
      <c r="AA1656" s="82"/>
      <c r="AB1656" s="82"/>
      <c r="AC1656" s="82"/>
    </row>
    <row r="1657" spans="1:37" x14ac:dyDescent="0.3">
      <c r="A1657" s="131" t="s">
        <v>2190</v>
      </c>
      <c r="B1657" s="111"/>
      <c r="C1657" s="251">
        <f t="shared" ref="C1657:W1657" si="366">C1656+C1646+C1637+C1634+C1630+C1620+C1617+C1614+C1600+C1592+C1583</f>
        <v>338542454.23000002</v>
      </c>
      <c r="D1657" s="251">
        <f t="shared" si="366"/>
        <v>90741132.25</v>
      </c>
      <c r="E1657" s="251">
        <f t="shared" si="366"/>
        <v>9701124</v>
      </c>
      <c r="F1657" s="251">
        <f t="shared" si="366"/>
        <v>38996426.400000006</v>
      </c>
      <c r="G1657" s="251">
        <f t="shared" si="366"/>
        <v>12865364.799999999</v>
      </c>
      <c r="H1657" s="251">
        <f t="shared" si="366"/>
        <v>25138413.999999996</v>
      </c>
      <c r="I1657" s="251">
        <f t="shared" si="366"/>
        <v>4039803.0500000003</v>
      </c>
      <c r="J1657" s="251">
        <f t="shared" si="366"/>
        <v>0</v>
      </c>
      <c r="K1657" s="251">
        <f t="shared" si="366"/>
        <v>0</v>
      </c>
      <c r="L1657" s="251">
        <f t="shared" si="366"/>
        <v>0</v>
      </c>
      <c r="M1657" s="251">
        <f t="shared" si="366"/>
        <v>4088.01</v>
      </c>
      <c r="N1657" s="251">
        <f t="shared" si="366"/>
        <v>18552808.899999999</v>
      </c>
      <c r="O1657" s="251">
        <f t="shared" si="366"/>
        <v>2492.5</v>
      </c>
      <c r="P1657" s="251">
        <f t="shared" si="366"/>
        <v>13320702.18</v>
      </c>
      <c r="Q1657" s="251">
        <f t="shared" si="366"/>
        <v>10921</v>
      </c>
      <c r="R1657" s="251">
        <f t="shared" si="366"/>
        <v>105217628.44</v>
      </c>
      <c r="S1657" s="251">
        <f t="shared" si="366"/>
        <v>0</v>
      </c>
      <c r="T1657" s="251">
        <f t="shared" si="366"/>
        <v>8967</v>
      </c>
      <c r="U1657" s="251">
        <f t="shared" si="366"/>
        <v>34693610.280000009</v>
      </c>
      <c r="V1657" s="251">
        <f t="shared" si="366"/>
        <v>65991653</v>
      </c>
      <c r="W1657" s="251">
        <f t="shared" si="366"/>
        <v>10024919.18</v>
      </c>
      <c r="X1657" s="269"/>
      <c r="Y1657" s="94"/>
      <c r="Z1657" s="269"/>
      <c r="AA1657" s="82"/>
      <c r="AB1657" s="82"/>
      <c r="AC1657" s="82"/>
    </row>
    <row r="1658" spans="1:37" x14ac:dyDescent="0.3">
      <c r="A1658" s="376" t="s">
        <v>3206</v>
      </c>
      <c r="B1658" s="377"/>
      <c r="C1658" s="377"/>
      <c r="D1658" s="377"/>
      <c r="E1658" s="377"/>
      <c r="F1658" s="377"/>
      <c r="G1658" s="377"/>
      <c r="H1658" s="377"/>
      <c r="I1658" s="377"/>
      <c r="J1658" s="377"/>
      <c r="K1658" s="377"/>
      <c r="L1658" s="377"/>
      <c r="M1658" s="377"/>
      <c r="N1658" s="377"/>
      <c r="O1658" s="377"/>
      <c r="P1658" s="377"/>
      <c r="Q1658" s="377"/>
      <c r="R1658" s="377"/>
      <c r="S1658" s="377"/>
      <c r="T1658" s="377"/>
      <c r="U1658" s="377"/>
      <c r="V1658" s="377"/>
      <c r="W1658" s="378"/>
      <c r="X1658" s="273"/>
      <c r="Y1658" s="273"/>
      <c r="Z1658" s="273"/>
      <c r="AA1658" s="273"/>
      <c r="AB1658" s="273"/>
      <c r="AC1658" s="273"/>
      <c r="AD1658" s="273"/>
      <c r="AE1658" s="273"/>
      <c r="AF1658" s="273"/>
      <c r="AG1658" s="261"/>
      <c r="AH1658" s="273"/>
      <c r="AI1658" s="273"/>
      <c r="AJ1658" s="273"/>
      <c r="AK1658" s="273"/>
    </row>
    <row r="1659" spans="1:37" x14ac:dyDescent="0.3">
      <c r="A1659" s="131" t="s">
        <v>3294</v>
      </c>
      <c r="B1659" s="111"/>
      <c r="C1659" s="273"/>
      <c r="D1659" s="273"/>
      <c r="E1659" s="273"/>
      <c r="F1659" s="273"/>
      <c r="G1659" s="273"/>
      <c r="H1659" s="273"/>
      <c r="I1659" s="273"/>
      <c r="J1659" s="273"/>
      <c r="K1659" s="273"/>
      <c r="L1659" s="273"/>
      <c r="M1659" s="273"/>
      <c r="N1659" s="273"/>
      <c r="O1659" s="273"/>
      <c r="P1659" s="273"/>
      <c r="Q1659" s="273"/>
      <c r="R1659" s="273"/>
      <c r="S1659" s="273"/>
      <c r="T1659" s="273"/>
      <c r="U1659" s="273"/>
      <c r="V1659" s="273"/>
      <c r="W1659" s="273"/>
      <c r="X1659" s="273"/>
      <c r="Y1659" s="273"/>
      <c r="Z1659" s="273"/>
      <c r="AA1659" s="273"/>
      <c r="AB1659" s="273"/>
      <c r="AC1659" s="273"/>
      <c r="AD1659" s="273"/>
      <c r="AE1659" s="273"/>
      <c r="AF1659" s="273"/>
      <c r="AG1659" s="261"/>
      <c r="AH1659" s="273"/>
      <c r="AI1659" s="273"/>
      <c r="AJ1659" s="273"/>
      <c r="AK1659" s="273"/>
    </row>
    <row r="1660" spans="1:37" x14ac:dyDescent="0.3">
      <c r="A1660" s="10">
        <f>A1655+1</f>
        <v>1469</v>
      </c>
      <c r="B1660" s="124" t="s">
        <v>3295</v>
      </c>
      <c r="C1660" s="273">
        <f t="shared" ref="C1660:C1685" si="367">D1660+K1660+L1660+N1660+P1660+R1660+S1660+U1660+V1660+W1660</f>
        <v>101939.7</v>
      </c>
      <c r="D1660" s="273">
        <f t="shared" ref="D1660:D1666" si="368">E1660+F1660+G1660+H1660+I1660</f>
        <v>0</v>
      </c>
      <c r="E1660" s="273"/>
      <c r="F1660" s="273"/>
      <c r="G1660" s="273"/>
      <c r="H1660" s="273"/>
      <c r="I1660" s="273"/>
      <c r="J1660" s="273"/>
      <c r="K1660" s="273"/>
      <c r="L1660" s="273"/>
      <c r="M1660" s="273"/>
      <c r="N1660" s="273"/>
      <c r="O1660" s="273"/>
      <c r="P1660" s="273"/>
      <c r="Q1660" s="273"/>
      <c r="R1660" s="273"/>
      <c r="S1660" s="273"/>
      <c r="T1660" s="273"/>
      <c r="U1660" s="273"/>
      <c r="V1660" s="273"/>
      <c r="W1660" s="273">
        <f t="shared" ref="W1660:W1666" si="369">SUM(X1660:AK1660)</f>
        <v>101939.7</v>
      </c>
      <c r="X1660" s="273"/>
      <c r="Y1660" s="273"/>
      <c r="AA1660" s="273"/>
      <c r="AB1660" s="273"/>
      <c r="AC1660" s="273">
        <v>101939.7</v>
      </c>
      <c r="AD1660" s="273"/>
      <c r="AE1660" s="273"/>
      <c r="AF1660" s="261"/>
      <c r="AH1660" s="273"/>
      <c r="AI1660" s="273"/>
      <c r="AJ1660" s="273"/>
      <c r="AK1660" s="273"/>
    </row>
    <row r="1661" spans="1:37" x14ac:dyDescent="0.3">
      <c r="A1661" s="10">
        <f t="shared" ref="A1661:A1685" si="370">A1660+1</f>
        <v>1470</v>
      </c>
      <c r="B1661" s="124" t="s">
        <v>3296</v>
      </c>
      <c r="C1661" s="273">
        <f t="shared" si="367"/>
        <v>90947.83</v>
      </c>
      <c r="D1661" s="273">
        <f t="shared" si="368"/>
        <v>0</v>
      </c>
      <c r="E1661" s="273"/>
      <c r="F1661" s="273"/>
      <c r="G1661" s="273"/>
      <c r="H1661" s="273"/>
      <c r="I1661" s="273"/>
      <c r="J1661" s="273"/>
      <c r="K1661" s="273"/>
      <c r="L1661" s="273"/>
      <c r="M1661" s="273"/>
      <c r="N1661" s="273"/>
      <c r="O1661" s="273"/>
      <c r="P1661" s="273"/>
      <c r="Q1661" s="273"/>
      <c r="R1661" s="273"/>
      <c r="S1661" s="273"/>
      <c r="T1661" s="273"/>
      <c r="U1661" s="273"/>
      <c r="V1661" s="273"/>
      <c r="W1661" s="273">
        <f t="shared" si="369"/>
        <v>90947.83</v>
      </c>
      <c r="X1661" s="273"/>
      <c r="Y1661" s="273"/>
      <c r="AA1661" s="273"/>
      <c r="AB1661" s="273"/>
      <c r="AC1661" s="273">
        <v>90947.83</v>
      </c>
      <c r="AD1661" s="273"/>
      <c r="AE1661" s="273"/>
      <c r="AF1661" s="261"/>
      <c r="AH1661" s="273"/>
      <c r="AI1661" s="273"/>
      <c r="AJ1661" s="273"/>
      <c r="AK1661" s="273"/>
    </row>
    <row r="1662" spans="1:37" x14ac:dyDescent="0.3">
      <c r="A1662" s="10">
        <f t="shared" si="370"/>
        <v>1471</v>
      </c>
      <c r="B1662" s="124" t="s">
        <v>3297</v>
      </c>
      <c r="C1662" s="273">
        <f t="shared" si="367"/>
        <v>106913.72</v>
      </c>
      <c r="D1662" s="273">
        <f t="shared" si="368"/>
        <v>0</v>
      </c>
      <c r="E1662" s="273"/>
      <c r="F1662" s="273"/>
      <c r="G1662" s="273"/>
      <c r="H1662" s="273"/>
      <c r="I1662" s="273"/>
      <c r="J1662" s="273"/>
      <c r="K1662" s="273"/>
      <c r="L1662" s="273"/>
      <c r="M1662" s="273"/>
      <c r="N1662" s="273"/>
      <c r="O1662" s="273"/>
      <c r="P1662" s="273"/>
      <c r="Q1662" s="273"/>
      <c r="R1662" s="273"/>
      <c r="S1662" s="273"/>
      <c r="T1662" s="273"/>
      <c r="U1662" s="273"/>
      <c r="V1662" s="273"/>
      <c r="W1662" s="273">
        <f t="shared" si="369"/>
        <v>106913.72</v>
      </c>
      <c r="X1662" s="273"/>
      <c r="Y1662" s="273"/>
      <c r="AA1662" s="273"/>
      <c r="AB1662" s="273"/>
      <c r="AC1662" s="273">
        <v>106913.72</v>
      </c>
      <c r="AD1662" s="273"/>
      <c r="AE1662" s="273"/>
      <c r="AF1662" s="261"/>
      <c r="AH1662" s="273"/>
      <c r="AI1662" s="273"/>
      <c r="AJ1662" s="273"/>
      <c r="AK1662" s="273"/>
    </row>
    <row r="1663" spans="1:37" x14ac:dyDescent="0.3">
      <c r="A1663" s="10">
        <f t="shared" si="370"/>
        <v>1472</v>
      </c>
      <c r="B1663" s="124" t="s">
        <v>3298</v>
      </c>
      <c r="C1663" s="273">
        <f t="shared" si="367"/>
        <v>288967.08</v>
      </c>
      <c r="D1663" s="273">
        <f t="shared" si="368"/>
        <v>0</v>
      </c>
      <c r="E1663" s="273"/>
      <c r="F1663" s="273"/>
      <c r="G1663" s="273"/>
      <c r="H1663" s="273"/>
      <c r="I1663" s="273"/>
      <c r="J1663" s="273"/>
      <c r="K1663" s="273"/>
      <c r="L1663" s="273"/>
      <c r="M1663" s="273"/>
      <c r="N1663" s="273"/>
      <c r="O1663" s="273"/>
      <c r="P1663" s="273"/>
      <c r="Q1663" s="273"/>
      <c r="R1663" s="273"/>
      <c r="S1663" s="273"/>
      <c r="T1663" s="273"/>
      <c r="U1663" s="273"/>
      <c r="V1663" s="273"/>
      <c r="W1663" s="273">
        <f t="shared" si="369"/>
        <v>288967.08</v>
      </c>
      <c r="X1663" s="273"/>
      <c r="Y1663" s="273"/>
      <c r="AA1663" s="273"/>
      <c r="AB1663" s="273"/>
      <c r="AC1663" s="273"/>
      <c r="AD1663" s="273"/>
      <c r="AE1663" s="273"/>
      <c r="AF1663" s="261">
        <v>288967.08</v>
      </c>
      <c r="AH1663" s="273"/>
      <c r="AI1663" s="273"/>
      <c r="AJ1663" s="273"/>
      <c r="AK1663" s="273"/>
    </row>
    <row r="1664" spans="1:37" x14ac:dyDescent="0.3">
      <c r="A1664" s="10">
        <f t="shared" si="370"/>
        <v>1473</v>
      </c>
      <c r="B1664" s="124" t="s">
        <v>3299</v>
      </c>
      <c r="C1664" s="273">
        <f t="shared" si="367"/>
        <v>105204.37</v>
      </c>
      <c r="D1664" s="273">
        <f t="shared" si="368"/>
        <v>0</v>
      </c>
      <c r="E1664" s="273"/>
      <c r="F1664" s="273"/>
      <c r="G1664" s="273"/>
      <c r="H1664" s="273"/>
      <c r="I1664" s="273"/>
      <c r="J1664" s="273"/>
      <c r="K1664" s="273"/>
      <c r="L1664" s="273"/>
      <c r="M1664" s="273"/>
      <c r="N1664" s="273"/>
      <c r="O1664" s="273"/>
      <c r="P1664" s="273"/>
      <c r="Q1664" s="273"/>
      <c r="R1664" s="273"/>
      <c r="S1664" s="273"/>
      <c r="T1664" s="273"/>
      <c r="U1664" s="273"/>
      <c r="V1664" s="273"/>
      <c r="W1664" s="273">
        <f t="shared" si="369"/>
        <v>105204.37</v>
      </c>
      <c r="X1664" s="273"/>
      <c r="Y1664" s="273"/>
      <c r="AA1664" s="273"/>
      <c r="AB1664" s="273"/>
      <c r="AC1664" s="273">
        <v>105204.37</v>
      </c>
      <c r="AD1664" s="273"/>
      <c r="AE1664" s="273"/>
      <c r="AF1664" s="261"/>
      <c r="AH1664" s="273"/>
      <c r="AI1664" s="273"/>
      <c r="AJ1664" s="273"/>
      <c r="AK1664" s="273"/>
    </row>
    <row r="1665" spans="1:37" x14ac:dyDescent="0.3">
      <c r="A1665" s="10">
        <f t="shared" si="370"/>
        <v>1474</v>
      </c>
      <c r="B1665" s="124" t="s">
        <v>3300</v>
      </c>
      <c r="C1665" s="273">
        <f t="shared" si="367"/>
        <v>288967.08</v>
      </c>
      <c r="D1665" s="273">
        <f t="shared" si="368"/>
        <v>0</v>
      </c>
      <c r="E1665" s="273"/>
      <c r="F1665" s="273"/>
      <c r="G1665" s="273"/>
      <c r="H1665" s="273"/>
      <c r="I1665" s="273"/>
      <c r="J1665" s="273"/>
      <c r="K1665" s="273"/>
      <c r="L1665" s="273"/>
      <c r="M1665" s="273"/>
      <c r="N1665" s="273"/>
      <c r="O1665" s="273"/>
      <c r="P1665" s="273"/>
      <c r="Q1665" s="273"/>
      <c r="R1665" s="273"/>
      <c r="S1665" s="273"/>
      <c r="T1665" s="273"/>
      <c r="U1665" s="273"/>
      <c r="V1665" s="273"/>
      <c r="W1665" s="273">
        <f t="shared" si="369"/>
        <v>288967.08</v>
      </c>
      <c r="X1665" s="273"/>
      <c r="Y1665" s="273"/>
      <c r="AA1665" s="273"/>
      <c r="AB1665" s="273"/>
      <c r="AC1665" s="273"/>
      <c r="AD1665" s="273"/>
      <c r="AE1665" s="273"/>
      <c r="AF1665" s="261">
        <v>288967.08</v>
      </c>
      <c r="AH1665" s="273"/>
      <c r="AI1665" s="273"/>
      <c r="AJ1665" s="273"/>
      <c r="AK1665" s="273"/>
    </row>
    <row r="1666" spans="1:37" x14ac:dyDescent="0.3">
      <c r="A1666" s="10">
        <f t="shared" si="370"/>
        <v>1475</v>
      </c>
      <c r="B1666" s="124" t="s">
        <v>3301</v>
      </c>
      <c r="C1666" s="273">
        <f t="shared" si="367"/>
        <v>113597.11</v>
      </c>
      <c r="D1666" s="273">
        <f t="shared" si="368"/>
        <v>0</v>
      </c>
      <c r="E1666" s="273"/>
      <c r="F1666" s="273"/>
      <c r="G1666" s="273"/>
      <c r="H1666" s="273"/>
      <c r="I1666" s="273"/>
      <c r="J1666" s="273"/>
      <c r="K1666" s="273"/>
      <c r="L1666" s="273"/>
      <c r="M1666" s="273"/>
      <c r="N1666" s="273"/>
      <c r="O1666" s="273"/>
      <c r="P1666" s="273"/>
      <c r="Q1666" s="273"/>
      <c r="R1666" s="273"/>
      <c r="S1666" s="273"/>
      <c r="T1666" s="273"/>
      <c r="U1666" s="273"/>
      <c r="V1666" s="273"/>
      <c r="W1666" s="273">
        <f t="shared" si="369"/>
        <v>113597.11</v>
      </c>
      <c r="X1666" s="273"/>
      <c r="Y1666" s="273"/>
      <c r="AA1666" s="273"/>
      <c r="AB1666" s="273"/>
      <c r="AC1666" s="273">
        <v>113597.11</v>
      </c>
      <c r="AD1666" s="273"/>
      <c r="AE1666" s="273"/>
      <c r="AF1666" s="261"/>
      <c r="AH1666" s="273"/>
      <c r="AI1666" s="273"/>
      <c r="AJ1666" s="273"/>
      <c r="AK1666" s="273"/>
    </row>
    <row r="1667" spans="1:37" x14ac:dyDescent="0.3">
      <c r="A1667" s="10">
        <f t="shared" si="370"/>
        <v>1476</v>
      </c>
      <c r="B1667" s="124" t="s">
        <v>3302</v>
      </c>
      <c r="C1667" s="273">
        <f t="shared" si="367"/>
        <v>130000</v>
      </c>
      <c r="D1667" s="273"/>
      <c r="E1667" s="273"/>
      <c r="F1667" s="273"/>
      <c r="G1667" s="273"/>
      <c r="H1667" s="273"/>
      <c r="I1667" s="273"/>
      <c r="J1667" s="273"/>
      <c r="K1667" s="273"/>
      <c r="L1667" s="273"/>
      <c r="M1667" s="273"/>
      <c r="N1667" s="273"/>
      <c r="O1667" s="273"/>
      <c r="P1667" s="273"/>
      <c r="Q1667" s="273"/>
      <c r="R1667" s="273"/>
      <c r="S1667" s="273"/>
      <c r="T1667" s="273"/>
      <c r="U1667" s="273"/>
      <c r="V1667" s="273"/>
      <c r="W1667" s="273">
        <v>130000</v>
      </c>
      <c r="X1667" s="273"/>
      <c r="Y1667" s="273"/>
      <c r="AA1667" s="273"/>
      <c r="AB1667" s="273"/>
      <c r="AC1667" s="273">
        <v>130000</v>
      </c>
      <c r="AD1667" s="273"/>
      <c r="AE1667" s="273"/>
      <c r="AF1667" s="261"/>
      <c r="AH1667" s="273"/>
      <c r="AI1667" s="273"/>
      <c r="AJ1667" s="273"/>
      <c r="AK1667" s="273"/>
    </row>
    <row r="1668" spans="1:37" x14ac:dyDescent="0.3">
      <c r="A1668" s="10">
        <f t="shared" si="370"/>
        <v>1477</v>
      </c>
      <c r="B1668" s="124" t="s">
        <v>3303</v>
      </c>
      <c r="C1668" s="273">
        <f t="shared" si="367"/>
        <v>111689.34</v>
      </c>
      <c r="D1668" s="273">
        <f t="shared" ref="D1668:D1685" si="371">E1668+F1668+G1668+H1668+I1668</f>
        <v>0</v>
      </c>
      <c r="E1668" s="273"/>
      <c r="F1668" s="273"/>
      <c r="G1668" s="273"/>
      <c r="H1668" s="273"/>
      <c r="I1668" s="273"/>
      <c r="J1668" s="273"/>
      <c r="K1668" s="273"/>
      <c r="L1668" s="273"/>
      <c r="M1668" s="273"/>
      <c r="N1668" s="273"/>
      <c r="O1668" s="273"/>
      <c r="P1668" s="273"/>
      <c r="Q1668" s="273"/>
      <c r="R1668" s="273"/>
      <c r="S1668" s="273"/>
      <c r="T1668" s="273"/>
      <c r="U1668" s="273"/>
      <c r="V1668" s="273"/>
      <c r="W1668" s="273">
        <f t="shared" ref="W1668:W1685" si="372">SUM(X1668:AK1668)</f>
        <v>111689.34</v>
      </c>
      <c r="X1668" s="273"/>
      <c r="Y1668" s="273"/>
      <c r="AA1668" s="273"/>
      <c r="AB1668" s="273"/>
      <c r="AC1668" s="273">
        <v>111689.34</v>
      </c>
      <c r="AD1668" s="273"/>
      <c r="AE1668" s="273"/>
      <c r="AF1668" s="261"/>
      <c r="AH1668" s="273"/>
      <c r="AI1668" s="273"/>
      <c r="AJ1668" s="273"/>
      <c r="AK1668" s="273"/>
    </row>
    <row r="1669" spans="1:37" x14ac:dyDescent="0.3">
      <c r="A1669" s="10">
        <f t="shared" si="370"/>
        <v>1478</v>
      </c>
      <c r="B1669" s="124" t="s">
        <v>3304</v>
      </c>
      <c r="C1669" s="273">
        <f t="shared" si="367"/>
        <v>119811.06</v>
      </c>
      <c r="D1669" s="273">
        <f t="shared" si="371"/>
        <v>0</v>
      </c>
      <c r="E1669" s="273"/>
      <c r="F1669" s="273"/>
      <c r="G1669" s="273"/>
      <c r="H1669" s="273"/>
      <c r="I1669" s="273"/>
      <c r="J1669" s="273"/>
      <c r="K1669" s="273"/>
      <c r="L1669" s="273"/>
      <c r="M1669" s="273"/>
      <c r="N1669" s="273"/>
      <c r="O1669" s="273"/>
      <c r="P1669" s="273"/>
      <c r="Q1669" s="273"/>
      <c r="R1669" s="273"/>
      <c r="S1669" s="273"/>
      <c r="T1669" s="273"/>
      <c r="U1669" s="273"/>
      <c r="V1669" s="273"/>
      <c r="W1669" s="273">
        <f t="shared" si="372"/>
        <v>119811.06</v>
      </c>
      <c r="X1669" s="273"/>
      <c r="Y1669" s="273"/>
      <c r="AA1669" s="273"/>
      <c r="AB1669" s="273"/>
      <c r="AC1669" s="273">
        <v>119811.06</v>
      </c>
      <c r="AD1669" s="273"/>
      <c r="AE1669" s="273"/>
      <c r="AF1669" s="261"/>
      <c r="AH1669" s="273"/>
      <c r="AI1669" s="273"/>
      <c r="AJ1669" s="273"/>
      <c r="AK1669" s="273"/>
    </row>
    <row r="1670" spans="1:37" x14ac:dyDescent="0.3">
      <c r="A1670" s="10">
        <f t="shared" si="370"/>
        <v>1479</v>
      </c>
      <c r="B1670" s="124" t="s">
        <v>3305</v>
      </c>
      <c r="C1670" s="273">
        <f t="shared" si="367"/>
        <v>100332.65</v>
      </c>
      <c r="D1670" s="273">
        <f t="shared" si="371"/>
        <v>0</v>
      </c>
      <c r="E1670" s="273"/>
      <c r="F1670" s="273"/>
      <c r="G1670" s="273"/>
      <c r="H1670" s="273"/>
      <c r="I1670" s="273"/>
      <c r="J1670" s="273"/>
      <c r="K1670" s="273"/>
      <c r="L1670" s="273"/>
      <c r="M1670" s="273"/>
      <c r="N1670" s="273"/>
      <c r="O1670" s="273"/>
      <c r="P1670" s="273"/>
      <c r="Q1670" s="273"/>
      <c r="R1670" s="273"/>
      <c r="S1670" s="273"/>
      <c r="T1670" s="273"/>
      <c r="U1670" s="273"/>
      <c r="V1670" s="273"/>
      <c r="W1670" s="273">
        <f t="shared" si="372"/>
        <v>100332.65</v>
      </c>
      <c r="X1670" s="273"/>
      <c r="Y1670" s="273"/>
      <c r="AA1670" s="273"/>
      <c r="AB1670" s="273"/>
      <c r="AC1670" s="273">
        <v>100332.65</v>
      </c>
      <c r="AD1670" s="273"/>
      <c r="AE1670" s="273"/>
      <c r="AF1670" s="261"/>
      <c r="AH1670" s="273"/>
      <c r="AI1670" s="273"/>
      <c r="AJ1670" s="273"/>
      <c r="AK1670" s="273"/>
    </row>
    <row r="1671" spans="1:37" x14ac:dyDescent="0.3">
      <c r="A1671" s="10">
        <f t="shared" si="370"/>
        <v>1480</v>
      </c>
      <c r="B1671" s="124" t="s">
        <v>3306</v>
      </c>
      <c r="C1671" s="273">
        <f t="shared" si="367"/>
        <v>101222.45</v>
      </c>
      <c r="D1671" s="273">
        <f t="shared" si="371"/>
        <v>0</v>
      </c>
      <c r="E1671" s="273"/>
      <c r="F1671" s="273"/>
      <c r="G1671" s="273"/>
      <c r="H1671" s="273"/>
      <c r="I1671" s="273"/>
      <c r="J1671" s="273"/>
      <c r="K1671" s="273"/>
      <c r="L1671" s="273"/>
      <c r="M1671" s="273"/>
      <c r="N1671" s="273"/>
      <c r="O1671" s="273"/>
      <c r="P1671" s="273"/>
      <c r="Q1671" s="273"/>
      <c r="R1671" s="273"/>
      <c r="S1671" s="273"/>
      <c r="T1671" s="273"/>
      <c r="U1671" s="273"/>
      <c r="V1671" s="273"/>
      <c r="W1671" s="273">
        <f t="shared" si="372"/>
        <v>101222.45</v>
      </c>
      <c r="X1671" s="273"/>
      <c r="Y1671" s="273"/>
      <c r="AA1671" s="273"/>
      <c r="AB1671" s="273"/>
      <c r="AC1671" s="273">
        <v>101222.45</v>
      </c>
      <c r="AD1671" s="273"/>
      <c r="AE1671" s="273"/>
      <c r="AF1671" s="261"/>
      <c r="AH1671" s="273"/>
      <c r="AI1671" s="273"/>
      <c r="AJ1671" s="273"/>
      <c r="AK1671" s="273"/>
    </row>
    <row r="1672" spans="1:37" x14ac:dyDescent="0.3">
      <c r="A1672" s="10">
        <f t="shared" si="370"/>
        <v>1481</v>
      </c>
      <c r="B1672" s="124" t="s">
        <v>3307</v>
      </c>
      <c r="C1672" s="273">
        <f t="shared" si="367"/>
        <v>99078.05</v>
      </c>
      <c r="D1672" s="273">
        <f t="shared" si="371"/>
        <v>0</v>
      </c>
      <c r="E1672" s="273"/>
      <c r="F1672" s="273"/>
      <c r="G1672" s="273"/>
      <c r="H1672" s="273"/>
      <c r="I1672" s="273"/>
      <c r="J1672" s="273"/>
      <c r="K1672" s="273"/>
      <c r="L1672" s="273"/>
      <c r="M1672" s="273"/>
      <c r="N1672" s="273"/>
      <c r="O1672" s="273"/>
      <c r="P1672" s="273"/>
      <c r="Q1672" s="273"/>
      <c r="R1672" s="273"/>
      <c r="S1672" s="273"/>
      <c r="T1672" s="273"/>
      <c r="U1672" s="273"/>
      <c r="V1672" s="273"/>
      <c r="W1672" s="273">
        <f t="shared" si="372"/>
        <v>99078.05</v>
      </c>
      <c r="X1672" s="273"/>
      <c r="Y1672" s="273"/>
      <c r="AA1672" s="273"/>
      <c r="AB1672" s="273"/>
      <c r="AC1672" s="273">
        <v>99078.05</v>
      </c>
      <c r="AD1672" s="273"/>
      <c r="AE1672" s="273"/>
      <c r="AF1672" s="261"/>
      <c r="AH1672" s="273"/>
      <c r="AI1672" s="273"/>
      <c r="AJ1672" s="273"/>
      <c r="AK1672" s="273"/>
    </row>
    <row r="1673" spans="1:37" x14ac:dyDescent="0.3">
      <c r="A1673" s="10">
        <f t="shared" si="370"/>
        <v>1482</v>
      </c>
      <c r="B1673" s="124" t="s">
        <v>3308</v>
      </c>
      <c r="C1673" s="273">
        <f t="shared" si="367"/>
        <v>101222.45</v>
      </c>
      <c r="D1673" s="273">
        <f t="shared" si="371"/>
        <v>0</v>
      </c>
      <c r="E1673" s="273"/>
      <c r="F1673" s="273"/>
      <c r="G1673" s="273"/>
      <c r="H1673" s="273"/>
      <c r="I1673" s="273"/>
      <c r="J1673" s="273"/>
      <c r="K1673" s="273"/>
      <c r="L1673" s="273"/>
      <c r="M1673" s="273"/>
      <c r="N1673" s="273"/>
      <c r="O1673" s="273"/>
      <c r="P1673" s="273"/>
      <c r="Q1673" s="273"/>
      <c r="R1673" s="273"/>
      <c r="S1673" s="273"/>
      <c r="T1673" s="273"/>
      <c r="U1673" s="273"/>
      <c r="V1673" s="273"/>
      <c r="W1673" s="273">
        <f t="shared" si="372"/>
        <v>101222.45</v>
      </c>
      <c r="X1673" s="273"/>
      <c r="Y1673" s="273"/>
      <c r="AA1673" s="273"/>
      <c r="AB1673" s="273"/>
      <c r="AC1673" s="273">
        <v>101222.45</v>
      </c>
      <c r="AD1673" s="273"/>
      <c r="AE1673" s="273"/>
      <c r="AF1673" s="261"/>
      <c r="AH1673" s="273"/>
      <c r="AI1673" s="273"/>
      <c r="AJ1673" s="273"/>
      <c r="AK1673" s="273"/>
    </row>
    <row r="1674" spans="1:37" x14ac:dyDescent="0.3">
      <c r="A1674" s="10">
        <f t="shared" si="370"/>
        <v>1483</v>
      </c>
      <c r="B1674" s="124" t="s">
        <v>3309</v>
      </c>
      <c r="C1674" s="273">
        <f t="shared" si="367"/>
        <v>101222.45</v>
      </c>
      <c r="D1674" s="273">
        <f t="shared" si="371"/>
        <v>0</v>
      </c>
      <c r="E1674" s="273"/>
      <c r="F1674" s="273"/>
      <c r="G1674" s="273"/>
      <c r="H1674" s="273"/>
      <c r="I1674" s="273"/>
      <c r="J1674" s="273"/>
      <c r="K1674" s="273"/>
      <c r="L1674" s="273"/>
      <c r="M1674" s="273"/>
      <c r="N1674" s="273"/>
      <c r="O1674" s="273"/>
      <c r="P1674" s="273"/>
      <c r="Q1674" s="273"/>
      <c r="R1674" s="273"/>
      <c r="S1674" s="273"/>
      <c r="T1674" s="273"/>
      <c r="U1674" s="273"/>
      <c r="V1674" s="273"/>
      <c r="W1674" s="273">
        <f t="shared" si="372"/>
        <v>101222.45</v>
      </c>
      <c r="X1674" s="273"/>
      <c r="Y1674" s="273"/>
      <c r="AA1674" s="273"/>
      <c r="AB1674" s="273"/>
      <c r="AC1674" s="273">
        <v>101222.45</v>
      </c>
      <c r="AD1674" s="273"/>
      <c r="AE1674" s="273"/>
      <c r="AF1674" s="261"/>
      <c r="AH1674" s="273"/>
      <c r="AI1674" s="273"/>
      <c r="AJ1674" s="273"/>
      <c r="AK1674" s="273"/>
    </row>
    <row r="1675" spans="1:37" x14ac:dyDescent="0.3">
      <c r="A1675" s="10">
        <f t="shared" si="370"/>
        <v>1484</v>
      </c>
      <c r="B1675" s="124" t="s">
        <v>3310</v>
      </c>
      <c r="C1675" s="273">
        <f t="shared" si="367"/>
        <v>101222.45</v>
      </c>
      <c r="D1675" s="273">
        <f t="shared" si="371"/>
        <v>0</v>
      </c>
      <c r="E1675" s="273"/>
      <c r="F1675" s="273"/>
      <c r="G1675" s="273"/>
      <c r="H1675" s="273"/>
      <c r="I1675" s="273"/>
      <c r="J1675" s="273"/>
      <c r="K1675" s="273"/>
      <c r="L1675" s="273"/>
      <c r="M1675" s="273"/>
      <c r="N1675" s="273"/>
      <c r="O1675" s="273"/>
      <c r="P1675" s="273"/>
      <c r="Q1675" s="273"/>
      <c r="R1675" s="273"/>
      <c r="S1675" s="273"/>
      <c r="T1675" s="273"/>
      <c r="U1675" s="273"/>
      <c r="V1675" s="273"/>
      <c r="W1675" s="273">
        <f t="shared" si="372"/>
        <v>101222.45</v>
      </c>
      <c r="X1675" s="273"/>
      <c r="Y1675" s="273"/>
      <c r="AA1675" s="273"/>
      <c r="AB1675" s="273"/>
      <c r="AC1675" s="273">
        <v>101222.45</v>
      </c>
      <c r="AD1675" s="273"/>
      <c r="AE1675" s="273"/>
      <c r="AF1675" s="261"/>
      <c r="AH1675" s="273"/>
      <c r="AI1675" s="273"/>
      <c r="AJ1675" s="273"/>
      <c r="AK1675" s="273"/>
    </row>
    <row r="1676" spans="1:37" x14ac:dyDescent="0.3">
      <c r="A1676" s="10">
        <f t="shared" si="370"/>
        <v>1485</v>
      </c>
      <c r="B1676" s="124" t="s">
        <v>3311</v>
      </c>
      <c r="C1676" s="273">
        <f t="shared" si="367"/>
        <v>101222.45</v>
      </c>
      <c r="D1676" s="273">
        <f t="shared" si="371"/>
        <v>0</v>
      </c>
      <c r="E1676" s="273"/>
      <c r="F1676" s="273"/>
      <c r="G1676" s="273"/>
      <c r="H1676" s="273"/>
      <c r="I1676" s="273"/>
      <c r="J1676" s="273"/>
      <c r="K1676" s="273"/>
      <c r="L1676" s="273"/>
      <c r="M1676" s="273"/>
      <c r="N1676" s="273"/>
      <c r="O1676" s="273"/>
      <c r="P1676" s="273"/>
      <c r="Q1676" s="273"/>
      <c r="R1676" s="273"/>
      <c r="S1676" s="273"/>
      <c r="T1676" s="273"/>
      <c r="U1676" s="273"/>
      <c r="V1676" s="273"/>
      <c r="W1676" s="273">
        <f t="shared" si="372"/>
        <v>101222.45</v>
      </c>
      <c r="X1676" s="273"/>
      <c r="Y1676" s="273"/>
      <c r="AA1676" s="273"/>
      <c r="AB1676" s="273"/>
      <c r="AC1676" s="273">
        <v>101222.45</v>
      </c>
      <c r="AD1676" s="273"/>
      <c r="AE1676" s="273"/>
      <c r="AF1676" s="261"/>
      <c r="AH1676" s="273"/>
      <c r="AI1676" s="273"/>
      <c r="AJ1676" s="273"/>
      <c r="AK1676" s="273"/>
    </row>
    <row r="1677" spans="1:37" x14ac:dyDescent="0.3">
      <c r="A1677" s="10">
        <f t="shared" si="370"/>
        <v>1486</v>
      </c>
      <c r="B1677" s="124" t="s">
        <v>3312</v>
      </c>
      <c r="C1677" s="273">
        <f t="shared" si="367"/>
        <v>101843.59</v>
      </c>
      <c r="D1677" s="273">
        <f t="shared" si="371"/>
        <v>0</v>
      </c>
      <c r="E1677" s="273"/>
      <c r="F1677" s="273"/>
      <c r="G1677" s="273"/>
      <c r="H1677" s="273"/>
      <c r="I1677" s="273"/>
      <c r="J1677" s="273"/>
      <c r="K1677" s="273"/>
      <c r="L1677" s="273"/>
      <c r="M1677" s="273"/>
      <c r="N1677" s="273"/>
      <c r="O1677" s="273"/>
      <c r="P1677" s="273"/>
      <c r="Q1677" s="273"/>
      <c r="R1677" s="273"/>
      <c r="S1677" s="273"/>
      <c r="T1677" s="273"/>
      <c r="U1677" s="273"/>
      <c r="V1677" s="273"/>
      <c r="W1677" s="273">
        <f t="shared" si="372"/>
        <v>101843.59</v>
      </c>
      <c r="X1677" s="273"/>
      <c r="Y1677" s="273"/>
      <c r="AA1677" s="273"/>
      <c r="AB1677" s="273"/>
      <c r="AC1677" s="273">
        <v>101843.59</v>
      </c>
      <c r="AD1677" s="273"/>
      <c r="AE1677" s="273"/>
      <c r="AF1677" s="261"/>
      <c r="AH1677" s="273"/>
      <c r="AI1677" s="273"/>
      <c r="AJ1677" s="273"/>
      <c r="AK1677" s="273"/>
    </row>
    <row r="1678" spans="1:37" x14ac:dyDescent="0.3">
      <c r="A1678" s="10">
        <f t="shared" si="370"/>
        <v>1487</v>
      </c>
      <c r="B1678" s="124" t="s">
        <v>3314</v>
      </c>
      <c r="C1678" s="273">
        <f t="shared" si="367"/>
        <v>99078.05</v>
      </c>
      <c r="D1678" s="273">
        <f t="shared" si="371"/>
        <v>0</v>
      </c>
      <c r="E1678" s="273"/>
      <c r="F1678" s="273"/>
      <c r="G1678" s="273"/>
      <c r="H1678" s="273"/>
      <c r="I1678" s="273"/>
      <c r="J1678" s="273"/>
      <c r="K1678" s="273"/>
      <c r="L1678" s="273"/>
      <c r="M1678" s="273"/>
      <c r="N1678" s="273"/>
      <c r="O1678" s="273"/>
      <c r="P1678" s="273"/>
      <c r="Q1678" s="273"/>
      <c r="R1678" s="273"/>
      <c r="S1678" s="273"/>
      <c r="T1678" s="273"/>
      <c r="U1678" s="273"/>
      <c r="V1678" s="273"/>
      <c r="W1678" s="273">
        <f t="shared" si="372"/>
        <v>99078.05</v>
      </c>
      <c r="X1678" s="273"/>
      <c r="Y1678" s="273"/>
      <c r="AA1678" s="273"/>
      <c r="AB1678" s="273"/>
      <c r="AC1678" s="273">
        <v>99078.05</v>
      </c>
      <c r="AD1678" s="273"/>
      <c r="AE1678" s="273"/>
      <c r="AF1678" s="261"/>
      <c r="AH1678" s="273"/>
      <c r="AI1678" s="273"/>
      <c r="AJ1678" s="273"/>
      <c r="AK1678" s="273"/>
    </row>
    <row r="1679" spans="1:37" x14ac:dyDescent="0.3">
      <c r="A1679" s="10">
        <f t="shared" si="370"/>
        <v>1488</v>
      </c>
      <c r="B1679" s="124" t="s">
        <v>3315</v>
      </c>
      <c r="C1679" s="273">
        <f t="shared" si="367"/>
        <v>99737.39</v>
      </c>
      <c r="D1679" s="273">
        <f t="shared" si="371"/>
        <v>0</v>
      </c>
      <c r="E1679" s="273"/>
      <c r="F1679" s="273"/>
      <c r="G1679" s="273"/>
      <c r="H1679" s="273"/>
      <c r="I1679" s="273"/>
      <c r="J1679" s="273"/>
      <c r="K1679" s="273"/>
      <c r="L1679" s="273"/>
      <c r="M1679" s="273"/>
      <c r="N1679" s="273"/>
      <c r="O1679" s="273"/>
      <c r="P1679" s="273"/>
      <c r="Q1679" s="273"/>
      <c r="R1679" s="273"/>
      <c r="S1679" s="273"/>
      <c r="T1679" s="273"/>
      <c r="U1679" s="273"/>
      <c r="V1679" s="273"/>
      <c r="W1679" s="273">
        <f t="shared" si="372"/>
        <v>99737.39</v>
      </c>
      <c r="X1679" s="273"/>
      <c r="Y1679" s="273"/>
      <c r="AA1679" s="273"/>
      <c r="AB1679" s="273"/>
      <c r="AC1679" s="273">
        <v>99737.39</v>
      </c>
      <c r="AD1679" s="273"/>
      <c r="AE1679" s="273"/>
      <c r="AF1679" s="261"/>
      <c r="AH1679" s="273"/>
      <c r="AI1679" s="273"/>
      <c r="AJ1679" s="273"/>
      <c r="AK1679" s="273"/>
    </row>
    <row r="1680" spans="1:37" x14ac:dyDescent="0.3">
      <c r="A1680" s="10">
        <f t="shared" si="370"/>
        <v>1489</v>
      </c>
      <c r="B1680" s="124" t="s">
        <v>3316</v>
      </c>
      <c r="C1680" s="273">
        <f t="shared" si="367"/>
        <v>99378.77</v>
      </c>
      <c r="D1680" s="273">
        <f t="shared" si="371"/>
        <v>0</v>
      </c>
      <c r="E1680" s="273"/>
      <c r="F1680" s="273"/>
      <c r="G1680" s="273"/>
      <c r="H1680" s="273"/>
      <c r="I1680" s="273"/>
      <c r="J1680" s="273"/>
      <c r="K1680" s="273"/>
      <c r="L1680" s="273"/>
      <c r="M1680" s="273"/>
      <c r="N1680" s="273"/>
      <c r="O1680" s="273"/>
      <c r="P1680" s="273"/>
      <c r="Q1680" s="273"/>
      <c r="R1680" s="273"/>
      <c r="S1680" s="273"/>
      <c r="T1680" s="273"/>
      <c r="U1680" s="273"/>
      <c r="V1680" s="273"/>
      <c r="W1680" s="273">
        <f t="shared" si="372"/>
        <v>99378.77</v>
      </c>
      <c r="X1680" s="273"/>
      <c r="Y1680" s="273"/>
      <c r="AA1680" s="273"/>
      <c r="AB1680" s="273"/>
      <c r="AC1680" s="273">
        <v>99378.77</v>
      </c>
      <c r="AD1680" s="273"/>
      <c r="AE1680" s="273"/>
      <c r="AF1680" s="261"/>
      <c r="AH1680" s="273"/>
      <c r="AI1680" s="273"/>
      <c r="AJ1680" s="273"/>
      <c r="AK1680" s="273"/>
    </row>
    <row r="1681" spans="1:37" x14ac:dyDescent="0.3">
      <c r="A1681" s="10">
        <f t="shared" si="370"/>
        <v>1490</v>
      </c>
      <c r="B1681" s="124" t="s">
        <v>3317</v>
      </c>
      <c r="C1681" s="273">
        <f t="shared" si="367"/>
        <v>105697.36</v>
      </c>
      <c r="D1681" s="273">
        <f t="shared" si="371"/>
        <v>0</v>
      </c>
      <c r="E1681" s="273"/>
      <c r="F1681" s="273"/>
      <c r="G1681" s="273"/>
      <c r="H1681" s="273"/>
      <c r="I1681" s="273"/>
      <c r="J1681" s="273"/>
      <c r="K1681" s="273"/>
      <c r="L1681" s="273"/>
      <c r="M1681" s="273"/>
      <c r="N1681" s="273"/>
      <c r="O1681" s="273"/>
      <c r="P1681" s="273"/>
      <c r="Q1681" s="273"/>
      <c r="R1681" s="273"/>
      <c r="S1681" s="273"/>
      <c r="T1681" s="273"/>
      <c r="U1681" s="273"/>
      <c r="V1681" s="273"/>
      <c r="W1681" s="273">
        <f t="shared" si="372"/>
        <v>105697.36</v>
      </c>
      <c r="X1681" s="273"/>
      <c r="Y1681" s="273"/>
      <c r="AA1681" s="273"/>
      <c r="AB1681" s="273"/>
      <c r="AC1681" s="273">
        <v>105697.36</v>
      </c>
      <c r="AD1681" s="273"/>
      <c r="AE1681" s="273"/>
      <c r="AF1681" s="261"/>
      <c r="AH1681" s="273"/>
      <c r="AI1681" s="273"/>
      <c r="AJ1681" s="273"/>
      <c r="AK1681" s="273"/>
    </row>
    <row r="1682" spans="1:37" x14ac:dyDescent="0.3">
      <c r="A1682" s="10">
        <f t="shared" si="370"/>
        <v>1491</v>
      </c>
      <c r="B1682" s="124" t="s">
        <v>3318</v>
      </c>
      <c r="C1682" s="273">
        <f t="shared" si="367"/>
        <v>99967.85</v>
      </c>
      <c r="D1682" s="273">
        <f t="shared" si="371"/>
        <v>0</v>
      </c>
      <c r="E1682" s="273"/>
      <c r="F1682" s="273"/>
      <c r="G1682" s="273"/>
      <c r="H1682" s="273"/>
      <c r="I1682" s="273"/>
      <c r="J1682" s="273"/>
      <c r="K1682" s="273"/>
      <c r="L1682" s="273"/>
      <c r="M1682" s="273"/>
      <c r="N1682" s="273"/>
      <c r="O1682" s="273"/>
      <c r="P1682" s="273"/>
      <c r="Q1682" s="273"/>
      <c r="R1682" s="273"/>
      <c r="S1682" s="273"/>
      <c r="T1682" s="273"/>
      <c r="U1682" s="273"/>
      <c r="V1682" s="273"/>
      <c r="W1682" s="273">
        <f t="shared" si="372"/>
        <v>99967.85</v>
      </c>
      <c r="X1682" s="273"/>
      <c r="Y1682" s="273"/>
      <c r="AA1682" s="273"/>
      <c r="AB1682" s="273"/>
      <c r="AC1682" s="273">
        <v>99967.85</v>
      </c>
      <c r="AD1682" s="273"/>
      <c r="AE1682" s="273"/>
      <c r="AF1682" s="261"/>
      <c r="AH1682" s="261"/>
      <c r="AI1682" s="273"/>
      <c r="AJ1682" s="273"/>
      <c r="AK1682" s="273"/>
    </row>
    <row r="1683" spans="1:37" x14ac:dyDescent="0.3">
      <c r="A1683" s="10">
        <f t="shared" si="370"/>
        <v>1492</v>
      </c>
      <c r="B1683" s="124" t="s">
        <v>3319</v>
      </c>
      <c r="C1683" s="273">
        <f t="shared" si="367"/>
        <v>105697.36</v>
      </c>
      <c r="D1683" s="273">
        <f t="shared" si="371"/>
        <v>0</v>
      </c>
      <c r="E1683" s="273"/>
      <c r="F1683" s="273"/>
      <c r="G1683" s="273"/>
      <c r="H1683" s="273"/>
      <c r="I1683" s="273"/>
      <c r="J1683" s="273"/>
      <c r="K1683" s="273"/>
      <c r="L1683" s="273"/>
      <c r="M1683" s="273"/>
      <c r="N1683" s="273"/>
      <c r="O1683" s="273"/>
      <c r="P1683" s="273"/>
      <c r="Q1683" s="273"/>
      <c r="R1683" s="273"/>
      <c r="S1683" s="273"/>
      <c r="T1683" s="273"/>
      <c r="U1683" s="273"/>
      <c r="V1683" s="273"/>
      <c r="W1683" s="273">
        <f t="shared" si="372"/>
        <v>105697.36</v>
      </c>
      <c r="X1683" s="273"/>
      <c r="Y1683" s="273"/>
      <c r="AA1683" s="273"/>
      <c r="AB1683" s="273"/>
      <c r="AC1683" s="273">
        <v>105697.36</v>
      </c>
      <c r="AD1683" s="273"/>
      <c r="AE1683" s="273"/>
      <c r="AF1683" s="273"/>
      <c r="AG1683" s="261"/>
      <c r="AH1683" s="273"/>
      <c r="AI1683" s="273"/>
      <c r="AJ1683" s="273"/>
      <c r="AK1683" s="273"/>
    </row>
    <row r="1684" spans="1:37" x14ac:dyDescent="0.3">
      <c r="A1684" s="10">
        <f t="shared" si="370"/>
        <v>1493</v>
      </c>
      <c r="B1684" s="124" t="s">
        <v>3320</v>
      </c>
      <c r="C1684" s="273">
        <f t="shared" si="367"/>
        <v>99865.57</v>
      </c>
      <c r="D1684" s="273">
        <f t="shared" si="371"/>
        <v>0</v>
      </c>
      <c r="E1684" s="273"/>
      <c r="F1684" s="273"/>
      <c r="G1684" s="273"/>
      <c r="H1684" s="273"/>
      <c r="I1684" s="273"/>
      <c r="J1684" s="273"/>
      <c r="K1684" s="273"/>
      <c r="L1684" s="273"/>
      <c r="M1684" s="273"/>
      <c r="N1684" s="273"/>
      <c r="O1684" s="273"/>
      <c r="P1684" s="273"/>
      <c r="Q1684" s="273"/>
      <c r="R1684" s="273"/>
      <c r="S1684" s="273"/>
      <c r="T1684" s="273"/>
      <c r="U1684" s="273"/>
      <c r="V1684" s="273"/>
      <c r="W1684" s="273">
        <f t="shared" si="372"/>
        <v>99865.57</v>
      </c>
      <c r="X1684" s="273"/>
      <c r="Y1684" s="273"/>
      <c r="AA1684" s="273"/>
      <c r="AB1684" s="273"/>
      <c r="AC1684" s="273">
        <v>99865.57</v>
      </c>
      <c r="AD1684" s="273"/>
      <c r="AE1684" s="273"/>
      <c r="AF1684" s="273"/>
      <c r="AG1684" s="261"/>
      <c r="AH1684" s="273"/>
      <c r="AI1684" s="273"/>
      <c r="AJ1684" s="273"/>
      <c r="AK1684" s="273"/>
    </row>
    <row r="1685" spans="1:37" x14ac:dyDescent="0.3">
      <c r="A1685" s="10">
        <f t="shared" si="370"/>
        <v>1494</v>
      </c>
      <c r="B1685" s="124" t="s">
        <v>3321</v>
      </c>
      <c r="C1685" s="273">
        <f t="shared" si="367"/>
        <v>105697.36</v>
      </c>
      <c r="D1685" s="273">
        <f t="shared" si="371"/>
        <v>0</v>
      </c>
      <c r="E1685" s="273"/>
      <c r="F1685" s="273"/>
      <c r="G1685" s="273"/>
      <c r="H1685" s="273"/>
      <c r="I1685" s="273"/>
      <c r="J1685" s="273"/>
      <c r="K1685" s="273"/>
      <c r="L1685" s="273"/>
      <c r="M1685" s="273"/>
      <c r="N1685" s="273"/>
      <c r="O1685" s="273"/>
      <c r="P1685" s="273"/>
      <c r="Q1685" s="273"/>
      <c r="R1685" s="273"/>
      <c r="S1685" s="273"/>
      <c r="T1685" s="273"/>
      <c r="U1685" s="273"/>
      <c r="V1685" s="273"/>
      <c r="W1685" s="273">
        <f t="shared" si="372"/>
        <v>105697.36</v>
      </c>
      <c r="X1685" s="273"/>
      <c r="Y1685" s="273"/>
      <c r="AA1685" s="273"/>
      <c r="AB1685" s="273"/>
      <c r="AC1685" s="273">
        <v>105697.36</v>
      </c>
      <c r="AD1685" s="273"/>
      <c r="AE1685" s="273"/>
      <c r="AF1685" s="273"/>
      <c r="AG1685" s="261"/>
      <c r="AH1685" s="273"/>
      <c r="AI1685" s="273"/>
      <c r="AJ1685" s="273"/>
      <c r="AK1685" s="273"/>
    </row>
    <row r="1686" spans="1:37" x14ac:dyDescent="0.3">
      <c r="A1686" s="133" t="s">
        <v>208</v>
      </c>
      <c r="B1686" s="122"/>
      <c r="C1686" s="273">
        <f t="shared" ref="C1686:W1686" si="373">SUM(C1660:C1685)</f>
        <v>3080523.5399999996</v>
      </c>
      <c r="D1686" s="273">
        <f t="shared" si="373"/>
        <v>0</v>
      </c>
      <c r="E1686" s="273">
        <f t="shared" si="373"/>
        <v>0</v>
      </c>
      <c r="F1686" s="273">
        <f t="shared" si="373"/>
        <v>0</v>
      </c>
      <c r="G1686" s="273">
        <f t="shared" si="373"/>
        <v>0</v>
      </c>
      <c r="H1686" s="273">
        <f t="shared" si="373"/>
        <v>0</v>
      </c>
      <c r="I1686" s="273">
        <f t="shared" si="373"/>
        <v>0</v>
      </c>
      <c r="J1686" s="273">
        <f t="shared" si="373"/>
        <v>0</v>
      </c>
      <c r="K1686" s="273">
        <f t="shared" si="373"/>
        <v>0</v>
      </c>
      <c r="L1686" s="273">
        <f t="shared" si="373"/>
        <v>0</v>
      </c>
      <c r="M1686" s="273">
        <f t="shared" si="373"/>
        <v>0</v>
      </c>
      <c r="N1686" s="273">
        <f t="shared" si="373"/>
        <v>0</v>
      </c>
      <c r="O1686" s="273">
        <f t="shared" si="373"/>
        <v>0</v>
      </c>
      <c r="P1686" s="273">
        <f t="shared" si="373"/>
        <v>0</v>
      </c>
      <c r="Q1686" s="273">
        <f t="shared" si="373"/>
        <v>0</v>
      </c>
      <c r="R1686" s="273">
        <f t="shared" si="373"/>
        <v>0</v>
      </c>
      <c r="S1686" s="273">
        <f t="shared" si="373"/>
        <v>0</v>
      </c>
      <c r="T1686" s="273">
        <f t="shared" si="373"/>
        <v>0</v>
      </c>
      <c r="U1686" s="273">
        <f t="shared" si="373"/>
        <v>0</v>
      </c>
      <c r="V1686" s="273">
        <f t="shared" si="373"/>
        <v>0</v>
      </c>
      <c r="W1686" s="273">
        <f t="shared" si="373"/>
        <v>3080523.5399999996</v>
      </c>
      <c r="X1686" s="273"/>
      <c r="Y1686" s="273"/>
      <c r="Z1686" s="273"/>
      <c r="AA1686" s="273"/>
      <c r="AB1686" s="273"/>
      <c r="AC1686" s="273"/>
      <c r="AD1686" s="273"/>
      <c r="AE1686" s="273"/>
      <c r="AF1686" s="273"/>
      <c r="AG1686" s="261"/>
      <c r="AH1686" s="273"/>
      <c r="AI1686" s="273"/>
      <c r="AJ1686" s="273"/>
      <c r="AK1686" s="273"/>
    </row>
    <row r="1687" spans="1:37" x14ac:dyDescent="0.3">
      <c r="A1687" s="131" t="s">
        <v>3322</v>
      </c>
      <c r="B1687" s="111"/>
      <c r="C1687" s="273"/>
      <c r="D1687" s="273"/>
      <c r="E1687" s="273"/>
      <c r="F1687" s="273"/>
      <c r="G1687" s="273"/>
      <c r="H1687" s="273"/>
      <c r="I1687" s="273"/>
      <c r="J1687" s="273"/>
      <c r="K1687" s="273"/>
      <c r="L1687" s="273"/>
      <c r="M1687" s="273"/>
      <c r="N1687" s="273"/>
      <c r="O1687" s="273"/>
      <c r="P1687" s="273"/>
      <c r="Q1687" s="273"/>
      <c r="R1687" s="273"/>
      <c r="S1687" s="273"/>
      <c r="T1687" s="273"/>
      <c r="U1687" s="273"/>
      <c r="V1687" s="273"/>
      <c r="W1687" s="273"/>
      <c r="X1687" s="273"/>
      <c r="Y1687" s="273"/>
      <c r="Z1687" s="273"/>
      <c r="AA1687" s="273"/>
      <c r="AB1687" s="273"/>
      <c r="AC1687" s="273"/>
      <c r="AD1687" s="273"/>
      <c r="AE1687" s="273"/>
      <c r="AF1687" s="273"/>
      <c r="AG1687" s="261"/>
      <c r="AH1687" s="273"/>
      <c r="AI1687" s="273"/>
      <c r="AJ1687" s="273"/>
      <c r="AK1687" s="273"/>
    </row>
    <row r="1688" spans="1:37" x14ac:dyDescent="0.3">
      <c r="A1688" s="10">
        <f>A1685+1</f>
        <v>1495</v>
      </c>
      <c r="B1688" s="124" t="s">
        <v>3323</v>
      </c>
      <c r="C1688" s="273">
        <f t="shared" ref="C1688:C1702" si="374">D1688+K1688+L1688+N1688+P1688+R1688+S1688+U1688+V1688+W1688</f>
        <v>130000</v>
      </c>
      <c r="D1688" s="273">
        <f t="shared" ref="D1688:D1702" si="375">E1688+F1688+G1688+H1688+I1688</f>
        <v>0</v>
      </c>
      <c r="E1688" s="273"/>
      <c r="F1688" s="273"/>
      <c r="G1688" s="273"/>
      <c r="H1688" s="273"/>
      <c r="I1688" s="273"/>
      <c r="J1688" s="273"/>
      <c r="K1688" s="273"/>
      <c r="L1688" s="273"/>
      <c r="M1688" s="273"/>
      <c r="N1688" s="273"/>
      <c r="O1688" s="273"/>
      <c r="P1688" s="273"/>
      <c r="Q1688" s="273"/>
      <c r="R1688" s="273"/>
      <c r="S1688" s="273"/>
      <c r="T1688" s="273"/>
      <c r="U1688" s="273"/>
      <c r="V1688" s="273"/>
      <c r="W1688" s="273">
        <v>130000</v>
      </c>
      <c r="X1688" s="273"/>
      <c r="Y1688" s="273"/>
      <c r="Z1688" s="273"/>
      <c r="AA1688" s="273"/>
      <c r="AB1688" s="273"/>
      <c r="AC1688" s="273">
        <v>130000</v>
      </c>
      <c r="AD1688" s="273"/>
      <c r="AE1688" s="273"/>
      <c r="AF1688" s="273"/>
      <c r="AG1688" s="261"/>
      <c r="AH1688" s="273"/>
      <c r="AI1688" s="273"/>
      <c r="AJ1688" s="273"/>
      <c r="AK1688" s="273"/>
    </row>
    <row r="1689" spans="1:37" x14ac:dyDescent="0.3">
      <c r="A1689" s="10">
        <f t="shared" ref="A1689:A1702" si="376">A1688+1</f>
        <v>1496</v>
      </c>
      <c r="B1689" s="124" t="s">
        <v>3324</v>
      </c>
      <c r="C1689" s="273">
        <f t="shared" si="374"/>
        <v>130000</v>
      </c>
      <c r="D1689" s="273">
        <f t="shared" si="375"/>
        <v>0</v>
      </c>
      <c r="E1689" s="273"/>
      <c r="F1689" s="273"/>
      <c r="G1689" s="273"/>
      <c r="H1689" s="273"/>
      <c r="I1689" s="273"/>
      <c r="J1689" s="273"/>
      <c r="K1689" s="273"/>
      <c r="L1689" s="273"/>
      <c r="M1689" s="273"/>
      <c r="N1689" s="273"/>
      <c r="O1689" s="273"/>
      <c r="P1689" s="273"/>
      <c r="Q1689" s="273"/>
      <c r="R1689" s="273"/>
      <c r="S1689" s="273"/>
      <c r="T1689" s="273"/>
      <c r="U1689" s="273"/>
      <c r="V1689" s="273"/>
      <c r="W1689" s="273">
        <v>130000</v>
      </c>
      <c r="X1689" s="273"/>
      <c r="Y1689" s="273"/>
      <c r="Z1689" s="273"/>
      <c r="AA1689" s="273"/>
      <c r="AB1689" s="273"/>
      <c r="AC1689" s="273">
        <v>130000</v>
      </c>
      <c r="AD1689" s="273"/>
      <c r="AE1689" s="273"/>
      <c r="AF1689" s="273"/>
      <c r="AG1689" s="261"/>
      <c r="AH1689" s="273"/>
      <c r="AI1689" s="273"/>
      <c r="AJ1689" s="273"/>
      <c r="AK1689" s="273"/>
    </row>
    <row r="1690" spans="1:37" x14ac:dyDescent="0.3">
      <c r="A1690" s="10">
        <f t="shared" si="376"/>
        <v>1497</v>
      </c>
      <c r="B1690" s="124" t="s">
        <v>3325</v>
      </c>
      <c r="C1690" s="273">
        <f t="shared" si="374"/>
        <v>130000</v>
      </c>
      <c r="D1690" s="273">
        <f t="shared" si="375"/>
        <v>0</v>
      </c>
      <c r="E1690" s="273"/>
      <c r="F1690" s="273"/>
      <c r="G1690" s="273"/>
      <c r="H1690" s="273"/>
      <c r="I1690" s="273"/>
      <c r="J1690" s="273"/>
      <c r="K1690" s="273"/>
      <c r="L1690" s="273"/>
      <c r="M1690" s="273"/>
      <c r="N1690" s="273"/>
      <c r="O1690" s="273"/>
      <c r="P1690" s="273"/>
      <c r="Q1690" s="273"/>
      <c r="R1690" s="273"/>
      <c r="S1690" s="273"/>
      <c r="T1690" s="273"/>
      <c r="U1690" s="273"/>
      <c r="V1690" s="273"/>
      <c r="W1690" s="273">
        <v>130000</v>
      </c>
      <c r="X1690" s="273"/>
      <c r="Y1690" s="273"/>
      <c r="Z1690" s="273"/>
      <c r="AA1690" s="273"/>
      <c r="AB1690" s="273"/>
      <c r="AC1690" s="273">
        <v>130000</v>
      </c>
      <c r="AD1690" s="273"/>
      <c r="AE1690" s="273"/>
      <c r="AF1690" s="273"/>
      <c r="AG1690" s="261"/>
      <c r="AH1690" s="273"/>
      <c r="AI1690" s="273"/>
      <c r="AJ1690" s="273"/>
      <c r="AK1690" s="273"/>
    </row>
    <row r="1691" spans="1:37" x14ac:dyDescent="0.3">
      <c r="A1691" s="10">
        <f t="shared" si="376"/>
        <v>1498</v>
      </c>
      <c r="B1691" s="124" t="s">
        <v>3326</v>
      </c>
      <c r="C1691" s="273">
        <f t="shared" si="374"/>
        <v>130000</v>
      </c>
      <c r="D1691" s="273">
        <f t="shared" si="375"/>
        <v>0</v>
      </c>
      <c r="E1691" s="273"/>
      <c r="F1691" s="273"/>
      <c r="G1691" s="273"/>
      <c r="H1691" s="273"/>
      <c r="I1691" s="273"/>
      <c r="J1691" s="273"/>
      <c r="K1691" s="273"/>
      <c r="L1691" s="273"/>
      <c r="M1691" s="273"/>
      <c r="N1691" s="273"/>
      <c r="O1691" s="273"/>
      <c r="P1691" s="273"/>
      <c r="Q1691" s="273"/>
      <c r="R1691" s="273"/>
      <c r="S1691" s="273"/>
      <c r="T1691" s="273"/>
      <c r="U1691" s="273"/>
      <c r="V1691" s="273"/>
      <c r="W1691" s="273">
        <v>130000</v>
      </c>
      <c r="X1691" s="273"/>
      <c r="Y1691" s="273"/>
      <c r="Z1691" s="273"/>
      <c r="AA1691" s="273"/>
      <c r="AB1691" s="273"/>
      <c r="AC1691" s="273">
        <v>130000</v>
      </c>
      <c r="AD1691" s="273"/>
      <c r="AE1691" s="273"/>
      <c r="AF1691" s="273"/>
      <c r="AG1691" s="261"/>
      <c r="AH1691" s="273"/>
      <c r="AI1691" s="273"/>
      <c r="AJ1691" s="273"/>
      <c r="AK1691" s="273"/>
    </row>
    <row r="1692" spans="1:37" x14ac:dyDescent="0.3">
      <c r="A1692" s="10">
        <f t="shared" si="376"/>
        <v>1499</v>
      </c>
      <c r="B1692" s="124" t="s">
        <v>3327</v>
      </c>
      <c r="C1692" s="273">
        <f t="shared" si="374"/>
        <v>130000</v>
      </c>
      <c r="D1692" s="273">
        <f t="shared" si="375"/>
        <v>0</v>
      </c>
      <c r="E1692" s="273"/>
      <c r="F1692" s="273"/>
      <c r="G1692" s="273"/>
      <c r="H1692" s="273"/>
      <c r="I1692" s="273"/>
      <c r="J1692" s="273"/>
      <c r="K1692" s="273"/>
      <c r="L1692" s="273"/>
      <c r="M1692" s="273"/>
      <c r="N1692" s="273"/>
      <c r="O1692" s="273"/>
      <c r="P1692" s="273"/>
      <c r="Q1692" s="273"/>
      <c r="R1692" s="273"/>
      <c r="S1692" s="273"/>
      <c r="T1692" s="273"/>
      <c r="U1692" s="273"/>
      <c r="V1692" s="273"/>
      <c r="W1692" s="273">
        <v>130000</v>
      </c>
      <c r="X1692" s="273"/>
      <c r="Y1692" s="273"/>
      <c r="Z1692" s="273"/>
      <c r="AA1692" s="273"/>
      <c r="AB1692" s="273"/>
      <c r="AC1692" s="273">
        <v>130000</v>
      </c>
      <c r="AD1692" s="273"/>
      <c r="AE1692" s="273"/>
      <c r="AF1692" s="273"/>
      <c r="AG1692" s="261"/>
      <c r="AH1692" s="273"/>
      <c r="AI1692" s="273"/>
      <c r="AJ1692" s="273"/>
      <c r="AK1692" s="273"/>
    </row>
    <row r="1693" spans="1:37" x14ac:dyDescent="0.3">
      <c r="A1693" s="10">
        <f t="shared" si="376"/>
        <v>1500</v>
      </c>
      <c r="B1693" s="124" t="s">
        <v>3328</v>
      </c>
      <c r="C1693" s="273">
        <f t="shared" si="374"/>
        <v>130000</v>
      </c>
      <c r="D1693" s="273">
        <f t="shared" si="375"/>
        <v>0</v>
      </c>
      <c r="E1693" s="273"/>
      <c r="F1693" s="273"/>
      <c r="G1693" s="273"/>
      <c r="H1693" s="273"/>
      <c r="I1693" s="273"/>
      <c r="J1693" s="273"/>
      <c r="K1693" s="273"/>
      <c r="L1693" s="273"/>
      <c r="M1693" s="273"/>
      <c r="N1693" s="273"/>
      <c r="O1693" s="273"/>
      <c r="P1693" s="273"/>
      <c r="Q1693" s="273"/>
      <c r="R1693" s="273"/>
      <c r="S1693" s="273"/>
      <c r="T1693" s="273"/>
      <c r="U1693" s="273"/>
      <c r="V1693" s="273"/>
      <c r="W1693" s="273">
        <v>130000</v>
      </c>
      <c r="X1693" s="273"/>
      <c r="Y1693" s="273"/>
      <c r="Z1693" s="273"/>
      <c r="AA1693" s="273"/>
      <c r="AB1693" s="273"/>
      <c r="AC1693" s="273">
        <v>130000</v>
      </c>
      <c r="AD1693" s="273"/>
      <c r="AE1693" s="273"/>
      <c r="AF1693" s="273"/>
      <c r="AG1693" s="261"/>
      <c r="AH1693" s="273"/>
      <c r="AI1693" s="273"/>
      <c r="AJ1693" s="273"/>
      <c r="AK1693" s="273"/>
    </row>
    <row r="1694" spans="1:37" x14ac:dyDescent="0.3">
      <c r="A1694" s="10">
        <f t="shared" si="376"/>
        <v>1501</v>
      </c>
      <c r="B1694" s="124" t="s">
        <v>3329</v>
      </c>
      <c r="C1694" s="273">
        <f t="shared" si="374"/>
        <v>130000</v>
      </c>
      <c r="D1694" s="273">
        <f t="shared" si="375"/>
        <v>0</v>
      </c>
      <c r="E1694" s="273"/>
      <c r="F1694" s="273"/>
      <c r="G1694" s="273"/>
      <c r="H1694" s="273"/>
      <c r="I1694" s="273"/>
      <c r="J1694" s="273"/>
      <c r="K1694" s="273"/>
      <c r="L1694" s="273"/>
      <c r="M1694" s="273"/>
      <c r="N1694" s="273"/>
      <c r="O1694" s="273"/>
      <c r="P1694" s="273"/>
      <c r="Q1694" s="273"/>
      <c r="R1694" s="273"/>
      <c r="S1694" s="273"/>
      <c r="T1694" s="273"/>
      <c r="U1694" s="273"/>
      <c r="V1694" s="273"/>
      <c r="W1694" s="273">
        <v>130000</v>
      </c>
      <c r="X1694" s="273"/>
      <c r="Y1694" s="273"/>
      <c r="Z1694" s="273"/>
      <c r="AA1694" s="273"/>
      <c r="AB1694" s="273"/>
      <c r="AC1694" s="273">
        <v>130000</v>
      </c>
      <c r="AD1694" s="273"/>
      <c r="AE1694" s="273"/>
      <c r="AF1694" s="273"/>
      <c r="AG1694" s="261"/>
      <c r="AH1694" s="273"/>
      <c r="AI1694" s="273"/>
      <c r="AJ1694" s="273"/>
      <c r="AK1694" s="273"/>
    </row>
    <row r="1695" spans="1:37" x14ac:dyDescent="0.3">
      <c r="A1695" s="10">
        <f t="shared" si="376"/>
        <v>1502</v>
      </c>
      <c r="B1695" s="124" t="s">
        <v>3330</v>
      </c>
      <c r="C1695" s="273">
        <f t="shared" si="374"/>
        <v>130000</v>
      </c>
      <c r="D1695" s="273">
        <f t="shared" si="375"/>
        <v>0</v>
      </c>
      <c r="E1695" s="273"/>
      <c r="F1695" s="273"/>
      <c r="G1695" s="273"/>
      <c r="H1695" s="273"/>
      <c r="I1695" s="273"/>
      <c r="J1695" s="273"/>
      <c r="K1695" s="273"/>
      <c r="L1695" s="273"/>
      <c r="M1695" s="273"/>
      <c r="N1695" s="273"/>
      <c r="O1695" s="273"/>
      <c r="P1695" s="273"/>
      <c r="Q1695" s="273"/>
      <c r="R1695" s="273"/>
      <c r="S1695" s="273"/>
      <c r="T1695" s="273"/>
      <c r="U1695" s="273"/>
      <c r="V1695" s="273"/>
      <c r="W1695" s="273">
        <v>130000</v>
      </c>
      <c r="X1695" s="273"/>
      <c r="Y1695" s="273"/>
      <c r="Z1695" s="273"/>
      <c r="AA1695" s="273"/>
      <c r="AB1695" s="273"/>
      <c r="AC1695" s="273">
        <v>130000</v>
      </c>
      <c r="AD1695" s="273"/>
      <c r="AE1695" s="273"/>
      <c r="AF1695" s="273"/>
      <c r="AG1695" s="261"/>
      <c r="AH1695" s="273"/>
      <c r="AI1695" s="273"/>
      <c r="AJ1695" s="273"/>
      <c r="AK1695" s="273"/>
    </row>
    <row r="1696" spans="1:37" x14ac:dyDescent="0.3">
      <c r="A1696" s="10">
        <f t="shared" si="376"/>
        <v>1503</v>
      </c>
      <c r="B1696" s="124" t="s">
        <v>3331</v>
      </c>
      <c r="C1696" s="273">
        <f t="shared" si="374"/>
        <v>120049.60000000001</v>
      </c>
      <c r="D1696" s="273">
        <f t="shared" si="375"/>
        <v>0</v>
      </c>
      <c r="E1696" s="273"/>
      <c r="F1696" s="273"/>
      <c r="G1696" s="273"/>
      <c r="H1696" s="273"/>
      <c r="I1696" s="273"/>
      <c r="J1696" s="273"/>
      <c r="K1696" s="273"/>
      <c r="L1696" s="273"/>
      <c r="M1696" s="273"/>
      <c r="N1696" s="273"/>
      <c r="O1696" s="273"/>
      <c r="P1696" s="273"/>
      <c r="Q1696" s="273"/>
      <c r="R1696" s="273"/>
      <c r="S1696" s="273"/>
      <c r="T1696" s="273"/>
      <c r="U1696" s="273"/>
      <c r="V1696" s="273"/>
      <c r="W1696" s="273">
        <f>SUM(X1696:AK1696)</f>
        <v>120049.60000000001</v>
      </c>
      <c r="X1696" s="273"/>
      <c r="Y1696" s="273"/>
      <c r="AA1696" s="273"/>
      <c r="AB1696" s="273"/>
      <c r="AC1696" s="273">
        <v>120049.60000000001</v>
      </c>
      <c r="AD1696" s="273"/>
      <c r="AE1696" s="273"/>
      <c r="AF1696" s="273"/>
      <c r="AG1696" s="261"/>
      <c r="AH1696" s="273"/>
      <c r="AI1696" s="273"/>
      <c r="AJ1696" s="273"/>
      <c r="AK1696" s="273"/>
    </row>
    <row r="1697" spans="1:37" x14ac:dyDescent="0.3">
      <c r="A1697" s="10">
        <f t="shared" si="376"/>
        <v>1504</v>
      </c>
      <c r="B1697" s="124" t="s">
        <v>3332</v>
      </c>
      <c r="C1697" s="273">
        <f t="shared" si="374"/>
        <v>115701.19</v>
      </c>
      <c r="D1697" s="273">
        <f t="shared" si="375"/>
        <v>0</v>
      </c>
      <c r="E1697" s="273"/>
      <c r="F1697" s="273"/>
      <c r="G1697" s="273"/>
      <c r="H1697" s="273"/>
      <c r="I1697" s="273"/>
      <c r="J1697" s="273"/>
      <c r="K1697" s="273"/>
      <c r="L1697" s="273"/>
      <c r="M1697" s="273"/>
      <c r="N1697" s="273"/>
      <c r="O1697" s="273"/>
      <c r="P1697" s="273"/>
      <c r="Q1697" s="273"/>
      <c r="R1697" s="273"/>
      <c r="S1697" s="273"/>
      <c r="T1697" s="273"/>
      <c r="U1697" s="273"/>
      <c r="V1697" s="273"/>
      <c r="W1697" s="273">
        <f>SUM(X1697:AK1697)</f>
        <v>115701.19</v>
      </c>
      <c r="X1697" s="273"/>
      <c r="Y1697" s="273"/>
      <c r="AA1697" s="273"/>
      <c r="AB1697" s="273"/>
      <c r="AC1697" s="273">
        <v>115701.19</v>
      </c>
      <c r="AD1697" s="273"/>
      <c r="AE1697" s="273"/>
      <c r="AF1697" s="273"/>
      <c r="AG1697" s="261"/>
      <c r="AH1697" s="273"/>
      <c r="AI1697" s="273"/>
      <c r="AJ1697" s="273"/>
      <c r="AK1697" s="273"/>
    </row>
    <row r="1698" spans="1:37" x14ac:dyDescent="0.3">
      <c r="A1698" s="10">
        <f t="shared" si="376"/>
        <v>1505</v>
      </c>
      <c r="B1698" s="124" t="s">
        <v>3333</v>
      </c>
      <c r="C1698" s="273">
        <f t="shared" si="374"/>
        <v>118684.68</v>
      </c>
      <c r="D1698" s="273">
        <f t="shared" si="375"/>
        <v>0</v>
      </c>
      <c r="E1698" s="273"/>
      <c r="F1698" s="273"/>
      <c r="G1698" s="273"/>
      <c r="H1698" s="273"/>
      <c r="I1698" s="273"/>
      <c r="J1698" s="273"/>
      <c r="K1698" s="273"/>
      <c r="L1698" s="273"/>
      <c r="M1698" s="273"/>
      <c r="N1698" s="273"/>
      <c r="O1698" s="273"/>
      <c r="P1698" s="273"/>
      <c r="Q1698" s="273"/>
      <c r="R1698" s="273"/>
      <c r="S1698" s="273"/>
      <c r="T1698" s="273"/>
      <c r="U1698" s="273"/>
      <c r="V1698" s="273"/>
      <c r="W1698" s="273">
        <f>SUM(X1698:AK1698)</f>
        <v>118684.68</v>
      </c>
      <c r="X1698" s="273"/>
      <c r="Y1698" s="273"/>
      <c r="AA1698" s="273"/>
      <c r="AB1698" s="273"/>
      <c r="AC1698" s="273">
        <v>118684.68</v>
      </c>
      <c r="AD1698" s="273"/>
      <c r="AE1698" s="273"/>
      <c r="AF1698" s="273"/>
      <c r="AG1698" s="261"/>
      <c r="AH1698" s="273"/>
      <c r="AI1698" s="273"/>
      <c r="AJ1698" s="273"/>
      <c r="AK1698" s="273"/>
    </row>
    <row r="1699" spans="1:37" x14ac:dyDescent="0.3">
      <c r="A1699" s="10">
        <f t="shared" si="376"/>
        <v>1506</v>
      </c>
      <c r="B1699" s="124" t="s">
        <v>3334</v>
      </c>
      <c r="C1699" s="273">
        <f t="shared" si="374"/>
        <v>93423.07</v>
      </c>
      <c r="D1699" s="273">
        <f t="shared" si="375"/>
        <v>0</v>
      </c>
      <c r="E1699" s="273"/>
      <c r="F1699" s="273"/>
      <c r="G1699" s="273"/>
      <c r="H1699" s="273"/>
      <c r="I1699" s="273"/>
      <c r="J1699" s="273"/>
      <c r="K1699" s="273"/>
      <c r="L1699" s="273"/>
      <c r="M1699" s="273"/>
      <c r="N1699" s="273"/>
      <c r="O1699" s="273"/>
      <c r="P1699" s="273"/>
      <c r="Q1699" s="273"/>
      <c r="R1699" s="273"/>
      <c r="S1699" s="273"/>
      <c r="T1699" s="273"/>
      <c r="U1699" s="273"/>
      <c r="V1699" s="273"/>
      <c r="W1699" s="273">
        <f>SUM(X1699:AK1699)</f>
        <v>93423.07</v>
      </c>
      <c r="X1699" s="273"/>
      <c r="Y1699" s="273"/>
      <c r="AA1699" s="273"/>
      <c r="AB1699" s="273"/>
      <c r="AC1699" s="273">
        <v>93423.07</v>
      </c>
      <c r="AD1699" s="273"/>
      <c r="AE1699" s="273"/>
      <c r="AF1699" s="273"/>
      <c r="AG1699" s="261"/>
      <c r="AH1699" s="273"/>
      <c r="AI1699" s="273"/>
      <c r="AJ1699" s="273"/>
      <c r="AK1699" s="273"/>
    </row>
    <row r="1700" spans="1:37" x14ac:dyDescent="0.3">
      <c r="A1700" s="10">
        <f t="shared" si="376"/>
        <v>1507</v>
      </c>
      <c r="B1700" s="124" t="s">
        <v>3335</v>
      </c>
      <c r="C1700" s="273">
        <f t="shared" si="374"/>
        <v>114779.33</v>
      </c>
      <c r="D1700" s="273">
        <f t="shared" si="375"/>
        <v>0</v>
      </c>
      <c r="E1700" s="273"/>
      <c r="F1700" s="273"/>
      <c r="G1700" s="273"/>
      <c r="H1700" s="273"/>
      <c r="I1700" s="273"/>
      <c r="J1700" s="273"/>
      <c r="K1700" s="273"/>
      <c r="L1700" s="273"/>
      <c r="M1700" s="273"/>
      <c r="N1700" s="273"/>
      <c r="O1700" s="273"/>
      <c r="P1700" s="273"/>
      <c r="Q1700" s="273"/>
      <c r="R1700" s="273"/>
      <c r="S1700" s="273"/>
      <c r="T1700" s="273"/>
      <c r="U1700" s="273"/>
      <c r="V1700" s="273"/>
      <c r="W1700" s="273">
        <f>SUM(X1700:AK1700)</f>
        <v>114779.33</v>
      </c>
      <c r="X1700" s="273"/>
      <c r="Y1700" s="273"/>
      <c r="AA1700" s="273"/>
      <c r="AB1700" s="273"/>
      <c r="AC1700" s="273">
        <v>114779.33</v>
      </c>
      <c r="AD1700" s="273"/>
      <c r="AE1700" s="273"/>
      <c r="AF1700" s="273"/>
      <c r="AG1700" s="261"/>
      <c r="AH1700" s="273"/>
      <c r="AI1700" s="273"/>
      <c r="AJ1700" s="273"/>
      <c r="AK1700" s="273"/>
    </row>
    <row r="1701" spans="1:37" x14ac:dyDescent="0.3">
      <c r="A1701" s="10">
        <f t="shared" si="376"/>
        <v>1508</v>
      </c>
      <c r="B1701" s="124" t="s">
        <v>3337</v>
      </c>
      <c r="C1701" s="273">
        <f t="shared" si="374"/>
        <v>130000</v>
      </c>
      <c r="D1701" s="273">
        <f t="shared" si="375"/>
        <v>0</v>
      </c>
      <c r="E1701" s="273"/>
      <c r="F1701" s="273"/>
      <c r="G1701" s="273"/>
      <c r="H1701" s="273"/>
      <c r="I1701" s="273"/>
      <c r="J1701" s="273"/>
      <c r="K1701" s="273"/>
      <c r="L1701" s="273"/>
      <c r="M1701" s="273"/>
      <c r="N1701" s="273"/>
      <c r="O1701" s="273"/>
      <c r="P1701" s="273"/>
      <c r="Q1701" s="273"/>
      <c r="R1701" s="273"/>
      <c r="S1701" s="273"/>
      <c r="T1701" s="273"/>
      <c r="U1701" s="273"/>
      <c r="V1701" s="273"/>
      <c r="W1701" s="273">
        <v>130000</v>
      </c>
      <c r="X1701" s="273"/>
      <c r="Y1701" s="273"/>
      <c r="AA1701" s="273"/>
      <c r="AB1701" s="273"/>
      <c r="AC1701" s="273"/>
      <c r="AD1701" s="273"/>
      <c r="AE1701" s="273"/>
      <c r="AF1701" s="273"/>
      <c r="AG1701" s="261"/>
      <c r="AH1701" s="273"/>
      <c r="AI1701" s="273"/>
      <c r="AJ1701" s="273"/>
      <c r="AK1701" s="273"/>
    </row>
    <row r="1702" spans="1:37" x14ac:dyDescent="0.3">
      <c r="A1702" s="10">
        <f t="shared" si="376"/>
        <v>1509</v>
      </c>
      <c r="B1702" s="124" t="s">
        <v>3338</v>
      </c>
      <c r="C1702" s="273">
        <f t="shared" si="374"/>
        <v>114779.33</v>
      </c>
      <c r="D1702" s="273">
        <f t="shared" si="375"/>
        <v>0</v>
      </c>
      <c r="E1702" s="273"/>
      <c r="F1702" s="273"/>
      <c r="G1702" s="273"/>
      <c r="H1702" s="273"/>
      <c r="I1702" s="273"/>
      <c r="J1702" s="273"/>
      <c r="K1702" s="273"/>
      <c r="L1702" s="273"/>
      <c r="M1702" s="273"/>
      <c r="N1702" s="273"/>
      <c r="O1702" s="273"/>
      <c r="P1702" s="273"/>
      <c r="Q1702" s="273"/>
      <c r="R1702" s="273"/>
      <c r="S1702" s="273"/>
      <c r="T1702" s="273"/>
      <c r="U1702" s="273"/>
      <c r="V1702" s="273"/>
      <c r="W1702" s="273">
        <f>SUM(X1702:AK1702)</f>
        <v>114779.33</v>
      </c>
      <c r="X1702" s="273"/>
      <c r="Y1702" s="273"/>
      <c r="AA1702" s="273"/>
      <c r="AB1702" s="273"/>
      <c r="AC1702" s="273">
        <v>114779.33</v>
      </c>
      <c r="AD1702" s="273"/>
      <c r="AE1702" s="273"/>
      <c r="AF1702" s="273"/>
      <c r="AG1702" s="261"/>
      <c r="AH1702" s="273"/>
      <c r="AI1702" s="273"/>
      <c r="AJ1702" s="273"/>
      <c r="AK1702" s="273"/>
    </row>
    <row r="1703" spans="1:37" x14ac:dyDescent="0.3">
      <c r="A1703" s="133" t="s">
        <v>208</v>
      </c>
      <c r="B1703" s="122"/>
      <c r="C1703" s="273">
        <f t="shared" ref="C1703:W1703" si="377">SUM(C1688:C1702)</f>
        <v>1847417.2000000002</v>
      </c>
      <c r="D1703" s="273">
        <f t="shared" si="377"/>
        <v>0</v>
      </c>
      <c r="E1703" s="273">
        <f t="shared" si="377"/>
        <v>0</v>
      </c>
      <c r="F1703" s="273">
        <f t="shared" si="377"/>
        <v>0</v>
      </c>
      <c r="G1703" s="273">
        <f t="shared" si="377"/>
        <v>0</v>
      </c>
      <c r="H1703" s="273">
        <f t="shared" si="377"/>
        <v>0</v>
      </c>
      <c r="I1703" s="273">
        <f t="shared" si="377"/>
        <v>0</v>
      </c>
      <c r="J1703" s="273">
        <f t="shared" si="377"/>
        <v>0</v>
      </c>
      <c r="K1703" s="273">
        <f t="shared" si="377"/>
        <v>0</v>
      </c>
      <c r="L1703" s="273">
        <f t="shared" si="377"/>
        <v>0</v>
      </c>
      <c r="M1703" s="273">
        <f t="shared" si="377"/>
        <v>0</v>
      </c>
      <c r="N1703" s="273">
        <f t="shared" si="377"/>
        <v>0</v>
      </c>
      <c r="O1703" s="273">
        <f t="shared" si="377"/>
        <v>0</v>
      </c>
      <c r="P1703" s="273">
        <f t="shared" si="377"/>
        <v>0</v>
      </c>
      <c r="Q1703" s="273">
        <f t="shared" si="377"/>
        <v>0</v>
      </c>
      <c r="R1703" s="273">
        <f t="shared" si="377"/>
        <v>0</v>
      </c>
      <c r="S1703" s="273">
        <f t="shared" si="377"/>
        <v>0</v>
      </c>
      <c r="T1703" s="273">
        <f t="shared" si="377"/>
        <v>0</v>
      </c>
      <c r="U1703" s="273">
        <f t="shared" si="377"/>
        <v>0</v>
      </c>
      <c r="V1703" s="273">
        <f t="shared" si="377"/>
        <v>0</v>
      </c>
      <c r="W1703" s="273">
        <f t="shared" si="377"/>
        <v>1847417.2000000002</v>
      </c>
      <c r="X1703" s="273"/>
      <c r="Y1703" s="273"/>
      <c r="Z1703" s="273"/>
      <c r="AA1703" s="273"/>
      <c r="AB1703" s="273"/>
      <c r="AC1703" s="273"/>
      <c r="AD1703" s="273"/>
      <c r="AE1703" s="273"/>
      <c r="AF1703" s="273"/>
      <c r="AG1703" s="261"/>
      <c r="AH1703" s="273"/>
      <c r="AI1703" s="273"/>
      <c r="AJ1703" s="273"/>
      <c r="AK1703" s="273"/>
    </row>
    <row r="1704" spans="1:37" x14ac:dyDescent="0.3">
      <c r="A1704" s="131" t="s">
        <v>3209</v>
      </c>
      <c r="B1704" s="111"/>
      <c r="C1704" s="273"/>
      <c r="D1704" s="273"/>
      <c r="E1704" s="273"/>
      <c r="F1704" s="273"/>
      <c r="G1704" s="273"/>
      <c r="H1704" s="273"/>
      <c r="I1704" s="273"/>
      <c r="J1704" s="273"/>
      <c r="K1704" s="273"/>
      <c r="L1704" s="273"/>
      <c r="M1704" s="273"/>
      <c r="N1704" s="273"/>
      <c r="O1704" s="273"/>
      <c r="P1704" s="273"/>
      <c r="Q1704" s="273"/>
      <c r="R1704" s="273"/>
      <c r="S1704" s="273"/>
      <c r="T1704" s="273"/>
      <c r="U1704" s="273"/>
      <c r="V1704" s="273"/>
      <c r="W1704" s="273"/>
      <c r="X1704" s="273"/>
      <c r="Y1704" s="273"/>
      <c r="Z1704" s="273"/>
      <c r="AA1704" s="273"/>
      <c r="AB1704" s="273"/>
      <c r="AC1704" s="273"/>
      <c r="AD1704" s="273"/>
      <c r="AE1704" s="273"/>
      <c r="AF1704" s="273"/>
      <c r="AG1704" s="261"/>
      <c r="AH1704" s="273"/>
      <c r="AI1704" s="273"/>
      <c r="AJ1704" s="273"/>
      <c r="AK1704" s="273"/>
    </row>
    <row r="1705" spans="1:37" x14ac:dyDescent="0.3">
      <c r="A1705" s="10">
        <f>A1702+1</f>
        <v>1510</v>
      </c>
      <c r="B1705" s="124" t="s">
        <v>3339</v>
      </c>
      <c r="C1705" s="273">
        <f t="shared" ref="C1705:C1747" si="378">D1705+K1705+L1705+N1705+P1705+R1705+S1705+U1705+V1705+W1705</f>
        <v>397212.85</v>
      </c>
      <c r="D1705" s="273">
        <f t="shared" ref="D1705:D1741" si="379">E1705+F1705+G1705+H1705+I1705</f>
        <v>0</v>
      </c>
      <c r="E1705" s="273"/>
      <c r="F1705" s="273"/>
      <c r="G1705" s="273"/>
      <c r="H1705" s="273"/>
      <c r="I1705" s="273"/>
      <c r="J1705" s="273"/>
      <c r="K1705" s="273"/>
      <c r="L1705" s="273"/>
      <c r="M1705" s="273"/>
      <c r="N1705" s="273"/>
      <c r="O1705" s="273"/>
      <c r="P1705" s="273"/>
      <c r="Q1705" s="273"/>
      <c r="R1705" s="273"/>
      <c r="S1705" s="273"/>
      <c r="T1705" s="273"/>
      <c r="U1705" s="273"/>
      <c r="V1705" s="273"/>
      <c r="W1705" s="273">
        <f t="shared" ref="W1705:W1711" si="380">SUM(X1705:AK1705)</f>
        <v>397212.85</v>
      </c>
      <c r="X1705" s="273"/>
      <c r="Y1705" s="273"/>
      <c r="AA1705" s="273"/>
      <c r="AB1705" s="273"/>
      <c r="AC1705" s="273"/>
      <c r="AD1705" s="273"/>
      <c r="AE1705" s="273">
        <v>397212.85</v>
      </c>
      <c r="AF1705" s="261"/>
      <c r="AG1705" s="273"/>
      <c r="AI1705" s="273"/>
      <c r="AJ1705" s="273"/>
      <c r="AK1705" s="273"/>
    </row>
    <row r="1706" spans="1:37" x14ac:dyDescent="0.3">
      <c r="A1706" s="10">
        <f t="shared" ref="A1706:A1747" si="381">A1705+1</f>
        <v>1511</v>
      </c>
      <c r="B1706" s="124" t="s">
        <v>3340</v>
      </c>
      <c r="C1706" s="273">
        <f t="shared" si="378"/>
        <v>397212.85</v>
      </c>
      <c r="D1706" s="273">
        <f t="shared" si="379"/>
        <v>0</v>
      </c>
      <c r="E1706" s="273"/>
      <c r="F1706" s="273"/>
      <c r="G1706" s="273"/>
      <c r="H1706" s="273"/>
      <c r="I1706" s="273"/>
      <c r="J1706" s="273"/>
      <c r="K1706" s="273"/>
      <c r="L1706" s="273"/>
      <c r="M1706" s="273"/>
      <c r="N1706" s="273"/>
      <c r="O1706" s="273"/>
      <c r="P1706" s="273"/>
      <c r="Q1706" s="273"/>
      <c r="R1706" s="273"/>
      <c r="S1706" s="273"/>
      <c r="T1706" s="273"/>
      <c r="U1706" s="273"/>
      <c r="V1706" s="273"/>
      <c r="W1706" s="273">
        <f t="shared" si="380"/>
        <v>397212.85</v>
      </c>
      <c r="X1706" s="273"/>
      <c r="Y1706" s="273"/>
      <c r="AA1706" s="273"/>
      <c r="AB1706" s="273"/>
      <c r="AC1706" s="273"/>
      <c r="AD1706" s="273"/>
      <c r="AE1706" s="273">
        <v>397212.85</v>
      </c>
      <c r="AF1706" s="261"/>
      <c r="AG1706" s="273"/>
      <c r="AI1706" s="273"/>
      <c r="AJ1706" s="273"/>
      <c r="AK1706" s="273"/>
    </row>
    <row r="1707" spans="1:37" x14ac:dyDescent="0.3">
      <c r="A1707" s="10">
        <f t="shared" si="381"/>
        <v>1512</v>
      </c>
      <c r="B1707" s="124" t="s">
        <v>3341</v>
      </c>
      <c r="C1707" s="273">
        <f t="shared" si="378"/>
        <v>102534.97</v>
      </c>
      <c r="D1707" s="273">
        <f t="shared" si="379"/>
        <v>0</v>
      </c>
      <c r="E1707" s="273"/>
      <c r="F1707" s="273"/>
      <c r="G1707" s="273"/>
      <c r="H1707" s="273"/>
      <c r="I1707" s="273"/>
      <c r="J1707" s="273"/>
      <c r="K1707" s="273"/>
      <c r="L1707" s="273"/>
      <c r="M1707" s="273"/>
      <c r="N1707" s="273"/>
      <c r="O1707" s="273"/>
      <c r="P1707" s="273"/>
      <c r="Q1707" s="273"/>
      <c r="R1707" s="273"/>
      <c r="S1707" s="273"/>
      <c r="T1707" s="273"/>
      <c r="U1707" s="273"/>
      <c r="V1707" s="273"/>
      <c r="W1707" s="273">
        <f t="shared" si="380"/>
        <v>102534.97</v>
      </c>
      <c r="X1707" s="273"/>
      <c r="Y1707" s="273"/>
      <c r="AA1707" s="273"/>
      <c r="AB1707" s="273"/>
      <c r="AC1707" s="273">
        <v>102534.97</v>
      </c>
      <c r="AD1707" s="273"/>
      <c r="AE1707" s="273"/>
      <c r="AF1707" s="261"/>
      <c r="AG1707" s="273"/>
      <c r="AI1707" s="273"/>
      <c r="AJ1707" s="273"/>
      <c r="AK1707" s="273"/>
    </row>
    <row r="1708" spans="1:37" x14ac:dyDescent="0.3">
      <c r="A1708" s="10">
        <f t="shared" si="381"/>
        <v>1513</v>
      </c>
      <c r="B1708" s="124" t="s">
        <v>3342</v>
      </c>
      <c r="C1708" s="273">
        <f t="shared" si="378"/>
        <v>200523.49</v>
      </c>
      <c r="D1708" s="273">
        <f t="shared" si="379"/>
        <v>0</v>
      </c>
      <c r="E1708" s="273"/>
      <c r="F1708" s="273"/>
      <c r="G1708" s="273"/>
      <c r="H1708" s="273"/>
      <c r="I1708" s="273"/>
      <c r="J1708" s="273"/>
      <c r="K1708" s="273"/>
      <c r="L1708" s="273"/>
      <c r="M1708" s="273"/>
      <c r="N1708" s="273"/>
      <c r="O1708" s="273"/>
      <c r="P1708" s="273"/>
      <c r="Q1708" s="273"/>
      <c r="R1708" s="273"/>
      <c r="S1708" s="273"/>
      <c r="T1708" s="273"/>
      <c r="U1708" s="273"/>
      <c r="V1708" s="273"/>
      <c r="W1708" s="273">
        <f t="shared" si="380"/>
        <v>200523.49</v>
      </c>
      <c r="X1708" s="273"/>
      <c r="Y1708" s="273"/>
      <c r="AA1708" s="273"/>
      <c r="AB1708" s="273"/>
      <c r="AC1708" s="273"/>
      <c r="AD1708" s="273"/>
      <c r="AE1708" s="273">
        <v>200523.49</v>
      </c>
      <c r="AF1708" s="261"/>
      <c r="AG1708" s="273"/>
      <c r="AI1708" s="273"/>
      <c r="AJ1708" s="273"/>
      <c r="AK1708" s="273"/>
    </row>
    <row r="1709" spans="1:37" x14ac:dyDescent="0.3">
      <c r="A1709" s="10">
        <f t="shared" si="381"/>
        <v>1514</v>
      </c>
      <c r="B1709" s="124" t="s">
        <v>3343</v>
      </c>
      <c r="C1709" s="273">
        <f t="shared" si="378"/>
        <v>377101.75</v>
      </c>
      <c r="D1709" s="273">
        <f t="shared" si="379"/>
        <v>0</v>
      </c>
      <c r="E1709" s="273"/>
      <c r="F1709" s="273"/>
      <c r="G1709" s="273"/>
      <c r="H1709" s="273"/>
      <c r="I1709" s="273"/>
      <c r="J1709" s="273"/>
      <c r="K1709" s="273"/>
      <c r="L1709" s="273"/>
      <c r="M1709" s="273"/>
      <c r="N1709" s="273"/>
      <c r="O1709" s="273"/>
      <c r="P1709" s="273"/>
      <c r="Q1709" s="273"/>
      <c r="R1709" s="273"/>
      <c r="S1709" s="273"/>
      <c r="T1709" s="273"/>
      <c r="U1709" s="273"/>
      <c r="V1709" s="273"/>
      <c r="W1709" s="273">
        <f t="shared" si="380"/>
        <v>377101.75</v>
      </c>
      <c r="X1709" s="273"/>
      <c r="Y1709" s="273"/>
      <c r="AA1709" s="273"/>
      <c r="AB1709" s="273"/>
      <c r="AC1709" s="273"/>
      <c r="AD1709" s="273"/>
      <c r="AE1709" s="273">
        <v>377101.75</v>
      </c>
      <c r="AF1709" s="261"/>
      <c r="AG1709" s="273"/>
      <c r="AI1709" s="273"/>
      <c r="AJ1709" s="273"/>
      <c r="AK1709" s="273"/>
    </row>
    <row r="1710" spans="1:37" x14ac:dyDescent="0.3">
      <c r="A1710" s="10">
        <f t="shared" si="381"/>
        <v>1515</v>
      </c>
      <c r="B1710" s="124" t="s">
        <v>3344</v>
      </c>
      <c r="C1710" s="273">
        <f t="shared" si="378"/>
        <v>210725.71</v>
      </c>
      <c r="D1710" s="273">
        <f t="shared" si="379"/>
        <v>0</v>
      </c>
      <c r="E1710" s="273"/>
      <c r="F1710" s="273"/>
      <c r="G1710" s="273"/>
      <c r="H1710" s="273"/>
      <c r="I1710" s="273"/>
      <c r="J1710" s="273"/>
      <c r="K1710" s="273"/>
      <c r="L1710" s="273"/>
      <c r="M1710" s="273"/>
      <c r="N1710" s="273"/>
      <c r="O1710" s="273"/>
      <c r="P1710" s="273"/>
      <c r="Q1710" s="273"/>
      <c r="R1710" s="273"/>
      <c r="S1710" s="273"/>
      <c r="T1710" s="273"/>
      <c r="U1710" s="273"/>
      <c r="V1710" s="273"/>
      <c r="W1710" s="273">
        <f t="shared" si="380"/>
        <v>210725.71</v>
      </c>
      <c r="X1710" s="273"/>
      <c r="Y1710" s="273"/>
      <c r="AA1710" s="273"/>
      <c r="AB1710" s="273"/>
      <c r="AC1710" s="273"/>
      <c r="AD1710" s="273"/>
      <c r="AE1710" s="273">
        <v>210725.71</v>
      </c>
      <c r="AF1710" s="261"/>
      <c r="AG1710" s="273"/>
      <c r="AI1710" s="273"/>
      <c r="AJ1710" s="273"/>
      <c r="AK1710" s="273"/>
    </row>
    <row r="1711" spans="1:37" x14ac:dyDescent="0.3">
      <c r="A1711" s="10">
        <f t="shared" si="381"/>
        <v>1516</v>
      </c>
      <c r="B1711" s="124" t="s">
        <v>3345</v>
      </c>
      <c r="C1711" s="273">
        <f t="shared" si="378"/>
        <v>108891.76</v>
      </c>
      <c r="D1711" s="273">
        <f t="shared" si="379"/>
        <v>0</v>
      </c>
      <c r="E1711" s="273"/>
      <c r="F1711" s="273"/>
      <c r="G1711" s="273"/>
      <c r="H1711" s="273"/>
      <c r="I1711" s="273"/>
      <c r="J1711" s="273"/>
      <c r="K1711" s="273"/>
      <c r="L1711" s="273"/>
      <c r="M1711" s="273"/>
      <c r="N1711" s="273"/>
      <c r="O1711" s="273"/>
      <c r="P1711" s="273"/>
      <c r="Q1711" s="273"/>
      <c r="R1711" s="273"/>
      <c r="S1711" s="273"/>
      <c r="T1711" s="273"/>
      <c r="U1711" s="273"/>
      <c r="V1711" s="273"/>
      <c r="W1711" s="273">
        <f t="shared" si="380"/>
        <v>108891.76</v>
      </c>
      <c r="X1711" s="273"/>
      <c r="Y1711" s="273"/>
      <c r="AA1711" s="273"/>
      <c r="AB1711" s="273"/>
      <c r="AC1711" s="273">
        <v>108891.76</v>
      </c>
      <c r="AD1711" s="273"/>
      <c r="AE1711" s="273"/>
      <c r="AF1711" s="261"/>
      <c r="AG1711" s="273"/>
      <c r="AI1711" s="273"/>
      <c r="AJ1711" s="273"/>
      <c r="AK1711" s="273"/>
    </row>
    <row r="1712" spans="1:37" x14ac:dyDescent="0.3">
      <c r="A1712" s="10">
        <f t="shared" si="381"/>
        <v>1517</v>
      </c>
      <c r="B1712" s="124" t="s">
        <v>3211</v>
      </c>
      <c r="C1712" s="273">
        <f t="shared" si="378"/>
        <v>4263969</v>
      </c>
      <c r="D1712" s="273">
        <f t="shared" si="379"/>
        <v>0</v>
      </c>
      <c r="E1712" s="273"/>
      <c r="F1712" s="273"/>
      <c r="G1712" s="273"/>
      <c r="H1712" s="273"/>
      <c r="I1712" s="273"/>
      <c r="J1712" s="273"/>
      <c r="K1712" s="273"/>
      <c r="L1712" s="273"/>
      <c r="M1712" s="273">
        <v>683</v>
      </c>
      <c r="N1712" s="273">
        <v>4263969</v>
      </c>
      <c r="O1712" s="273"/>
      <c r="P1712" s="273"/>
      <c r="Q1712" s="273"/>
      <c r="R1712" s="273"/>
      <c r="S1712" s="273"/>
      <c r="T1712" s="273"/>
      <c r="U1712" s="273"/>
      <c r="V1712" s="273"/>
      <c r="W1712" s="273"/>
      <c r="X1712" s="273"/>
      <c r="Y1712" s="273"/>
      <c r="AA1712" s="273"/>
      <c r="AB1712" s="273"/>
      <c r="AC1712" s="273"/>
      <c r="AD1712" s="273"/>
      <c r="AE1712" s="273"/>
      <c r="AF1712" s="261"/>
      <c r="AG1712" s="273"/>
      <c r="AI1712" s="273"/>
      <c r="AJ1712" s="273"/>
      <c r="AK1712" s="273"/>
    </row>
    <row r="1713" spans="1:41" x14ac:dyDescent="0.3">
      <c r="A1713" s="10">
        <f t="shared" si="381"/>
        <v>1518</v>
      </c>
      <c r="B1713" s="124" t="s">
        <v>3346</v>
      </c>
      <c r="C1713" s="273">
        <f t="shared" si="378"/>
        <v>151387.57999999999</v>
      </c>
      <c r="D1713" s="273">
        <f t="shared" si="379"/>
        <v>0</v>
      </c>
      <c r="E1713" s="273"/>
      <c r="F1713" s="273"/>
      <c r="G1713" s="273"/>
      <c r="H1713" s="273"/>
      <c r="I1713" s="273"/>
      <c r="J1713" s="273"/>
      <c r="K1713" s="273"/>
      <c r="L1713" s="273"/>
      <c r="M1713" s="273"/>
      <c r="N1713" s="273"/>
      <c r="O1713" s="273"/>
      <c r="P1713" s="273"/>
      <c r="Q1713" s="273"/>
      <c r="R1713" s="273"/>
      <c r="S1713" s="273"/>
      <c r="T1713" s="273"/>
      <c r="U1713" s="273"/>
      <c r="V1713" s="273"/>
      <c r="W1713" s="273">
        <f>SUM(X1713:AK1713)</f>
        <v>151387.57999999999</v>
      </c>
      <c r="X1713" s="273"/>
      <c r="Y1713" s="273"/>
      <c r="AA1713" s="273"/>
      <c r="AB1713" s="273"/>
      <c r="AC1713" s="273"/>
      <c r="AD1713" s="273"/>
      <c r="AE1713" s="273">
        <v>151387.57999999999</v>
      </c>
      <c r="AF1713" s="261"/>
      <c r="AG1713" s="273"/>
      <c r="AI1713" s="273"/>
      <c r="AJ1713" s="273"/>
      <c r="AK1713" s="273"/>
    </row>
    <row r="1714" spans="1:41" x14ac:dyDescent="0.3">
      <c r="A1714" s="10">
        <f t="shared" si="381"/>
        <v>1519</v>
      </c>
      <c r="B1714" s="124" t="s">
        <v>3347</v>
      </c>
      <c r="C1714" s="273">
        <f t="shared" si="378"/>
        <v>184816.56</v>
      </c>
      <c r="D1714" s="273">
        <f t="shared" si="379"/>
        <v>0</v>
      </c>
      <c r="E1714" s="273"/>
      <c r="F1714" s="273"/>
      <c r="G1714" s="273"/>
      <c r="H1714" s="273"/>
      <c r="I1714" s="273"/>
      <c r="J1714" s="273"/>
      <c r="K1714" s="273"/>
      <c r="L1714" s="273"/>
      <c r="M1714" s="273"/>
      <c r="N1714" s="273"/>
      <c r="O1714" s="273"/>
      <c r="P1714" s="273"/>
      <c r="Q1714" s="273"/>
      <c r="R1714" s="273"/>
      <c r="S1714" s="273"/>
      <c r="T1714" s="273"/>
      <c r="U1714" s="273"/>
      <c r="V1714" s="273"/>
      <c r="W1714" s="273">
        <f>SUM(X1714:AK1714)</f>
        <v>184816.56</v>
      </c>
      <c r="X1714" s="273"/>
      <c r="Y1714" s="273"/>
      <c r="AA1714" s="273"/>
      <c r="AB1714" s="273"/>
      <c r="AC1714" s="273"/>
      <c r="AD1714" s="273"/>
      <c r="AE1714" s="273">
        <v>184816.56</v>
      </c>
      <c r="AF1714" s="261"/>
      <c r="AG1714" s="273"/>
      <c r="AI1714" s="273"/>
      <c r="AJ1714" s="273"/>
      <c r="AK1714" s="273"/>
    </row>
    <row r="1715" spans="1:41" x14ac:dyDescent="0.3">
      <c r="A1715" s="10">
        <f t="shared" si="381"/>
        <v>1520</v>
      </c>
      <c r="B1715" s="124" t="s">
        <v>3348</v>
      </c>
      <c r="C1715" s="273">
        <f t="shared" si="378"/>
        <v>167708.12</v>
      </c>
      <c r="D1715" s="273">
        <f t="shared" si="379"/>
        <v>0</v>
      </c>
      <c r="E1715" s="273"/>
      <c r="F1715" s="273"/>
      <c r="G1715" s="273"/>
      <c r="H1715" s="273"/>
      <c r="I1715" s="273"/>
      <c r="J1715" s="273"/>
      <c r="K1715" s="273"/>
      <c r="L1715" s="273"/>
      <c r="M1715" s="273"/>
      <c r="N1715" s="273"/>
      <c r="O1715" s="273"/>
      <c r="P1715" s="273"/>
      <c r="Q1715" s="273"/>
      <c r="R1715" s="273"/>
      <c r="S1715" s="273"/>
      <c r="T1715" s="273"/>
      <c r="U1715" s="273"/>
      <c r="V1715" s="273"/>
      <c r="W1715" s="273">
        <f>SUM(X1715:AK1715)</f>
        <v>167708.12</v>
      </c>
      <c r="X1715" s="273"/>
      <c r="Y1715" s="273"/>
      <c r="AA1715" s="273"/>
      <c r="AB1715" s="273"/>
      <c r="AC1715" s="273"/>
      <c r="AD1715" s="273"/>
      <c r="AE1715" s="273">
        <v>167708.12</v>
      </c>
      <c r="AF1715" s="261"/>
      <c r="AG1715" s="273"/>
      <c r="AI1715" s="273"/>
      <c r="AJ1715" s="273"/>
      <c r="AK1715" s="273"/>
    </row>
    <row r="1716" spans="1:41" x14ac:dyDescent="0.3">
      <c r="A1716" s="10">
        <f t="shared" si="381"/>
        <v>1521</v>
      </c>
      <c r="B1716" s="124" t="s">
        <v>3349</v>
      </c>
      <c r="C1716" s="273">
        <f t="shared" si="378"/>
        <v>327964.7</v>
      </c>
      <c r="D1716" s="273">
        <f t="shared" si="379"/>
        <v>0</v>
      </c>
      <c r="E1716" s="273"/>
      <c r="F1716" s="273"/>
      <c r="G1716" s="273"/>
      <c r="H1716" s="273"/>
      <c r="I1716" s="273"/>
      <c r="J1716" s="273"/>
      <c r="K1716" s="273"/>
      <c r="L1716" s="273"/>
      <c r="M1716" s="273"/>
      <c r="N1716" s="273"/>
      <c r="O1716" s="273"/>
      <c r="P1716" s="273"/>
      <c r="Q1716" s="273"/>
      <c r="R1716" s="273"/>
      <c r="S1716" s="273"/>
      <c r="T1716" s="273"/>
      <c r="U1716" s="273"/>
      <c r="V1716" s="273"/>
      <c r="W1716" s="273">
        <f>SUM(X1716:AK1716)</f>
        <v>327964.7</v>
      </c>
      <c r="X1716" s="273"/>
      <c r="Y1716" s="273"/>
      <c r="AA1716" s="273"/>
      <c r="AB1716" s="273"/>
      <c r="AC1716" s="273"/>
      <c r="AD1716" s="273"/>
      <c r="AE1716" s="273"/>
      <c r="AF1716" s="261">
        <v>327964.7</v>
      </c>
      <c r="AG1716" s="273"/>
      <c r="AI1716" s="273"/>
      <c r="AJ1716" s="273"/>
      <c r="AK1716" s="273"/>
    </row>
    <row r="1717" spans="1:41" x14ac:dyDescent="0.3">
      <c r="A1717" s="10">
        <f t="shared" si="381"/>
        <v>1522</v>
      </c>
      <c r="B1717" s="124" t="s">
        <v>3350</v>
      </c>
      <c r="C1717" s="273">
        <f t="shared" si="378"/>
        <v>405768.01</v>
      </c>
      <c r="D1717" s="273">
        <f t="shared" si="379"/>
        <v>0</v>
      </c>
      <c r="E1717" s="273"/>
      <c r="F1717" s="273"/>
      <c r="G1717" s="273"/>
      <c r="H1717" s="273"/>
      <c r="I1717" s="273"/>
      <c r="J1717" s="273"/>
      <c r="K1717" s="273"/>
      <c r="L1717" s="273"/>
      <c r="M1717" s="273"/>
      <c r="N1717" s="273"/>
      <c r="O1717" s="273"/>
      <c r="P1717" s="273"/>
      <c r="Q1717" s="273"/>
      <c r="R1717" s="273"/>
      <c r="S1717" s="273"/>
      <c r="T1717" s="273"/>
      <c r="U1717" s="273"/>
      <c r="V1717" s="273"/>
      <c r="W1717" s="273">
        <f>SUM(X1717:AK1717)</f>
        <v>405768.01</v>
      </c>
      <c r="X1717" s="273"/>
      <c r="Y1717" s="273"/>
      <c r="AA1717" s="273"/>
      <c r="AB1717" s="273"/>
      <c r="AC1717" s="273"/>
      <c r="AD1717" s="273"/>
      <c r="AE1717" s="273"/>
      <c r="AF1717" s="261">
        <v>405768.01</v>
      </c>
      <c r="AG1717" s="273"/>
      <c r="AI1717" s="273"/>
      <c r="AJ1717" s="273"/>
      <c r="AK1717" s="273"/>
    </row>
    <row r="1718" spans="1:41" x14ac:dyDescent="0.3">
      <c r="A1718" s="10">
        <f t="shared" si="381"/>
        <v>1523</v>
      </c>
      <c r="B1718" s="124" t="s">
        <v>3215</v>
      </c>
      <c r="C1718" s="273">
        <f t="shared" si="378"/>
        <v>2107724.44</v>
      </c>
      <c r="D1718" s="273">
        <f t="shared" si="379"/>
        <v>0</v>
      </c>
      <c r="E1718" s="273"/>
      <c r="F1718" s="273"/>
      <c r="G1718" s="273"/>
      <c r="H1718" s="273"/>
      <c r="I1718" s="273"/>
      <c r="J1718" s="273"/>
      <c r="K1718" s="273"/>
      <c r="L1718" s="273"/>
      <c r="M1718" s="273"/>
      <c r="N1718" s="273"/>
      <c r="O1718" s="273"/>
      <c r="P1718" s="273"/>
      <c r="Q1718" s="273"/>
      <c r="R1718" s="273"/>
      <c r="S1718" s="273"/>
      <c r="T1718" s="273"/>
      <c r="U1718" s="273"/>
      <c r="V1718" s="273"/>
      <c r="W1718" s="273">
        <f>SUM(X1718:AE1718)</f>
        <v>2107724.44</v>
      </c>
      <c r="Y1718" s="144">
        <v>581446.04</v>
      </c>
      <c r="Z1718" s="144">
        <v>350486.74</v>
      </c>
      <c r="AA1718" s="144">
        <v>345861.94</v>
      </c>
      <c r="AB1718" s="273"/>
      <c r="AD1718" s="273"/>
      <c r="AE1718" s="273">
        <v>829929.72</v>
      </c>
      <c r="AF1718" s="273"/>
      <c r="AG1718" s="273"/>
      <c r="AH1718" s="273"/>
      <c r="AI1718" s="273"/>
      <c r="AJ1718" s="273"/>
      <c r="AK1718" s="261"/>
      <c r="AL1718" s="273"/>
      <c r="AM1718" s="273"/>
      <c r="AN1718" s="273"/>
      <c r="AO1718" s="273"/>
    </row>
    <row r="1719" spans="1:41" x14ac:dyDescent="0.3">
      <c r="A1719" s="10">
        <f t="shared" si="381"/>
        <v>1524</v>
      </c>
      <c r="B1719" s="124" t="s">
        <v>3216</v>
      </c>
      <c r="C1719" s="273">
        <f t="shared" si="378"/>
        <v>5791006.7999999998</v>
      </c>
      <c r="D1719" s="273">
        <f t="shared" si="379"/>
        <v>0</v>
      </c>
      <c r="E1719" s="273"/>
      <c r="F1719" s="273"/>
      <c r="G1719" s="273"/>
      <c r="H1719" s="273"/>
      <c r="I1719" s="273"/>
      <c r="J1719" s="273"/>
      <c r="K1719" s="273"/>
      <c r="L1719" s="273"/>
      <c r="M1719" s="273">
        <v>927.6</v>
      </c>
      <c r="N1719" s="273">
        <v>5791006.7999999998</v>
      </c>
      <c r="O1719" s="273"/>
      <c r="P1719" s="273"/>
      <c r="Q1719" s="273"/>
      <c r="R1719" s="273"/>
      <c r="S1719" s="273"/>
      <c r="T1719" s="273"/>
      <c r="U1719" s="273"/>
      <c r="V1719" s="273"/>
      <c r="W1719" s="273"/>
      <c r="X1719" s="273"/>
      <c r="Y1719" s="273"/>
      <c r="AA1719" s="273"/>
      <c r="AB1719" s="273"/>
      <c r="AC1719" s="273"/>
      <c r="AD1719" s="273"/>
      <c r="AE1719" s="273">
        <v>351458.79</v>
      </c>
      <c r="AF1719" s="261"/>
      <c r="AG1719" s="273"/>
      <c r="AI1719" s="273"/>
      <c r="AJ1719" s="273"/>
      <c r="AK1719" s="273"/>
    </row>
    <row r="1720" spans="1:41" x14ac:dyDescent="0.3">
      <c r="A1720" s="10">
        <f t="shared" si="381"/>
        <v>1525</v>
      </c>
      <c r="B1720" s="124" t="s">
        <v>3351</v>
      </c>
      <c r="C1720" s="273">
        <f t="shared" si="378"/>
        <v>288483.83</v>
      </c>
      <c r="D1720" s="273">
        <f t="shared" si="379"/>
        <v>0</v>
      </c>
      <c r="E1720" s="273"/>
      <c r="F1720" s="273"/>
      <c r="G1720" s="273"/>
      <c r="H1720" s="273"/>
      <c r="I1720" s="273"/>
      <c r="J1720" s="273"/>
      <c r="K1720" s="273"/>
      <c r="L1720" s="273"/>
      <c r="M1720" s="273"/>
      <c r="N1720" s="273"/>
      <c r="O1720" s="273"/>
      <c r="P1720" s="273"/>
      <c r="Q1720" s="273"/>
      <c r="R1720" s="273"/>
      <c r="S1720" s="273"/>
      <c r="T1720" s="273"/>
      <c r="U1720" s="273"/>
      <c r="V1720" s="273"/>
      <c r="W1720" s="273">
        <f t="shared" ref="W1720:W1726" si="382">SUM(X1720:AK1720)</f>
        <v>288483.83</v>
      </c>
      <c r="X1720" s="273"/>
      <c r="Y1720" s="273"/>
      <c r="AA1720" s="273"/>
      <c r="AB1720" s="273"/>
      <c r="AC1720" s="273"/>
      <c r="AD1720" s="273"/>
      <c r="AE1720" s="273">
        <v>288483.83</v>
      </c>
      <c r="AF1720" s="261"/>
      <c r="AG1720" s="273"/>
      <c r="AI1720" s="273"/>
      <c r="AJ1720" s="273"/>
      <c r="AK1720" s="273"/>
    </row>
    <row r="1721" spans="1:41" x14ac:dyDescent="0.3">
      <c r="A1721" s="10">
        <f t="shared" si="381"/>
        <v>1526</v>
      </c>
      <c r="B1721" s="124" t="s">
        <v>3352</v>
      </c>
      <c r="C1721" s="273">
        <f t="shared" si="378"/>
        <v>274518.8</v>
      </c>
      <c r="D1721" s="273">
        <f t="shared" si="379"/>
        <v>0</v>
      </c>
      <c r="E1721" s="273"/>
      <c r="F1721" s="273"/>
      <c r="G1721" s="273"/>
      <c r="H1721" s="273"/>
      <c r="I1721" s="273"/>
      <c r="J1721" s="273"/>
      <c r="K1721" s="273"/>
      <c r="L1721" s="273"/>
      <c r="M1721" s="273"/>
      <c r="N1721" s="273"/>
      <c r="O1721" s="273"/>
      <c r="P1721" s="273"/>
      <c r="Q1721" s="273"/>
      <c r="R1721" s="273"/>
      <c r="S1721" s="273"/>
      <c r="T1721" s="273"/>
      <c r="U1721" s="273"/>
      <c r="V1721" s="273"/>
      <c r="W1721" s="273">
        <f t="shared" si="382"/>
        <v>274518.8</v>
      </c>
      <c r="X1721" s="273"/>
      <c r="Y1721" s="273">
        <v>148145.35999999999</v>
      </c>
      <c r="AA1721" s="273">
        <v>126373.44</v>
      </c>
      <c r="AB1721" s="273"/>
      <c r="AC1721" s="273"/>
      <c r="AD1721" s="273"/>
      <c r="AE1721" s="273"/>
      <c r="AF1721" s="261"/>
      <c r="AG1721" s="273"/>
      <c r="AI1721" s="273"/>
      <c r="AJ1721" s="273"/>
      <c r="AK1721" s="273"/>
    </row>
    <row r="1722" spans="1:41" x14ac:dyDescent="0.3">
      <c r="A1722" s="10">
        <f t="shared" si="381"/>
        <v>1527</v>
      </c>
      <c r="B1722" s="124" t="s">
        <v>3353</v>
      </c>
      <c r="C1722" s="273">
        <f t="shared" si="378"/>
        <v>30926670</v>
      </c>
      <c r="D1722" s="273">
        <f t="shared" si="379"/>
        <v>152490</v>
      </c>
      <c r="E1722" s="273"/>
      <c r="F1722" s="273"/>
      <c r="G1722" s="273">
        <f>13*3910</f>
        <v>50830</v>
      </c>
      <c r="H1722" s="273">
        <f>13*3910</f>
        <v>50830</v>
      </c>
      <c r="I1722" s="273">
        <f>13*3910</f>
        <v>50830</v>
      </c>
      <c r="J1722" s="273"/>
      <c r="K1722" s="273"/>
      <c r="L1722" s="273"/>
      <c r="M1722" s="273"/>
      <c r="N1722" s="273"/>
      <c r="O1722" s="273">
        <v>556</v>
      </c>
      <c r="P1722" s="273">
        <v>5407884</v>
      </c>
      <c r="Q1722" s="273">
        <v>3966.6</v>
      </c>
      <c r="R1722" s="273">
        <v>25366296</v>
      </c>
      <c r="S1722" s="273"/>
      <c r="T1722" s="273"/>
      <c r="U1722" s="273"/>
      <c r="V1722" s="273"/>
      <c r="W1722" s="273">
        <f t="shared" si="382"/>
        <v>0</v>
      </c>
      <c r="X1722" s="273"/>
      <c r="Y1722" s="273"/>
      <c r="AA1722" s="273"/>
      <c r="AB1722" s="273"/>
      <c r="AC1722" s="273"/>
      <c r="AD1722" s="273"/>
      <c r="AE1722" s="273"/>
      <c r="AF1722" s="261"/>
      <c r="AG1722" s="273"/>
      <c r="AI1722" s="273"/>
      <c r="AJ1722" s="273"/>
      <c r="AK1722" s="273"/>
    </row>
    <row r="1723" spans="1:41" x14ac:dyDescent="0.3">
      <c r="A1723" s="10">
        <f t="shared" si="381"/>
        <v>1528</v>
      </c>
      <c r="B1723" s="124" t="s">
        <v>3354</v>
      </c>
      <c r="C1723" s="273">
        <f t="shared" si="378"/>
        <v>197631</v>
      </c>
      <c r="D1723" s="273">
        <f t="shared" si="379"/>
        <v>0</v>
      </c>
      <c r="E1723" s="273"/>
      <c r="F1723" s="273"/>
      <c r="G1723" s="273"/>
      <c r="H1723" s="273"/>
      <c r="I1723" s="273"/>
      <c r="J1723" s="273"/>
      <c r="K1723" s="273"/>
      <c r="L1723" s="273"/>
      <c r="M1723" s="273"/>
      <c r="N1723" s="273"/>
      <c r="O1723" s="273"/>
      <c r="P1723" s="273"/>
      <c r="Q1723" s="273"/>
      <c r="R1723" s="273"/>
      <c r="S1723" s="273"/>
      <c r="T1723" s="273"/>
      <c r="U1723" s="273"/>
      <c r="V1723" s="273"/>
      <c r="W1723" s="273">
        <f t="shared" si="382"/>
        <v>197631</v>
      </c>
      <c r="X1723" s="273"/>
      <c r="Y1723" s="273"/>
      <c r="AA1723" s="273"/>
      <c r="AB1723" s="273"/>
      <c r="AC1723" s="273"/>
      <c r="AD1723" s="273"/>
      <c r="AE1723" s="273">
        <v>197631</v>
      </c>
      <c r="AF1723" s="261"/>
      <c r="AG1723" s="273"/>
      <c r="AI1723" s="273"/>
      <c r="AJ1723" s="273"/>
      <c r="AK1723" s="273"/>
    </row>
    <row r="1724" spans="1:41" x14ac:dyDescent="0.3">
      <c r="A1724" s="10">
        <f t="shared" si="381"/>
        <v>1529</v>
      </c>
      <c r="B1724" s="124" t="s">
        <v>3355</v>
      </c>
      <c r="C1724" s="273">
        <f t="shared" si="378"/>
        <v>228728.39</v>
      </c>
      <c r="D1724" s="273">
        <f t="shared" si="379"/>
        <v>0</v>
      </c>
      <c r="E1724" s="273"/>
      <c r="F1724" s="273"/>
      <c r="G1724" s="273"/>
      <c r="H1724" s="273"/>
      <c r="I1724" s="273"/>
      <c r="J1724" s="273"/>
      <c r="K1724" s="273"/>
      <c r="L1724" s="273"/>
      <c r="M1724" s="273"/>
      <c r="N1724" s="273"/>
      <c r="O1724" s="273"/>
      <c r="P1724" s="273"/>
      <c r="Q1724" s="273"/>
      <c r="R1724" s="273"/>
      <c r="S1724" s="273"/>
      <c r="T1724" s="273"/>
      <c r="U1724" s="273"/>
      <c r="V1724" s="273"/>
      <c r="W1724" s="273">
        <f t="shared" si="382"/>
        <v>228728.39</v>
      </c>
      <c r="X1724" s="273"/>
      <c r="Y1724" s="273"/>
      <c r="AA1724" s="273"/>
      <c r="AB1724" s="273"/>
      <c r="AC1724" s="273"/>
      <c r="AD1724" s="273"/>
      <c r="AE1724" s="273">
        <v>228728.39</v>
      </c>
      <c r="AF1724" s="261"/>
      <c r="AG1724" s="273"/>
      <c r="AI1724" s="273"/>
      <c r="AJ1724" s="273"/>
      <c r="AK1724" s="273"/>
    </row>
    <row r="1725" spans="1:41" x14ac:dyDescent="0.3">
      <c r="A1725" s="10">
        <f t="shared" si="381"/>
        <v>1530</v>
      </c>
      <c r="B1725" s="124" t="s">
        <v>3356</v>
      </c>
      <c r="C1725" s="273">
        <f t="shared" si="378"/>
        <v>604106.42000000004</v>
      </c>
      <c r="D1725" s="273">
        <f t="shared" si="379"/>
        <v>0</v>
      </c>
      <c r="E1725" s="273"/>
      <c r="F1725" s="273"/>
      <c r="G1725" s="273"/>
      <c r="H1725" s="273"/>
      <c r="I1725" s="273"/>
      <c r="J1725" s="273"/>
      <c r="K1725" s="273"/>
      <c r="L1725" s="273"/>
      <c r="M1725" s="273"/>
      <c r="N1725" s="273"/>
      <c r="O1725" s="273"/>
      <c r="P1725" s="273"/>
      <c r="Q1725" s="273"/>
      <c r="R1725" s="273"/>
      <c r="S1725" s="273"/>
      <c r="T1725" s="273"/>
      <c r="U1725" s="273"/>
      <c r="V1725" s="273"/>
      <c r="W1725" s="273">
        <f t="shared" si="382"/>
        <v>604106.42000000004</v>
      </c>
      <c r="X1725" s="273"/>
      <c r="Y1725" s="273"/>
      <c r="AA1725" s="273"/>
      <c r="AB1725" s="273"/>
      <c r="AC1725" s="273"/>
      <c r="AD1725" s="273"/>
      <c r="AE1725" s="273">
        <v>604106.42000000004</v>
      </c>
      <c r="AF1725" s="261"/>
      <c r="AG1725" s="273"/>
      <c r="AI1725" s="273"/>
      <c r="AJ1725" s="273"/>
      <c r="AK1725" s="273"/>
    </row>
    <row r="1726" spans="1:41" x14ac:dyDescent="0.3">
      <c r="A1726" s="10">
        <f t="shared" si="381"/>
        <v>1531</v>
      </c>
      <c r="B1726" s="124" t="s">
        <v>3357</v>
      </c>
      <c r="C1726" s="273">
        <f t="shared" si="378"/>
        <v>113929.01</v>
      </c>
      <c r="D1726" s="273">
        <f t="shared" si="379"/>
        <v>0</v>
      </c>
      <c r="E1726" s="273"/>
      <c r="F1726" s="273"/>
      <c r="G1726" s="273"/>
      <c r="H1726" s="273"/>
      <c r="I1726" s="273"/>
      <c r="J1726" s="273"/>
      <c r="K1726" s="273"/>
      <c r="L1726" s="273"/>
      <c r="M1726" s="273"/>
      <c r="N1726" s="273"/>
      <c r="O1726" s="273"/>
      <c r="P1726" s="273"/>
      <c r="Q1726" s="273"/>
      <c r="R1726" s="273"/>
      <c r="S1726" s="273"/>
      <c r="T1726" s="273"/>
      <c r="U1726" s="273"/>
      <c r="V1726" s="273"/>
      <c r="W1726" s="273">
        <f t="shared" si="382"/>
        <v>113929.01</v>
      </c>
      <c r="X1726" s="273"/>
      <c r="Y1726" s="273"/>
      <c r="AA1726" s="273"/>
      <c r="AB1726" s="273"/>
      <c r="AC1726" s="273">
        <v>113929.01</v>
      </c>
      <c r="AD1726" s="273"/>
      <c r="AE1726" s="273"/>
      <c r="AF1726" s="261"/>
      <c r="AG1726" s="273"/>
      <c r="AI1726" s="273"/>
      <c r="AJ1726" s="273"/>
      <c r="AK1726" s="273"/>
    </row>
    <row r="1727" spans="1:41" x14ac:dyDescent="0.3">
      <c r="A1727" s="10">
        <f t="shared" si="381"/>
        <v>1532</v>
      </c>
      <c r="B1727" s="124" t="s">
        <v>3218</v>
      </c>
      <c r="C1727" s="273">
        <f t="shared" si="378"/>
        <v>7482118.0099999998</v>
      </c>
      <c r="D1727" s="273">
        <f t="shared" si="379"/>
        <v>0</v>
      </c>
      <c r="E1727" s="273"/>
      <c r="F1727" s="273"/>
      <c r="G1727" s="273"/>
      <c r="H1727" s="273"/>
      <c r="I1727" s="273"/>
      <c r="J1727" s="273"/>
      <c r="K1727" s="273"/>
      <c r="L1727" s="273"/>
      <c r="M1727" s="273">
        <v>1162</v>
      </c>
      <c r="N1727" s="273">
        <v>7482118.0099999998</v>
      </c>
      <c r="O1727" s="273"/>
      <c r="P1727" s="273"/>
      <c r="Q1727" s="273"/>
      <c r="R1727" s="273"/>
      <c r="S1727" s="273"/>
      <c r="T1727" s="273"/>
      <c r="U1727" s="273"/>
      <c r="V1727" s="273"/>
      <c r="W1727" s="273"/>
      <c r="X1727" s="273"/>
      <c r="Y1727" s="273"/>
      <c r="AA1727" s="273"/>
      <c r="AB1727" s="273"/>
      <c r="AC1727" s="273"/>
      <c r="AD1727" s="273"/>
      <c r="AE1727" s="273"/>
      <c r="AF1727" s="261"/>
      <c r="AG1727" s="273"/>
      <c r="AI1727" s="273"/>
      <c r="AJ1727" s="273"/>
      <c r="AK1727" s="273"/>
    </row>
    <row r="1728" spans="1:41" x14ac:dyDescent="0.3">
      <c r="A1728" s="10">
        <f t="shared" si="381"/>
        <v>1533</v>
      </c>
      <c r="B1728" s="124" t="s">
        <v>3358</v>
      </c>
      <c r="C1728" s="273">
        <f t="shared" si="378"/>
        <v>111881.72</v>
      </c>
      <c r="D1728" s="273">
        <f t="shared" si="379"/>
        <v>0</v>
      </c>
      <c r="E1728" s="273"/>
      <c r="F1728" s="273"/>
      <c r="G1728" s="273"/>
      <c r="H1728" s="273"/>
      <c r="I1728" s="273"/>
      <c r="J1728" s="273"/>
      <c r="K1728" s="273"/>
      <c r="L1728" s="273"/>
      <c r="M1728" s="273"/>
      <c r="N1728" s="273"/>
      <c r="O1728" s="273"/>
      <c r="P1728" s="273"/>
      <c r="Q1728" s="273"/>
      <c r="R1728" s="273"/>
      <c r="S1728" s="273"/>
      <c r="T1728" s="273"/>
      <c r="U1728" s="273"/>
      <c r="V1728" s="273"/>
      <c r="W1728" s="273">
        <f>SUM(X1728:AK1728)</f>
        <v>111881.72</v>
      </c>
      <c r="X1728" s="273"/>
      <c r="Y1728" s="273"/>
      <c r="AA1728" s="273"/>
      <c r="AB1728" s="273"/>
      <c r="AC1728" s="273">
        <v>111881.72</v>
      </c>
      <c r="AD1728" s="273"/>
      <c r="AE1728" s="273"/>
      <c r="AF1728" s="261"/>
      <c r="AG1728" s="273"/>
      <c r="AI1728" s="273"/>
      <c r="AJ1728" s="273"/>
      <c r="AK1728" s="273"/>
    </row>
    <row r="1729" spans="1:37" x14ac:dyDescent="0.3">
      <c r="A1729" s="10">
        <f t="shared" si="381"/>
        <v>1534</v>
      </c>
      <c r="B1729" s="124" t="s">
        <v>3359</v>
      </c>
      <c r="C1729" s="273">
        <f t="shared" si="378"/>
        <v>158789.71</v>
      </c>
      <c r="D1729" s="273">
        <f t="shared" si="379"/>
        <v>0</v>
      </c>
      <c r="E1729" s="273"/>
      <c r="F1729" s="273"/>
      <c r="G1729" s="273"/>
      <c r="H1729" s="273"/>
      <c r="I1729" s="273"/>
      <c r="J1729" s="273"/>
      <c r="K1729" s="273"/>
      <c r="L1729" s="273"/>
      <c r="M1729" s="273"/>
      <c r="N1729" s="273"/>
      <c r="O1729" s="273"/>
      <c r="P1729" s="273"/>
      <c r="Q1729" s="273"/>
      <c r="R1729" s="273"/>
      <c r="S1729" s="273"/>
      <c r="T1729" s="273"/>
      <c r="U1729" s="273"/>
      <c r="V1729" s="273"/>
      <c r="W1729" s="273">
        <f>SUM(X1729:AK1729)</f>
        <v>158789.71</v>
      </c>
      <c r="X1729" s="273"/>
      <c r="Y1729" s="273"/>
      <c r="AA1729" s="273"/>
      <c r="AB1729" s="273"/>
      <c r="AC1729" s="273"/>
      <c r="AD1729" s="273"/>
      <c r="AE1729" s="273">
        <v>158789.71</v>
      </c>
      <c r="AF1729" s="261"/>
      <c r="AG1729" s="273"/>
      <c r="AI1729" s="273"/>
      <c r="AJ1729" s="273"/>
      <c r="AK1729" s="273"/>
    </row>
    <row r="1730" spans="1:37" x14ac:dyDescent="0.3">
      <c r="A1730" s="10">
        <f t="shared" si="381"/>
        <v>1535</v>
      </c>
      <c r="B1730" s="124" t="s">
        <v>3360</v>
      </c>
      <c r="C1730" s="273">
        <f t="shared" si="378"/>
        <v>130000</v>
      </c>
      <c r="D1730" s="273">
        <f t="shared" si="379"/>
        <v>0</v>
      </c>
      <c r="E1730" s="273"/>
      <c r="F1730" s="273"/>
      <c r="G1730" s="273"/>
      <c r="H1730" s="273"/>
      <c r="I1730" s="273"/>
      <c r="J1730" s="273"/>
      <c r="K1730" s="273"/>
      <c r="L1730" s="273"/>
      <c r="M1730" s="273"/>
      <c r="N1730" s="273"/>
      <c r="O1730" s="273"/>
      <c r="P1730" s="273"/>
      <c r="Q1730" s="273"/>
      <c r="R1730" s="273"/>
      <c r="S1730" s="273"/>
      <c r="T1730" s="273"/>
      <c r="U1730" s="273"/>
      <c r="V1730" s="273"/>
      <c r="W1730" s="273">
        <v>130000</v>
      </c>
      <c r="X1730" s="273"/>
      <c r="Y1730" s="273"/>
      <c r="AA1730" s="273"/>
      <c r="AB1730" s="273"/>
      <c r="AC1730" s="273">
        <v>130000</v>
      </c>
      <c r="AD1730" s="273"/>
      <c r="AE1730" s="273"/>
      <c r="AF1730" s="261"/>
      <c r="AG1730" s="273"/>
      <c r="AI1730" s="273"/>
      <c r="AJ1730" s="273"/>
      <c r="AK1730" s="273"/>
    </row>
    <row r="1731" spans="1:37" x14ac:dyDescent="0.3">
      <c r="A1731" s="10">
        <f t="shared" si="381"/>
        <v>1536</v>
      </c>
      <c r="B1731" s="124" t="s">
        <v>3361</v>
      </c>
      <c r="C1731" s="273">
        <f t="shared" si="378"/>
        <v>131565.20000000001</v>
      </c>
      <c r="D1731" s="273">
        <f t="shared" si="379"/>
        <v>0</v>
      </c>
      <c r="E1731" s="273"/>
      <c r="F1731" s="273"/>
      <c r="G1731" s="273"/>
      <c r="H1731" s="273"/>
      <c r="I1731" s="273"/>
      <c r="J1731" s="273"/>
      <c r="K1731" s="273"/>
      <c r="L1731" s="273"/>
      <c r="M1731" s="273"/>
      <c r="N1731" s="273"/>
      <c r="O1731" s="273"/>
      <c r="P1731" s="273"/>
      <c r="Q1731" s="273"/>
      <c r="R1731" s="273"/>
      <c r="S1731" s="273"/>
      <c r="T1731" s="273"/>
      <c r="U1731" s="273"/>
      <c r="V1731" s="273"/>
      <c r="W1731" s="273">
        <f t="shared" ref="W1731:W1736" si="383">SUM(X1731:AK1731)</f>
        <v>131565.20000000001</v>
      </c>
      <c r="X1731" s="273"/>
      <c r="Y1731" s="273"/>
      <c r="AA1731" s="273"/>
      <c r="AB1731" s="273"/>
      <c r="AC1731" s="273"/>
      <c r="AD1731" s="273"/>
      <c r="AE1731" s="273">
        <v>131565.20000000001</v>
      </c>
      <c r="AF1731" s="261"/>
      <c r="AG1731" s="273"/>
      <c r="AI1731" s="273"/>
      <c r="AJ1731" s="273"/>
      <c r="AK1731" s="273"/>
    </row>
    <row r="1732" spans="1:37" x14ac:dyDescent="0.3">
      <c r="A1732" s="10">
        <f t="shared" si="381"/>
        <v>1537</v>
      </c>
      <c r="B1732" s="124" t="s">
        <v>3362</v>
      </c>
      <c r="C1732" s="273">
        <f t="shared" si="378"/>
        <v>431662.08999999997</v>
      </c>
      <c r="D1732" s="273">
        <f t="shared" si="379"/>
        <v>0</v>
      </c>
      <c r="E1732" s="273"/>
      <c r="F1732" s="273"/>
      <c r="G1732" s="273"/>
      <c r="H1732" s="273"/>
      <c r="I1732" s="273"/>
      <c r="J1732" s="273"/>
      <c r="K1732" s="273"/>
      <c r="L1732" s="273"/>
      <c r="M1732" s="273"/>
      <c r="N1732" s="273"/>
      <c r="O1732" s="273"/>
      <c r="P1732" s="273"/>
      <c r="Q1732" s="273"/>
      <c r="R1732" s="273"/>
      <c r="S1732" s="273"/>
      <c r="T1732" s="273"/>
      <c r="U1732" s="273"/>
      <c r="V1732" s="273"/>
      <c r="W1732" s="273">
        <f t="shared" si="383"/>
        <v>431662.08999999997</v>
      </c>
      <c r="X1732" s="273"/>
      <c r="Y1732" s="273"/>
      <c r="AA1732" s="273"/>
      <c r="AB1732" s="273"/>
      <c r="AC1732" s="273">
        <v>177839.57</v>
      </c>
      <c r="AD1732" s="273"/>
      <c r="AE1732" s="273"/>
      <c r="AF1732" s="261">
        <v>253822.52</v>
      </c>
      <c r="AG1732" s="273"/>
      <c r="AI1732" s="273"/>
      <c r="AJ1732" s="273"/>
      <c r="AK1732" s="273"/>
    </row>
    <row r="1733" spans="1:37" x14ac:dyDescent="0.3">
      <c r="A1733" s="10">
        <f t="shared" si="381"/>
        <v>1538</v>
      </c>
      <c r="B1733" s="124" t="s">
        <v>3363</v>
      </c>
      <c r="C1733" s="273">
        <f t="shared" si="378"/>
        <v>269549.98</v>
      </c>
      <c r="D1733" s="273">
        <f t="shared" si="379"/>
        <v>0</v>
      </c>
      <c r="E1733" s="273"/>
      <c r="F1733" s="273"/>
      <c r="G1733" s="273"/>
      <c r="H1733" s="273"/>
      <c r="I1733" s="273"/>
      <c r="J1733" s="273"/>
      <c r="K1733" s="273"/>
      <c r="L1733" s="273"/>
      <c r="M1733" s="273"/>
      <c r="N1733" s="273"/>
      <c r="O1733" s="273"/>
      <c r="P1733" s="273"/>
      <c r="Q1733" s="273"/>
      <c r="R1733" s="273"/>
      <c r="S1733" s="273"/>
      <c r="T1733" s="273"/>
      <c r="U1733" s="273"/>
      <c r="V1733" s="273"/>
      <c r="W1733" s="273">
        <f t="shared" si="383"/>
        <v>269549.98</v>
      </c>
      <c r="X1733" s="273"/>
      <c r="Y1733" s="273"/>
      <c r="AA1733" s="273"/>
      <c r="AB1733" s="273"/>
      <c r="AC1733" s="273"/>
      <c r="AD1733" s="273"/>
      <c r="AE1733" s="273"/>
      <c r="AF1733" s="261">
        <v>269549.98</v>
      </c>
      <c r="AG1733" s="273"/>
      <c r="AI1733" s="273"/>
      <c r="AJ1733" s="273"/>
      <c r="AK1733" s="273"/>
    </row>
    <row r="1734" spans="1:37" x14ac:dyDescent="0.3">
      <c r="A1734" s="10">
        <f t="shared" si="381"/>
        <v>1539</v>
      </c>
      <c r="B1734" s="124" t="s">
        <v>3364</v>
      </c>
      <c r="C1734" s="273">
        <f t="shared" si="378"/>
        <v>839913.58</v>
      </c>
      <c r="D1734" s="273">
        <f t="shared" si="379"/>
        <v>0</v>
      </c>
      <c r="E1734" s="273"/>
      <c r="F1734" s="273"/>
      <c r="G1734" s="273"/>
      <c r="H1734" s="273"/>
      <c r="I1734" s="273"/>
      <c r="J1734" s="273"/>
      <c r="K1734" s="273"/>
      <c r="L1734" s="273"/>
      <c r="M1734" s="273"/>
      <c r="N1734" s="273"/>
      <c r="O1734" s="273"/>
      <c r="P1734" s="273"/>
      <c r="Q1734" s="273"/>
      <c r="R1734" s="273"/>
      <c r="S1734" s="273"/>
      <c r="T1734" s="273"/>
      <c r="U1734" s="273"/>
      <c r="V1734" s="273"/>
      <c r="W1734" s="273">
        <f t="shared" si="383"/>
        <v>839913.58</v>
      </c>
      <c r="X1734" s="273"/>
      <c r="Y1734" s="273">
        <v>103383.31</v>
      </c>
      <c r="AA1734" s="273">
        <v>128704.49</v>
      </c>
      <c r="AB1734" s="273"/>
      <c r="AC1734" s="273">
        <v>118815.29</v>
      </c>
      <c r="AD1734" s="273"/>
      <c r="AE1734" s="273">
        <v>247289.65</v>
      </c>
      <c r="AF1734" s="261">
        <v>241720.84</v>
      </c>
      <c r="AG1734" s="273"/>
      <c r="AI1734" s="273"/>
      <c r="AJ1734" s="273"/>
      <c r="AK1734" s="273"/>
    </row>
    <row r="1735" spans="1:37" x14ac:dyDescent="0.3">
      <c r="A1735" s="10">
        <f t="shared" si="381"/>
        <v>1540</v>
      </c>
      <c r="B1735" s="124" t="s">
        <v>3365</v>
      </c>
      <c r="C1735" s="273">
        <f t="shared" si="378"/>
        <v>704307.36</v>
      </c>
      <c r="D1735" s="273">
        <f t="shared" si="379"/>
        <v>0</v>
      </c>
      <c r="E1735" s="273"/>
      <c r="F1735" s="273"/>
      <c r="G1735" s="273"/>
      <c r="H1735" s="273"/>
      <c r="I1735" s="273"/>
      <c r="J1735" s="273"/>
      <c r="K1735" s="273"/>
      <c r="L1735" s="273"/>
      <c r="M1735" s="273"/>
      <c r="N1735" s="273"/>
      <c r="O1735" s="273"/>
      <c r="P1735" s="273"/>
      <c r="Q1735" s="273"/>
      <c r="R1735" s="273"/>
      <c r="S1735" s="273"/>
      <c r="T1735" s="273"/>
      <c r="U1735" s="273"/>
      <c r="V1735" s="273"/>
      <c r="W1735" s="273">
        <f t="shared" si="383"/>
        <v>704307.36</v>
      </c>
      <c r="X1735" s="273"/>
      <c r="Y1735" s="273"/>
      <c r="AA1735" s="273"/>
      <c r="AB1735" s="273"/>
      <c r="AC1735" s="273">
        <v>348993.47</v>
      </c>
      <c r="AD1735" s="273"/>
      <c r="AE1735" s="273"/>
      <c r="AF1735" s="261">
        <v>355313.89</v>
      </c>
      <c r="AG1735" s="273"/>
      <c r="AI1735" s="273"/>
      <c r="AJ1735" s="273"/>
      <c r="AK1735" s="273"/>
    </row>
    <row r="1736" spans="1:37" x14ac:dyDescent="0.3">
      <c r="A1736" s="10">
        <f t="shared" si="381"/>
        <v>1541</v>
      </c>
      <c r="B1736" s="124" t="s">
        <v>3366</v>
      </c>
      <c r="C1736" s="273">
        <f t="shared" si="378"/>
        <v>740166.06</v>
      </c>
      <c r="D1736" s="273">
        <f t="shared" si="379"/>
        <v>0</v>
      </c>
      <c r="E1736" s="273"/>
      <c r="F1736" s="273"/>
      <c r="G1736" s="273"/>
      <c r="H1736" s="273"/>
      <c r="I1736" s="273"/>
      <c r="J1736" s="273"/>
      <c r="K1736" s="273"/>
      <c r="L1736" s="273"/>
      <c r="M1736" s="273"/>
      <c r="N1736" s="273"/>
      <c r="O1736" s="273"/>
      <c r="P1736" s="273"/>
      <c r="Q1736" s="273"/>
      <c r="R1736" s="273"/>
      <c r="S1736" s="273"/>
      <c r="T1736" s="273"/>
      <c r="U1736" s="273"/>
      <c r="V1736" s="273"/>
      <c r="W1736" s="273">
        <f t="shared" si="383"/>
        <v>740166.06</v>
      </c>
      <c r="X1736" s="273"/>
      <c r="Y1736" s="273"/>
      <c r="AA1736" s="273"/>
      <c r="AB1736" s="273"/>
      <c r="AC1736" s="273"/>
      <c r="AD1736" s="273"/>
      <c r="AE1736" s="273">
        <v>438548.75</v>
      </c>
      <c r="AF1736" s="261">
        <v>301617.31</v>
      </c>
      <c r="AG1736" s="273"/>
      <c r="AI1736" s="273"/>
      <c r="AJ1736" s="273"/>
      <c r="AK1736" s="273"/>
    </row>
    <row r="1737" spans="1:37" x14ac:dyDescent="0.3">
      <c r="A1737" s="10">
        <f t="shared" si="381"/>
        <v>1542</v>
      </c>
      <c r="B1737" s="124" t="s">
        <v>3219</v>
      </c>
      <c r="C1737" s="273">
        <f t="shared" si="378"/>
        <v>9052350</v>
      </c>
      <c r="D1737" s="273">
        <f t="shared" si="379"/>
        <v>0</v>
      </c>
      <c r="E1737" s="273"/>
      <c r="F1737" s="273"/>
      <c r="G1737" s="273"/>
      <c r="H1737" s="273"/>
      <c r="I1737" s="273"/>
      <c r="J1737" s="273"/>
      <c r="K1737" s="273"/>
      <c r="L1737" s="273"/>
      <c r="M1737" s="273">
        <v>1450</v>
      </c>
      <c r="N1737" s="273">
        <v>9052350</v>
      </c>
      <c r="O1737" s="273"/>
      <c r="P1737" s="273"/>
      <c r="Q1737" s="273"/>
      <c r="R1737" s="273"/>
      <c r="S1737" s="273"/>
      <c r="T1737" s="273"/>
      <c r="U1737" s="273"/>
      <c r="V1737" s="273"/>
      <c r="W1737" s="273"/>
      <c r="X1737" s="273"/>
      <c r="Y1737" s="273"/>
      <c r="AA1737" s="273"/>
      <c r="AB1737" s="273"/>
      <c r="AC1737" s="273"/>
      <c r="AD1737" s="273"/>
      <c r="AE1737" s="273">
        <v>508876.13</v>
      </c>
      <c r="AF1737" s="261"/>
      <c r="AG1737" s="273"/>
      <c r="AI1737" s="273"/>
      <c r="AJ1737" s="273"/>
      <c r="AK1737" s="273"/>
    </row>
    <row r="1738" spans="1:37" x14ac:dyDescent="0.3">
      <c r="A1738" s="10">
        <f t="shared" si="381"/>
        <v>1543</v>
      </c>
      <c r="B1738" s="124" t="s">
        <v>3220</v>
      </c>
      <c r="C1738" s="273">
        <f t="shared" si="378"/>
        <v>12991683</v>
      </c>
      <c r="D1738" s="273">
        <f t="shared" si="379"/>
        <v>0</v>
      </c>
      <c r="E1738" s="273"/>
      <c r="F1738" s="273"/>
      <c r="G1738" s="273"/>
      <c r="H1738" s="273"/>
      <c r="I1738" s="273"/>
      <c r="J1738" s="273"/>
      <c r="K1738" s="273"/>
      <c r="L1738" s="273"/>
      <c r="M1738" s="273">
        <v>2081</v>
      </c>
      <c r="N1738" s="273">
        <v>12991683</v>
      </c>
      <c r="O1738" s="273"/>
      <c r="P1738" s="273"/>
      <c r="Q1738" s="273"/>
      <c r="R1738" s="273"/>
      <c r="S1738" s="273"/>
      <c r="T1738" s="273"/>
      <c r="U1738" s="273"/>
      <c r="V1738" s="273"/>
      <c r="W1738" s="273"/>
      <c r="X1738" s="273"/>
      <c r="Y1738" s="273"/>
      <c r="AA1738" s="273"/>
      <c r="AB1738" s="273"/>
      <c r="AC1738" s="273"/>
      <c r="AD1738" s="273"/>
      <c r="AE1738" s="273">
        <v>602647.38</v>
      </c>
      <c r="AF1738" s="261"/>
      <c r="AG1738" s="273"/>
      <c r="AI1738" s="273"/>
      <c r="AJ1738" s="273"/>
      <c r="AK1738" s="273"/>
    </row>
    <row r="1739" spans="1:37" x14ac:dyDescent="0.3">
      <c r="A1739" s="10">
        <f t="shared" si="381"/>
        <v>1544</v>
      </c>
      <c r="B1739" s="124" t="s">
        <v>3367</v>
      </c>
      <c r="C1739" s="273">
        <f t="shared" si="378"/>
        <v>916578.73</v>
      </c>
      <c r="D1739" s="273">
        <f t="shared" si="379"/>
        <v>0</v>
      </c>
      <c r="E1739" s="273"/>
      <c r="F1739" s="273"/>
      <c r="G1739" s="273"/>
      <c r="H1739" s="273"/>
      <c r="I1739" s="273"/>
      <c r="J1739" s="273"/>
      <c r="K1739" s="273"/>
      <c r="L1739" s="273"/>
      <c r="M1739" s="273"/>
      <c r="N1739" s="273"/>
      <c r="O1739" s="273"/>
      <c r="P1739" s="273"/>
      <c r="Q1739" s="273"/>
      <c r="R1739" s="273"/>
      <c r="S1739" s="273"/>
      <c r="T1739" s="273"/>
      <c r="U1739" s="273"/>
      <c r="V1739" s="273"/>
      <c r="W1739" s="273">
        <f>SUM(X1739:AK1739)</f>
        <v>916578.73</v>
      </c>
      <c r="X1739" s="273">
        <v>95268.3</v>
      </c>
      <c r="AB1739" s="273">
        <v>95268.3</v>
      </c>
      <c r="AC1739" s="273">
        <v>94348.54</v>
      </c>
      <c r="AE1739" s="273">
        <v>178847.11</v>
      </c>
      <c r="AF1739" s="261"/>
      <c r="AG1739" s="273">
        <v>452846.48</v>
      </c>
      <c r="AI1739" s="273"/>
      <c r="AJ1739" s="273"/>
      <c r="AK1739" s="273"/>
    </row>
    <row r="1740" spans="1:37" x14ac:dyDescent="0.3">
      <c r="A1740" s="10">
        <f t="shared" si="381"/>
        <v>1545</v>
      </c>
      <c r="B1740" s="124" t="s">
        <v>3221</v>
      </c>
      <c r="C1740" s="273">
        <f t="shared" si="378"/>
        <v>6910646.4000000004</v>
      </c>
      <c r="D1740" s="273">
        <f t="shared" si="379"/>
        <v>0</v>
      </c>
      <c r="E1740" s="273"/>
      <c r="F1740" s="273"/>
      <c r="G1740" s="273"/>
      <c r="H1740" s="273"/>
      <c r="I1740" s="273"/>
      <c r="J1740" s="273"/>
      <c r="K1740" s="273"/>
      <c r="L1740" s="273"/>
      <c r="M1740" s="273">
        <v>813.4</v>
      </c>
      <c r="N1740" s="273">
        <v>6910646.4000000004</v>
      </c>
      <c r="O1740" s="273"/>
      <c r="P1740" s="273"/>
      <c r="Q1740" s="273"/>
      <c r="R1740" s="273"/>
      <c r="S1740" s="273"/>
      <c r="T1740" s="273"/>
      <c r="U1740" s="273"/>
      <c r="V1740" s="273"/>
      <c r="W1740" s="273"/>
      <c r="X1740" s="273"/>
      <c r="Y1740" s="273"/>
      <c r="AA1740" s="273"/>
      <c r="AB1740" s="273"/>
      <c r="AC1740" s="273"/>
      <c r="AD1740" s="273"/>
      <c r="AE1740" s="273">
        <v>210784.79</v>
      </c>
      <c r="AF1740" s="261"/>
      <c r="AG1740" s="273"/>
      <c r="AI1740" s="273"/>
      <c r="AJ1740" s="273"/>
      <c r="AK1740" s="273"/>
    </row>
    <row r="1741" spans="1:37" x14ac:dyDescent="0.3">
      <c r="A1741" s="10">
        <f t="shared" si="381"/>
        <v>1546</v>
      </c>
      <c r="B1741" s="124" t="s">
        <v>3222</v>
      </c>
      <c r="C1741" s="273">
        <f t="shared" si="378"/>
        <v>985526.07000000007</v>
      </c>
      <c r="D1741" s="273">
        <f t="shared" si="379"/>
        <v>0</v>
      </c>
      <c r="E1741" s="273"/>
      <c r="F1741" s="273"/>
      <c r="G1741" s="273"/>
      <c r="H1741" s="273"/>
      <c r="I1741" s="273"/>
      <c r="J1741" s="273"/>
      <c r="K1741" s="273"/>
      <c r="L1741" s="273"/>
      <c r="M1741" s="273"/>
      <c r="N1741" s="273"/>
      <c r="O1741" s="273"/>
      <c r="P1741" s="273"/>
      <c r="Q1741" s="273"/>
      <c r="R1741" s="273"/>
      <c r="S1741" s="273"/>
      <c r="T1741" s="273"/>
      <c r="U1741" s="273"/>
      <c r="V1741" s="273"/>
      <c r="W1741" s="273">
        <f>SUM(X1741:AK1741)</f>
        <v>985526.07000000007</v>
      </c>
      <c r="X1741" s="273">
        <v>241843.79</v>
      </c>
      <c r="Y1741" s="273">
        <v>249089.93</v>
      </c>
      <c r="AA1741" s="273"/>
      <c r="AB1741" s="273">
        <v>241843.79</v>
      </c>
      <c r="AC1741" s="273">
        <v>252748.56</v>
      </c>
      <c r="AE1741" s="273"/>
      <c r="AF1741" s="261"/>
      <c r="AG1741" s="273"/>
      <c r="AI1741" s="273"/>
      <c r="AJ1741" s="273"/>
      <c r="AK1741" s="273"/>
    </row>
    <row r="1742" spans="1:37" x14ac:dyDescent="0.3">
      <c r="A1742" s="10">
        <f t="shared" si="381"/>
        <v>1547</v>
      </c>
      <c r="B1742" s="124" t="s">
        <v>3518</v>
      </c>
      <c r="C1742" s="273">
        <f t="shared" si="378"/>
        <v>130000</v>
      </c>
      <c r="D1742" s="273"/>
      <c r="E1742" s="273"/>
      <c r="F1742" s="273"/>
      <c r="G1742" s="273"/>
      <c r="H1742" s="273"/>
      <c r="I1742" s="273"/>
      <c r="J1742" s="273"/>
      <c r="K1742" s="273"/>
      <c r="L1742" s="273"/>
      <c r="M1742" s="273"/>
      <c r="N1742" s="273"/>
      <c r="O1742" s="273"/>
      <c r="P1742" s="273"/>
      <c r="Q1742" s="273"/>
      <c r="R1742" s="273"/>
      <c r="S1742" s="273"/>
      <c r="T1742" s="273"/>
      <c r="U1742" s="273"/>
      <c r="V1742" s="273"/>
      <c r="W1742" s="273">
        <v>130000</v>
      </c>
      <c r="X1742" s="273"/>
      <c r="Y1742" s="273"/>
      <c r="AA1742" s="273"/>
      <c r="AB1742" s="273"/>
      <c r="AC1742" s="273"/>
      <c r="AD1742" s="273"/>
      <c r="AE1742" s="273"/>
      <c r="AF1742" s="261"/>
      <c r="AG1742" s="273"/>
      <c r="AI1742" s="273"/>
      <c r="AJ1742" s="273"/>
      <c r="AK1742" s="273"/>
    </row>
    <row r="1743" spans="1:37" x14ac:dyDescent="0.3">
      <c r="A1743" s="10">
        <f t="shared" si="381"/>
        <v>1548</v>
      </c>
      <c r="B1743" s="124" t="s">
        <v>3368</v>
      </c>
      <c r="C1743" s="273">
        <f t="shared" si="378"/>
        <v>258700.98</v>
      </c>
      <c r="D1743" s="273">
        <f>E1743+F1743+G1743+H1743+I1743</f>
        <v>0</v>
      </c>
      <c r="E1743" s="273"/>
      <c r="F1743" s="273"/>
      <c r="G1743" s="273"/>
      <c r="H1743" s="273"/>
      <c r="I1743" s="273"/>
      <c r="J1743" s="273"/>
      <c r="K1743" s="273"/>
      <c r="L1743" s="273"/>
      <c r="M1743" s="273"/>
      <c r="N1743" s="273"/>
      <c r="O1743" s="273"/>
      <c r="P1743" s="273"/>
      <c r="Q1743" s="273"/>
      <c r="R1743" s="273"/>
      <c r="S1743" s="273"/>
      <c r="T1743" s="273"/>
      <c r="U1743" s="273"/>
      <c r="V1743" s="273"/>
      <c r="W1743" s="273">
        <f>SUM(X1743:AK1743)</f>
        <v>258700.98</v>
      </c>
      <c r="X1743" s="273"/>
      <c r="Y1743" s="273">
        <v>137017.66</v>
      </c>
      <c r="AA1743" s="273">
        <v>121683.32</v>
      </c>
      <c r="AB1743" s="273"/>
      <c r="AC1743" s="273"/>
      <c r="AD1743" s="273"/>
      <c r="AE1743" s="273"/>
      <c r="AF1743" s="261"/>
      <c r="AG1743" s="273"/>
      <c r="AI1743" s="273"/>
      <c r="AJ1743" s="273"/>
      <c r="AK1743" s="273"/>
    </row>
    <row r="1744" spans="1:37" x14ac:dyDescent="0.3">
      <c r="A1744" s="10">
        <f t="shared" si="381"/>
        <v>1549</v>
      </c>
      <c r="B1744" s="124" t="s">
        <v>3369</v>
      </c>
      <c r="C1744" s="273">
        <f t="shared" si="378"/>
        <v>193055.89</v>
      </c>
      <c r="D1744" s="273">
        <f>E1744+F1744+G1744+H1744+I1744</f>
        <v>0</v>
      </c>
      <c r="E1744" s="273"/>
      <c r="F1744" s="273"/>
      <c r="G1744" s="273"/>
      <c r="H1744" s="273"/>
      <c r="I1744" s="273"/>
      <c r="J1744" s="273"/>
      <c r="K1744" s="273"/>
      <c r="L1744" s="273"/>
      <c r="M1744" s="273"/>
      <c r="N1744" s="273"/>
      <c r="O1744" s="273"/>
      <c r="P1744" s="273"/>
      <c r="Q1744" s="273"/>
      <c r="R1744" s="273"/>
      <c r="S1744" s="273"/>
      <c r="T1744" s="273"/>
      <c r="U1744" s="273"/>
      <c r="V1744" s="273"/>
      <c r="W1744" s="273">
        <f>SUM(X1744:AK1744)</f>
        <v>193055.89</v>
      </c>
      <c r="X1744" s="273"/>
      <c r="Y1744" s="273"/>
      <c r="AA1744" s="273"/>
      <c r="AB1744" s="273"/>
      <c r="AC1744" s="273"/>
      <c r="AD1744" s="273"/>
      <c r="AE1744" s="273">
        <v>193055.89</v>
      </c>
      <c r="AF1744" s="261"/>
      <c r="AG1744" s="273"/>
      <c r="AI1744" s="273"/>
      <c r="AJ1744" s="273"/>
      <c r="AK1744" s="273"/>
    </row>
    <row r="1745" spans="1:37" x14ac:dyDescent="0.3">
      <c r="A1745" s="10">
        <f t="shared" si="381"/>
        <v>1550</v>
      </c>
      <c r="B1745" s="124" t="s">
        <v>3370</v>
      </c>
      <c r="C1745" s="273">
        <f t="shared" si="378"/>
        <v>212881.85</v>
      </c>
      <c r="D1745" s="273">
        <f>E1745+F1745+G1745+H1745+I1745</f>
        <v>0</v>
      </c>
      <c r="E1745" s="273"/>
      <c r="F1745" s="273"/>
      <c r="G1745" s="273"/>
      <c r="H1745" s="273"/>
      <c r="I1745" s="273"/>
      <c r="J1745" s="273"/>
      <c r="K1745" s="273"/>
      <c r="L1745" s="273"/>
      <c r="M1745" s="273"/>
      <c r="N1745" s="273"/>
      <c r="O1745" s="273"/>
      <c r="P1745" s="273"/>
      <c r="Q1745" s="273"/>
      <c r="R1745" s="273"/>
      <c r="S1745" s="273"/>
      <c r="T1745" s="273"/>
      <c r="U1745" s="273"/>
      <c r="V1745" s="273"/>
      <c r="W1745" s="273">
        <f>SUM(X1745:AK1745)</f>
        <v>212881.85</v>
      </c>
      <c r="X1745" s="273"/>
      <c r="Y1745" s="273"/>
      <c r="AA1745" s="273"/>
      <c r="AB1745" s="273"/>
      <c r="AC1745" s="273"/>
      <c r="AD1745" s="273"/>
      <c r="AE1745" s="273">
        <v>212881.85</v>
      </c>
      <c r="AF1745" s="261"/>
      <c r="AG1745" s="273"/>
      <c r="AI1745" s="273"/>
      <c r="AJ1745" s="273"/>
      <c r="AK1745" s="273"/>
    </row>
    <row r="1746" spans="1:37" x14ac:dyDescent="0.3">
      <c r="A1746" s="10">
        <f t="shared" si="381"/>
        <v>1551</v>
      </c>
      <c r="B1746" s="124" t="s">
        <v>3231</v>
      </c>
      <c r="C1746" s="273">
        <f t="shared" si="378"/>
        <v>121976.36</v>
      </c>
      <c r="D1746" s="273">
        <f>E1746+F1746+G1746+H1746+I1746</f>
        <v>0</v>
      </c>
      <c r="E1746" s="273"/>
      <c r="F1746" s="273"/>
      <c r="G1746" s="273"/>
      <c r="H1746" s="273"/>
      <c r="I1746" s="273"/>
      <c r="J1746" s="273"/>
      <c r="K1746" s="273"/>
      <c r="L1746" s="273"/>
      <c r="M1746" s="273"/>
      <c r="N1746" s="273"/>
      <c r="O1746" s="273"/>
      <c r="P1746" s="273"/>
      <c r="Q1746" s="273"/>
      <c r="R1746" s="273"/>
      <c r="S1746" s="273"/>
      <c r="T1746" s="273"/>
      <c r="U1746" s="273"/>
      <c r="V1746" s="273"/>
      <c r="W1746" s="273">
        <f>SUM(X1746:AK1746)</f>
        <v>121976.36</v>
      </c>
      <c r="X1746" s="273"/>
      <c r="Y1746" s="273"/>
      <c r="AA1746" s="273"/>
      <c r="AB1746" s="273"/>
      <c r="AC1746" s="273">
        <v>121976.36</v>
      </c>
      <c r="AD1746" s="273"/>
      <c r="AE1746" s="273"/>
      <c r="AF1746" s="261"/>
      <c r="AG1746" s="273"/>
      <c r="AI1746" s="273"/>
      <c r="AJ1746" s="273"/>
      <c r="AK1746" s="273"/>
    </row>
    <row r="1747" spans="1:37" x14ac:dyDescent="0.3">
      <c r="A1747" s="10">
        <f t="shared" si="381"/>
        <v>1552</v>
      </c>
      <c r="B1747" s="124" t="s">
        <v>3371</v>
      </c>
      <c r="C1747" s="273">
        <f t="shared" si="378"/>
        <v>121976.36</v>
      </c>
      <c r="D1747" s="273">
        <f>E1747+F1747+G1747+H1747+I1747</f>
        <v>0</v>
      </c>
      <c r="E1747" s="273"/>
      <c r="F1747" s="273"/>
      <c r="G1747" s="273"/>
      <c r="H1747" s="273"/>
      <c r="I1747" s="273"/>
      <c r="J1747" s="273"/>
      <c r="K1747" s="273"/>
      <c r="L1747" s="273"/>
      <c r="M1747" s="273"/>
      <c r="N1747" s="273"/>
      <c r="O1747" s="273"/>
      <c r="P1747" s="273"/>
      <c r="Q1747" s="273"/>
      <c r="R1747" s="273"/>
      <c r="S1747" s="273"/>
      <c r="T1747" s="273"/>
      <c r="U1747" s="273"/>
      <c r="V1747" s="273"/>
      <c r="W1747" s="273">
        <f>SUM(X1747:AK1747)</f>
        <v>121976.36</v>
      </c>
      <c r="X1747" s="273"/>
      <c r="Y1747" s="273"/>
      <c r="AA1747" s="273"/>
      <c r="AB1747" s="273"/>
      <c r="AC1747" s="273">
        <v>121976.36</v>
      </c>
      <c r="AD1747" s="273"/>
      <c r="AE1747" s="273"/>
      <c r="AF1747" s="261"/>
      <c r="AG1747" s="273"/>
      <c r="AI1747" s="273"/>
      <c r="AJ1747" s="273"/>
      <c r="AK1747" s="273"/>
    </row>
    <row r="1748" spans="1:37" x14ac:dyDescent="0.3">
      <c r="A1748" s="133" t="s">
        <v>208</v>
      </c>
      <c r="B1748" s="122"/>
      <c r="C1748" s="273">
        <f t="shared" ref="C1748:W1748" si="384">SUM(C1705:C1747)</f>
        <v>90723945.390000001</v>
      </c>
      <c r="D1748" s="273">
        <f t="shared" si="384"/>
        <v>152490</v>
      </c>
      <c r="E1748" s="273">
        <f t="shared" si="384"/>
        <v>0</v>
      </c>
      <c r="F1748" s="273">
        <f t="shared" si="384"/>
        <v>0</v>
      </c>
      <c r="G1748" s="273">
        <f t="shared" si="384"/>
        <v>50830</v>
      </c>
      <c r="H1748" s="273">
        <f t="shared" si="384"/>
        <v>50830</v>
      </c>
      <c r="I1748" s="273">
        <f t="shared" si="384"/>
        <v>50830</v>
      </c>
      <c r="J1748" s="273">
        <f t="shared" si="384"/>
        <v>0</v>
      </c>
      <c r="K1748" s="273">
        <f t="shared" si="384"/>
        <v>0</v>
      </c>
      <c r="L1748" s="273">
        <f t="shared" si="384"/>
        <v>0</v>
      </c>
      <c r="M1748" s="273">
        <f t="shared" si="384"/>
        <v>7117</v>
      </c>
      <c r="N1748" s="273">
        <f t="shared" si="384"/>
        <v>46491773.210000001</v>
      </c>
      <c r="O1748" s="273">
        <f t="shared" si="384"/>
        <v>556</v>
      </c>
      <c r="P1748" s="273">
        <f t="shared" si="384"/>
        <v>5407884</v>
      </c>
      <c r="Q1748" s="273">
        <f t="shared" si="384"/>
        <v>3966.6</v>
      </c>
      <c r="R1748" s="273">
        <f t="shared" si="384"/>
        <v>25366296</v>
      </c>
      <c r="S1748" s="273">
        <f t="shared" si="384"/>
        <v>0</v>
      </c>
      <c r="T1748" s="273">
        <f t="shared" si="384"/>
        <v>0</v>
      </c>
      <c r="U1748" s="273">
        <f t="shared" si="384"/>
        <v>0</v>
      </c>
      <c r="V1748" s="273">
        <f t="shared" si="384"/>
        <v>0</v>
      </c>
      <c r="W1748" s="273">
        <f t="shared" si="384"/>
        <v>13305502.18</v>
      </c>
      <c r="X1748" s="273"/>
      <c r="Y1748" s="273"/>
      <c r="Z1748" s="273"/>
      <c r="AA1748" s="273"/>
      <c r="AB1748" s="273"/>
      <c r="AC1748" s="273"/>
      <c r="AD1748" s="273"/>
      <c r="AE1748" s="273"/>
      <c r="AF1748" s="273"/>
      <c r="AG1748" s="261"/>
      <c r="AH1748" s="273"/>
      <c r="AI1748" s="273"/>
      <c r="AJ1748" s="273"/>
      <c r="AK1748" s="273"/>
    </row>
    <row r="1749" spans="1:37" x14ac:dyDescent="0.3">
      <c r="A1749" s="131" t="s">
        <v>3234</v>
      </c>
      <c r="B1749" s="111"/>
      <c r="C1749" s="273"/>
      <c r="D1749" s="273"/>
      <c r="E1749" s="273"/>
      <c r="F1749" s="273"/>
      <c r="G1749" s="273"/>
      <c r="H1749" s="273"/>
      <c r="I1749" s="273"/>
      <c r="J1749" s="273"/>
      <c r="K1749" s="273"/>
      <c r="L1749" s="273"/>
      <c r="M1749" s="273"/>
      <c r="N1749" s="273"/>
      <c r="O1749" s="273"/>
      <c r="P1749" s="273"/>
      <c r="Q1749" s="273"/>
      <c r="R1749" s="273"/>
      <c r="S1749" s="273"/>
      <c r="T1749" s="273"/>
      <c r="U1749" s="273"/>
      <c r="V1749" s="273"/>
      <c r="W1749" s="273"/>
      <c r="X1749" s="273"/>
      <c r="Y1749" s="273"/>
      <c r="Z1749" s="273"/>
      <c r="AA1749" s="273"/>
      <c r="AB1749" s="273"/>
      <c r="AC1749" s="273"/>
      <c r="AD1749" s="273"/>
      <c r="AE1749" s="273"/>
      <c r="AF1749" s="273"/>
      <c r="AG1749" s="261"/>
      <c r="AH1749" s="273"/>
      <c r="AI1749" s="273"/>
      <c r="AJ1749" s="273"/>
      <c r="AK1749" s="273"/>
    </row>
    <row r="1750" spans="1:37" x14ac:dyDescent="0.3">
      <c r="A1750" s="10">
        <f>A1747+1</f>
        <v>1553</v>
      </c>
      <c r="B1750" s="124" t="s">
        <v>3372</v>
      </c>
      <c r="C1750" s="273">
        <f t="shared" ref="C1750:C1755" si="385">D1750+K1750+L1750+N1750+P1750+R1750+S1750+U1750+V1750+W1750</f>
        <v>1696902</v>
      </c>
      <c r="D1750" s="273">
        <f t="shared" ref="D1750:D1755" si="386">E1750+F1750+G1750+H1750+I1750</f>
        <v>1696902</v>
      </c>
      <c r="E1750" s="273">
        <v>1696902</v>
      </c>
      <c r="F1750" s="273"/>
      <c r="G1750" s="273"/>
      <c r="H1750" s="273"/>
      <c r="I1750" s="273"/>
      <c r="J1750" s="273"/>
      <c r="K1750" s="273"/>
      <c r="L1750" s="273"/>
      <c r="M1750" s="273"/>
      <c r="N1750" s="273"/>
      <c r="O1750" s="273"/>
      <c r="P1750" s="273"/>
      <c r="Q1750" s="273"/>
      <c r="R1750" s="273"/>
      <c r="S1750" s="273"/>
      <c r="T1750" s="273"/>
      <c r="U1750" s="273"/>
      <c r="V1750" s="273"/>
      <c r="W1750" s="273"/>
      <c r="X1750" s="273"/>
      <c r="Y1750" s="273"/>
      <c r="Z1750" s="273"/>
      <c r="AA1750" s="273"/>
      <c r="AB1750" s="273"/>
      <c r="AC1750" s="273"/>
      <c r="AD1750" s="273"/>
      <c r="AE1750" s="273"/>
      <c r="AF1750" s="273"/>
      <c r="AG1750" s="261"/>
      <c r="AH1750" s="273"/>
      <c r="AI1750" s="273"/>
      <c r="AJ1750" s="273"/>
    </row>
    <row r="1751" spans="1:37" x14ac:dyDescent="0.3">
      <c r="A1751" s="10">
        <f>A1750+1</f>
        <v>1554</v>
      </c>
      <c r="B1751" s="124" t="s">
        <v>3373</v>
      </c>
      <c r="C1751" s="273">
        <f t="shared" si="385"/>
        <v>130000</v>
      </c>
      <c r="D1751" s="273">
        <f t="shared" si="386"/>
        <v>0</v>
      </c>
      <c r="E1751" s="273"/>
      <c r="F1751" s="273"/>
      <c r="G1751" s="273"/>
      <c r="H1751" s="273"/>
      <c r="I1751" s="273"/>
      <c r="J1751" s="273"/>
      <c r="K1751" s="273"/>
      <c r="L1751" s="273"/>
      <c r="M1751" s="273"/>
      <c r="N1751" s="273"/>
      <c r="O1751" s="273"/>
      <c r="P1751" s="273"/>
      <c r="Q1751" s="273"/>
      <c r="R1751" s="273"/>
      <c r="S1751" s="273"/>
      <c r="T1751" s="273"/>
      <c r="U1751" s="273"/>
      <c r="V1751" s="273"/>
      <c r="W1751" s="273">
        <v>130000</v>
      </c>
      <c r="X1751" s="273"/>
      <c r="Y1751" s="273"/>
      <c r="Z1751" s="273"/>
      <c r="AA1751" s="273"/>
      <c r="AB1751" s="273"/>
      <c r="AC1751" s="273">
        <v>130000</v>
      </c>
      <c r="AD1751" s="273"/>
      <c r="AE1751" s="273"/>
      <c r="AF1751" s="273"/>
      <c r="AG1751" s="261"/>
      <c r="AH1751" s="273"/>
      <c r="AI1751" s="273"/>
      <c r="AJ1751" s="273"/>
      <c r="AK1751" s="273"/>
    </row>
    <row r="1752" spans="1:37" x14ac:dyDescent="0.3">
      <c r="A1752" s="10">
        <f>A1751+1</f>
        <v>1555</v>
      </c>
      <c r="B1752" s="124" t="s">
        <v>3374</v>
      </c>
      <c r="C1752" s="273">
        <f t="shared" si="385"/>
        <v>241245.26</v>
      </c>
      <c r="D1752" s="273">
        <f t="shared" si="386"/>
        <v>0</v>
      </c>
      <c r="E1752" s="273"/>
      <c r="F1752" s="273"/>
      <c r="G1752" s="273"/>
      <c r="H1752" s="273"/>
      <c r="I1752" s="273"/>
      <c r="J1752" s="273"/>
      <c r="K1752" s="273"/>
      <c r="L1752" s="273"/>
      <c r="M1752" s="273"/>
      <c r="N1752" s="273"/>
      <c r="O1752" s="273"/>
      <c r="P1752" s="273"/>
      <c r="Q1752" s="273"/>
      <c r="R1752" s="273"/>
      <c r="S1752" s="273"/>
      <c r="T1752" s="273"/>
      <c r="U1752" s="273"/>
      <c r="V1752" s="273"/>
      <c r="W1752" s="273">
        <f>SUM(X1752:AK1752)</f>
        <v>241245.26</v>
      </c>
      <c r="X1752" s="273"/>
      <c r="Y1752" s="273"/>
      <c r="Z1752" s="273"/>
      <c r="AA1752" s="273"/>
      <c r="AB1752" s="273"/>
      <c r="AC1752" s="273"/>
      <c r="AD1752" s="273"/>
      <c r="AE1752" s="273"/>
      <c r="AF1752" s="273"/>
      <c r="AG1752" s="261">
        <v>241245.26</v>
      </c>
      <c r="AH1752" s="273"/>
      <c r="AI1752" s="273"/>
      <c r="AJ1752" s="273"/>
      <c r="AK1752" s="273"/>
    </row>
    <row r="1753" spans="1:37" x14ac:dyDescent="0.3">
      <c r="A1753" s="10">
        <f>A1752+1</f>
        <v>1556</v>
      </c>
      <c r="B1753" s="124" t="s">
        <v>3375</v>
      </c>
      <c r="C1753" s="273">
        <f t="shared" si="385"/>
        <v>130000</v>
      </c>
      <c r="D1753" s="273">
        <f t="shared" si="386"/>
        <v>0</v>
      </c>
      <c r="E1753" s="273"/>
      <c r="F1753" s="273"/>
      <c r="G1753" s="273"/>
      <c r="H1753" s="273"/>
      <c r="I1753" s="273"/>
      <c r="J1753" s="273"/>
      <c r="K1753" s="273"/>
      <c r="L1753" s="273"/>
      <c r="M1753" s="273"/>
      <c r="N1753" s="273"/>
      <c r="O1753" s="273"/>
      <c r="P1753" s="273"/>
      <c r="Q1753" s="273"/>
      <c r="R1753" s="273"/>
      <c r="S1753" s="273"/>
      <c r="T1753" s="273"/>
      <c r="U1753" s="273"/>
      <c r="V1753" s="273"/>
      <c r="W1753" s="273">
        <v>130000</v>
      </c>
      <c r="X1753" s="273"/>
      <c r="Y1753" s="273"/>
      <c r="Z1753" s="273"/>
      <c r="AA1753" s="273"/>
      <c r="AB1753" s="273"/>
      <c r="AC1753" s="273">
        <v>130000</v>
      </c>
      <c r="AD1753" s="273"/>
      <c r="AE1753" s="273"/>
      <c r="AF1753" s="273"/>
      <c r="AG1753" s="261"/>
      <c r="AH1753" s="273"/>
      <c r="AI1753" s="273"/>
      <c r="AJ1753" s="273"/>
      <c r="AK1753" s="273"/>
    </row>
    <row r="1754" spans="1:37" x14ac:dyDescent="0.3">
      <c r="A1754" s="10">
        <f>A1753+1</f>
        <v>1557</v>
      </c>
      <c r="B1754" s="124" t="s">
        <v>3376</v>
      </c>
      <c r="C1754" s="273">
        <f t="shared" si="385"/>
        <v>340446.62</v>
      </c>
      <c r="D1754" s="273">
        <f t="shared" si="386"/>
        <v>0</v>
      </c>
      <c r="E1754" s="273"/>
      <c r="F1754" s="273"/>
      <c r="G1754" s="273"/>
      <c r="H1754" s="273"/>
      <c r="I1754" s="273"/>
      <c r="J1754" s="273"/>
      <c r="K1754" s="273"/>
      <c r="L1754" s="273"/>
      <c r="M1754" s="273"/>
      <c r="N1754" s="273"/>
      <c r="O1754" s="273"/>
      <c r="P1754" s="273"/>
      <c r="Q1754" s="273"/>
      <c r="R1754" s="273"/>
      <c r="S1754" s="273"/>
      <c r="T1754" s="273"/>
      <c r="U1754" s="273"/>
      <c r="V1754" s="273"/>
      <c r="W1754" s="273">
        <f>SUM(X1754:AK1754)</f>
        <v>340446.62</v>
      </c>
      <c r="X1754" s="273"/>
      <c r="Y1754" s="273"/>
      <c r="Z1754" s="273"/>
      <c r="AA1754" s="273"/>
      <c r="AB1754" s="273"/>
      <c r="AC1754" s="273"/>
      <c r="AD1754" s="273"/>
      <c r="AE1754" s="273"/>
      <c r="AF1754" s="273"/>
      <c r="AG1754" s="261">
        <v>340446.62</v>
      </c>
      <c r="AH1754" s="273"/>
      <c r="AI1754" s="273"/>
      <c r="AJ1754" s="273"/>
      <c r="AK1754" s="273"/>
    </row>
    <row r="1755" spans="1:37" x14ac:dyDescent="0.3">
      <c r="A1755" s="10">
        <f>A1754+1</f>
        <v>1558</v>
      </c>
      <c r="B1755" s="124" t="s">
        <v>3377</v>
      </c>
      <c r="C1755" s="273">
        <f t="shared" si="385"/>
        <v>259048.93</v>
      </c>
      <c r="D1755" s="273">
        <f t="shared" si="386"/>
        <v>0</v>
      </c>
      <c r="E1755" s="273"/>
      <c r="F1755" s="273"/>
      <c r="G1755" s="273"/>
      <c r="H1755" s="273"/>
      <c r="I1755" s="273"/>
      <c r="J1755" s="273"/>
      <c r="K1755" s="273"/>
      <c r="L1755" s="273"/>
      <c r="M1755" s="273"/>
      <c r="N1755" s="273"/>
      <c r="O1755" s="273"/>
      <c r="P1755" s="273"/>
      <c r="Q1755" s="273"/>
      <c r="R1755" s="273"/>
      <c r="S1755" s="273"/>
      <c r="T1755" s="273"/>
      <c r="U1755" s="273"/>
      <c r="V1755" s="273"/>
      <c r="W1755" s="273">
        <f>SUM(X1755:AK1755)</f>
        <v>259048.93</v>
      </c>
      <c r="X1755" s="273"/>
      <c r="Y1755" s="273"/>
      <c r="Z1755" s="273"/>
      <c r="AA1755" s="273"/>
      <c r="AB1755" s="273"/>
      <c r="AC1755" s="273"/>
      <c r="AD1755" s="273"/>
      <c r="AE1755" s="273"/>
      <c r="AF1755" s="273"/>
      <c r="AG1755" s="261">
        <v>259048.93</v>
      </c>
      <c r="AH1755" s="273"/>
      <c r="AI1755" s="273"/>
      <c r="AJ1755" s="273"/>
      <c r="AK1755" s="273"/>
    </row>
    <row r="1756" spans="1:37" ht="22.5" customHeight="1" x14ac:dyDescent="0.3">
      <c r="A1756" s="133" t="s">
        <v>208</v>
      </c>
      <c r="B1756" s="122"/>
      <c r="C1756" s="273">
        <f t="shared" ref="C1756:W1756" si="387">SUM(C1750:C1755)</f>
        <v>2797642.81</v>
      </c>
      <c r="D1756" s="273">
        <f t="shared" si="387"/>
        <v>1696902</v>
      </c>
      <c r="E1756" s="273">
        <f t="shared" si="387"/>
        <v>1696902</v>
      </c>
      <c r="F1756" s="273">
        <f t="shared" si="387"/>
        <v>0</v>
      </c>
      <c r="G1756" s="273">
        <f t="shared" si="387"/>
        <v>0</v>
      </c>
      <c r="H1756" s="273">
        <f t="shared" si="387"/>
        <v>0</v>
      </c>
      <c r="I1756" s="273">
        <f t="shared" si="387"/>
        <v>0</v>
      </c>
      <c r="J1756" s="273">
        <f t="shared" si="387"/>
        <v>0</v>
      </c>
      <c r="K1756" s="273">
        <f t="shared" si="387"/>
        <v>0</v>
      </c>
      <c r="L1756" s="273">
        <f t="shared" si="387"/>
        <v>0</v>
      </c>
      <c r="M1756" s="273">
        <f t="shared" si="387"/>
        <v>0</v>
      </c>
      <c r="N1756" s="273">
        <f t="shared" si="387"/>
        <v>0</v>
      </c>
      <c r="O1756" s="273">
        <f t="shared" si="387"/>
        <v>0</v>
      </c>
      <c r="P1756" s="273">
        <f t="shared" si="387"/>
        <v>0</v>
      </c>
      <c r="Q1756" s="273">
        <f t="shared" si="387"/>
        <v>0</v>
      </c>
      <c r="R1756" s="273">
        <f t="shared" si="387"/>
        <v>0</v>
      </c>
      <c r="S1756" s="273">
        <f t="shared" si="387"/>
        <v>0</v>
      </c>
      <c r="T1756" s="273">
        <f t="shared" si="387"/>
        <v>0</v>
      </c>
      <c r="U1756" s="273">
        <f t="shared" si="387"/>
        <v>0</v>
      </c>
      <c r="V1756" s="273">
        <f t="shared" si="387"/>
        <v>0</v>
      </c>
      <c r="W1756" s="273">
        <f t="shared" si="387"/>
        <v>1100740.81</v>
      </c>
      <c r="X1756" s="273"/>
      <c r="Y1756" s="273"/>
      <c r="Z1756" s="273"/>
      <c r="AA1756" s="273"/>
      <c r="AB1756" s="273"/>
      <c r="AC1756" s="273"/>
      <c r="AD1756" s="273"/>
      <c r="AE1756" s="273"/>
      <c r="AF1756" s="273"/>
      <c r="AG1756" s="261"/>
      <c r="AH1756" s="273"/>
      <c r="AI1756" s="273"/>
      <c r="AJ1756" s="273"/>
      <c r="AK1756" s="273"/>
    </row>
    <row r="1757" spans="1:37" ht="22.5" customHeight="1" x14ac:dyDescent="0.3">
      <c r="A1757" s="131" t="s">
        <v>3238</v>
      </c>
      <c r="B1757" s="111"/>
      <c r="C1757" s="273"/>
      <c r="D1757" s="273"/>
      <c r="E1757" s="273"/>
      <c r="F1757" s="273"/>
      <c r="G1757" s="273"/>
      <c r="H1757" s="273"/>
      <c r="I1757" s="273"/>
      <c r="J1757" s="273"/>
      <c r="K1757" s="273"/>
      <c r="L1757" s="273"/>
      <c r="M1757" s="273"/>
      <c r="N1757" s="273"/>
      <c r="O1757" s="273"/>
      <c r="P1757" s="273"/>
      <c r="Q1757" s="273"/>
      <c r="R1757" s="273"/>
      <c r="S1757" s="273"/>
      <c r="T1757" s="273"/>
      <c r="U1757" s="273"/>
      <c r="V1757" s="273"/>
      <c r="W1757" s="273"/>
      <c r="X1757" s="273"/>
      <c r="Y1757" s="273"/>
      <c r="Z1757" s="273"/>
      <c r="AA1757" s="273"/>
      <c r="AB1757" s="273"/>
      <c r="AC1757" s="273"/>
      <c r="AD1757" s="273"/>
      <c r="AE1757" s="273"/>
      <c r="AF1757" s="273"/>
      <c r="AG1757" s="261"/>
      <c r="AH1757" s="273"/>
      <c r="AI1757" s="273"/>
      <c r="AJ1757" s="273"/>
      <c r="AK1757" s="273"/>
    </row>
    <row r="1758" spans="1:37" x14ac:dyDescent="0.3">
      <c r="A1758" s="10">
        <f>A1755+1</f>
        <v>1559</v>
      </c>
      <c r="B1758" s="124" t="s">
        <v>3244</v>
      </c>
      <c r="C1758" s="273">
        <f>D1758+K1758+L1758+N1758+P1758+R1758+S1758+U1758+V1758+W1758</f>
        <v>16206675.6</v>
      </c>
      <c r="D1758" s="273">
        <f>E1758+F1758+G1758+H1758+I1758</f>
        <v>0</v>
      </c>
      <c r="E1758" s="273"/>
      <c r="F1758" s="273"/>
      <c r="G1758" s="273"/>
      <c r="H1758" s="273"/>
      <c r="I1758" s="273"/>
      <c r="J1758" s="273"/>
      <c r="K1758" s="273"/>
      <c r="L1758" s="273"/>
      <c r="M1758" s="273"/>
      <c r="N1758" s="273"/>
      <c r="O1758" s="273">
        <v>923.3</v>
      </c>
      <c r="P1758" s="273">
        <v>16206675.6</v>
      </c>
      <c r="Q1758" s="273"/>
      <c r="R1758" s="273"/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273"/>
      <c r="AE1758" s="273"/>
      <c r="AF1758" s="273"/>
      <c r="AG1758" s="261"/>
      <c r="AH1758" s="273"/>
      <c r="AI1758" s="273"/>
      <c r="AJ1758" s="273"/>
      <c r="AK1758" s="273"/>
    </row>
    <row r="1759" spans="1:37" x14ac:dyDescent="0.3">
      <c r="A1759" s="10">
        <f>A1758+1</f>
        <v>1560</v>
      </c>
      <c r="B1759" s="124" t="s">
        <v>3378</v>
      </c>
      <c r="C1759" s="273">
        <f>D1759+K1759+L1759+N1759+P1759+R1759+S1759+U1759+V1759+W1759</f>
        <v>17209218</v>
      </c>
      <c r="D1759" s="273">
        <f>E1759+F1759+G1759+H1759+I1759</f>
        <v>0</v>
      </c>
      <c r="E1759" s="273"/>
      <c r="F1759" s="273"/>
      <c r="G1759" s="273"/>
      <c r="H1759" s="273"/>
      <c r="I1759" s="273"/>
      <c r="J1759" s="273"/>
      <c r="K1759" s="273"/>
      <c r="L1759" s="273"/>
      <c r="M1759" s="273"/>
      <c r="N1759" s="273"/>
      <c r="O1759" s="273">
        <v>835.3</v>
      </c>
      <c r="P1759" s="273">
        <v>17209218</v>
      </c>
      <c r="Q1759" s="273"/>
      <c r="R1759" s="273"/>
      <c r="S1759" s="273"/>
      <c r="T1759" s="273"/>
      <c r="U1759" s="273"/>
      <c r="V1759" s="273"/>
      <c r="W1759" s="273"/>
      <c r="X1759" s="273"/>
      <c r="Y1759" s="273"/>
      <c r="Z1759" s="273"/>
      <c r="AA1759" s="273"/>
      <c r="AB1759" s="273"/>
      <c r="AC1759" s="273"/>
      <c r="AD1759" s="273"/>
      <c r="AE1759" s="273"/>
      <c r="AF1759" s="273"/>
      <c r="AG1759" s="261"/>
      <c r="AH1759" s="273"/>
      <c r="AI1759" s="273"/>
      <c r="AJ1759" s="273"/>
      <c r="AK1759" s="273"/>
    </row>
    <row r="1760" spans="1:37" x14ac:dyDescent="0.3">
      <c r="A1760" s="10">
        <f>A1759+1</f>
        <v>1561</v>
      </c>
      <c r="B1760" s="124" t="s">
        <v>3379</v>
      </c>
      <c r="C1760" s="273">
        <f>D1760+K1760+L1760+N1760+P1760+R1760+S1760+U1760+V1760+W1760</f>
        <v>10623490.800000001</v>
      </c>
      <c r="D1760" s="273">
        <f>E1760+F1760+G1760+H1760+I1760</f>
        <v>0</v>
      </c>
      <c r="E1760" s="273"/>
      <c r="F1760" s="273"/>
      <c r="G1760" s="273"/>
      <c r="H1760" s="273"/>
      <c r="I1760" s="273"/>
      <c r="J1760" s="273"/>
      <c r="K1760" s="273"/>
      <c r="L1760" s="273"/>
      <c r="M1760" s="273"/>
      <c r="N1760" s="273"/>
      <c r="O1760" s="273">
        <v>642.6</v>
      </c>
      <c r="P1760" s="273">
        <v>10623490.800000001</v>
      </c>
      <c r="Q1760" s="273"/>
      <c r="R1760" s="273"/>
      <c r="S1760" s="273"/>
      <c r="T1760" s="273"/>
      <c r="U1760" s="273"/>
      <c r="V1760" s="273"/>
      <c r="W1760" s="273"/>
      <c r="X1760" s="273"/>
      <c r="Y1760" s="273"/>
      <c r="Z1760" s="273"/>
      <c r="AA1760" s="273"/>
      <c r="AB1760" s="273"/>
      <c r="AC1760" s="273"/>
      <c r="AD1760" s="273"/>
      <c r="AE1760" s="273"/>
      <c r="AF1760" s="273"/>
      <c r="AG1760" s="261"/>
      <c r="AH1760" s="273"/>
      <c r="AI1760" s="273"/>
      <c r="AJ1760" s="273"/>
      <c r="AK1760" s="273"/>
    </row>
    <row r="1761" spans="1:37" x14ac:dyDescent="0.3">
      <c r="A1761" s="133" t="s">
        <v>208</v>
      </c>
      <c r="B1761" s="122"/>
      <c r="C1761" s="273">
        <f t="shared" ref="C1761:W1761" si="388">SUM(C1758:C1760)</f>
        <v>44039384.400000006</v>
      </c>
      <c r="D1761" s="273">
        <f t="shared" si="388"/>
        <v>0</v>
      </c>
      <c r="E1761" s="273">
        <f t="shared" si="388"/>
        <v>0</v>
      </c>
      <c r="F1761" s="273">
        <f t="shared" si="388"/>
        <v>0</v>
      </c>
      <c r="G1761" s="273">
        <f t="shared" si="388"/>
        <v>0</v>
      </c>
      <c r="H1761" s="273">
        <f t="shared" si="388"/>
        <v>0</v>
      </c>
      <c r="I1761" s="273">
        <f t="shared" si="388"/>
        <v>0</v>
      </c>
      <c r="J1761" s="273">
        <f t="shared" si="388"/>
        <v>0</v>
      </c>
      <c r="K1761" s="273">
        <f t="shared" si="388"/>
        <v>0</v>
      </c>
      <c r="L1761" s="273">
        <f t="shared" si="388"/>
        <v>0</v>
      </c>
      <c r="M1761" s="273">
        <f t="shared" si="388"/>
        <v>0</v>
      </c>
      <c r="N1761" s="273">
        <f t="shared" si="388"/>
        <v>0</v>
      </c>
      <c r="O1761" s="273">
        <f t="shared" si="388"/>
        <v>2401.1999999999998</v>
      </c>
      <c r="P1761" s="273">
        <f t="shared" si="388"/>
        <v>44039384.400000006</v>
      </c>
      <c r="Q1761" s="273">
        <f t="shared" si="388"/>
        <v>0</v>
      </c>
      <c r="R1761" s="273">
        <f t="shared" si="388"/>
        <v>0</v>
      </c>
      <c r="S1761" s="273">
        <f t="shared" si="388"/>
        <v>0</v>
      </c>
      <c r="T1761" s="273">
        <f t="shared" si="388"/>
        <v>0</v>
      </c>
      <c r="U1761" s="273">
        <f t="shared" si="388"/>
        <v>0</v>
      </c>
      <c r="V1761" s="273">
        <f t="shared" si="388"/>
        <v>0</v>
      </c>
      <c r="W1761" s="273">
        <f t="shared" si="388"/>
        <v>0</v>
      </c>
      <c r="X1761" s="273"/>
      <c r="Y1761" s="273"/>
      <c r="Z1761" s="273"/>
      <c r="AA1761" s="273"/>
      <c r="AB1761" s="273"/>
      <c r="AC1761" s="273"/>
      <c r="AD1761" s="273"/>
      <c r="AE1761" s="273"/>
      <c r="AF1761" s="273"/>
      <c r="AG1761" s="261"/>
      <c r="AH1761" s="273"/>
      <c r="AI1761" s="273"/>
      <c r="AJ1761" s="273"/>
      <c r="AK1761" s="273"/>
    </row>
    <row r="1762" spans="1:37" x14ac:dyDescent="0.3">
      <c r="A1762" s="131" t="s">
        <v>3251</v>
      </c>
      <c r="B1762" s="111"/>
      <c r="C1762" s="273"/>
      <c r="D1762" s="273"/>
      <c r="E1762" s="273"/>
      <c r="F1762" s="273"/>
      <c r="G1762" s="273"/>
      <c r="H1762" s="273"/>
      <c r="I1762" s="273"/>
      <c r="J1762" s="273"/>
      <c r="K1762" s="273"/>
      <c r="L1762" s="273"/>
      <c r="M1762" s="273"/>
      <c r="N1762" s="273"/>
      <c r="O1762" s="273"/>
      <c r="P1762" s="273"/>
      <c r="Q1762" s="273"/>
      <c r="R1762" s="273"/>
      <c r="S1762" s="273"/>
      <c r="T1762" s="273"/>
      <c r="U1762" s="273"/>
      <c r="V1762" s="273"/>
      <c r="W1762" s="273"/>
      <c r="X1762" s="273"/>
      <c r="Y1762" s="273"/>
      <c r="Z1762" s="273"/>
      <c r="AA1762" s="273"/>
      <c r="AB1762" s="273"/>
      <c r="AC1762" s="273"/>
      <c r="AD1762" s="273"/>
      <c r="AE1762" s="273"/>
      <c r="AF1762" s="273"/>
      <c r="AG1762" s="261"/>
      <c r="AH1762" s="273"/>
      <c r="AI1762" s="273"/>
      <c r="AJ1762" s="273"/>
      <c r="AK1762" s="273"/>
    </row>
    <row r="1763" spans="1:37" x14ac:dyDescent="0.3">
      <c r="A1763" s="10">
        <f>A1760+1</f>
        <v>1562</v>
      </c>
      <c r="B1763" s="124" t="s">
        <v>3380</v>
      </c>
      <c r="C1763" s="273">
        <f>D1763+K1763+L1763+N1763+P1763+R1763+S1763+U1763+V1763+W1763</f>
        <v>376786.94999999995</v>
      </c>
      <c r="D1763" s="273">
        <f>E1763+F1763+G1763+H1763+I1763</f>
        <v>0</v>
      </c>
      <c r="E1763" s="273"/>
      <c r="F1763" s="273"/>
      <c r="G1763" s="273"/>
      <c r="H1763" s="273"/>
      <c r="I1763" s="273"/>
      <c r="J1763" s="273"/>
      <c r="K1763" s="273"/>
      <c r="L1763" s="273"/>
      <c r="M1763" s="273"/>
      <c r="N1763" s="273"/>
      <c r="O1763" s="273"/>
      <c r="P1763" s="273"/>
      <c r="Q1763" s="273"/>
      <c r="R1763" s="273"/>
      <c r="S1763" s="273"/>
      <c r="T1763" s="273"/>
      <c r="U1763" s="273"/>
      <c r="V1763" s="273"/>
      <c r="W1763" s="273">
        <f>SUM(X1763:AK1763)</f>
        <v>376786.94999999995</v>
      </c>
      <c r="X1763" s="273"/>
      <c r="Y1763" s="273"/>
      <c r="AA1763" s="273"/>
      <c r="AB1763" s="273">
        <v>186216.77</v>
      </c>
      <c r="AC1763" s="273">
        <v>190570.18</v>
      </c>
      <c r="AD1763" s="273"/>
      <c r="AE1763" s="273"/>
      <c r="AF1763" s="273"/>
      <c r="AG1763" s="261"/>
      <c r="AH1763" s="273"/>
      <c r="AI1763" s="273"/>
      <c r="AJ1763" s="273"/>
      <c r="AK1763" s="273"/>
    </row>
    <row r="1764" spans="1:37" x14ac:dyDescent="0.3">
      <c r="A1764" s="133" t="s">
        <v>208</v>
      </c>
      <c r="B1764" s="122"/>
      <c r="C1764" s="273">
        <f t="shared" ref="C1764:W1764" si="389">SUM(C1763:C1763)</f>
        <v>376786.94999999995</v>
      </c>
      <c r="D1764" s="273">
        <f t="shared" si="389"/>
        <v>0</v>
      </c>
      <c r="E1764" s="273">
        <f t="shared" si="389"/>
        <v>0</v>
      </c>
      <c r="F1764" s="273">
        <f t="shared" si="389"/>
        <v>0</v>
      </c>
      <c r="G1764" s="273">
        <f t="shared" si="389"/>
        <v>0</v>
      </c>
      <c r="H1764" s="273">
        <f t="shared" si="389"/>
        <v>0</v>
      </c>
      <c r="I1764" s="273">
        <f t="shared" si="389"/>
        <v>0</v>
      </c>
      <c r="J1764" s="273">
        <f t="shared" si="389"/>
        <v>0</v>
      </c>
      <c r="K1764" s="273">
        <f t="shared" si="389"/>
        <v>0</v>
      </c>
      <c r="L1764" s="273">
        <f t="shared" si="389"/>
        <v>0</v>
      </c>
      <c r="M1764" s="273">
        <f t="shared" si="389"/>
        <v>0</v>
      </c>
      <c r="N1764" s="273">
        <f t="shared" si="389"/>
        <v>0</v>
      </c>
      <c r="O1764" s="273">
        <f t="shared" si="389"/>
        <v>0</v>
      </c>
      <c r="P1764" s="273">
        <f t="shared" si="389"/>
        <v>0</v>
      </c>
      <c r="Q1764" s="273">
        <f t="shared" si="389"/>
        <v>0</v>
      </c>
      <c r="R1764" s="273">
        <f t="shared" si="389"/>
        <v>0</v>
      </c>
      <c r="S1764" s="273">
        <f t="shared" si="389"/>
        <v>0</v>
      </c>
      <c r="T1764" s="273">
        <f t="shared" si="389"/>
        <v>0</v>
      </c>
      <c r="U1764" s="273">
        <f t="shared" si="389"/>
        <v>0</v>
      </c>
      <c r="V1764" s="273">
        <f t="shared" si="389"/>
        <v>0</v>
      </c>
      <c r="W1764" s="273">
        <f t="shared" si="389"/>
        <v>376786.94999999995</v>
      </c>
      <c r="X1764" s="273"/>
      <c r="Y1764" s="273"/>
      <c r="Z1764" s="273"/>
      <c r="AA1764" s="273"/>
      <c r="AB1764" s="273"/>
      <c r="AC1764" s="273"/>
      <c r="AD1764" s="273"/>
      <c r="AE1764" s="273"/>
      <c r="AF1764" s="273"/>
      <c r="AG1764" s="261"/>
      <c r="AH1764" s="273"/>
      <c r="AI1764" s="273"/>
      <c r="AJ1764" s="273"/>
      <c r="AK1764" s="273"/>
    </row>
    <row r="1765" spans="1:37" x14ac:dyDescent="0.3">
      <c r="A1765" s="131" t="s">
        <v>3254</v>
      </c>
      <c r="B1765" s="111"/>
      <c r="C1765" s="273"/>
      <c r="D1765" s="273"/>
      <c r="E1765" s="273"/>
      <c r="F1765" s="273"/>
      <c r="G1765" s="273"/>
      <c r="H1765" s="273"/>
      <c r="I1765" s="273"/>
      <c r="J1765" s="273"/>
      <c r="K1765" s="273"/>
      <c r="L1765" s="273"/>
      <c r="M1765" s="273"/>
      <c r="N1765" s="273"/>
      <c r="O1765" s="273"/>
      <c r="P1765" s="273"/>
      <c r="Q1765" s="273"/>
      <c r="R1765" s="273"/>
      <c r="S1765" s="273"/>
      <c r="T1765" s="273"/>
      <c r="U1765" s="273"/>
      <c r="V1765" s="273"/>
      <c r="W1765" s="273"/>
      <c r="X1765" s="273"/>
      <c r="Y1765" s="273"/>
      <c r="Z1765" s="273"/>
      <c r="AA1765" s="273"/>
      <c r="AB1765" s="273"/>
      <c r="AC1765" s="273"/>
      <c r="AD1765" s="273"/>
      <c r="AE1765" s="273"/>
      <c r="AF1765" s="273"/>
      <c r="AG1765" s="261"/>
      <c r="AH1765" s="273"/>
      <c r="AI1765" s="273"/>
      <c r="AJ1765" s="273"/>
      <c r="AK1765" s="273"/>
    </row>
    <row r="1766" spans="1:37" x14ac:dyDescent="0.3">
      <c r="A1766" s="10">
        <f>A1763+1</f>
        <v>1563</v>
      </c>
      <c r="B1766" s="124" t="s">
        <v>3255</v>
      </c>
      <c r="C1766" s="273">
        <f>D1766+K1766+L1766+N1766+P1766+R1766+S1766+U1766+V1766+W1766</f>
        <v>103211.48</v>
      </c>
      <c r="D1766" s="273">
        <f>E1766+F1766+G1766+H1766+I1766</f>
        <v>0</v>
      </c>
      <c r="E1766" s="273"/>
      <c r="F1766" s="273"/>
      <c r="G1766" s="273"/>
      <c r="H1766" s="273"/>
      <c r="I1766" s="273"/>
      <c r="J1766" s="273"/>
      <c r="K1766" s="273"/>
      <c r="L1766" s="273"/>
      <c r="M1766" s="273"/>
      <c r="N1766" s="273"/>
      <c r="O1766" s="273"/>
      <c r="P1766" s="273"/>
      <c r="Q1766" s="273"/>
      <c r="R1766" s="273"/>
      <c r="S1766" s="273"/>
      <c r="T1766" s="273"/>
      <c r="U1766" s="273"/>
      <c r="V1766" s="273"/>
      <c r="W1766" s="273">
        <f>SUM(X1766:AK1766)</f>
        <v>103211.48</v>
      </c>
      <c r="X1766" s="273"/>
      <c r="Y1766" s="273"/>
      <c r="AA1766" s="273"/>
      <c r="AC1766" s="273">
        <v>103211.48</v>
      </c>
      <c r="AD1766" s="273"/>
      <c r="AE1766" s="273"/>
      <c r="AF1766" s="273"/>
      <c r="AG1766" s="261"/>
      <c r="AH1766" s="273"/>
      <c r="AI1766" s="273"/>
      <c r="AJ1766" s="273"/>
      <c r="AK1766" s="273"/>
    </row>
    <row r="1767" spans="1:37" x14ac:dyDescent="0.3">
      <c r="A1767" s="10">
        <f>A1766+1</f>
        <v>1564</v>
      </c>
      <c r="B1767" s="124" t="s">
        <v>3256</v>
      </c>
      <c r="C1767" s="273">
        <f>D1767+K1767+L1767+N1767+P1767+R1767+S1767+U1767+V1767+W1767</f>
        <v>105130.6</v>
      </c>
      <c r="D1767" s="273">
        <f>E1767+F1767+G1767+H1767+I1767</f>
        <v>0</v>
      </c>
      <c r="E1767" s="273"/>
      <c r="F1767" s="273"/>
      <c r="G1767" s="273"/>
      <c r="H1767" s="273"/>
      <c r="I1767" s="273"/>
      <c r="J1767" s="273"/>
      <c r="K1767" s="273"/>
      <c r="L1767" s="273"/>
      <c r="M1767" s="273"/>
      <c r="N1767" s="273"/>
      <c r="O1767" s="273"/>
      <c r="P1767" s="273"/>
      <c r="Q1767" s="273"/>
      <c r="R1767" s="273"/>
      <c r="S1767" s="273"/>
      <c r="T1767" s="273"/>
      <c r="U1767" s="273"/>
      <c r="V1767" s="273"/>
      <c r="W1767" s="273">
        <f>SUM(X1767:AK1767)</f>
        <v>105130.6</v>
      </c>
      <c r="X1767" s="273"/>
      <c r="Y1767" s="273"/>
      <c r="AA1767" s="273"/>
      <c r="AC1767" s="273">
        <v>105130.6</v>
      </c>
      <c r="AD1767" s="273"/>
      <c r="AE1767" s="273"/>
      <c r="AF1767" s="273"/>
      <c r="AG1767" s="261"/>
      <c r="AH1767" s="273"/>
      <c r="AI1767" s="273"/>
      <c r="AJ1767" s="273"/>
      <c r="AK1767" s="273"/>
    </row>
    <row r="1768" spans="1:37" x14ac:dyDescent="0.3">
      <c r="A1768" s="10">
        <f>A1767+1</f>
        <v>1565</v>
      </c>
      <c r="B1768" s="124" t="s">
        <v>3257</v>
      </c>
      <c r="C1768" s="273">
        <f>D1768+K1768+L1768+N1768+P1768+R1768+S1768+U1768+V1768+W1768</f>
        <v>248299.62</v>
      </c>
      <c r="D1768" s="273">
        <f>E1768+F1768+G1768+H1768+I1768</f>
        <v>0</v>
      </c>
      <c r="E1768" s="273"/>
      <c r="F1768" s="273"/>
      <c r="G1768" s="273"/>
      <c r="H1768" s="273"/>
      <c r="I1768" s="273"/>
      <c r="J1768" s="273"/>
      <c r="K1768" s="273"/>
      <c r="L1768" s="273"/>
      <c r="M1768" s="273"/>
      <c r="N1768" s="273"/>
      <c r="O1768" s="273"/>
      <c r="P1768" s="273"/>
      <c r="Q1768" s="273"/>
      <c r="R1768" s="273"/>
      <c r="S1768" s="273"/>
      <c r="T1768" s="273"/>
      <c r="U1768" s="273"/>
      <c r="V1768" s="273"/>
      <c r="W1768" s="273">
        <f>SUM(X1768:AK1768)</f>
        <v>248299.62</v>
      </c>
      <c r="X1768" s="273"/>
      <c r="Y1768" s="273"/>
      <c r="Z1768" s="273"/>
      <c r="AA1768" s="273"/>
      <c r="AB1768" s="273"/>
      <c r="AC1768" s="273"/>
      <c r="AD1768" s="273"/>
      <c r="AE1768" s="273"/>
      <c r="AF1768" s="273"/>
      <c r="AG1768" s="261">
        <v>248299.62</v>
      </c>
      <c r="AH1768" s="273"/>
      <c r="AI1768" s="273"/>
      <c r="AJ1768" s="273"/>
      <c r="AK1768" s="273"/>
    </row>
    <row r="1769" spans="1:37" x14ac:dyDescent="0.3">
      <c r="A1769" s="10">
        <f>A1768+1</f>
        <v>1566</v>
      </c>
      <c r="B1769" s="124" t="s">
        <v>3258</v>
      </c>
      <c r="C1769" s="273">
        <f>D1769+K1769+L1769+N1769+P1769+R1769+S1769+U1769+V1769+W1769</f>
        <v>304130.2</v>
      </c>
      <c r="D1769" s="273">
        <f>E1769+F1769+G1769+H1769+I1769</f>
        <v>0</v>
      </c>
      <c r="E1769" s="273"/>
      <c r="F1769" s="273"/>
      <c r="G1769" s="273"/>
      <c r="H1769" s="273"/>
      <c r="I1769" s="273"/>
      <c r="J1769" s="273"/>
      <c r="K1769" s="273"/>
      <c r="L1769" s="273"/>
      <c r="M1769" s="273"/>
      <c r="N1769" s="273"/>
      <c r="O1769" s="273"/>
      <c r="P1769" s="273"/>
      <c r="Q1769" s="273"/>
      <c r="R1769" s="273"/>
      <c r="S1769" s="273"/>
      <c r="T1769" s="273"/>
      <c r="U1769" s="273"/>
      <c r="V1769" s="273"/>
      <c r="W1769" s="273">
        <f>SUM(X1769:AK1769)</f>
        <v>304130.2</v>
      </c>
      <c r="X1769" s="273"/>
      <c r="Y1769" s="273"/>
      <c r="Z1769" s="273"/>
      <c r="AA1769" s="273"/>
      <c r="AB1769" s="273"/>
      <c r="AC1769" s="273"/>
      <c r="AD1769" s="273"/>
      <c r="AE1769" s="273"/>
      <c r="AF1769" s="273">
        <v>304130.2</v>
      </c>
      <c r="AG1769" s="261"/>
      <c r="AH1769" s="273"/>
      <c r="AI1769" s="273"/>
      <c r="AJ1769" s="273"/>
      <c r="AK1769" s="273"/>
    </row>
    <row r="1770" spans="1:37" x14ac:dyDescent="0.3">
      <c r="A1770" s="133" t="s">
        <v>208</v>
      </c>
      <c r="B1770" s="122"/>
      <c r="C1770" s="273">
        <f t="shared" ref="C1770:W1770" si="390">SUM(C1766:C1769)</f>
        <v>760771.9</v>
      </c>
      <c r="D1770" s="273">
        <f t="shared" si="390"/>
        <v>0</v>
      </c>
      <c r="E1770" s="273">
        <f t="shared" si="390"/>
        <v>0</v>
      </c>
      <c r="F1770" s="273">
        <f t="shared" si="390"/>
        <v>0</v>
      </c>
      <c r="G1770" s="273">
        <f t="shared" si="390"/>
        <v>0</v>
      </c>
      <c r="H1770" s="273">
        <f t="shared" si="390"/>
        <v>0</v>
      </c>
      <c r="I1770" s="273">
        <f t="shared" si="390"/>
        <v>0</v>
      </c>
      <c r="J1770" s="273">
        <f t="shared" si="390"/>
        <v>0</v>
      </c>
      <c r="K1770" s="273">
        <f t="shared" si="390"/>
        <v>0</v>
      </c>
      <c r="L1770" s="273">
        <f t="shared" si="390"/>
        <v>0</v>
      </c>
      <c r="M1770" s="273">
        <f t="shared" si="390"/>
        <v>0</v>
      </c>
      <c r="N1770" s="273">
        <f t="shared" si="390"/>
        <v>0</v>
      </c>
      <c r="O1770" s="273">
        <f t="shared" si="390"/>
        <v>0</v>
      </c>
      <c r="P1770" s="273">
        <f t="shared" si="390"/>
        <v>0</v>
      </c>
      <c r="Q1770" s="273">
        <f t="shared" si="390"/>
        <v>0</v>
      </c>
      <c r="R1770" s="273">
        <f t="shared" si="390"/>
        <v>0</v>
      </c>
      <c r="S1770" s="273">
        <f t="shared" si="390"/>
        <v>0</v>
      </c>
      <c r="T1770" s="273">
        <f t="shared" si="390"/>
        <v>0</v>
      </c>
      <c r="U1770" s="273">
        <f t="shared" si="390"/>
        <v>0</v>
      </c>
      <c r="V1770" s="273">
        <f t="shared" si="390"/>
        <v>0</v>
      </c>
      <c r="W1770" s="273">
        <f t="shared" si="390"/>
        <v>760771.9</v>
      </c>
      <c r="X1770" s="273"/>
      <c r="Y1770" s="273"/>
      <c r="Z1770" s="273"/>
      <c r="AA1770" s="273"/>
      <c r="AB1770" s="273"/>
      <c r="AC1770" s="273"/>
      <c r="AD1770" s="273"/>
      <c r="AE1770" s="273"/>
      <c r="AF1770" s="273"/>
      <c r="AG1770" s="261"/>
      <c r="AH1770" s="273"/>
      <c r="AI1770" s="273"/>
      <c r="AJ1770" s="273"/>
      <c r="AK1770" s="273"/>
    </row>
    <row r="1771" spans="1:37" x14ac:dyDescent="0.3">
      <c r="A1771" s="131" t="s">
        <v>3261</v>
      </c>
      <c r="B1771" s="111"/>
      <c r="C1771" s="273"/>
      <c r="D1771" s="273"/>
      <c r="E1771" s="273"/>
      <c r="F1771" s="273"/>
      <c r="G1771" s="273"/>
      <c r="H1771" s="273"/>
      <c r="I1771" s="273"/>
      <c r="J1771" s="273"/>
      <c r="K1771" s="273"/>
      <c r="L1771" s="273"/>
      <c r="M1771" s="273"/>
      <c r="N1771" s="273"/>
      <c r="O1771" s="273"/>
      <c r="P1771" s="273"/>
      <c r="Q1771" s="273"/>
      <c r="R1771" s="273"/>
      <c r="S1771" s="273"/>
      <c r="T1771" s="273"/>
      <c r="U1771" s="273"/>
      <c r="V1771" s="273"/>
      <c r="W1771" s="273"/>
      <c r="X1771" s="273"/>
      <c r="Y1771" s="273"/>
      <c r="Z1771" s="273"/>
      <c r="AA1771" s="273"/>
      <c r="AB1771" s="273"/>
      <c r="AC1771" s="273"/>
      <c r="AD1771" s="273"/>
      <c r="AE1771" s="273"/>
      <c r="AF1771" s="273"/>
      <c r="AG1771" s="261"/>
      <c r="AH1771" s="273"/>
      <c r="AI1771" s="273"/>
      <c r="AJ1771" s="273"/>
      <c r="AK1771" s="273"/>
    </row>
    <row r="1772" spans="1:37" x14ac:dyDescent="0.3">
      <c r="A1772" s="10">
        <f>A1769+1</f>
        <v>1567</v>
      </c>
      <c r="B1772" s="124" t="s">
        <v>3381</v>
      </c>
      <c r="C1772" s="273">
        <f>D1772+K1772+L1772+N1772+P1772+R1772+S1772+U1772+V1772+W1772</f>
        <v>93514.93</v>
      </c>
      <c r="D1772" s="273">
        <f>E1772+F1772+G1772+H1772+I1772</f>
        <v>0</v>
      </c>
      <c r="E1772" s="273"/>
      <c r="F1772" s="273"/>
      <c r="G1772" s="273"/>
      <c r="H1772" s="273"/>
      <c r="I1772" s="273"/>
      <c r="J1772" s="273"/>
      <c r="K1772" s="273"/>
      <c r="L1772" s="273"/>
      <c r="M1772" s="273"/>
      <c r="N1772" s="273"/>
      <c r="O1772" s="273"/>
      <c r="P1772" s="273"/>
      <c r="Q1772" s="273"/>
      <c r="R1772" s="273"/>
      <c r="S1772" s="273"/>
      <c r="T1772" s="273"/>
      <c r="U1772" s="273"/>
      <c r="V1772" s="273"/>
      <c r="W1772" s="273">
        <f>SUM(X1772:AK1772)</f>
        <v>93514.93</v>
      </c>
      <c r="X1772" s="273"/>
      <c r="Y1772" s="273"/>
      <c r="AA1772" s="273"/>
      <c r="AB1772" s="273"/>
      <c r="AC1772" s="273">
        <v>93514.93</v>
      </c>
      <c r="AD1772" s="273"/>
      <c r="AE1772" s="273"/>
      <c r="AF1772" s="273"/>
      <c r="AG1772" s="261"/>
      <c r="AH1772" s="273"/>
      <c r="AI1772" s="273"/>
      <c r="AJ1772" s="273"/>
      <c r="AK1772" s="273"/>
    </row>
    <row r="1773" spans="1:37" x14ac:dyDescent="0.3">
      <c r="A1773" s="10">
        <f>A1772+1</f>
        <v>1568</v>
      </c>
      <c r="B1773" s="124" t="s">
        <v>3382</v>
      </c>
      <c r="C1773" s="273">
        <f>D1773+K1773+L1773+N1773+P1773+R1773+S1773+U1773+V1773+W1773</f>
        <v>3038780.4</v>
      </c>
      <c r="D1773" s="273">
        <f>E1773+F1773+G1773+H1773+I1773</f>
        <v>0</v>
      </c>
      <c r="E1773" s="273"/>
      <c r="F1773" s="273"/>
      <c r="G1773" s="273"/>
      <c r="H1773" s="273"/>
      <c r="I1773" s="273"/>
      <c r="J1773" s="273"/>
      <c r="K1773" s="273"/>
      <c r="L1773" s="273"/>
      <c r="M1773" s="273">
        <v>274</v>
      </c>
      <c r="N1773" s="273">
        <v>3038780.4</v>
      </c>
      <c r="O1773" s="273"/>
      <c r="P1773" s="273"/>
      <c r="Q1773" s="273"/>
      <c r="R1773" s="273"/>
      <c r="S1773" s="273"/>
      <c r="T1773" s="273"/>
      <c r="U1773" s="273"/>
      <c r="V1773" s="273"/>
      <c r="W1773" s="273"/>
      <c r="X1773" s="273"/>
      <c r="Y1773" s="273"/>
      <c r="Z1773" s="273"/>
      <c r="AA1773" s="273"/>
      <c r="AB1773" s="273"/>
      <c r="AC1773" s="273"/>
      <c r="AD1773" s="273"/>
      <c r="AE1773" s="273"/>
      <c r="AF1773" s="273"/>
      <c r="AG1773" s="261"/>
      <c r="AH1773" s="273"/>
      <c r="AI1773" s="273"/>
      <c r="AJ1773" s="273"/>
      <c r="AK1773" s="273"/>
    </row>
    <row r="1774" spans="1:37" x14ac:dyDescent="0.3">
      <c r="A1774" s="10">
        <f>A1773+1</f>
        <v>1569</v>
      </c>
      <c r="B1774" s="124" t="s">
        <v>3268</v>
      </c>
      <c r="C1774" s="273">
        <f>D1774+K1774+L1774+N1774+P1774+R1774+S1774+U1774+V1774+W1774</f>
        <v>5738364</v>
      </c>
      <c r="D1774" s="273">
        <f>E1774+F1774+G1774+H1774+I1774</f>
        <v>0</v>
      </c>
      <c r="E1774" s="273"/>
      <c r="F1774" s="273"/>
      <c r="G1774" s="273"/>
      <c r="H1774" s="273"/>
      <c r="I1774" s="273"/>
      <c r="J1774" s="273"/>
      <c r="K1774" s="273"/>
      <c r="L1774" s="273"/>
      <c r="M1774" s="273">
        <v>1090</v>
      </c>
      <c r="N1774" s="273">
        <v>5738364</v>
      </c>
      <c r="O1774" s="273"/>
      <c r="P1774" s="273"/>
      <c r="Q1774" s="273"/>
      <c r="R1774" s="273"/>
      <c r="S1774" s="273"/>
      <c r="T1774" s="273"/>
      <c r="U1774" s="273"/>
      <c r="V1774" s="273"/>
      <c r="W1774" s="273"/>
      <c r="X1774" s="273"/>
      <c r="Y1774" s="273"/>
      <c r="Z1774" s="273"/>
      <c r="AA1774" s="273"/>
      <c r="AB1774" s="273"/>
      <c r="AC1774" s="273"/>
      <c r="AD1774" s="273"/>
      <c r="AE1774" s="273"/>
      <c r="AF1774" s="273"/>
      <c r="AG1774" s="261"/>
      <c r="AH1774" s="273"/>
      <c r="AI1774" s="273"/>
      <c r="AJ1774" s="273"/>
      <c r="AK1774" s="273"/>
    </row>
    <row r="1775" spans="1:37" x14ac:dyDescent="0.3">
      <c r="A1775" s="10">
        <f>A1774+1</f>
        <v>1570</v>
      </c>
      <c r="B1775" s="124" t="s">
        <v>3271</v>
      </c>
      <c r="C1775" s="273">
        <f>D1775+K1775+L1775+N1775+P1775+R1775+S1775+U1775+V1775+W1775</f>
        <v>1532317.2</v>
      </c>
      <c r="D1775" s="273">
        <f>E1775+F1775+G1775+H1775+I1775</f>
        <v>0</v>
      </c>
      <c r="E1775" s="273"/>
      <c r="F1775" s="273"/>
      <c r="G1775" s="273"/>
      <c r="H1775" s="273"/>
      <c r="I1775" s="273"/>
      <c r="J1775" s="273"/>
      <c r="K1775" s="273"/>
      <c r="L1775" s="273"/>
      <c r="M1775" s="273">
        <v>232.05</v>
      </c>
      <c r="N1775" s="273">
        <v>1532317.2</v>
      </c>
      <c r="O1775" s="273"/>
      <c r="P1775" s="273"/>
      <c r="Q1775" s="273"/>
      <c r="R1775" s="273"/>
      <c r="S1775" s="273"/>
      <c r="T1775" s="273"/>
      <c r="U1775" s="273"/>
      <c r="V1775" s="273"/>
      <c r="W1775" s="273"/>
      <c r="X1775" s="273"/>
      <c r="Y1775" s="273"/>
      <c r="Z1775" s="273"/>
      <c r="AA1775" s="273"/>
      <c r="AB1775" s="273"/>
      <c r="AC1775" s="273"/>
      <c r="AD1775" s="273"/>
      <c r="AE1775" s="273"/>
      <c r="AF1775" s="273"/>
      <c r="AG1775" s="261"/>
      <c r="AH1775" s="273"/>
      <c r="AI1775" s="273"/>
      <c r="AJ1775" s="273"/>
      <c r="AK1775" s="273"/>
    </row>
    <row r="1776" spans="1:37" x14ac:dyDescent="0.3">
      <c r="A1776" s="133" t="s">
        <v>208</v>
      </c>
      <c r="B1776" s="122"/>
      <c r="C1776" s="273">
        <f t="shared" ref="C1776:W1776" si="391">SUM(C1772:C1775)</f>
        <v>10402976.529999999</v>
      </c>
      <c r="D1776" s="273">
        <f t="shared" si="391"/>
        <v>0</v>
      </c>
      <c r="E1776" s="273">
        <f t="shared" si="391"/>
        <v>0</v>
      </c>
      <c r="F1776" s="273">
        <f t="shared" si="391"/>
        <v>0</v>
      </c>
      <c r="G1776" s="273">
        <f t="shared" si="391"/>
        <v>0</v>
      </c>
      <c r="H1776" s="273">
        <f t="shared" si="391"/>
        <v>0</v>
      </c>
      <c r="I1776" s="273">
        <f t="shared" si="391"/>
        <v>0</v>
      </c>
      <c r="J1776" s="273">
        <f t="shared" si="391"/>
        <v>0</v>
      </c>
      <c r="K1776" s="273">
        <f t="shared" si="391"/>
        <v>0</v>
      </c>
      <c r="L1776" s="273">
        <f t="shared" si="391"/>
        <v>0</v>
      </c>
      <c r="M1776" s="273">
        <f t="shared" si="391"/>
        <v>1596.05</v>
      </c>
      <c r="N1776" s="273">
        <f t="shared" si="391"/>
        <v>10309461.6</v>
      </c>
      <c r="O1776" s="273">
        <f t="shared" si="391"/>
        <v>0</v>
      </c>
      <c r="P1776" s="273">
        <f t="shared" si="391"/>
        <v>0</v>
      </c>
      <c r="Q1776" s="273">
        <f t="shared" si="391"/>
        <v>0</v>
      </c>
      <c r="R1776" s="273">
        <f t="shared" si="391"/>
        <v>0</v>
      </c>
      <c r="S1776" s="273">
        <f t="shared" si="391"/>
        <v>0</v>
      </c>
      <c r="T1776" s="273">
        <f t="shared" si="391"/>
        <v>0</v>
      </c>
      <c r="U1776" s="273">
        <f t="shared" si="391"/>
        <v>0</v>
      </c>
      <c r="V1776" s="273">
        <f t="shared" si="391"/>
        <v>0</v>
      </c>
      <c r="W1776" s="273">
        <f t="shared" si="391"/>
        <v>93514.93</v>
      </c>
      <c r="X1776" s="273"/>
      <c r="Y1776" s="273"/>
      <c r="Z1776" s="273"/>
      <c r="AA1776" s="273"/>
      <c r="AB1776" s="273"/>
      <c r="AC1776" s="273"/>
      <c r="AD1776" s="273"/>
      <c r="AE1776" s="273"/>
      <c r="AF1776" s="273"/>
      <c r="AG1776" s="261"/>
      <c r="AH1776" s="273"/>
      <c r="AI1776" s="273"/>
      <c r="AJ1776" s="273"/>
      <c r="AK1776" s="273"/>
    </row>
    <row r="1777" spans="1:37" x14ac:dyDescent="0.3">
      <c r="A1777" s="131" t="s">
        <v>3274</v>
      </c>
      <c r="B1777" s="111"/>
      <c r="C1777" s="273"/>
      <c r="D1777" s="273"/>
      <c r="E1777" s="273"/>
      <c r="F1777" s="273"/>
      <c r="G1777" s="273"/>
      <c r="H1777" s="273"/>
      <c r="I1777" s="273"/>
      <c r="J1777" s="273"/>
      <c r="K1777" s="273"/>
      <c r="L1777" s="273"/>
      <c r="M1777" s="273"/>
      <c r="N1777" s="273"/>
      <c r="O1777" s="273"/>
      <c r="P1777" s="273"/>
      <c r="Q1777" s="273"/>
      <c r="R1777" s="273"/>
      <c r="S1777" s="273"/>
      <c r="T1777" s="273"/>
      <c r="U1777" s="273"/>
      <c r="V1777" s="273"/>
      <c r="W1777" s="273"/>
      <c r="X1777" s="273"/>
      <c r="Y1777" s="273"/>
      <c r="Z1777" s="273"/>
      <c r="AA1777" s="273"/>
      <c r="AB1777" s="273"/>
      <c r="AC1777" s="273"/>
      <c r="AD1777" s="273"/>
      <c r="AE1777" s="273"/>
      <c r="AF1777" s="273"/>
      <c r="AG1777" s="261"/>
      <c r="AH1777" s="273"/>
      <c r="AI1777" s="273"/>
      <c r="AJ1777" s="273"/>
      <c r="AK1777" s="273"/>
    </row>
    <row r="1778" spans="1:37" x14ac:dyDescent="0.3">
      <c r="A1778" s="10">
        <f>A1775+1</f>
        <v>1571</v>
      </c>
      <c r="B1778" s="124" t="s">
        <v>3383</v>
      </c>
      <c r="C1778" s="273">
        <f>D1778+K1778+L1778+N1778+P1778+R1778+S1778+U1778+V1778+W1778</f>
        <v>181959.67</v>
      </c>
      <c r="D1778" s="273">
        <f>E1778+F1778+G1778+H1778+I1778</f>
        <v>0</v>
      </c>
      <c r="E1778" s="273"/>
      <c r="F1778" s="273"/>
      <c r="G1778" s="273"/>
      <c r="H1778" s="273"/>
      <c r="I1778" s="273"/>
      <c r="J1778" s="273"/>
      <c r="K1778" s="273"/>
      <c r="L1778" s="273"/>
      <c r="M1778" s="273"/>
      <c r="N1778" s="273"/>
      <c r="O1778" s="273"/>
      <c r="P1778" s="273"/>
      <c r="Q1778" s="273"/>
      <c r="R1778" s="273"/>
      <c r="S1778" s="273"/>
      <c r="T1778" s="273"/>
      <c r="U1778" s="273"/>
      <c r="V1778" s="273"/>
      <c r="W1778" s="273">
        <f>SUM(X1778:AK1778)</f>
        <v>181959.67</v>
      </c>
      <c r="X1778" s="273"/>
      <c r="Y1778" s="273"/>
      <c r="Z1778" s="273"/>
      <c r="AA1778" s="273"/>
      <c r="AB1778" s="273"/>
      <c r="AC1778" s="273"/>
      <c r="AD1778" s="273"/>
      <c r="AE1778" s="273"/>
      <c r="AF1778" s="273">
        <v>181959.67</v>
      </c>
      <c r="AG1778" s="261"/>
      <c r="AH1778" s="273"/>
      <c r="AI1778" s="273"/>
      <c r="AJ1778" s="273"/>
      <c r="AK1778" s="273"/>
    </row>
    <row r="1779" spans="1:37" x14ac:dyDescent="0.3">
      <c r="A1779" s="10">
        <f>A1778+1</f>
        <v>1572</v>
      </c>
      <c r="B1779" s="124" t="s">
        <v>3384</v>
      </c>
      <c r="C1779" s="273">
        <f>D1779+K1779+L1779+N1779+P1779+R1779+S1779+U1779+V1779+W1779</f>
        <v>169864.26</v>
      </c>
      <c r="D1779" s="273">
        <f>E1779+F1779+G1779+H1779+I1779</f>
        <v>0</v>
      </c>
      <c r="E1779" s="273"/>
      <c r="F1779" s="273"/>
      <c r="G1779" s="273"/>
      <c r="H1779" s="273"/>
      <c r="I1779" s="273"/>
      <c r="J1779" s="273"/>
      <c r="K1779" s="273"/>
      <c r="L1779" s="273"/>
      <c r="M1779" s="273"/>
      <c r="N1779" s="273"/>
      <c r="O1779" s="273"/>
      <c r="P1779" s="273"/>
      <c r="Q1779" s="273"/>
      <c r="R1779" s="273"/>
      <c r="S1779" s="273"/>
      <c r="T1779" s="273"/>
      <c r="U1779" s="273"/>
      <c r="V1779" s="273"/>
      <c r="W1779" s="273">
        <f>SUM(X1779:AK1779)</f>
        <v>169864.26</v>
      </c>
      <c r="X1779" s="273"/>
      <c r="Y1779" s="273"/>
      <c r="Z1779" s="273"/>
      <c r="AA1779" s="273"/>
      <c r="AB1779" s="273"/>
      <c r="AC1779" s="273"/>
      <c r="AD1779" s="273"/>
      <c r="AE1779" s="273"/>
      <c r="AF1779" s="273">
        <v>169864.26</v>
      </c>
      <c r="AG1779" s="261"/>
      <c r="AH1779" s="273"/>
      <c r="AI1779" s="273"/>
      <c r="AJ1779" s="273"/>
      <c r="AK1779" s="273"/>
    </row>
    <row r="1780" spans="1:37" x14ac:dyDescent="0.3">
      <c r="A1780" s="133" t="s">
        <v>208</v>
      </c>
      <c r="B1780" s="122"/>
      <c r="C1780" s="273">
        <f t="shared" ref="C1780:W1780" si="392">SUM(C1778:C1779)</f>
        <v>351823.93000000005</v>
      </c>
      <c r="D1780" s="273">
        <f t="shared" si="392"/>
        <v>0</v>
      </c>
      <c r="E1780" s="273">
        <f t="shared" si="392"/>
        <v>0</v>
      </c>
      <c r="F1780" s="273">
        <f t="shared" si="392"/>
        <v>0</v>
      </c>
      <c r="G1780" s="273">
        <f t="shared" si="392"/>
        <v>0</v>
      </c>
      <c r="H1780" s="273">
        <f t="shared" si="392"/>
        <v>0</v>
      </c>
      <c r="I1780" s="273">
        <f t="shared" si="392"/>
        <v>0</v>
      </c>
      <c r="J1780" s="273">
        <f t="shared" si="392"/>
        <v>0</v>
      </c>
      <c r="K1780" s="273">
        <f t="shared" si="392"/>
        <v>0</v>
      </c>
      <c r="L1780" s="273">
        <f t="shared" si="392"/>
        <v>0</v>
      </c>
      <c r="M1780" s="273">
        <f t="shared" si="392"/>
        <v>0</v>
      </c>
      <c r="N1780" s="273">
        <f t="shared" si="392"/>
        <v>0</v>
      </c>
      <c r="O1780" s="273">
        <f t="shared" si="392"/>
        <v>0</v>
      </c>
      <c r="P1780" s="273">
        <f t="shared" si="392"/>
        <v>0</v>
      </c>
      <c r="Q1780" s="273">
        <f t="shared" si="392"/>
        <v>0</v>
      </c>
      <c r="R1780" s="273">
        <f t="shared" si="392"/>
        <v>0</v>
      </c>
      <c r="S1780" s="273">
        <f t="shared" si="392"/>
        <v>0</v>
      </c>
      <c r="T1780" s="273">
        <f t="shared" si="392"/>
        <v>0</v>
      </c>
      <c r="U1780" s="273">
        <f t="shared" si="392"/>
        <v>0</v>
      </c>
      <c r="V1780" s="273">
        <f t="shared" si="392"/>
        <v>0</v>
      </c>
      <c r="W1780" s="273">
        <f t="shared" si="392"/>
        <v>351823.93000000005</v>
      </c>
      <c r="X1780" s="273"/>
      <c r="Y1780" s="273"/>
      <c r="Z1780" s="273"/>
      <c r="AA1780" s="273"/>
      <c r="AB1780" s="273"/>
      <c r="AC1780" s="273"/>
      <c r="AD1780" s="273"/>
      <c r="AE1780" s="273"/>
      <c r="AF1780" s="273"/>
      <c r="AG1780" s="261"/>
      <c r="AH1780" s="273"/>
      <c r="AI1780" s="273"/>
      <c r="AJ1780" s="273"/>
      <c r="AK1780" s="273"/>
    </row>
    <row r="1781" spans="1:37" x14ac:dyDescent="0.3">
      <c r="A1781" s="131" t="s">
        <v>3385</v>
      </c>
      <c r="B1781" s="111"/>
      <c r="C1781" s="273"/>
      <c r="D1781" s="273"/>
      <c r="E1781" s="273"/>
      <c r="F1781" s="273"/>
      <c r="G1781" s="273"/>
      <c r="H1781" s="273"/>
      <c r="I1781" s="273"/>
      <c r="J1781" s="273"/>
      <c r="K1781" s="273"/>
      <c r="L1781" s="273"/>
      <c r="M1781" s="273"/>
      <c r="N1781" s="273"/>
      <c r="O1781" s="273"/>
      <c r="P1781" s="273"/>
      <c r="Q1781" s="273"/>
      <c r="R1781" s="273"/>
      <c r="S1781" s="273"/>
      <c r="T1781" s="273"/>
      <c r="U1781" s="273"/>
      <c r="V1781" s="273"/>
      <c r="W1781" s="273"/>
      <c r="X1781" s="273"/>
      <c r="Y1781" s="273"/>
      <c r="Z1781" s="273"/>
      <c r="AA1781" s="273"/>
      <c r="AB1781" s="273"/>
      <c r="AC1781" s="273"/>
      <c r="AD1781" s="273"/>
      <c r="AE1781" s="273"/>
      <c r="AF1781" s="273"/>
      <c r="AG1781" s="261"/>
      <c r="AH1781" s="273"/>
      <c r="AI1781" s="273"/>
      <c r="AJ1781" s="273"/>
      <c r="AK1781" s="273"/>
    </row>
    <row r="1782" spans="1:37" x14ac:dyDescent="0.3">
      <c r="A1782" s="10">
        <f>A1779+1</f>
        <v>1573</v>
      </c>
      <c r="B1782" s="124" t="s">
        <v>3386</v>
      </c>
      <c r="C1782" s="273">
        <f>D1782+K1782+L1782+N1782+P1782+R1782+S1782+U1782+V1782+W1782</f>
        <v>114105.38</v>
      </c>
      <c r="D1782" s="273">
        <f>E1782+F1782+G1782+H1782+I1782</f>
        <v>0</v>
      </c>
      <c r="E1782" s="273"/>
      <c r="F1782" s="273"/>
      <c r="G1782" s="273"/>
      <c r="H1782" s="273"/>
      <c r="I1782" s="273"/>
      <c r="J1782" s="273"/>
      <c r="K1782" s="273"/>
      <c r="L1782" s="273"/>
      <c r="M1782" s="273"/>
      <c r="N1782" s="273"/>
      <c r="O1782" s="273"/>
      <c r="P1782" s="273"/>
      <c r="Q1782" s="273"/>
      <c r="R1782" s="273"/>
      <c r="S1782" s="273"/>
      <c r="T1782" s="273"/>
      <c r="U1782" s="273"/>
      <c r="V1782" s="273"/>
      <c r="W1782" s="273">
        <f>SUM(X1782:AK1782)</f>
        <v>114105.38</v>
      </c>
      <c r="X1782" s="273"/>
      <c r="Y1782" s="273"/>
      <c r="AA1782" s="273"/>
      <c r="AB1782" s="273"/>
      <c r="AC1782" s="273">
        <v>114105.38</v>
      </c>
      <c r="AD1782" s="273"/>
      <c r="AE1782" s="273"/>
      <c r="AF1782" s="273"/>
      <c r="AG1782" s="261"/>
      <c r="AH1782" s="273"/>
      <c r="AI1782" s="273"/>
      <c r="AJ1782" s="273"/>
      <c r="AK1782" s="273"/>
    </row>
    <row r="1783" spans="1:37" x14ac:dyDescent="0.3">
      <c r="A1783" s="10">
        <f>A1782+1</f>
        <v>1574</v>
      </c>
      <c r="B1783" s="124" t="s">
        <v>3387</v>
      </c>
      <c r="C1783" s="273">
        <f>D1783+K1783+L1783+N1783+P1783+R1783+S1783+U1783+V1783+W1783</f>
        <v>114105.38</v>
      </c>
      <c r="D1783" s="273">
        <f>E1783+F1783+G1783+H1783+I1783</f>
        <v>0</v>
      </c>
      <c r="E1783" s="273"/>
      <c r="F1783" s="273"/>
      <c r="G1783" s="273"/>
      <c r="H1783" s="273"/>
      <c r="I1783" s="273"/>
      <c r="J1783" s="273"/>
      <c r="K1783" s="273"/>
      <c r="L1783" s="273"/>
      <c r="M1783" s="273"/>
      <c r="N1783" s="273"/>
      <c r="O1783" s="273"/>
      <c r="P1783" s="273"/>
      <c r="Q1783" s="273"/>
      <c r="R1783" s="273"/>
      <c r="S1783" s="273"/>
      <c r="T1783" s="273"/>
      <c r="U1783" s="273"/>
      <c r="V1783" s="273"/>
      <c r="W1783" s="273">
        <f>SUM(X1783:AK1783)</f>
        <v>114105.38</v>
      </c>
      <c r="X1783" s="273"/>
      <c r="Y1783" s="273"/>
      <c r="AA1783" s="273"/>
      <c r="AB1783" s="273"/>
      <c r="AC1783" s="273">
        <v>114105.38</v>
      </c>
      <c r="AD1783" s="273"/>
      <c r="AE1783" s="273"/>
      <c r="AF1783" s="273"/>
      <c r="AG1783" s="261"/>
      <c r="AH1783" s="273"/>
      <c r="AI1783" s="273"/>
      <c r="AJ1783" s="273"/>
      <c r="AK1783" s="273"/>
    </row>
    <row r="1784" spans="1:37" x14ac:dyDescent="0.3">
      <c r="A1784" s="133" t="s">
        <v>208</v>
      </c>
      <c r="B1784" s="122"/>
      <c r="C1784" s="273">
        <f t="shared" ref="C1784:W1784" si="393">SUM(C1782:C1783)</f>
        <v>228210.76</v>
      </c>
      <c r="D1784" s="273">
        <f t="shared" si="393"/>
        <v>0</v>
      </c>
      <c r="E1784" s="273">
        <f t="shared" si="393"/>
        <v>0</v>
      </c>
      <c r="F1784" s="273">
        <f t="shared" si="393"/>
        <v>0</v>
      </c>
      <c r="G1784" s="273">
        <f t="shared" si="393"/>
        <v>0</v>
      </c>
      <c r="H1784" s="273">
        <f t="shared" si="393"/>
        <v>0</v>
      </c>
      <c r="I1784" s="273">
        <f t="shared" si="393"/>
        <v>0</v>
      </c>
      <c r="J1784" s="273">
        <f t="shared" si="393"/>
        <v>0</v>
      </c>
      <c r="K1784" s="273">
        <f t="shared" si="393"/>
        <v>0</v>
      </c>
      <c r="L1784" s="273">
        <f t="shared" si="393"/>
        <v>0</v>
      </c>
      <c r="M1784" s="273">
        <f t="shared" si="393"/>
        <v>0</v>
      </c>
      <c r="N1784" s="273">
        <f t="shared" si="393"/>
        <v>0</v>
      </c>
      <c r="O1784" s="273">
        <f t="shared" si="393"/>
        <v>0</v>
      </c>
      <c r="P1784" s="273">
        <f t="shared" si="393"/>
        <v>0</v>
      </c>
      <c r="Q1784" s="273">
        <f t="shared" si="393"/>
        <v>0</v>
      </c>
      <c r="R1784" s="273">
        <f t="shared" si="393"/>
        <v>0</v>
      </c>
      <c r="S1784" s="273">
        <f t="shared" si="393"/>
        <v>0</v>
      </c>
      <c r="T1784" s="273">
        <f t="shared" si="393"/>
        <v>0</v>
      </c>
      <c r="U1784" s="273">
        <f t="shared" si="393"/>
        <v>0</v>
      </c>
      <c r="V1784" s="273">
        <f t="shared" si="393"/>
        <v>0</v>
      </c>
      <c r="W1784" s="273">
        <f t="shared" si="393"/>
        <v>228210.76</v>
      </c>
      <c r="X1784" s="273"/>
      <c r="Y1784" s="273"/>
      <c r="Z1784" s="273"/>
      <c r="AA1784" s="273"/>
      <c r="AB1784" s="273"/>
      <c r="AD1784" s="273"/>
      <c r="AE1784" s="273"/>
      <c r="AF1784" s="273"/>
      <c r="AG1784" s="261"/>
      <c r="AH1784" s="273"/>
      <c r="AI1784" s="273"/>
      <c r="AJ1784" s="273"/>
      <c r="AK1784" s="273"/>
    </row>
    <row r="1785" spans="1:37" x14ac:dyDescent="0.3">
      <c r="A1785" s="131" t="s">
        <v>3279</v>
      </c>
      <c r="B1785" s="111"/>
      <c r="C1785" s="251">
        <f t="shared" ref="C1785:W1785" si="394">C1686+C1703+C1748+C1756+C1761+C1764+C1770+C1776+C1780+C1784</f>
        <v>154609483.41</v>
      </c>
      <c r="D1785" s="251">
        <f t="shared" si="394"/>
        <v>1849392</v>
      </c>
      <c r="E1785" s="251">
        <f t="shared" si="394"/>
        <v>1696902</v>
      </c>
      <c r="F1785" s="251">
        <f t="shared" si="394"/>
        <v>0</v>
      </c>
      <c r="G1785" s="251">
        <f t="shared" si="394"/>
        <v>50830</v>
      </c>
      <c r="H1785" s="251">
        <f t="shared" si="394"/>
        <v>50830</v>
      </c>
      <c r="I1785" s="251">
        <f t="shared" si="394"/>
        <v>50830</v>
      </c>
      <c r="J1785" s="251">
        <f t="shared" si="394"/>
        <v>0</v>
      </c>
      <c r="K1785" s="251">
        <f t="shared" si="394"/>
        <v>0</v>
      </c>
      <c r="L1785" s="251">
        <f t="shared" si="394"/>
        <v>0</v>
      </c>
      <c r="M1785" s="251">
        <f t="shared" si="394"/>
        <v>8713.0499999999993</v>
      </c>
      <c r="N1785" s="251">
        <f t="shared" si="394"/>
        <v>56801234.810000002</v>
      </c>
      <c r="O1785" s="251">
        <f t="shared" si="394"/>
        <v>2957.2</v>
      </c>
      <c r="P1785" s="251">
        <f t="shared" si="394"/>
        <v>49447268.400000006</v>
      </c>
      <c r="Q1785" s="251">
        <f t="shared" si="394"/>
        <v>3966.6</v>
      </c>
      <c r="R1785" s="251">
        <f t="shared" si="394"/>
        <v>25366296</v>
      </c>
      <c r="S1785" s="251">
        <f t="shared" si="394"/>
        <v>0</v>
      </c>
      <c r="T1785" s="251">
        <f t="shared" si="394"/>
        <v>0</v>
      </c>
      <c r="U1785" s="251">
        <f t="shared" si="394"/>
        <v>0</v>
      </c>
      <c r="V1785" s="251">
        <f t="shared" si="394"/>
        <v>0</v>
      </c>
      <c r="W1785" s="251">
        <f t="shared" si="394"/>
        <v>21145292.199999999</v>
      </c>
      <c r="X1785" s="271"/>
      <c r="Y1785" s="271"/>
      <c r="Z1785" s="271"/>
      <c r="AA1785" s="271"/>
      <c r="AB1785" s="271"/>
      <c r="AC1785" s="271"/>
      <c r="AD1785" s="271"/>
      <c r="AE1785" s="271"/>
      <c r="AF1785" s="269"/>
      <c r="AG1785" s="94"/>
      <c r="AH1785" s="269"/>
      <c r="AI1785" s="269"/>
      <c r="AJ1785" s="269"/>
      <c r="AK1785" s="269"/>
    </row>
    <row r="1786" spans="1:37" x14ac:dyDescent="0.3">
      <c r="A1786" s="376" t="s">
        <v>2191</v>
      </c>
      <c r="B1786" s="377"/>
      <c r="C1786" s="377"/>
      <c r="D1786" s="377"/>
      <c r="E1786" s="377"/>
      <c r="F1786" s="377"/>
      <c r="G1786" s="377"/>
      <c r="H1786" s="377"/>
      <c r="I1786" s="377"/>
      <c r="J1786" s="377"/>
      <c r="K1786" s="377"/>
      <c r="L1786" s="377"/>
      <c r="M1786" s="377"/>
      <c r="N1786" s="377"/>
      <c r="O1786" s="377"/>
      <c r="P1786" s="377"/>
      <c r="Q1786" s="377"/>
      <c r="R1786" s="377"/>
      <c r="S1786" s="377"/>
      <c r="T1786" s="377"/>
      <c r="U1786" s="377"/>
      <c r="V1786" s="377"/>
      <c r="W1786" s="378"/>
      <c r="X1786" s="273"/>
      <c r="Y1786" s="273"/>
      <c r="Z1786" s="14"/>
      <c r="AA1786" s="15"/>
      <c r="AB1786" s="15"/>
      <c r="AC1786" s="15"/>
      <c r="AD1786" s="13"/>
      <c r="AE1786" s="13"/>
    </row>
    <row r="1787" spans="1:37" x14ac:dyDescent="0.3">
      <c r="A1787" s="131" t="s">
        <v>2192</v>
      </c>
      <c r="B1787" s="111"/>
      <c r="C1787" s="251"/>
      <c r="D1787" s="251"/>
      <c r="E1787" s="251"/>
      <c r="F1787" s="251"/>
      <c r="G1787" s="251"/>
      <c r="H1787" s="251"/>
      <c r="I1787" s="251"/>
      <c r="J1787" s="251"/>
      <c r="K1787" s="251"/>
      <c r="L1787" s="251"/>
      <c r="M1787" s="251"/>
      <c r="N1787" s="251"/>
      <c r="O1787" s="251"/>
      <c r="P1787" s="251"/>
      <c r="Q1787" s="251"/>
      <c r="R1787" s="251"/>
      <c r="S1787" s="251"/>
      <c r="T1787" s="251"/>
      <c r="U1787" s="251"/>
      <c r="V1787" s="251"/>
      <c r="W1787" s="251"/>
      <c r="X1787" s="273"/>
      <c r="Y1787" s="273"/>
      <c r="Z1787" s="14"/>
      <c r="AA1787" s="15"/>
      <c r="AB1787" s="15"/>
      <c r="AC1787" s="15"/>
      <c r="AD1787" s="13"/>
      <c r="AE1787" s="13"/>
    </row>
    <row r="1788" spans="1:37" x14ac:dyDescent="0.3">
      <c r="A1788" s="10">
        <f>A1783+1</f>
        <v>1575</v>
      </c>
      <c r="B1788" s="124" t="s">
        <v>2193</v>
      </c>
      <c r="C1788" s="273">
        <f>D1788+K1788+L1788+N1788+P1788+R1788+S1788+U1788+V1788+W1788</f>
        <v>31505929.199999999</v>
      </c>
      <c r="D1788" s="273">
        <f>E1788+F1788+G1788+H1788+I1788</f>
        <v>0</v>
      </c>
      <c r="E1788" s="273"/>
      <c r="F1788" s="273"/>
      <c r="G1788" s="273"/>
      <c r="H1788" s="273"/>
      <c r="I1788" s="273"/>
      <c r="J1788" s="273"/>
      <c r="K1788" s="273"/>
      <c r="L1788" s="273"/>
      <c r="M1788" s="273"/>
      <c r="N1788" s="273"/>
      <c r="O1788" s="273"/>
      <c r="P1788" s="273"/>
      <c r="Q1788" s="273">
        <v>5810</v>
      </c>
      <c r="R1788" s="273">
        <v>31505929.199999999</v>
      </c>
      <c r="S1788" s="273"/>
      <c r="T1788" s="273"/>
      <c r="U1788" s="273"/>
      <c r="V1788" s="273"/>
      <c r="W1788" s="273"/>
      <c r="X1788" s="273"/>
      <c r="Y1788" s="273"/>
      <c r="Z1788" s="14"/>
      <c r="AA1788" s="15"/>
      <c r="AB1788" s="15"/>
      <c r="AC1788" s="15"/>
      <c r="AD1788" s="13"/>
      <c r="AE1788" s="13"/>
    </row>
    <row r="1789" spans="1:37" x14ac:dyDescent="0.3">
      <c r="A1789" s="10">
        <f>A1788+1</f>
        <v>1576</v>
      </c>
      <c r="B1789" s="124" t="s">
        <v>2195</v>
      </c>
      <c r="C1789" s="273">
        <f>D1789+K1789+L1789+N1789+P1789+R1789+S1789+U1789+V1789+W1789</f>
        <v>12140374.380000001</v>
      </c>
      <c r="D1789" s="273">
        <f>E1789+F1789+G1789+H1789+I1789</f>
        <v>0</v>
      </c>
      <c r="E1789" s="273"/>
      <c r="F1789" s="273"/>
      <c r="G1789" s="273"/>
      <c r="H1789" s="273"/>
      <c r="I1789" s="273"/>
      <c r="J1789" s="273"/>
      <c r="K1789" s="273"/>
      <c r="L1789" s="273"/>
      <c r="M1789" s="273"/>
      <c r="N1789" s="273"/>
      <c r="O1789" s="273"/>
      <c r="P1789" s="273"/>
      <c r="Q1789" s="273">
        <v>2464</v>
      </c>
      <c r="R1789" s="273">
        <v>11415191.380000001</v>
      </c>
      <c r="S1789" s="273"/>
      <c r="T1789" s="273"/>
      <c r="U1789" s="273"/>
      <c r="V1789" s="273"/>
      <c r="W1789" s="273">
        <f>214531+392996+117656</f>
        <v>725183</v>
      </c>
      <c r="X1789" s="273"/>
      <c r="Y1789" s="273"/>
      <c r="Z1789" s="14"/>
      <c r="AA1789" s="15"/>
      <c r="AB1789" s="15"/>
      <c r="AC1789" s="15"/>
      <c r="AD1789" s="13"/>
      <c r="AE1789" s="13"/>
    </row>
    <row r="1790" spans="1:37" x14ac:dyDescent="0.3">
      <c r="A1790" s="10">
        <f>A1789+1</f>
        <v>1577</v>
      </c>
      <c r="B1790" s="124" t="s">
        <v>2196</v>
      </c>
      <c r="C1790" s="273">
        <f>D1790+K1790+L1790+N1790+P1790+R1790+S1790+U1790+V1790+W1790</f>
        <v>13389081.220000001</v>
      </c>
      <c r="D1790" s="273">
        <f>E1790+F1790+G1790+H1790+I1790</f>
        <v>0</v>
      </c>
      <c r="E1790" s="273"/>
      <c r="F1790" s="273"/>
      <c r="G1790" s="273"/>
      <c r="H1790" s="273"/>
      <c r="I1790" s="273"/>
      <c r="J1790" s="273"/>
      <c r="K1790" s="273"/>
      <c r="L1790" s="273"/>
      <c r="M1790" s="273"/>
      <c r="N1790" s="273"/>
      <c r="O1790" s="273"/>
      <c r="P1790" s="273"/>
      <c r="Q1790" s="273">
        <v>2924</v>
      </c>
      <c r="R1790" s="273">
        <v>13389081.220000001</v>
      </c>
      <c r="S1790" s="273"/>
      <c r="T1790" s="273"/>
      <c r="U1790" s="273"/>
      <c r="V1790" s="273"/>
      <c r="W1790" s="273"/>
      <c r="X1790" s="273"/>
      <c r="Y1790" s="273"/>
      <c r="Z1790" s="14"/>
      <c r="AA1790" s="15"/>
      <c r="AB1790" s="15"/>
      <c r="AC1790" s="15"/>
      <c r="AD1790" s="13"/>
      <c r="AE1790" s="13"/>
    </row>
    <row r="1791" spans="1:37" x14ac:dyDescent="0.3">
      <c r="A1791" s="10">
        <f>A1790+1</f>
        <v>1578</v>
      </c>
      <c r="B1791" s="124" t="s">
        <v>2197</v>
      </c>
      <c r="C1791" s="273">
        <f>D1791+K1791+L1791+N1791+P1791+R1791+S1791+U1791+V1791+W1791</f>
        <v>15949491.24</v>
      </c>
      <c r="D1791" s="273">
        <f>E1791+F1791+G1791+H1791+I1791</f>
        <v>0</v>
      </c>
      <c r="E1791" s="273"/>
      <c r="F1791" s="273"/>
      <c r="G1791" s="273"/>
      <c r="H1791" s="273"/>
      <c r="I1791" s="273"/>
      <c r="J1791" s="273"/>
      <c r="K1791" s="273"/>
      <c r="L1791" s="273"/>
      <c r="M1791" s="273"/>
      <c r="N1791" s="273"/>
      <c r="O1791" s="273"/>
      <c r="P1791" s="273"/>
      <c r="Q1791" s="273">
        <v>2835</v>
      </c>
      <c r="R1791" s="273">
        <v>15949491.24</v>
      </c>
      <c r="S1791" s="273"/>
      <c r="T1791" s="273"/>
      <c r="U1791" s="273"/>
      <c r="V1791" s="273"/>
      <c r="W1791" s="273"/>
      <c r="X1791" s="273"/>
      <c r="Y1791" s="273"/>
      <c r="Z1791" s="14"/>
      <c r="AA1791" s="15"/>
      <c r="AB1791" s="15"/>
      <c r="AC1791" s="15"/>
      <c r="AD1791" s="13"/>
      <c r="AE1791" s="13"/>
    </row>
    <row r="1792" spans="1:37" x14ac:dyDescent="0.3">
      <c r="A1792" s="133" t="s">
        <v>208</v>
      </c>
      <c r="B1792" s="122"/>
      <c r="C1792" s="273">
        <f t="shared" ref="C1792:W1792" si="395">SUM(C1788:C1791)</f>
        <v>72984876.039999992</v>
      </c>
      <c r="D1792" s="273">
        <f t="shared" si="395"/>
        <v>0</v>
      </c>
      <c r="E1792" s="273">
        <f t="shared" si="395"/>
        <v>0</v>
      </c>
      <c r="F1792" s="273">
        <f t="shared" si="395"/>
        <v>0</v>
      </c>
      <c r="G1792" s="273">
        <f t="shared" si="395"/>
        <v>0</v>
      </c>
      <c r="H1792" s="273">
        <f t="shared" si="395"/>
        <v>0</v>
      </c>
      <c r="I1792" s="273">
        <f t="shared" si="395"/>
        <v>0</v>
      </c>
      <c r="J1792" s="273">
        <f t="shared" si="395"/>
        <v>0</v>
      </c>
      <c r="K1792" s="273">
        <f t="shared" si="395"/>
        <v>0</v>
      </c>
      <c r="L1792" s="273">
        <f t="shared" si="395"/>
        <v>0</v>
      </c>
      <c r="M1792" s="273">
        <f t="shared" si="395"/>
        <v>0</v>
      </c>
      <c r="N1792" s="273">
        <f t="shared" si="395"/>
        <v>0</v>
      </c>
      <c r="O1792" s="273">
        <f t="shared" si="395"/>
        <v>0</v>
      </c>
      <c r="P1792" s="273">
        <f t="shared" si="395"/>
        <v>0</v>
      </c>
      <c r="Q1792" s="273">
        <f t="shared" si="395"/>
        <v>14033</v>
      </c>
      <c r="R1792" s="273">
        <f t="shared" si="395"/>
        <v>72259693.039999992</v>
      </c>
      <c r="S1792" s="273">
        <f t="shared" si="395"/>
        <v>0</v>
      </c>
      <c r="T1792" s="273">
        <f t="shared" si="395"/>
        <v>0</v>
      </c>
      <c r="U1792" s="273">
        <f t="shared" si="395"/>
        <v>0</v>
      </c>
      <c r="V1792" s="273">
        <f t="shared" si="395"/>
        <v>0</v>
      </c>
      <c r="W1792" s="273">
        <f t="shared" si="395"/>
        <v>725183</v>
      </c>
      <c r="X1792" s="273"/>
      <c r="Y1792" s="273"/>
      <c r="Z1792" s="14"/>
      <c r="AA1792" s="15"/>
      <c r="AB1792" s="15"/>
      <c r="AC1792" s="15"/>
      <c r="AD1792" s="13"/>
      <c r="AE1792" s="13"/>
    </row>
    <row r="1793" spans="1:33" x14ac:dyDescent="0.3">
      <c r="A1793" s="131" t="s">
        <v>2198</v>
      </c>
      <c r="B1793" s="111"/>
      <c r="C1793" s="273"/>
      <c r="D1793" s="273"/>
      <c r="E1793" s="273"/>
      <c r="F1793" s="273"/>
      <c r="G1793" s="273"/>
      <c r="H1793" s="273"/>
      <c r="I1793" s="273"/>
      <c r="J1793" s="273"/>
      <c r="K1793" s="273"/>
      <c r="L1793" s="273"/>
      <c r="M1793" s="273"/>
      <c r="N1793" s="273"/>
      <c r="O1793" s="273"/>
      <c r="P1793" s="273"/>
      <c r="Q1793" s="273"/>
      <c r="R1793" s="273"/>
      <c r="S1793" s="273"/>
      <c r="T1793" s="273"/>
      <c r="U1793" s="273"/>
      <c r="V1793" s="273"/>
      <c r="W1793" s="273"/>
      <c r="X1793" s="273"/>
      <c r="Y1793" s="273"/>
      <c r="Z1793" s="16"/>
      <c r="AA1793" s="17"/>
      <c r="AB1793" s="17"/>
      <c r="AC1793" s="15"/>
    </row>
    <row r="1794" spans="1:33" x14ac:dyDescent="0.3">
      <c r="A1794" s="10">
        <f>A1791+1</f>
        <v>1579</v>
      </c>
      <c r="B1794" s="124" t="s">
        <v>2203</v>
      </c>
      <c r="C1794" s="273">
        <f>D1794+K1794+L1794+N1794+P1794+R1794+S1794+U1794+V1794+W1794</f>
        <v>1454900</v>
      </c>
      <c r="D1794" s="273">
        <f>E1794+F1794+G1794+H1794+I1794</f>
        <v>729717</v>
      </c>
      <c r="E1794" s="273"/>
      <c r="F1794" s="273">
        <f>5502*13+607361</f>
        <v>678887</v>
      </c>
      <c r="G1794" s="273">
        <f>3910*13</f>
        <v>50830</v>
      </c>
      <c r="H1794" s="273"/>
      <c r="I1794" s="273"/>
      <c r="J1794" s="273"/>
      <c r="K1794" s="273"/>
      <c r="L1794" s="273"/>
      <c r="M1794" s="273"/>
      <c r="N1794" s="273"/>
      <c r="O1794" s="273"/>
      <c r="P1794" s="273"/>
      <c r="Q1794" s="273"/>
      <c r="R1794" s="273"/>
      <c r="S1794" s="273"/>
      <c r="T1794" s="273"/>
      <c r="U1794" s="273"/>
      <c r="V1794" s="273">
        <f>214531+392996+117656</f>
        <v>725183</v>
      </c>
      <c r="W1794" s="273"/>
      <c r="X1794" s="273"/>
      <c r="Y1794" s="273"/>
      <c r="Z1794" s="16"/>
      <c r="AA1794" s="17"/>
      <c r="AB1794" s="17"/>
      <c r="AC1794" s="15"/>
    </row>
    <row r="1795" spans="1:33" x14ac:dyDescent="0.3">
      <c r="A1795" s="133" t="s">
        <v>208</v>
      </c>
      <c r="B1795" s="122"/>
      <c r="C1795" s="273">
        <f t="shared" ref="C1795:W1795" si="396">SUM(C1794:C1794)</f>
        <v>1454900</v>
      </c>
      <c r="D1795" s="273">
        <f t="shared" si="396"/>
        <v>729717</v>
      </c>
      <c r="E1795" s="273">
        <f t="shared" si="396"/>
        <v>0</v>
      </c>
      <c r="F1795" s="273">
        <f t="shared" si="396"/>
        <v>678887</v>
      </c>
      <c r="G1795" s="273">
        <f t="shared" si="396"/>
        <v>50830</v>
      </c>
      <c r="H1795" s="273">
        <f t="shared" si="396"/>
        <v>0</v>
      </c>
      <c r="I1795" s="273">
        <f t="shared" si="396"/>
        <v>0</v>
      </c>
      <c r="J1795" s="273">
        <f t="shared" si="396"/>
        <v>0</v>
      </c>
      <c r="K1795" s="273">
        <f t="shared" si="396"/>
        <v>0</v>
      </c>
      <c r="L1795" s="273">
        <f t="shared" si="396"/>
        <v>0</v>
      </c>
      <c r="M1795" s="273">
        <f t="shared" si="396"/>
        <v>0</v>
      </c>
      <c r="N1795" s="273">
        <f t="shared" si="396"/>
        <v>0</v>
      </c>
      <c r="O1795" s="273">
        <f t="shared" si="396"/>
        <v>0</v>
      </c>
      <c r="P1795" s="273">
        <f t="shared" si="396"/>
        <v>0</v>
      </c>
      <c r="Q1795" s="273">
        <f t="shared" si="396"/>
        <v>0</v>
      </c>
      <c r="R1795" s="273">
        <f t="shared" si="396"/>
        <v>0</v>
      </c>
      <c r="S1795" s="273">
        <f t="shared" si="396"/>
        <v>0</v>
      </c>
      <c r="T1795" s="273">
        <f t="shared" si="396"/>
        <v>0</v>
      </c>
      <c r="U1795" s="273">
        <f t="shared" si="396"/>
        <v>0</v>
      </c>
      <c r="V1795" s="273">
        <f t="shared" si="396"/>
        <v>725183</v>
      </c>
      <c r="W1795" s="273">
        <f t="shared" si="396"/>
        <v>0</v>
      </c>
      <c r="X1795" s="273"/>
      <c r="Y1795" s="273"/>
      <c r="Z1795" s="16"/>
      <c r="AA1795" s="17"/>
      <c r="AB1795" s="17"/>
      <c r="AC1795" s="15"/>
    </row>
    <row r="1796" spans="1:33" x14ac:dyDescent="0.3">
      <c r="A1796" s="131" t="s">
        <v>2209</v>
      </c>
      <c r="B1796" s="111"/>
      <c r="C1796" s="273"/>
      <c r="D1796" s="273"/>
      <c r="E1796" s="273"/>
      <c r="F1796" s="273"/>
      <c r="G1796" s="273"/>
      <c r="H1796" s="273"/>
      <c r="I1796" s="273"/>
      <c r="J1796" s="273"/>
      <c r="K1796" s="273"/>
      <c r="L1796" s="273"/>
      <c r="M1796" s="273"/>
      <c r="N1796" s="273"/>
      <c r="O1796" s="273"/>
      <c r="P1796" s="273"/>
      <c r="Q1796" s="273"/>
      <c r="R1796" s="273"/>
      <c r="S1796" s="273"/>
      <c r="T1796" s="273"/>
      <c r="U1796" s="273"/>
      <c r="V1796" s="273"/>
      <c r="W1796" s="273"/>
      <c r="X1796" s="273"/>
      <c r="Y1796" s="273"/>
      <c r="Z1796" s="16"/>
      <c r="AA1796" s="17"/>
      <c r="AB1796" s="17"/>
      <c r="AC1796" s="15"/>
      <c r="AD1796" s="13"/>
      <c r="AE1796" s="13"/>
    </row>
    <row r="1797" spans="1:33" x14ac:dyDescent="0.3">
      <c r="A1797" s="10">
        <f>A1794+1</f>
        <v>1580</v>
      </c>
      <c r="B1797" s="124" t="s">
        <v>2211</v>
      </c>
      <c r="C1797" s="273">
        <f t="shared" ref="C1797:C1803" si="397">D1797+K1797+L1797+N1797+P1797+R1797+S1797+U1797+V1797+W1797</f>
        <v>23205600.34</v>
      </c>
      <c r="D1797" s="273">
        <f t="shared" ref="D1797:D1803" si="398">E1797+F1797+G1797+H1797+I1797</f>
        <v>0</v>
      </c>
      <c r="E1797" s="273"/>
      <c r="F1797" s="273"/>
      <c r="G1797" s="273"/>
      <c r="H1797" s="273"/>
      <c r="I1797" s="273"/>
      <c r="J1797" s="273"/>
      <c r="K1797" s="273"/>
      <c r="L1797" s="273"/>
      <c r="M1797" s="273"/>
      <c r="N1797" s="273"/>
      <c r="O1797" s="273"/>
      <c r="P1797" s="273"/>
      <c r="Q1797" s="273">
        <v>5913.375</v>
      </c>
      <c r="R1797" s="273">
        <v>23205600.34</v>
      </c>
      <c r="S1797" s="273"/>
      <c r="T1797" s="273"/>
      <c r="U1797" s="273"/>
      <c r="V1797" s="273"/>
      <c r="W1797" s="273"/>
      <c r="X1797" s="273"/>
      <c r="Y1797" s="273"/>
      <c r="Z1797" s="16"/>
      <c r="AA1797" s="17"/>
      <c r="AB1797" s="17"/>
      <c r="AC1797" s="15"/>
      <c r="AD1797" s="13"/>
      <c r="AE1797" s="13"/>
    </row>
    <row r="1798" spans="1:33" x14ac:dyDescent="0.3">
      <c r="A1798" s="10">
        <f t="shared" ref="A1798:A1803" si="399">A1797+1</f>
        <v>1581</v>
      </c>
      <c r="B1798" s="124" t="s">
        <v>3535</v>
      </c>
      <c r="C1798" s="273">
        <f t="shared" si="397"/>
        <v>12355881.76</v>
      </c>
      <c r="D1798" s="273">
        <f t="shared" si="398"/>
        <v>0</v>
      </c>
      <c r="E1798" s="273"/>
      <c r="F1798" s="273"/>
      <c r="G1798" s="273"/>
      <c r="H1798" s="273"/>
      <c r="I1798" s="273"/>
      <c r="J1798" s="273"/>
      <c r="K1798" s="273"/>
      <c r="L1798" s="273"/>
      <c r="M1798" s="273">
        <v>1761.82</v>
      </c>
      <c r="N1798" s="273">
        <v>11344358.98</v>
      </c>
      <c r="O1798" s="273"/>
      <c r="P1798" s="273"/>
      <c r="Q1798" s="273"/>
      <c r="R1798" s="273"/>
      <c r="S1798" s="273"/>
      <c r="T1798" s="273"/>
      <c r="U1798" s="273"/>
      <c r="V1798" s="273"/>
      <c r="W1798" s="273">
        <f>SUM(X1798:AK1798)</f>
        <v>1011522.78</v>
      </c>
      <c r="X1798" s="273"/>
      <c r="Y1798" s="273"/>
      <c r="Z1798" s="16"/>
      <c r="AA1798" s="17"/>
      <c r="AB1798" s="17"/>
      <c r="AC1798" s="15"/>
      <c r="AD1798" s="13"/>
      <c r="AE1798" s="13"/>
      <c r="AG1798" s="36">
        <v>1011522.78</v>
      </c>
    </row>
    <row r="1799" spans="1:33" x14ac:dyDescent="0.3">
      <c r="A1799" s="10">
        <f t="shared" si="399"/>
        <v>1582</v>
      </c>
      <c r="B1799" s="124" t="s">
        <v>3537</v>
      </c>
      <c r="C1799" s="273">
        <f t="shared" si="397"/>
        <v>966482.02</v>
      </c>
      <c r="D1799" s="273">
        <f t="shared" si="398"/>
        <v>0</v>
      </c>
      <c r="E1799" s="273"/>
      <c r="F1799" s="273"/>
      <c r="G1799" s="273"/>
      <c r="H1799" s="273"/>
      <c r="I1799" s="273"/>
      <c r="J1799" s="273"/>
      <c r="K1799" s="273"/>
      <c r="L1799" s="273"/>
      <c r="M1799" s="273"/>
      <c r="N1799" s="273"/>
      <c r="O1799" s="273"/>
      <c r="P1799" s="273"/>
      <c r="Q1799" s="273"/>
      <c r="R1799" s="273"/>
      <c r="S1799" s="273"/>
      <c r="T1799" s="273"/>
      <c r="U1799" s="273"/>
      <c r="V1799" s="273"/>
      <c r="W1799" s="273">
        <f t="shared" ref="W1799:W1800" si="400">SUM(X1799:AK1799)</f>
        <v>966482.02</v>
      </c>
      <c r="X1799" s="273">
        <v>253951.12</v>
      </c>
      <c r="Y1799" s="273"/>
      <c r="Z1799" s="16"/>
      <c r="AA1799" s="17"/>
      <c r="AB1799" s="17">
        <v>253951.12</v>
      </c>
      <c r="AC1799" s="15"/>
      <c r="AD1799" s="13"/>
      <c r="AE1799" s="13">
        <v>458579.78</v>
      </c>
    </row>
    <row r="1800" spans="1:33" x14ac:dyDescent="0.3">
      <c r="A1800" s="10">
        <f t="shared" si="399"/>
        <v>1583</v>
      </c>
      <c r="B1800" s="124" t="s">
        <v>3536</v>
      </c>
      <c r="C1800" s="273">
        <f t="shared" si="397"/>
        <v>1362825.1</v>
      </c>
      <c r="D1800" s="273">
        <f t="shared" si="398"/>
        <v>0</v>
      </c>
      <c r="E1800" s="273"/>
      <c r="F1800" s="273"/>
      <c r="G1800" s="273"/>
      <c r="H1800" s="273"/>
      <c r="I1800" s="273"/>
      <c r="J1800" s="273"/>
      <c r="K1800" s="273"/>
      <c r="L1800" s="273"/>
      <c r="M1800" s="273"/>
      <c r="N1800" s="273"/>
      <c r="O1800" s="273"/>
      <c r="P1800" s="273"/>
      <c r="Q1800" s="273"/>
      <c r="R1800" s="273"/>
      <c r="S1800" s="273"/>
      <c r="T1800" s="273"/>
      <c r="U1800" s="273"/>
      <c r="V1800" s="273"/>
      <c r="W1800" s="273">
        <f t="shared" si="400"/>
        <v>1362825.1</v>
      </c>
      <c r="X1800" s="273">
        <v>147705.79999999999</v>
      </c>
      <c r="Y1800" s="273">
        <v>203596.52</v>
      </c>
      <c r="Z1800" s="16"/>
      <c r="AA1800" s="17"/>
      <c r="AB1800" s="17"/>
      <c r="AC1800" s="15"/>
      <c r="AD1800" s="13"/>
      <c r="AE1800" s="13"/>
      <c r="AG1800" s="36">
        <v>1011522.78</v>
      </c>
    </row>
    <row r="1801" spans="1:33" x14ac:dyDescent="0.3">
      <c r="A1801" s="10">
        <f t="shared" si="399"/>
        <v>1584</v>
      </c>
      <c r="B1801" s="124" t="s">
        <v>2212</v>
      </c>
      <c r="C1801" s="273">
        <f t="shared" si="397"/>
        <v>14759862</v>
      </c>
      <c r="D1801" s="273">
        <f t="shared" si="398"/>
        <v>0</v>
      </c>
      <c r="E1801" s="273"/>
      <c r="F1801" s="273"/>
      <c r="G1801" s="273"/>
      <c r="H1801" s="273"/>
      <c r="I1801" s="273"/>
      <c r="J1801" s="273"/>
      <c r="K1801" s="273"/>
      <c r="L1801" s="273"/>
      <c r="M1801" s="273"/>
      <c r="N1801" s="273"/>
      <c r="O1801" s="273"/>
      <c r="P1801" s="273"/>
      <c r="Q1801" s="273">
        <v>2756</v>
      </c>
      <c r="R1801" s="273">
        <v>14759862</v>
      </c>
      <c r="S1801" s="273"/>
      <c r="T1801" s="273"/>
      <c r="U1801" s="273"/>
      <c r="V1801" s="273"/>
      <c r="W1801" s="273"/>
      <c r="X1801" s="273"/>
      <c r="Y1801" s="273"/>
      <c r="Z1801" s="16"/>
      <c r="AA1801" s="17"/>
      <c r="AB1801" s="17"/>
      <c r="AC1801" s="15"/>
      <c r="AD1801" s="13"/>
      <c r="AE1801" s="13"/>
    </row>
    <row r="1802" spans="1:33" x14ac:dyDescent="0.3">
      <c r="A1802" s="10">
        <f t="shared" si="399"/>
        <v>1585</v>
      </c>
      <c r="B1802" s="124" t="s">
        <v>2214</v>
      </c>
      <c r="C1802" s="273">
        <f t="shared" si="397"/>
        <v>18300116.140000001</v>
      </c>
      <c r="D1802" s="273">
        <f t="shared" si="398"/>
        <v>0</v>
      </c>
      <c r="E1802" s="273"/>
      <c r="F1802" s="273"/>
      <c r="G1802" s="273"/>
      <c r="H1802" s="273"/>
      <c r="I1802" s="273"/>
      <c r="J1802" s="273"/>
      <c r="K1802" s="273"/>
      <c r="L1802" s="273"/>
      <c r="M1802" s="273"/>
      <c r="N1802" s="273"/>
      <c r="O1802" s="273"/>
      <c r="P1802" s="273"/>
      <c r="Q1802" s="273">
        <v>4044.91</v>
      </c>
      <c r="R1802" s="273">
        <v>18300116.140000001</v>
      </c>
      <c r="S1802" s="273"/>
      <c r="T1802" s="273"/>
      <c r="U1802" s="273"/>
      <c r="V1802" s="273"/>
      <c r="W1802" s="273"/>
      <c r="X1802" s="273"/>
      <c r="Y1802" s="273"/>
      <c r="Z1802" s="16"/>
      <c r="AA1802" s="17"/>
      <c r="AB1802" s="17"/>
      <c r="AC1802" s="15"/>
      <c r="AD1802" s="13"/>
      <c r="AE1802" s="13"/>
    </row>
    <row r="1803" spans="1:33" x14ac:dyDescent="0.3">
      <c r="A1803" s="10">
        <f t="shared" si="399"/>
        <v>1586</v>
      </c>
      <c r="B1803" s="124" t="s">
        <v>2215</v>
      </c>
      <c r="C1803" s="273">
        <f t="shared" si="397"/>
        <v>678887</v>
      </c>
      <c r="D1803" s="273">
        <f t="shared" si="398"/>
        <v>678887</v>
      </c>
      <c r="E1803" s="273"/>
      <c r="F1803" s="273">
        <f>5502*13+607361</f>
        <v>678887</v>
      </c>
      <c r="G1803" s="273"/>
      <c r="H1803" s="273"/>
      <c r="I1803" s="273"/>
      <c r="J1803" s="273"/>
      <c r="K1803" s="273"/>
      <c r="L1803" s="273"/>
      <c r="M1803" s="273"/>
      <c r="N1803" s="273"/>
      <c r="O1803" s="273"/>
      <c r="P1803" s="273"/>
      <c r="Q1803" s="273"/>
      <c r="R1803" s="273"/>
      <c r="S1803" s="273"/>
      <c r="T1803" s="273"/>
      <c r="U1803" s="273"/>
      <c r="V1803" s="273"/>
      <c r="W1803" s="273"/>
      <c r="X1803" s="273"/>
      <c r="Y1803" s="273"/>
      <c r="Z1803" s="16"/>
      <c r="AA1803" s="17"/>
      <c r="AB1803" s="17"/>
      <c r="AC1803" s="15"/>
    </row>
    <row r="1804" spans="1:33" x14ac:dyDescent="0.3">
      <c r="A1804" s="133" t="s">
        <v>208</v>
      </c>
      <c r="B1804" s="122"/>
      <c r="C1804" s="273">
        <f t="shared" ref="C1804:W1804" si="401">SUM(C1797:C1803)</f>
        <v>71629654.360000014</v>
      </c>
      <c r="D1804" s="273">
        <f t="shared" si="401"/>
        <v>678887</v>
      </c>
      <c r="E1804" s="273">
        <f t="shared" si="401"/>
        <v>0</v>
      </c>
      <c r="F1804" s="273">
        <f t="shared" si="401"/>
        <v>678887</v>
      </c>
      <c r="G1804" s="273">
        <f t="shared" si="401"/>
        <v>0</v>
      </c>
      <c r="H1804" s="273">
        <f t="shared" si="401"/>
        <v>0</v>
      </c>
      <c r="I1804" s="273">
        <f t="shared" si="401"/>
        <v>0</v>
      </c>
      <c r="J1804" s="273">
        <f t="shared" si="401"/>
        <v>0</v>
      </c>
      <c r="K1804" s="273">
        <f t="shared" si="401"/>
        <v>0</v>
      </c>
      <c r="L1804" s="273">
        <f t="shared" si="401"/>
        <v>0</v>
      </c>
      <c r="M1804" s="273">
        <f t="shared" si="401"/>
        <v>1761.82</v>
      </c>
      <c r="N1804" s="273">
        <f t="shared" si="401"/>
        <v>11344358.98</v>
      </c>
      <c r="O1804" s="273">
        <f t="shared" si="401"/>
        <v>0</v>
      </c>
      <c r="P1804" s="273">
        <f t="shared" si="401"/>
        <v>0</v>
      </c>
      <c r="Q1804" s="273">
        <f t="shared" si="401"/>
        <v>12714.285</v>
      </c>
      <c r="R1804" s="273">
        <f t="shared" si="401"/>
        <v>56265578.480000004</v>
      </c>
      <c r="S1804" s="273">
        <f t="shared" si="401"/>
        <v>0</v>
      </c>
      <c r="T1804" s="273">
        <f t="shared" si="401"/>
        <v>0</v>
      </c>
      <c r="U1804" s="273">
        <f t="shared" si="401"/>
        <v>0</v>
      </c>
      <c r="V1804" s="273">
        <f t="shared" si="401"/>
        <v>0</v>
      </c>
      <c r="W1804" s="273">
        <f t="shared" si="401"/>
        <v>3340829.9000000004</v>
      </c>
      <c r="X1804" s="273"/>
      <c r="Y1804" s="273"/>
      <c r="Z1804" s="16"/>
      <c r="AA1804" s="17"/>
      <c r="AB1804" s="17"/>
      <c r="AC1804" s="15"/>
      <c r="AD1804" s="13"/>
      <c r="AE1804" s="13"/>
    </row>
    <row r="1805" spans="1:33" x14ac:dyDescent="0.3">
      <c r="A1805" s="131" t="s">
        <v>2216</v>
      </c>
      <c r="B1805" s="111"/>
      <c r="C1805" s="251">
        <f t="shared" ref="C1805:W1805" si="402">C1792+C1804+C1795</f>
        <v>146069430.40000001</v>
      </c>
      <c r="D1805" s="251">
        <f t="shared" si="402"/>
        <v>1408604</v>
      </c>
      <c r="E1805" s="251">
        <f t="shared" si="402"/>
        <v>0</v>
      </c>
      <c r="F1805" s="251">
        <f t="shared" si="402"/>
        <v>1357774</v>
      </c>
      <c r="G1805" s="251">
        <f t="shared" si="402"/>
        <v>50830</v>
      </c>
      <c r="H1805" s="251">
        <f t="shared" si="402"/>
        <v>0</v>
      </c>
      <c r="I1805" s="251">
        <f t="shared" si="402"/>
        <v>0</v>
      </c>
      <c r="J1805" s="251">
        <f t="shared" si="402"/>
        <v>0</v>
      </c>
      <c r="K1805" s="251">
        <f t="shared" si="402"/>
        <v>0</v>
      </c>
      <c r="L1805" s="251">
        <f t="shared" si="402"/>
        <v>0</v>
      </c>
      <c r="M1805" s="251">
        <f t="shared" si="402"/>
        <v>1761.82</v>
      </c>
      <c r="N1805" s="251">
        <f t="shared" si="402"/>
        <v>11344358.98</v>
      </c>
      <c r="O1805" s="251">
        <f t="shared" si="402"/>
        <v>0</v>
      </c>
      <c r="P1805" s="251">
        <f t="shared" si="402"/>
        <v>0</v>
      </c>
      <c r="Q1805" s="251">
        <f t="shared" si="402"/>
        <v>26747.285</v>
      </c>
      <c r="R1805" s="251">
        <f t="shared" si="402"/>
        <v>128525271.52</v>
      </c>
      <c r="S1805" s="251">
        <f t="shared" si="402"/>
        <v>0</v>
      </c>
      <c r="T1805" s="251">
        <f t="shared" si="402"/>
        <v>0</v>
      </c>
      <c r="U1805" s="251">
        <f t="shared" si="402"/>
        <v>0</v>
      </c>
      <c r="V1805" s="251">
        <f t="shared" si="402"/>
        <v>725183</v>
      </c>
      <c r="W1805" s="251">
        <f t="shared" si="402"/>
        <v>4066012.9000000004</v>
      </c>
      <c r="X1805" s="273"/>
      <c r="Y1805" s="273"/>
      <c r="Z1805" s="16"/>
      <c r="AA1805" s="17"/>
      <c r="AB1805" s="17"/>
      <c r="AC1805" s="15"/>
      <c r="AD1805" s="13"/>
      <c r="AE1805" s="13"/>
    </row>
    <row r="1806" spans="1:33" x14ac:dyDescent="0.3">
      <c r="A1806" s="376" t="s">
        <v>2219</v>
      </c>
      <c r="B1806" s="377"/>
      <c r="C1806" s="377"/>
      <c r="D1806" s="377"/>
      <c r="E1806" s="377"/>
      <c r="F1806" s="377"/>
      <c r="G1806" s="377"/>
      <c r="H1806" s="377"/>
      <c r="I1806" s="377"/>
      <c r="J1806" s="377"/>
      <c r="K1806" s="377"/>
      <c r="L1806" s="377"/>
      <c r="M1806" s="377"/>
      <c r="N1806" s="377"/>
      <c r="O1806" s="377"/>
      <c r="P1806" s="377"/>
      <c r="Q1806" s="377"/>
      <c r="R1806" s="377"/>
      <c r="S1806" s="377"/>
      <c r="T1806" s="377"/>
      <c r="U1806" s="377"/>
      <c r="V1806" s="377"/>
      <c r="W1806" s="378"/>
      <c r="X1806" s="269"/>
      <c r="Y1806" s="269"/>
      <c r="Z1806" s="269"/>
      <c r="AA1806" s="269"/>
      <c r="AB1806" s="269"/>
      <c r="AC1806" s="7"/>
      <c r="AD1806" s="13"/>
      <c r="AE1806" s="13"/>
      <c r="AF1806" s="13"/>
      <c r="AG1806" s="13"/>
    </row>
    <row r="1807" spans="1:33" ht="15" customHeight="1" x14ac:dyDescent="0.3">
      <c r="A1807" s="264" t="s">
        <v>3280</v>
      </c>
      <c r="B1807" s="124"/>
      <c r="C1807" s="273"/>
      <c r="D1807" s="273"/>
      <c r="E1807" s="273"/>
      <c r="F1807" s="273"/>
      <c r="G1807" s="273"/>
      <c r="H1807" s="273"/>
      <c r="I1807" s="273"/>
      <c r="J1807" s="273"/>
      <c r="K1807" s="273"/>
      <c r="L1807" s="273"/>
      <c r="M1807" s="273"/>
      <c r="N1807" s="273"/>
      <c r="O1807" s="273"/>
      <c r="P1807" s="273"/>
      <c r="Q1807" s="273"/>
      <c r="R1807" s="273"/>
      <c r="S1807" s="273"/>
      <c r="T1807" s="273"/>
      <c r="U1807" s="273"/>
      <c r="V1807" s="273"/>
      <c r="W1807" s="273"/>
      <c r="X1807" s="269"/>
      <c r="Y1807" s="269"/>
      <c r="Z1807" s="269"/>
      <c r="AA1807" s="269"/>
      <c r="AB1807" s="269"/>
      <c r="AC1807" s="7"/>
      <c r="AD1807" s="13"/>
      <c r="AE1807" s="13"/>
      <c r="AF1807" s="13"/>
      <c r="AG1807" s="13"/>
    </row>
    <row r="1808" spans="1:33" x14ac:dyDescent="0.3">
      <c r="A1808" s="10">
        <f>A1803+1</f>
        <v>1587</v>
      </c>
      <c r="B1808" s="124" t="s">
        <v>3281</v>
      </c>
      <c r="C1808" s="273">
        <f>D1808+K1808+L1808+N1808+P1808+R1808+S1808+U1808+V1808+W1808</f>
        <v>105222</v>
      </c>
      <c r="D1808" s="273">
        <f>E1808+F1808+G1808+H1808+I1808</f>
        <v>0</v>
      </c>
      <c r="E1808" s="273"/>
      <c r="F1808" s="273"/>
      <c r="G1808" s="273"/>
      <c r="H1808" s="273"/>
      <c r="I1808" s="273"/>
      <c r="J1808" s="273"/>
      <c r="K1808" s="273"/>
      <c r="L1808" s="273"/>
      <c r="M1808" s="273">
        <v>13</v>
      </c>
      <c r="N1808" s="36">
        <v>105222</v>
      </c>
      <c r="O1808" s="273"/>
      <c r="P1808" s="273"/>
      <c r="Q1808" s="273"/>
      <c r="R1808" s="273"/>
      <c r="S1808" s="273"/>
      <c r="T1808" s="273"/>
      <c r="U1808" s="273"/>
      <c r="V1808" s="273"/>
      <c r="W1808" s="273"/>
      <c r="X1808" s="269"/>
      <c r="Y1808" s="269"/>
      <c r="Z1808" s="269"/>
      <c r="AA1808" s="269"/>
      <c r="AB1808" s="269"/>
      <c r="AC1808" s="7"/>
      <c r="AD1808" s="13"/>
      <c r="AE1808" s="13"/>
      <c r="AF1808" s="13"/>
      <c r="AG1808" s="13"/>
    </row>
    <row r="1809" spans="1:33" x14ac:dyDescent="0.3">
      <c r="A1809" s="133" t="s">
        <v>208</v>
      </c>
      <c r="B1809" s="122"/>
      <c r="C1809" s="273">
        <f t="shared" ref="C1809:W1809" si="403">SUM(C1808:C1808)</f>
        <v>105222</v>
      </c>
      <c r="D1809" s="273">
        <f t="shared" si="403"/>
        <v>0</v>
      </c>
      <c r="E1809" s="273">
        <f t="shared" si="403"/>
        <v>0</v>
      </c>
      <c r="F1809" s="273">
        <f t="shared" si="403"/>
        <v>0</v>
      </c>
      <c r="G1809" s="273">
        <f t="shared" si="403"/>
        <v>0</v>
      </c>
      <c r="H1809" s="273">
        <f t="shared" si="403"/>
        <v>0</v>
      </c>
      <c r="I1809" s="273">
        <f t="shared" si="403"/>
        <v>0</v>
      </c>
      <c r="J1809" s="273">
        <f t="shared" si="403"/>
        <v>0</v>
      </c>
      <c r="K1809" s="273">
        <f t="shared" si="403"/>
        <v>0</v>
      </c>
      <c r="L1809" s="273">
        <f t="shared" si="403"/>
        <v>0</v>
      </c>
      <c r="M1809" s="273">
        <f t="shared" si="403"/>
        <v>13</v>
      </c>
      <c r="N1809" s="273">
        <f t="shared" si="403"/>
        <v>105222</v>
      </c>
      <c r="O1809" s="273">
        <f t="shared" si="403"/>
        <v>0</v>
      </c>
      <c r="P1809" s="273">
        <f t="shared" si="403"/>
        <v>0</v>
      </c>
      <c r="Q1809" s="273">
        <f t="shared" si="403"/>
        <v>0</v>
      </c>
      <c r="R1809" s="273">
        <f t="shared" si="403"/>
        <v>0</v>
      </c>
      <c r="S1809" s="273">
        <f t="shared" si="403"/>
        <v>0</v>
      </c>
      <c r="T1809" s="273">
        <f t="shared" si="403"/>
        <v>0</v>
      </c>
      <c r="U1809" s="273">
        <f t="shared" si="403"/>
        <v>0</v>
      </c>
      <c r="V1809" s="273">
        <f t="shared" si="403"/>
        <v>0</v>
      </c>
      <c r="W1809" s="273">
        <f t="shared" si="403"/>
        <v>0</v>
      </c>
      <c r="X1809" s="269"/>
      <c r="Y1809" s="269"/>
      <c r="Z1809" s="269"/>
      <c r="AA1809" s="269"/>
      <c r="AB1809" s="269"/>
      <c r="AC1809" s="7"/>
      <c r="AD1809" s="13"/>
      <c r="AE1809" s="13"/>
      <c r="AF1809" s="13"/>
      <c r="AG1809" s="13"/>
    </row>
    <row r="1810" spans="1:33" x14ac:dyDescent="0.3">
      <c r="A1810" s="131" t="s">
        <v>2229</v>
      </c>
      <c r="B1810" s="111"/>
      <c r="C1810" s="273"/>
      <c r="D1810" s="273"/>
      <c r="E1810" s="273"/>
      <c r="F1810" s="273"/>
      <c r="G1810" s="273"/>
      <c r="H1810" s="273"/>
      <c r="I1810" s="273"/>
      <c r="J1810" s="273"/>
      <c r="K1810" s="273"/>
      <c r="L1810" s="273"/>
      <c r="M1810" s="273"/>
      <c r="N1810" s="273"/>
      <c r="O1810" s="273"/>
      <c r="P1810" s="273"/>
      <c r="Q1810" s="273"/>
      <c r="R1810" s="273"/>
      <c r="S1810" s="273"/>
      <c r="T1810" s="273"/>
      <c r="U1810" s="273"/>
      <c r="V1810" s="273"/>
      <c r="W1810" s="273"/>
      <c r="X1810" s="269"/>
      <c r="Y1810" s="269"/>
      <c r="Z1810" s="269"/>
      <c r="AA1810" s="269"/>
      <c r="AB1810" s="269"/>
      <c r="AC1810" s="7"/>
      <c r="AD1810" s="13"/>
      <c r="AE1810" s="13"/>
      <c r="AF1810" s="13"/>
      <c r="AG1810" s="13"/>
    </row>
    <row r="1811" spans="1:33" x14ac:dyDescent="0.3">
      <c r="A1811" s="10">
        <f>A1808+1</f>
        <v>1588</v>
      </c>
      <c r="B1811" s="124" t="s">
        <v>2233</v>
      </c>
      <c r="C1811" s="273">
        <f>D1811+K1811+L1811+N1811+P1811+R1811+S1811+U1811+V1811+W1810</f>
        <v>393267</v>
      </c>
      <c r="D1811" s="273">
        <f>E1811+F1811+G1811+H1811+I1811</f>
        <v>393267</v>
      </c>
      <c r="E1811" s="273">
        <f>13*2688+358323</f>
        <v>393267</v>
      </c>
      <c r="F1811" s="273"/>
      <c r="G1811" s="273"/>
      <c r="H1811" s="273"/>
      <c r="I1811" s="273"/>
      <c r="J1811" s="273"/>
      <c r="K1811" s="273"/>
      <c r="L1811" s="273"/>
      <c r="M1811" s="273"/>
      <c r="N1811" s="273"/>
      <c r="O1811" s="273"/>
      <c r="P1811" s="273"/>
      <c r="Q1811" s="273"/>
      <c r="R1811" s="273"/>
      <c r="S1811" s="273"/>
      <c r="T1811" s="273"/>
      <c r="U1811" s="273"/>
      <c r="V1811" s="273"/>
      <c r="W1811" s="273">
        <f>SUM(W1810:W1810)</f>
        <v>0</v>
      </c>
      <c r="X1811" s="269"/>
      <c r="Y1811" s="269"/>
      <c r="Z1811" s="269"/>
      <c r="AA1811" s="269"/>
      <c r="AB1811" s="269"/>
      <c r="AC1811" s="7"/>
      <c r="AD1811" s="13"/>
      <c r="AE1811" s="13"/>
      <c r="AF1811" s="13"/>
      <c r="AG1811" s="13"/>
    </row>
    <row r="1812" spans="1:33" x14ac:dyDescent="0.3">
      <c r="A1812" s="133" t="s">
        <v>208</v>
      </c>
      <c r="B1812" s="122"/>
      <c r="C1812" s="273">
        <f t="shared" ref="C1812:V1812" si="404">SUM(C1811:C1811)</f>
        <v>393267</v>
      </c>
      <c r="D1812" s="273">
        <f t="shared" si="404"/>
        <v>393267</v>
      </c>
      <c r="E1812" s="273">
        <f t="shared" si="404"/>
        <v>393267</v>
      </c>
      <c r="F1812" s="273">
        <f t="shared" si="404"/>
        <v>0</v>
      </c>
      <c r="G1812" s="273">
        <f t="shared" si="404"/>
        <v>0</v>
      </c>
      <c r="H1812" s="273">
        <f t="shared" si="404"/>
        <v>0</v>
      </c>
      <c r="I1812" s="273">
        <f t="shared" si="404"/>
        <v>0</v>
      </c>
      <c r="J1812" s="273">
        <f t="shared" si="404"/>
        <v>0</v>
      </c>
      <c r="K1812" s="273">
        <f t="shared" si="404"/>
        <v>0</v>
      </c>
      <c r="L1812" s="273">
        <f t="shared" si="404"/>
        <v>0</v>
      </c>
      <c r="M1812" s="273">
        <f t="shared" si="404"/>
        <v>0</v>
      </c>
      <c r="N1812" s="273">
        <f t="shared" si="404"/>
        <v>0</v>
      </c>
      <c r="O1812" s="273">
        <f t="shared" si="404"/>
        <v>0</v>
      </c>
      <c r="P1812" s="273">
        <f t="shared" si="404"/>
        <v>0</v>
      </c>
      <c r="Q1812" s="273">
        <f t="shared" si="404"/>
        <v>0</v>
      </c>
      <c r="R1812" s="273">
        <f t="shared" si="404"/>
        <v>0</v>
      </c>
      <c r="S1812" s="273">
        <f t="shared" si="404"/>
        <v>0</v>
      </c>
      <c r="T1812" s="273">
        <f t="shared" si="404"/>
        <v>0</v>
      </c>
      <c r="U1812" s="273">
        <f t="shared" si="404"/>
        <v>0</v>
      </c>
      <c r="V1812" s="273">
        <f t="shared" si="404"/>
        <v>0</v>
      </c>
      <c r="W1812" s="273">
        <f>SUM(W1811:W1811)</f>
        <v>0</v>
      </c>
      <c r="X1812" s="269"/>
      <c r="Y1812" s="269"/>
      <c r="Z1812" s="269"/>
      <c r="AA1812" s="269"/>
      <c r="AB1812" s="269"/>
      <c r="AC1812" s="7"/>
      <c r="AD1812" s="13"/>
      <c r="AE1812" s="13"/>
      <c r="AF1812" s="13"/>
      <c r="AG1812" s="13"/>
    </row>
    <row r="1813" spans="1:33" x14ac:dyDescent="0.3">
      <c r="A1813" s="131" t="s">
        <v>3551</v>
      </c>
      <c r="B1813" s="122"/>
      <c r="C1813" s="273"/>
      <c r="D1813" s="273"/>
      <c r="E1813" s="273"/>
      <c r="F1813" s="273"/>
      <c r="G1813" s="273"/>
      <c r="H1813" s="273"/>
      <c r="I1813" s="273"/>
      <c r="J1813" s="273"/>
      <c r="K1813" s="273"/>
      <c r="L1813" s="273"/>
      <c r="M1813" s="273"/>
      <c r="N1813" s="273"/>
      <c r="O1813" s="273"/>
      <c r="P1813" s="273"/>
      <c r="Q1813" s="273"/>
      <c r="R1813" s="273"/>
      <c r="S1813" s="273"/>
      <c r="T1813" s="273"/>
      <c r="U1813" s="273"/>
      <c r="V1813" s="273"/>
      <c r="X1813" s="269"/>
      <c r="Y1813" s="269"/>
      <c r="Z1813" s="269"/>
      <c r="AA1813" s="269"/>
      <c r="AB1813" s="269"/>
      <c r="AC1813" s="7"/>
      <c r="AD1813" s="13"/>
      <c r="AE1813" s="13"/>
      <c r="AF1813" s="13"/>
      <c r="AG1813" s="13"/>
    </row>
    <row r="1814" spans="1:33" x14ac:dyDescent="0.3">
      <c r="A1814" s="10">
        <f>A1811+1</f>
        <v>1589</v>
      </c>
      <c r="B1814" s="122" t="s">
        <v>3552</v>
      </c>
      <c r="C1814" s="273">
        <f>D1814+K1814+L1814+N1814+P1814+R1814+S1814+U1814+V1814+W1814</f>
        <v>577640.38</v>
      </c>
      <c r="D1814" s="273">
        <f>E1814+F1814+G1814+H1814+I1814</f>
        <v>0</v>
      </c>
      <c r="E1814" s="273"/>
      <c r="F1814" s="273"/>
      <c r="G1814" s="273"/>
      <c r="H1814" s="273"/>
      <c r="I1814" s="273"/>
      <c r="J1814" s="273"/>
      <c r="K1814" s="273"/>
      <c r="L1814" s="273"/>
      <c r="M1814" s="273"/>
      <c r="N1814" s="273"/>
      <c r="O1814" s="273"/>
      <c r="P1814" s="273"/>
      <c r="Q1814" s="273"/>
      <c r="R1814" s="273"/>
      <c r="S1814" s="273"/>
      <c r="T1814" s="273"/>
      <c r="U1814" s="273"/>
      <c r="V1814" s="273"/>
      <c r="W1814" s="273">
        <f>365073.52+212566.86</f>
        <v>577640.38</v>
      </c>
      <c r="X1814" s="269"/>
      <c r="Y1814" s="269"/>
      <c r="Z1814" s="269"/>
      <c r="AA1814" s="269"/>
      <c r="AB1814" s="269"/>
      <c r="AC1814" s="7"/>
      <c r="AD1814" s="13"/>
      <c r="AE1814" s="13">
        <v>212566.86</v>
      </c>
      <c r="AF1814" s="13"/>
      <c r="AG1814" s="13">
        <v>365073.52</v>
      </c>
    </row>
    <row r="1815" spans="1:33" x14ac:dyDescent="0.3">
      <c r="A1815" s="10">
        <f>A1814+1</f>
        <v>1590</v>
      </c>
      <c r="B1815" s="122" t="s">
        <v>3553</v>
      </c>
      <c r="C1815" s="273">
        <f>D1815+K1815+L1815+N1815+P1815+R1815+S1815+U1815+V1815+W1815</f>
        <v>529830.37</v>
      </c>
      <c r="D1815" s="273">
        <f>E1815+F1815+G1815+H1815+I1815</f>
        <v>0</v>
      </c>
      <c r="E1815" s="273"/>
      <c r="F1815" s="273"/>
      <c r="G1815" s="273"/>
      <c r="H1815" s="273"/>
      <c r="I1815" s="273"/>
      <c r="J1815" s="273"/>
      <c r="K1815" s="273"/>
      <c r="L1815" s="273"/>
      <c r="M1815" s="273"/>
      <c r="N1815" s="273"/>
      <c r="O1815" s="273"/>
      <c r="P1815" s="273"/>
      <c r="Q1815" s="273"/>
      <c r="R1815" s="273"/>
      <c r="S1815" s="273"/>
      <c r="T1815" s="273"/>
      <c r="U1815" s="273"/>
      <c r="V1815" s="273"/>
      <c r="W1815" s="273">
        <f>184270.99+345559.38</f>
        <v>529830.37</v>
      </c>
      <c r="X1815" s="269"/>
      <c r="Y1815" s="269"/>
      <c r="Z1815" s="269"/>
      <c r="AA1815" s="269"/>
      <c r="AB1815" s="269"/>
      <c r="AC1815" s="7"/>
      <c r="AD1815" s="13"/>
      <c r="AE1815" s="82">
        <f>W1815-AG1815</f>
        <v>184270.99</v>
      </c>
      <c r="AF1815" s="13"/>
      <c r="AG1815" s="13">
        <v>345559.38</v>
      </c>
    </row>
    <row r="1816" spans="1:33" x14ac:dyDescent="0.3">
      <c r="A1816" s="10">
        <f>A1815+1</f>
        <v>1591</v>
      </c>
      <c r="B1816" s="122" t="s">
        <v>3554</v>
      </c>
      <c r="C1816" s="273">
        <f>D1816+K1816+L1816+N1816+P1816+R1816+S1816+U1816+V1816+W1816</f>
        <v>527121.22</v>
      </c>
      <c r="D1816" s="273">
        <f>E1816+F1816+G1816+H1816+I1816</f>
        <v>0</v>
      </c>
      <c r="E1816" s="273"/>
      <c r="F1816" s="273"/>
      <c r="G1816" s="273"/>
      <c r="H1816" s="273"/>
      <c r="I1816" s="273"/>
      <c r="J1816" s="273"/>
      <c r="K1816" s="273"/>
      <c r="L1816" s="273"/>
      <c r="M1816" s="273"/>
      <c r="N1816" s="273"/>
      <c r="O1816" s="273"/>
      <c r="P1816" s="273"/>
      <c r="Q1816" s="273"/>
      <c r="R1816" s="273"/>
      <c r="S1816" s="273"/>
      <c r="T1816" s="273"/>
      <c r="U1816" s="273"/>
      <c r="V1816" s="273"/>
      <c r="W1816" s="273">
        <f>183304.61+343816.61</f>
        <v>527121.22</v>
      </c>
      <c r="X1816" s="269"/>
      <c r="Y1816" s="269"/>
      <c r="Z1816" s="269"/>
      <c r="AA1816" s="269"/>
      <c r="AB1816" s="269"/>
      <c r="AC1816" s="7"/>
      <c r="AD1816" s="13"/>
      <c r="AE1816" s="82">
        <f>W1816-AG1816</f>
        <v>183304.61</v>
      </c>
      <c r="AF1816" s="13"/>
      <c r="AG1816" s="13">
        <v>343816.61</v>
      </c>
    </row>
    <row r="1817" spans="1:33" x14ac:dyDescent="0.3">
      <c r="A1817" s="10">
        <f>A1816+1</f>
        <v>1592</v>
      </c>
      <c r="B1817" s="122" t="s">
        <v>3555</v>
      </c>
      <c r="C1817" s="273">
        <f>D1817+K1817+L1817+N1817+P1817+R1817+S1817+U1817+V1817+W1817</f>
        <v>758882.33</v>
      </c>
      <c r="D1817" s="273">
        <f>E1817+F1817+G1817+H1817+I1817</f>
        <v>0</v>
      </c>
      <c r="E1817" s="273"/>
      <c r="F1817" s="273"/>
      <c r="G1817" s="273"/>
      <c r="H1817" s="273"/>
      <c r="I1817" s="273"/>
      <c r="J1817" s="273"/>
      <c r="K1817" s="273"/>
      <c r="L1817" s="273"/>
      <c r="M1817" s="273"/>
      <c r="N1817" s="273"/>
      <c r="O1817" s="273"/>
      <c r="P1817" s="273"/>
      <c r="Q1817" s="273"/>
      <c r="R1817" s="273"/>
      <c r="S1817" s="273"/>
      <c r="T1817" s="273"/>
      <c r="U1817" s="273"/>
      <c r="V1817" s="273"/>
      <c r="W1817" s="273">
        <f>226492.51+532389.82</f>
        <v>758882.33</v>
      </c>
      <c r="X1817" s="269"/>
      <c r="Y1817" s="269"/>
      <c r="Z1817" s="269"/>
      <c r="AA1817" s="269"/>
      <c r="AB1817" s="269"/>
      <c r="AC1817" s="7"/>
      <c r="AD1817" s="13"/>
      <c r="AE1817" s="82">
        <f>W1817-AG1817</f>
        <v>226492.51</v>
      </c>
      <c r="AF1817" s="13"/>
      <c r="AG1817" s="13">
        <v>532389.81999999995</v>
      </c>
    </row>
    <row r="1818" spans="1:33" x14ac:dyDescent="0.3">
      <c r="A1818" s="133" t="s">
        <v>208</v>
      </c>
      <c r="B1818" s="122"/>
      <c r="C1818" s="273">
        <f t="shared" ref="C1818:W1818" si="405">SUM(C1814:C1817)</f>
        <v>2393474.2999999998</v>
      </c>
      <c r="D1818" s="273">
        <f t="shared" si="405"/>
        <v>0</v>
      </c>
      <c r="E1818" s="273">
        <f t="shared" si="405"/>
        <v>0</v>
      </c>
      <c r="F1818" s="273">
        <f t="shared" si="405"/>
        <v>0</v>
      </c>
      <c r="G1818" s="273">
        <f t="shared" si="405"/>
        <v>0</v>
      </c>
      <c r="H1818" s="273">
        <f t="shared" si="405"/>
        <v>0</v>
      </c>
      <c r="I1818" s="273">
        <f t="shared" si="405"/>
        <v>0</v>
      </c>
      <c r="J1818" s="273">
        <f t="shared" si="405"/>
        <v>0</v>
      </c>
      <c r="K1818" s="273">
        <f t="shared" si="405"/>
        <v>0</v>
      </c>
      <c r="L1818" s="273">
        <f t="shared" si="405"/>
        <v>0</v>
      </c>
      <c r="M1818" s="273">
        <f t="shared" si="405"/>
        <v>0</v>
      </c>
      <c r="N1818" s="273">
        <f t="shared" si="405"/>
        <v>0</v>
      </c>
      <c r="O1818" s="273">
        <f t="shared" si="405"/>
        <v>0</v>
      </c>
      <c r="P1818" s="273">
        <f t="shared" si="405"/>
        <v>0</v>
      </c>
      <c r="Q1818" s="273">
        <f t="shared" si="405"/>
        <v>0</v>
      </c>
      <c r="R1818" s="273">
        <f t="shared" si="405"/>
        <v>0</v>
      </c>
      <c r="S1818" s="273">
        <f t="shared" si="405"/>
        <v>0</v>
      </c>
      <c r="T1818" s="273">
        <f t="shared" si="405"/>
        <v>0</v>
      </c>
      <c r="U1818" s="273">
        <f t="shared" si="405"/>
        <v>0</v>
      </c>
      <c r="V1818" s="273">
        <f t="shared" si="405"/>
        <v>0</v>
      </c>
      <c r="W1818" s="273">
        <f t="shared" si="405"/>
        <v>2393474.2999999998</v>
      </c>
      <c r="X1818" s="269"/>
      <c r="Y1818" s="269"/>
      <c r="Z1818" s="269"/>
      <c r="AA1818" s="269"/>
      <c r="AB1818" s="269"/>
      <c r="AC1818" s="7"/>
      <c r="AD1818" s="13"/>
      <c r="AE1818" s="13"/>
      <c r="AF1818" s="13"/>
      <c r="AG1818" s="13"/>
    </row>
    <row r="1819" spans="1:33" x14ac:dyDescent="0.3">
      <c r="A1819" s="131" t="s">
        <v>2250</v>
      </c>
      <c r="B1819" s="111"/>
      <c r="C1819" s="273"/>
      <c r="D1819" s="273"/>
      <c r="E1819" s="273"/>
      <c r="F1819" s="273"/>
      <c r="G1819" s="273"/>
      <c r="H1819" s="273"/>
      <c r="I1819" s="273"/>
      <c r="J1819" s="273"/>
      <c r="K1819" s="273"/>
      <c r="L1819" s="273"/>
      <c r="M1819" s="273"/>
      <c r="N1819" s="273"/>
      <c r="O1819" s="273"/>
      <c r="P1819" s="273"/>
      <c r="Q1819" s="273"/>
      <c r="R1819" s="273"/>
      <c r="S1819" s="273"/>
      <c r="T1819" s="273"/>
      <c r="U1819" s="273"/>
      <c r="V1819" s="273"/>
      <c r="W1819" s="273"/>
      <c r="X1819" s="269"/>
      <c r="Y1819" s="269"/>
      <c r="Z1819" s="269"/>
      <c r="AA1819" s="269"/>
      <c r="AB1819" s="269"/>
      <c r="AC1819" s="7"/>
      <c r="AD1819" s="13"/>
      <c r="AE1819" s="13"/>
      <c r="AF1819" s="13"/>
      <c r="AG1819" s="13"/>
    </row>
    <row r="1820" spans="1:33" x14ac:dyDescent="0.3">
      <c r="A1820" s="10">
        <f>A1817+1</f>
        <v>1593</v>
      </c>
      <c r="B1820" s="124" t="s">
        <v>2251</v>
      </c>
      <c r="C1820" s="273">
        <f t="shared" ref="C1820:C1841" si="406">D1820+K1820+L1820+N1820+P1820+R1820+S1820+U1820+V1820+W1820</f>
        <v>401448.62</v>
      </c>
      <c r="D1820" s="273">
        <f t="shared" ref="D1820:D1841" si="407">E1820+F1820+G1820+H1820+I1820</f>
        <v>0</v>
      </c>
      <c r="E1820" s="273"/>
      <c r="F1820" s="273"/>
      <c r="G1820" s="273"/>
      <c r="H1820" s="273"/>
      <c r="I1820" s="273"/>
      <c r="J1820" s="273"/>
      <c r="K1820" s="273"/>
      <c r="L1820" s="273"/>
      <c r="M1820" s="273"/>
      <c r="N1820" s="273"/>
      <c r="O1820" s="273"/>
      <c r="P1820" s="273"/>
      <c r="Q1820" s="273"/>
      <c r="R1820" s="273"/>
      <c r="S1820" s="273"/>
      <c r="T1820" s="273"/>
      <c r="U1820" s="273"/>
      <c r="V1820" s="273"/>
      <c r="W1820" s="273">
        <f t="shared" ref="W1820:W1841" si="408">SUM(X1820:AG1820)</f>
        <v>401448.62</v>
      </c>
      <c r="X1820" s="269"/>
      <c r="Y1820" s="269"/>
      <c r="Z1820" s="269"/>
      <c r="AA1820" s="269"/>
      <c r="AC1820" s="7">
        <v>121801.12</v>
      </c>
      <c r="AD1820" s="13"/>
      <c r="AE1820" s="269">
        <v>279647.5</v>
      </c>
      <c r="AF1820" s="13"/>
      <c r="AG1820" s="13"/>
    </row>
    <row r="1821" spans="1:33" x14ac:dyDescent="0.3">
      <c r="A1821" s="10">
        <f t="shared" ref="A1821:A1841" si="409">A1820+1</f>
        <v>1594</v>
      </c>
      <c r="B1821" s="124" t="s">
        <v>2252</v>
      </c>
      <c r="C1821" s="273">
        <f t="shared" si="406"/>
        <v>93641.59</v>
      </c>
      <c r="D1821" s="273">
        <f t="shared" si="407"/>
        <v>0</v>
      </c>
      <c r="E1821" s="273"/>
      <c r="F1821" s="273"/>
      <c r="G1821" s="273"/>
      <c r="H1821" s="273"/>
      <c r="I1821" s="273"/>
      <c r="J1821" s="273"/>
      <c r="K1821" s="273"/>
      <c r="L1821" s="273"/>
      <c r="M1821" s="273"/>
      <c r="N1821" s="273"/>
      <c r="O1821" s="273"/>
      <c r="P1821" s="273"/>
      <c r="Q1821" s="273"/>
      <c r="R1821" s="273"/>
      <c r="S1821" s="273"/>
      <c r="T1821" s="273"/>
      <c r="U1821" s="273"/>
      <c r="V1821" s="273"/>
      <c r="W1821" s="273">
        <f t="shared" si="408"/>
        <v>93641.59</v>
      </c>
      <c r="X1821" s="269"/>
      <c r="Y1821" s="269"/>
      <c r="Z1821" s="269"/>
      <c r="AA1821" s="269"/>
      <c r="AC1821" s="7"/>
      <c r="AD1821" s="13"/>
      <c r="AE1821" s="269">
        <v>93641.59</v>
      </c>
      <c r="AF1821" s="13"/>
      <c r="AG1821" s="13"/>
    </row>
    <row r="1822" spans="1:33" x14ac:dyDescent="0.3">
      <c r="A1822" s="10">
        <f t="shared" si="409"/>
        <v>1595</v>
      </c>
      <c r="B1822" s="124" t="s">
        <v>2253</v>
      </c>
      <c r="C1822" s="273">
        <f t="shared" si="406"/>
        <v>189626.27</v>
      </c>
      <c r="D1822" s="273">
        <f t="shared" si="407"/>
        <v>0</v>
      </c>
      <c r="E1822" s="273"/>
      <c r="F1822" s="273"/>
      <c r="G1822" s="273"/>
      <c r="H1822" s="273"/>
      <c r="I1822" s="273"/>
      <c r="J1822" s="273"/>
      <c r="K1822" s="273"/>
      <c r="L1822" s="273"/>
      <c r="M1822" s="273"/>
      <c r="N1822" s="273"/>
      <c r="O1822" s="273"/>
      <c r="P1822" s="273"/>
      <c r="Q1822" s="273"/>
      <c r="R1822" s="273"/>
      <c r="S1822" s="273"/>
      <c r="T1822" s="273"/>
      <c r="U1822" s="273"/>
      <c r="V1822" s="273"/>
      <c r="W1822" s="273">
        <f t="shared" si="408"/>
        <v>189626.27</v>
      </c>
      <c r="X1822" s="269"/>
      <c r="Y1822" s="269"/>
      <c r="Z1822" s="269"/>
      <c r="AA1822" s="269"/>
      <c r="AC1822" s="7"/>
      <c r="AD1822" s="13"/>
      <c r="AE1822" s="269">
        <v>189626.27</v>
      </c>
      <c r="AF1822" s="13"/>
      <c r="AG1822" s="13"/>
    </row>
    <row r="1823" spans="1:33" x14ac:dyDescent="0.3">
      <c r="A1823" s="10">
        <f t="shared" si="409"/>
        <v>1596</v>
      </c>
      <c r="B1823" s="124" t="s">
        <v>2254</v>
      </c>
      <c r="C1823" s="273">
        <f t="shared" si="406"/>
        <v>368356.44</v>
      </c>
      <c r="D1823" s="273">
        <f t="shared" si="407"/>
        <v>0</v>
      </c>
      <c r="E1823" s="273"/>
      <c r="F1823" s="273"/>
      <c r="G1823" s="273"/>
      <c r="H1823" s="273"/>
      <c r="I1823" s="273"/>
      <c r="J1823" s="273"/>
      <c r="K1823" s="273"/>
      <c r="L1823" s="273"/>
      <c r="M1823" s="273"/>
      <c r="N1823" s="273"/>
      <c r="O1823" s="273"/>
      <c r="P1823" s="273"/>
      <c r="Q1823" s="273"/>
      <c r="R1823" s="273"/>
      <c r="S1823" s="273"/>
      <c r="T1823" s="273"/>
      <c r="U1823" s="273"/>
      <c r="V1823" s="273"/>
      <c r="W1823" s="273">
        <f t="shared" si="408"/>
        <v>368356.44</v>
      </c>
      <c r="X1823" s="269"/>
      <c r="Y1823" s="269"/>
      <c r="Z1823" s="269"/>
      <c r="AA1823" s="269"/>
      <c r="AC1823" s="7"/>
      <c r="AE1823" s="269"/>
      <c r="AF1823" s="13"/>
      <c r="AG1823" s="13">
        <v>368356.44</v>
      </c>
    </row>
    <row r="1824" spans="1:33" x14ac:dyDescent="0.3">
      <c r="A1824" s="10">
        <f t="shared" si="409"/>
        <v>1597</v>
      </c>
      <c r="B1824" s="124" t="s">
        <v>2255</v>
      </c>
      <c r="C1824" s="273">
        <f t="shared" si="406"/>
        <v>190550.5</v>
      </c>
      <c r="D1824" s="273">
        <f t="shared" si="407"/>
        <v>0</v>
      </c>
      <c r="E1824" s="273"/>
      <c r="F1824" s="273"/>
      <c r="G1824" s="273"/>
      <c r="H1824" s="273"/>
      <c r="I1824" s="273"/>
      <c r="J1824" s="273"/>
      <c r="K1824" s="273"/>
      <c r="L1824" s="273"/>
      <c r="M1824" s="273"/>
      <c r="N1824" s="273"/>
      <c r="O1824" s="273"/>
      <c r="P1824" s="273"/>
      <c r="Q1824" s="273"/>
      <c r="R1824" s="273"/>
      <c r="S1824" s="273"/>
      <c r="T1824" s="273"/>
      <c r="U1824" s="273"/>
      <c r="V1824" s="273"/>
      <c r="W1824" s="273">
        <f t="shared" si="408"/>
        <v>190550.5</v>
      </c>
      <c r="X1824" s="269"/>
      <c r="Y1824" s="269"/>
      <c r="Z1824" s="269"/>
      <c r="AA1824" s="269"/>
      <c r="AC1824" s="7"/>
      <c r="AE1824" s="269">
        <v>190550.5</v>
      </c>
      <c r="AF1824" s="13"/>
      <c r="AG1824" s="13"/>
    </row>
    <row r="1825" spans="1:33" x14ac:dyDescent="0.3">
      <c r="A1825" s="10">
        <f t="shared" si="409"/>
        <v>1598</v>
      </c>
      <c r="B1825" s="124" t="s">
        <v>2256</v>
      </c>
      <c r="C1825" s="273">
        <f t="shared" si="406"/>
        <v>374534.99</v>
      </c>
      <c r="D1825" s="273">
        <f t="shared" si="407"/>
        <v>0</v>
      </c>
      <c r="E1825" s="273"/>
      <c r="F1825" s="273"/>
      <c r="G1825" s="273"/>
      <c r="H1825" s="273"/>
      <c r="I1825" s="273"/>
      <c r="J1825" s="273"/>
      <c r="K1825" s="273"/>
      <c r="L1825" s="273"/>
      <c r="M1825" s="273"/>
      <c r="N1825" s="273"/>
      <c r="O1825" s="273"/>
      <c r="P1825" s="273"/>
      <c r="Q1825" s="273"/>
      <c r="R1825" s="273"/>
      <c r="S1825" s="273"/>
      <c r="T1825" s="273"/>
      <c r="U1825" s="273"/>
      <c r="V1825" s="273"/>
      <c r="W1825" s="273">
        <f t="shared" si="408"/>
        <v>374534.99</v>
      </c>
      <c r="X1825" s="269"/>
      <c r="Y1825" s="269"/>
      <c r="Z1825" s="269"/>
      <c r="AA1825" s="269"/>
      <c r="AC1825" s="7"/>
      <c r="AE1825" s="269"/>
      <c r="AF1825" s="13"/>
      <c r="AG1825" s="13">
        <v>374534.99</v>
      </c>
    </row>
    <row r="1826" spans="1:33" x14ac:dyDescent="0.3">
      <c r="A1826" s="10">
        <f t="shared" si="409"/>
        <v>1599</v>
      </c>
      <c r="B1826" s="124" t="s">
        <v>2257</v>
      </c>
      <c r="C1826" s="273">
        <f t="shared" si="406"/>
        <v>187750.85</v>
      </c>
      <c r="D1826" s="273">
        <f t="shared" si="407"/>
        <v>0</v>
      </c>
      <c r="E1826" s="273"/>
      <c r="F1826" s="273"/>
      <c r="G1826" s="273"/>
      <c r="H1826" s="273"/>
      <c r="I1826" s="273"/>
      <c r="J1826" s="273"/>
      <c r="K1826" s="273"/>
      <c r="L1826" s="273"/>
      <c r="M1826" s="273"/>
      <c r="N1826" s="273"/>
      <c r="O1826" s="273"/>
      <c r="P1826" s="273"/>
      <c r="Q1826" s="273"/>
      <c r="R1826" s="273"/>
      <c r="S1826" s="273"/>
      <c r="T1826" s="273"/>
      <c r="U1826" s="273"/>
      <c r="V1826" s="273"/>
      <c r="W1826" s="273">
        <f t="shared" si="408"/>
        <v>187750.85</v>
      </c>
      <c r="X1826" s="269"/>
      <c r="Y1826" s="269"/>
      <c r="Z1826" s="269"/>
      <c r="AA1826" s="269"/>
      <c r="AC1826" s="7"/>
      <c r="AE1826" s="269">
        <v>187750.85</v>
      </c>
      <c r="AF1826" s="13"/>
      <c r="AG1826" s="13"/>
    </row>
    <row r="1827" spans="1:33" x14ac:dyDescent="0.3">
      <c r="A1827" s="10">
        <f t="shared" si="409"/>
        <v>1600</v>
      </c>
      <c r="B1827" s="124" t="s">
        <v>2258</v>
      </c>
      <c r="C1827" s="273">
        <f t="shared" si="406"/>
        <v>153966.20000000001</v>
      </c>
      <c r="D1827" s="273">
        <f t="shared" si="407"/>
        <v>0</v>
      </c>
      <c r="E1827" s="273"/>
      <c r="F1827" s="273"/>
      <c r="G1827" s="273"/>
      <c r="H1827" s="273"/>
      <c r="I1827" s="273"/>
      <c r="J1827" s="273"/>
      <c r="K1827" s="273"/>
      <c r="L1827" s="273"/>
      <c r="M1827" s="273"/>
      <c r="N1827" s="273"/>
      <c r="O1827" s="273"/>
      <c r="P1827" s="273"/>
      <c r="Q1827" s="273"/>
      <c r="R1827" s="273"/>
      <c r="S1827" s="273"/>
      <c r="T1827" s="273"/>
      <c r="U1827" s="273"/>
      <c r="V1827" s="273"/>
      <c r="W1827" s="273">
        <f t="shared" si="408"/>
        <v>153966.20000000001</v>
      </c>
      <c r="X1827" s="269"/>
      <c r="Y1827" s="269"/>
      <c r="Z1827" s="269"/>
      <c r="AA1827" s="269"/>
      <c r="AC1827" s="7"/>
      <c r="AE1827" s="269">
        <v>153966.20000000001</v>
      </c>
      <c r="AF1827" s="13"/>
      <c r="AG1827" s="13"/>
    </row>
    <row r="1828" spans="1:33" x14ac:dyDescent="0.3">
      <c r="A1828" s="10">
        <f t="shared" si="409"/>
        <v>1601</v>
      </c>
      <c r="B1828" s="124" t="s">
        <v>2259</v>
      </c>
      <c r="C1828" s="273">
        <f t="shared" si="406"/>
        <v>199253.71</v>
      </c>
      <c r="D1828" s="273">
        <f t="shared" si="407"/>
        <v>0</v>
      </c>
      <c r="E1828" s="273"/>
      <c r="F1828" s="273"/>
      <c r="G1828" s="273"/>
      <c r="H1828" s="273"/>
      <c r="I1828" s="273"/>
      <c r="J1828" s="273"/>
      <c r="K1828" s="273"/>
      <c r="L1828" s="273"/>
      <c r="M1828" s="273"/>
      <c r="N1828" s="273"/>
      <c r="O1828" s="273"/>
      <c r="P1828" s="273"/>
      <c r="Q1828" s="273"/>
      <c r="R1828" s="273"/>
      <c r="S1828" s="273"/>
      <c r="T1828" s="273"/>
      <c r="U1828" s="273"/>
      <c r="V1828" s="273"/>
      <c r="W1828" s="273">
        <f t="shared" si="408"/>
        <v>199253.71</v>
      </c>
      <c r="X1828" s="269"/>
      <c r="Y1828" s="269"/>
      <c r="Z1828" s="269"/>
      <c r="AA1828" s="269"/>
      <c r="AC1828" s="7"/>
      <c r="AE1828" s="269">
        <v>199253.71</v>
      </c>
      <c r="AF1828" s="13"/>
      <c r="AG1828" s="13"/>
    </row>
    <row r="1829" spans="1:33" x14ac:dyDescent="0.3">
      <c r="A1829" s="10">
        <f t="shared" si="409"/>
        <v>1602</v>
      </c>
      <c r="B1829" s="124" t="s">
        <v>2260</v>
      </c>
      <c r="C1829" s="273">
        <f t="shared" si="406"/>
        <v>186680.46</v>
      </c>
      <c r="D1829" s="273">
        <f t="shared" si="407"/>
        <v>0</v>
      </c>
      <c r="E1829" s="273"/>
      <c r="F1829" s="273"/>
      <c r="G1829" s="273"/>
      <c r="H1829" s="273"/>
      <c r="I1829" s="273"/>
      <c r="J1829" s="273"/>
      <c r="K1829" s="273"/>
      <c r="L1829" s="273"/>
      <c r="M1829" s="273"/>
      <c r="N1829" s="273"/>
      <c r="O1829" s="273"/>
      <c r="P1829" s="273"/>
      <c r="Q1829" s="273"/>
      <c r="R1829" s="273"/>
      <c r="S1829" s="273"/>
      <c r="T1829" s="273"/>
      <c r="U1829" s="273"/>
      <c r="V1829" s="273"/>
      <c r="W1829" s="273">
        <f t="shared" si="408"/>
        <v>186680.46</v>
      </c>
      <c r="X1829" s="269"/>
      <c r="Y1829" s="269"/>
      <c r="Z1829" s="269"/>
      <c r="AA1829" s="269"/>
      <c r="AC1829" s="7"/>
      <c r="AE1829" s="269">
        <v>186680.46</v>
      </c>
      <c r="AF1829" s="13"/>
      <c r="AG1829" s="13"/>
    </row>
    <row r="1830" spans="1:33" x14ac:dyDescent="0.3">
      <c r="A1830" s="10">
        <f t="shared" si="409"/>
        <v>1603</v>
      </c>
      <c r="B1830" s="124" t="s">
        <v>2261</v>
      </c>
      <c r="C1830" s="273">
        <f t="shared" si="406"/>
        <v>196212.08</v>
      </c>
      <c r="D1830" s="273">
        <f t="shared" si="407"/>
        <v>0</v>
      </c>
      <c r="E1830" s="273"/>
      <c r="F1830" s="273"/>
      <c r="G1830" s="273"/>
      <c r="H1830" s="273"/>
      <c r="I1830" s="273"/>
      <c r="J1830" s="273"/>
      <c r="K1830" s="273"/>
      <c r="L1830" s="273"/>
      <c r="M1830" s="273"/>
      <c r="N1830" s="273"/>
      <c r="O1830" s="273"/>
      <c r="P1830" s="273"/>
      <c r="Q1830" s="273"/>
      <c r="R1830" s="273"/>
      <c r="S1830" s="273"/>
      <c r="T1830" s="273"/>
      <c r="U1830" s="273"/>
      <c r="V1830" s="273"/>
      <c r="W1830" s="273">
        <f t="shared" si="408"/>
        <v>196212.08</v>
      </c>
      <c r="X1830" s="269"/>
      <c r="Y1830" s="269"/>
      <c r="Z1830" s="269"/>
      <c r="AA1830" s="269"/>
      <c r="AC1830" s="7"/>
      <c r="AE1830" s="269">
        <v>196212.08</v>
      </c>
      <c r="AF1830" s="13"/>
      <c r="AG1830" s="13"/>
    </row>
    <row r="1831" spans="1:33" x14ac:dyDescent="0.3">
      <c r="A1831" s="10">
        <f t="shared" si="409"/>
        <v>1604</v>
      </c>
      <c r="B1831" s="124" t="s">
        <v>3580</v>
      </c>
      <c r="C1831" s="273">
        <f t="shared" si="406"/>
        <v>183520.24</v>
      </c>
      <c r="D1831" s="273">
        <f t="shared" si="407"/>
        <v>0</v>
      </c>
      <c r="E1831" s="273"/>
      <c r="F1831" s="273"/>
      <c r="G1831" s="273"/>
      <c r="H1831" s="273"/>
      <c r="I1831" s="273"/>
      <c r="J1831" s="273"/>
      <c r="K1831" s="273"/>
      <c r="L1831" s="273"/>
      <c r="M1831" s="273"/>
      <c r="N1831" s="273"/>
      <c r="O1831" s="273"/>
      <c r="P1831" s="273"/>
      <c r="Q1831" s="273"/>
      <c r="R1831" s="273"/>
      <c r="S1831" s="273"/>
      <c r="T1831" s="273"/>
      <c r="U1831" s="273"/>
      <c r="V1831" s="273"/>
      <c r="W1831" s="273">
        <f t="shared" si="408"/>
        <v>183520.24</v>
      </c>
      <c r="X1831" s="269"/>
      <c r="Y1831" s="269"/>
      <c r="Z1831" s="269"/>
      <c r="AA1831" s="269"/>
      <c r="AC1831" s="7"/>
      <c r="AE1831" s="269">
        <v>183520.24</v>
      </c>
      <c r="AF1831" s="13"/>
      <c r="AG1831" s="13"/>
    </row>
    <row r="1832" spans="1:33" x14ac:dyDescent="0.3">
      <c r="A1832" s="10">
        <f t="shared" si="409"/>
        <v>1605</v>
      </c>
      <c r="B1832" s="124" t="s">
        <v>3579</v>
      </c>
      <c r="C1832" s="273">
        <f t="shared" si="406"/>
        <v>195294.59</v>
      </c>
      <c r="D1832" s="273">
        <f t="shared" si="407"/>
        <v>0</v>
      </c>
      <c r="E1832" s="273"/>
      <c r="F1832" s="273"/>
      <c r="G1832" s="273"/>
      <c r="H1832" s="273"/>
      <c r="I1832" s="273"/>
      <c r="J1832" s="273"/>
      <c r="K1832" s="273"/>
      <c r="L1832" s="273"/>
      <c r="M1832" s="273"/>
      <c r="N1832" s="273"/>
      <c r="O1832" s="273"/>
      <c r="P1832" s="273"/>
      <c r="Q1832" s="273"/>
      <c r="R1832" s="273"/>
      <c r="S1832" s="273"/>
      <c r="T1832" s="273"/>
      <c r="U1832" s="273"/>
      <c r="V1832" s="273"/>
      <c r="W1832" s="273">
        <f t="shared" si="408"/>
        <v>195294.59</v>
      </c>
      <c r="X1832" s="269"/>
      <c r="Y1832" s="269"/>
      <c r="Z1832" s="269"/>
      <c r="AA1832" s="269"/>
      <c r="AC1832" s="7"/>
      <c r="AE1832" s="269">
        <v>195294.59</v>
      </c>
      <c r="AF1832" s="13"/>
      <c r="AG1832" s="13"/>
    </row>
    <row r="1833" spans="1:33" x14ac:dyDescent="0.3">
      <c r="A1833" s="10">
        <f t="shared" si="409"/>
        <v>1606</v>
      </c>
      <c r="B1833" s="124" t="s">
        <v>2262</v>
      </c>
      <c r="C1833" s="273">
        <f t="shared" si="406"/>
        <v>190781.56</v>
      </c>
      <c r="D1833" s="273">
        <f t="shared" si="407"/>
        <v>0</v>
      </c>
      <c r="E1833" s="273"/>
      <c r="F1833" s="273"/>
      <c r="G1833" s="273"/>
      <c r="H1833" s="273"/>
      <c r="I1833" s="273"/>
      <c r="J1833" s="273"/>
      <c r="K1833" s="273"/>
      <c r="L1833" s="273"/>
      <c r="M1833" s="273"/>
      <c r="N1833" s="273"/>
      <c r="O1833" s="273"/>
      <c r="P1833" s="273"/>
      <c r="Q1833" s="273"/>
      <c r="R1833" s="273"/>
      <c r="S1833" s="273"/>
      <c r="T1833" s="273"/>
      <c r="U1833" s="273"/>
      <c r="V1833" s="273"/>
      <c r="W1833" s="273">
        <f t="shared" si="408"/>
        <v>190781.56</v>
      </c>
      <c r="X1833" s="269"/>
      <c r="Y1833" s="269"/>
      <c r="Z1833" s="269"/>
      <c r="AA1833" s="269"/>
      <c r="AC1833" s="7"/>
      <c r="AE1833" s="269">
        <v>190781.56</v>
      </c>
      <c r="AF1833" s="13"/>
      <c r="AG1833" s="13"/>
    </row>
    <row r="1834" spans="1:33" x14ac:dyDescent="0.3">
      <c r="A1834" s="10">
        <f t="shared" si="409"/>
        <v>1607</v>
      </c>
      <c r="B1834" s="124" t="s">
        <v>2263</v>
      </c>
      <c r="C1834" s="273">
        <f t="shared" si="406"/>
        <v>192475.99</v>
      </c>
      <c r="D1834" s="273">
        <f t="shared" si="407"/>
        <v>0</v>
      </c>
      <c r="E1834" s="273"/>
      <c r="F1834" s="273"/>
      <c r="G1834" s="273"/>
      <c r="H1834" s="273"/>
      <c r="I1834" s="273"/>
      <c r="J1834" s="273"/>
      <c r="K1834" s="273"/>
      <c r="L1834" s="273"/>
      <c r="M1834" s="273"/>
      <c r="N1834" s="273"/>
      <c r="O1834" s="273"/>
      <c r="P1834" s="273"/>
      <c r="Q1834" s="273"/>
      <c r="R1834" s="273"/>
      <c r="S1834" s="273"/>
      <c r="T1834" s="273"/>
      <c r="U1834" s="273"/>
      <c r="V1834" s="273"/>
      <c r="W1834" s="273">
        <f t="shared" si="408"/>
        <v>192475.99</v>
      </c>
      <c r="X1834" s="269"/>
      <c r="Y1834" s="269"/>
      <c r="Z1834" s="269"/>
      <c r="AA1834" s="269"/>
      <c r="AC1834" s="7"/>
      <c r="AE1834" s="269">
        <v>192475.99</v>
      </c>
      <c r="AF1834" s="13"/>
      <c r="AG1834" s="13"/>
    </row>
    <row r="1835" spans="1:33" x14ac:dyDescent="0.3">
      <c r="A1835" s="10">
        <f t="shared" si="409"/>
        <v>1608</v>
      </c>
      <c r="B1835" s="124" t="s">
        <v>2264</v>
      </c>
      <c r="C1835" s="273">
        <f t="shared" si="406"/>
        <v>192475.99</v>
      </c>
      <c r="D1835" s="273">
        <f t="shared" si="407"/>
        <v>0</v>
      </c>
      <c r="E1835" s="273"/>
      <c r="F1835" s="273"/>
      <c r="G1835" s="273"/>
      <c r="H1835" s="273"/>
      <c r="I1835" s="273"/>
      <c r="J1835" s="273"/>
      <c r="K1835" s="273"/>
      <c r="L1835" s="273"/>
      <c r="M1835" s="273"/>
      <c r="N1835" s="273"/>
      <c r="O1835" s="273"/>
      <c r="P1835" s="273"/>
      <c r="Q1835" s="273"/>
      <c r="R1835" s="273"/>
      <c r="S1835" s="273"/>
      <c r="T1835" s="273"/>
      <c r="U1835" s="273"/>
      <c r="V1835" s="273"/>
      <c r="W1835" s="273">
        <f t="shared" si="408"/>
        <v>192475.99</v>
      </c>
      <c r="X1835" s="269"/>
      <c r="Y1835" s="269"/>
      <c r="Z1835" s="269"/>
      <c r="AA1835" s="269"/>
      <c r="AC1835" s="7"/>
      <c r="AE1835" s="269">
        <v>192475.99</v>
      </c>
      <c r="AF1835" s="13"/>
      <c r="AG1835" s="13"/>
    </row>
    <row r="1836" spans="1:33" x14ac:dyDescent="0.3">
      <c r="A1836" s="10">
        <f t="shared" si="409"/>
        <v>1609</v>
      </c>
      <c r="B1836" s="124" t="s">
        <v>2265</v>
      </c>
      <c r="C1836" s="273">
        <f t="shared" si="406"/>
        <v>190550.5</v>
      </c>
      <c r="D1836" s="273">
        <f t="shared" si="407"/>
        <v>0</v>
      </c>
      <c r="E1836" s="273"/>
      <c r="F1836" s="273"/>
      <c r="G1836" s="273"/>
      <c r="H1836" s="273"/>
      <c r="I1836" s="273"/>
      <c r="J1836" s="273"/>
      <c r="K1836" s="273"/>
      <c r="L1836" s="273"/>
      <c r="M1836" s="273"/>
      <c r="N1836" s="273"/>
      <c r="O1836" s="273"/>
      <c r="P1836" s="273"/>
      <c r="Q1836" s="273"/>
      <c r="R1836" s="273"/>
      <c r="S1836" s="273"/>
      <c r="T1836" s="273"/>
      <c r="U1836" s="273"/>
      <c r="V1836" s="273"/>
      <c r="W1836" s="273">
        <f t="shared" si="408"/>
        <v>190550.5</v>
      </c>
      <c r="X1836" s="269"/>
      <c r="Y1836" s="269"/>
      <c r="Z1836" s="269"/>
      <c r="AA1836" s="269"/>
      <c r="AC1836" s="7"/>
      <c r="AE1836" s="269">
        <v>190550.5</v>
      </c>
      <c r="AF1836" s="13"/>
      <c r="AG1836" s="13"/>
    </row>
    <row r="1837" spans="1:33" x14ac:dyDescent="0.3">
      <c r="A1837" s="10">
        <f t="shared" si="409"/>
        <v>1610</v>
      </c>
      <c r="B1837" s="124" t="s">
        <v>2266</v>
      </c>
      <c r="C1837" s="273">
        <f t="shared" si="406"/>
        <v>191397.72</v>
      </c>
      <c r="D1837" s="273">
        <f t="shared" si="407"/>
        <v>0</v>
      </c>
      <c r="E1837" s="273"/>
      <c r="F1837" s="273"/>
      <c r="G1837" s="273"/>
      <c r="H1837" s="273"/>
      <c r="I1837" s="273"/>
      <c r="J1837" s="273"/>
      <c r="K1837" s="273"/>
      <c r="L1837" s="273"/>
      <c r="M1837" s="273"/>
      <c r="N1837" s="273"/>
      <c r="O1837" s="273"/>
      <c r="P1837" s="273"/>
      <c r="Q1837" s="273"/>
      <c r="R1837" s="273"/>
      <c r="S1837" s="273"/>
      <c r="T1837" s="273"/>
      <c r="U1837" s="273"/>
      <c r="V1837" s="273"/>
      <c r="W1837" s="273">
        <f t="shared" si="408"/>
        <v>191397.72</v>
      </c>
      <c r="X1837" s="269"/>
      <c r="Y1837" s="269"/>
      <c r="Z1837" s="269"/>
      <c r="AA1837" s="269"/>
      <c r="AC1837" s="7"/>
      <c r="AE1837" s="269">
        <v>191397.72</v>
      </c>
      <c r="AF1837" s="13"/>
      <c r="AG1837" s="13"/>
    </row>
    <row r="1838" spans="1:33" x14ac:dyDescent="0.3">
      <c r="A1838" s="10">
        <f t="shared" si="409"/>
        <v>1611</v>
      </c>
      <c r="B1838" s="124" t="s">
        <v>2267</v>
      </c>
      <c r="C1838" s="273">
        <f t="shared" si="406"/>
        <v>344149.42</v>
      </c>
      <c r="D1838" s="273">
        <f t="shared" si="407"/>
        <v>0</v>
      </c>
      <c r="E1838" s="273"/>
      <c r="F1838" s="273"/>
      <c r="G1838" s="273"/>
      <c r="H1838" s="273"/>
      <c r="I1838" s="273"/>
      <c r="J1838" s="273"/>
      <c r="K1838" s="273"/>
      <c r="L1838" s="273"/>
      <c r="M1838" s="273"/>
      <c r="N1838" s="273"/>
      <c r="O1838" s="273"/>
      <c r="P1838" s="273"/>
      <c r="Q1838" s="273"/>
      <c r="R1838" s="273"/>
      <c r="S1838" s="273"/>
      <c r="T1838" s="273"/>
      <c r="U1838" s="273"/>
      <c r="V1838" s="273"/>
      <c r="W1838" s="273">
        <f t="shared" si="408"/>
        <v>344149.42</v>
      </c>
      <c r="X1838" s="269"/>
      <c r="Y1838" s="269"/>
      <c r="Z1838" s="269"/>
      <c r="AA1838" s="269"/>
      <c r="AC1838" s="7"/>
      <c r="AE1838" s="269"/>
      <c r="AF1838" s="13"/>
      <c r="AG1838" s="13">
        <v>344149.42</v>
      </c>
    </row>
    <row r="1839" spans="1:33" x14ac:dyDescent="0.3">
      <c r="A1839" s="10">
        <f t="shared" si="409"/>
        <v>1612</v>
      </c>
      <c r="B1839" s="124" t="s">
        <v>2268</v>
      </c>
      <c r="C1839" s="273">
        <f t="shared" si="406"/>
        <v>140872.87</v>
      </c>
      <c r="D1839" s="273">
        <f t="shared" si="407"/>
        <v>0</v>
      </c>
      <c r="E1839" s="273"/>
      <c r="F1839" s="273"/>
      <c r="G1839" s="273"/>
      <c r="H1839" s="273"/>
      <c r="I1839" s="273"/>
      <c r="J1839" s="273"/>
      <c r="K1839" s="273"/>
      <c r="L1839" s="273"/>
      <c r="M1839" s="273"/>
      <c r="N1839" s="273"/>
      <c r="O1839" s="273"/>
      <c r="P1839" s="273"/>
      <c r="Q1839" s="273"/>
      <c r="R1839" s="273"/>
      <c r="S1839" s="273"/>
      <c r="T1839" s="273"/>
      <c r="U1839" s="273"/>
      <c r="V1839" s="273"/>
      <c r="W1839" s="273">
        <f t="shared" si="408"/>
        <v>140872.87</v>
      </c>
      <c r="X1839" s="269"/>
      <c r="Y1839" s="269"/>
      <c r="Z1839" s="269"/>
      <c r="AA1839" s="269"/>
      <c r="AC1839" s="7"/>
      <c r="AD1839" s="13"/>
      <c r="AE1839" s="269">
        <v>140872.87</v>
      </c>
      <c r="AF1839" s="13"/>
      <c r="AG1839" s="13"/>
    </row>
    <row r="1840" spans="1:33" x14ac:dyDescent="0.3">
      <c r="A1840" s="10">
        <f t="shared" si="409"/>
        <v>1613</v>
      </c>
      <c r="B1840" s="124" t="s">
        <v>2269</v>
      </c>
      <c r="C1840" s="273">
        <f t="shared" si="406"/>
        <v>144338.74</v>
      </c>
      <c r="D1840" s="273">
        <f t="shared" si="407"/>
        <v>0</v>
      </c>
      <c r="E1840" s="273"/>
      <c r="F1840" s="273"/>
      <c r="G1840" s="273"/>
      <c r="H1840" s="273"/>
      <c r="I1840" s="273"/>
      <c r="J1840" s="273"/>
      <c r="K1840" s="273"/>
      <c r="L1840" s="273"/>
      <c r="M1840" s="273"/>
      <c r="N1840" s="273"/>
      <c r="O1840" s="273"/>
      <c r="P1840" s="273"/>
      <c r="Q1840" s="273"/>
      <c r="R1840" s="273"/>
      <c r="S1840" s="273"/>
      <c r="T1840" s="273"/>
      <c r="U1840" s="273"/>
      <c r="V1840" s="273"/>
      <c r="W1840" s="273">
        <f t="shared" si="408"/>
        <v>144338.74</v>
      </c>
      <c r="X1840" s="269"/>
      <c r="Y1840" s="269"/>
      <c r="Z1840" s="269"/>
      <c r="AA1840" s="269"/>
      <c r="AC1840" s="7"/>
      <c r="AD1840" s="13"/>
      <c r="AE1840" s="269">
        <v>144338.74</v>
      </c>
      <c r="AF1840" s="13"/>
      <c r="AG1840" s="13"/>
    </row>
    <row r="1841" spans="1:33" x14ac:dyDescent="0.3">
      <c r="A1841" s="10">
        <f t="shared" si="409"/>
        <v>1614</v>
      </c>
      <c r="B1841" s="124" t="s">
        <v>2270</v>
      </c>
      <c r="C1841" s="273">
        <f t="shared" si="406"/>
        <v>141375.89000000001</v>
      </c>
      <c r="D1841" s="273">
        <f t="shared" si="407"/>
        <v>0</v>
      </c>
      <c r="E1841" s="273"/>
      <c r="F1841" s="273"/>
      <c r="G1841" s="273"/>
      <c r="H1841" s="273"/>
      <c r="I1841" s="273"/>
      <c r="J1841" s="273"/>
      <c r="K1841" s="273"/>
      <c r="L1841" s="273"/>
      <c r="M1841" s="273"/>
      <c r="N1841" s="273"/>
      <c r="O1841" s="273"/>
      <c r="P1841" s="273"/>
      <c r="Q1841" s="273"/>
      <c r="R1841" s="273"/>
      <c r="S1841" s="273"/>
      <c r="T1841" s="273"/>
      <c r="U1841" s="273"/>
      <c r="V1841" s="273"/>
      <c r="W1841" s="273">
        <f t="shared" si="408"/>
        <v>141375.89000000001</v>
      </c>
      <c r="X1841" s="269"/>
      <c r="Y1841" s="269"/>
      <c r="Z1841" s="269"/>
      <c r="AA1841" s="269"/>
      <c r="AC1841" s="7"/>
      <c r="AD1841" s="13"/>
      <c r="AE1841" s="269">
        <v>141375.89000000001</v>
      </c>
      <c r="AF1841" s="13"/>
      <c r="AG1841" s="13"/>
    </row>
    <row r="1842" spans="1:33" x14ac:dyDescent="0.3">
      <c r="A1842" s="133" t="s">
        <v>208</v>
      </c>
      <c r="B1842" s="122"/>
      <c r="C1842" s="273">
        <f t="shared" ref="C1842:W1842" si="410">SUM(C1820:C1841)</f>
        <v>4649255.2200000007</v>
      </c>
      <c r="D1842" s="273">
        <f t="shared" si="410"/>
        <v>0</v>
      </c>
      <c r="E1842" s="273">
        <f t="shared" si="410"/>
        <v>0</v>
      </c>
      <c r="F1842" s="273">
        <f t="shared" si="410"/>
        <v>0</v>
      </c>
      <c r="G1842" s="273">
        <f t="shared" si="410"/>
        <v>0</v>
      </c>
      <c r="H1842" s="273">
        <f t="shared" si="410"/>
        <v>0</v>
      </c>
      <c r="I1842" s="273">
        <f t="shared" si="410"/>
        <v>0</v>
      </c>
      <c r="J1842" s="273">
        <f t="shared" si="410"/>
        <v>0</v>
      </c>
      <c r="K1842" s="273">
        <f t="shared" si="410"/>
        <v>0</v>
      </c>
      <c r="L1842" s="273">
        <f t="shared" si="410"/>
        <v>0</v>
      </c>
      <c r="M1842" s="273">
        <f t="shared" si="410"/>
        <v>0</v>
      </c>
      <c r="N1842" s="273">
        <f t="shared" si="410"/>
        <v>0</v>
      </c>
      <c r="O1842" s="273">
        <f t="shared" si="410"/>
        <v>0</v>
      </c>
      <c r="P1842" s="273">
        <f t="shared" si="410"/>
        <v>0</v>
      </c>
      <c r="Q1842" s="273">
        <f t="shared" si="410"/>
        <v>0</v>
      </c>
      <c r="R1842" s="273">
        <f t="shared" si="410"/>
        <v>0</v>
      </c>
      <c r="S1842" s="273">
        <f t="shared" si="410"/>
        <v>0</v>
      </c>
      <c r="T1842" s="273">
        <f t="shared" si="410"/>
        <v>0</v>
      </c>
      <c r="U1842" s="273">
        <f t="shared" si="410"/>
        <v>0</v>
      </c>
      <c r="V1842" s="273">
        <f t="shared" si="410"/>
        <v>0</v>
      </c>
      <c r="W1842" s="273">
        <f t="shared" si="410"/>
        <v>4649255.2200000007</v>
      </c>
      <c r="X1842" s="269"/>
      <c r="Y1842" s="269"/>
      <c r="Z1842" s="269"/>
      <c r="AA1842" s="269"/>
      <c r="AB1842" s="269"/>
      <c r="AC1842" s="7"/>
      <c r="AD1842" s="13"/>
      <c r="AE1842" s="13"/>
      <c r="AF1842" s="13"/>
      <c r="AG1842" s="13"/>
    </row>
    <row r="1843" spans="1:33" x14ac:dyDescent="0.3">
      <c r="A1843" s="131" t="s">
        <v>2271</v>
      </c>
      <c r="B1843" s="111"/>
      <c r="C1843" s="273"/>
      <c r="D1843" s="273"/>
      <c r="E1843" s="273"/>
      <c r="F1843" s="273"/>
      <c r="G1843" s="273"/>
      <c r="H1843" s="273"/>
      <c r="I1843" s="273"/>
      <c r="J1843" s="273"/>
      <c r="K1843" s="273"/>
      <c r="L1843" s="273"/>
      <c r="M1843" s="273"/>
      <c r="N1843" s="273"/>
      <c r="O1843" s="273"/>
      <c r="P1843" s="273"/>
      <c r="Q1843" s="273"/>
      <c r="R1843" s="273"/>
      <c r="S1843" s="273"/>
      <c r="T1843" s="273"/>
      <c r="U1843" s="273"/>
      <c r="V1843" s="273"/>
      <c r="W1843" s="273"/>
      <c r="X1843" s="269"/>
      <c r="Y1843" s="269"/>
      <c r="Z1843" s="269"/>
      <c r="AA1843" s="269"/>
      <c r="AB1843" s="269"/>
      <c r="AC1843" s="7"/>
      <c r="AD1843" s="13"/>
      <c r="AE1843" s="13"/>
      <c r="AF1843" s="13"/>
      <c r="AG1843" s="13"/>
    </row>
    <row r="1844" spans="1:33" x14ac:dyDescent="0.3">
      <c r="A1844" s="10">
        <f>A1841+1</f>
        <v>1615</v>
      </c>
      <c r="B1844" s="124" t="s">
        <v>2272</v>
      </c>
      <c r="C1844" s="273">
        <f t="shared" ref="C1844:C1852" si="411">D1844+K1844+L1844+N1844+P1844+R1844+S1844+U1844+V1844+W1844</f>
        <v>264084.49</v>
      </c>
      <c r="D1844" s="273">
        <f t="shared" ref="D1844:D1852" si="412">E1844+F1844+G1844+H1844+I1844</f>
        <v>0</v>
      </c>
      <c r="E1844" s="273"/>
      <c r="F1844" s="273"/>
      <c r="G1844" s="273"/>
      <c r="H1844" s="273"/>
      <c r="I1844" s="273"/>
      <c r="J1844" s="273"/>
      <c r="K1844" s="273"/>
      <c r="L1844" s="273"/>
      <c r="M1844" s="273"/>
      <c r="N1844" s="273"/>
      <c r="O1844" s="273"/>
      <c r="P1844" s="273"/>
      <c r="Q1844" s="273"/>
      <c r="R1844" s="273"/>
      <c r="S1844" s="273"/>
      <c r="T1844" s="273"/>
      <c r="U1844" s="273"/>
      <c r="V1844" s="273"/>
      <c r="W1844" s="273">
        <f t="shared" ref="W1844:W1852" si="413">SUM(X1844:AG1844)</f>
        <v>264084.49</v>
      </c>
      <c r="Y1844" s="269">
        <v>142553.70000000001</v>
      </c>
      <c r="Z1844" s="269"/>
      <c r="AB1844" s="269">
        <v>121530.79</v>
      </c>
      <c r="AC1844" s="269"/>
      <c r="AD1844" s="13"/>
      <c r="AE1844" s="13"/>
      <c r="AF1844" s="13"/>
      <c r="AG1844" s="13"/>
    </row>
    <row r="1845" spans="1:33" x14ac:dyDescent="0.3">
      <c r="A1845" s="10">
        <f t="shared" ref="A1845:A1852" si="414">A1844+1</f>
        <v>1616</v>
      </c>
      <c r="B1845" s="124" t="s">
        <v>2273</v>
      </c>
      <c r="C1845" s="273">
        <f t="shared" si="411"/>
        <v>104973.91</v>
      </c>
      <c r="D1845" s="273">
        <f t="shared" si="412"/>
        <v>0</v>
      </c>
      <c r="E1845" s="273"/>
      <c r="F1845" s="273"/>
      <c r="G1845" s="273"/>
      <c r="H1845" s="273"/>
      <c r="I1845" s="273"/>
      <c r="J1845" s="273"/>
      <c r="K1845" s="273"/>
      <c r="L1845" s="273"/>
      <c r="M1845" s="273"/>
      <c r="N1845" s="273"/>
      <c r="O1845" s="273"/>
      <c r="P1845" s="273"/>
      <c r="Q1845" s="273"/>
      <c r="R1845" s="273"/>
      <c r="S1845" s="273"/>
      <c r="T1845" s="273"/>
      <c r="U1845" s="273"/>
      <c r="V1845" s="273"/>
      <c r="W1845" s="273">
        <f t="shared" si="413"/>
        <v>104973.91</v>
      </c>
      <c r="X1845" s="269"/>
      <c r="Y1845" s="269"/>
      <c r="Z1845" s="269"/>
      <c r="AB1845" s="269"/>
      <c r="AC1845" s="269">
        <v>104973.91</v>
      </c>
      <c r="AD1845" s="7"/>
      <c r="AE1845" s="13"/>
      <c r="AF1845" s="13"/>
      <c r="AG1845" s="13"/>
    </row>
    <row r="1846" spans="1:33" x14ac:dyDescent="0.3">
      <c r="A1846" s="10">
        <f t="shared" si="414"/>
        <v>1617</v>
      </c>
      <c r="B1846" s="124" t="s">
        <v>2274</v>
      </c>
      <c r="C1846" s="273">
        <f t="shared" si="411"/>
        <v>108192.56</v>
      </c>
      <c r="D1846" s="273">
        <f t="shared" si="412"/>
        <v>0</v>
      </c>
      <c r="E1846" s="273"/>
      <c r="F1846" s="273"/>
      <c r="G1846" s="273"/>
      <c r="H1846" s="273"/>
      <c r="I1846" s="273"/>
      <c r="J1846" s="273"/>
      <c r="K1846" s="273"/>
      <c r="L1846" s="273"/>
      <c r="M1846" s="273"/>
      <c r="N1846" s="273"/>
      <c r="O1846" s="273"/>
      <c r="P1846" s="273"/>
      <c r="Q1846" s="273"/>
      <c r="R1846" s="273"/>
      <c r="S1846" s="273"/>
      <c r="T1846" s="273"/>
      <c r="U1846" s="273"/>
      <c r="V1846" s="273"/>
      <c r="W1846" s="273">
        <f t="shared" si="413"/>
        <v>108192.56</v>
      </c>
      <c r="X1846" s="269"/>
      <c r="Y1846" s="269"/>
      <c r="Z1846" s="269"/>
      <c r="AB1846" s="269"/>
      <c r="AC1846" s="269">
        <v>108192.56</v>
      </c>
      <c r="AD1846" s="7"/>
      <c r="AE1846" s="13"/>
      <c r="AF1846" s="13"/>
      <c r="AG1846" s="13"/>
    </row>
    <row r="1847" spans="1:33" x14ac:dyDescent="0.3">
      <c r="A1847" s="10">
        <f t="shared" si="414"/>
        <v>1618</v>
      </c>
      <c r="B1847" s="124" t="s">
        <v>2275</v>
      </c>
      <c r="C1847" s="273">
        <f t="shared" si="411"/>
        <v>229182.69</v>
      </c>
      <c r="D1847" s="273">
        <f t="shared" si="412"/>
        <v>0</v>
      </c>
      <c r="E1847" s="273"/>
      <c r="F1847" s="273"/>
      <c r="G1847" s="273"/>
      <c r="H1847" s="273"/>
      <c r="I1847" s="273"/>
      <c r="J1847" s="273"/>
      <c r="K1847" s="273"/>
      <c r="L1847" s="273"/>
      <c r="M1847" s="273"/>
      <c r="N1847" s="273"/>
      <c r="O1847" s="273"/>
      <c r="P1847" s="273"/>
      <c r="Q1847" s="273"/>
      <c r="R1847" s="273"/>
      <c r="S1847" s="273"/>
      <c r="T1847" s="273"/>
      <c r="U1847" s="273"/>
      <c r="V1847" s="273"/>
      <c r="W1847" s="273">
        <f t="shared" si="413"/>
        <v>229182.69</v>
      </c>
      <c r="X1847" s="269"/>
      <c r="Y1847" s="269">
        <v>124522.87</v>
      </c>
      <c r="Z1847" s="269"/>
      <c r="AB1847" s="269">
        <v>104659.82</v>
      </c>
      <c r="AC1847" s="269"/>
      <c r="AD1847" s="7"/>
      <c r="AE1847" s="13"/>
      <c r="AF1847" s="13"/>
      <c r="AG1847" s="13"/>
    </row>
    <row r="1848" spans="1:33" x14ac:dyDescent="0.3">
      <c r="A1848" s="10">
        <f t="shared" si="414"/>
        <v>1619</v>
      </c>
      <c r="B1848" s="124" t="s">
        <v>2276</v>
      </c>
      <c r="C1848" s="273">
        <f t="shared" si="411"/>
        <v>108177.88</v>
      </c>
      <c r="D1848" s="273">
        <f t="shared" si="412"/>
        <v>0</v>
      </c>
      <c r="E1848" s="273"/>
      <c r="F1848" s="273"/>
      <c r="G1848" s="273"/>
      <c r="H1848" s="273"/>
      <c r="I1848" s="273"/>
      <c r="J1848" s="273"/>
      <c r="K1848" s="273"/>
      <c r="L1848" s="273"/>
      <c r="M1848" s="273"/>
      <c r="N1848" s="273"/>
      <c r="O1848" s="273"/>
      <c r="P1848" s="273"/>
      <c r="Q1848" s="273"/>
      <c r="R1848" s="273"/>
      <c r="S1848" s="273"/>
      <c r="T1848" s="273"/>
      <c r="U1848" s="273"/>
      <c r="V1848" s="273"/>
      <c r="W1848" s="273">
        <f t="shared" si="413"/>
        <v>108177.88</v>
      </c>
      <c r="X1848" s="269"/>
      <c r="Y1848" s="269"/>
      <c r="Z1848" s="269"/>
      <c r="AB1848" s="269"/>
      <c r="AC1848" s="269">
        <v>108177.88</v>
      </c>
      <c r="AD1848" s="7"/>
      <c r="AE1848" s="13"/>
      <c r="AF1848" s="13"/>
      <c r="AG1848" s="13"/>
    </row>
    <row r="1849" spans="1:33" x14ac:dyDescent="0.3">
      <c r="A1849" s="10">
        <f t="shared" si="414"/>
        <v>1620</v>
      </c>
      <c r="B1849" s="124" t="s">
        <v>2277</v>
      </c>
      <c r="C1849" s="273">
        <f t="shared" si="411"/>
        <v>106610.99</v>
      </c>
      <c r="D1849" s="273">
        <f t="shared" si="412"/>
        <v>0</v>
      </c>
      <c r="E1849" s="273"/>
      <c r="F1849" s="273"/>
      <c r="G1849" s="273"/>
      <c r="H1849" s="273"/>
      <c r="I1849" s="273"/>
      <c r="J1849" s="273"/>
      <c r="K1849" s="273"/>
      <c r="L1849" s="273"/>
      <c r="M1849" s="273"/>
      <c r="N1849" s="273"/>
      <c r="O1849" s="273"/>
      <c r="P1849" s="273"/>
      <c r="Q1849" s="273"/>
      <c r="R1849" s="273"/>
      <c r="S1849" s="273"/>
      <c r="T1849" s="273"/>
      <c r="U1849" s="273"/>
      <c r="V1849" s="273"/>
      <c r="W1849" s="273">
        <f t="shared" si="413"/>
        <v>106610.99</v>
      </c>
      <c r="X1849" s="269"/>
      <c r="Y1849" s="269"/>
      <c r="Z1849" s="269"/>
      <c r="AB1849" s="269"/>
      <c r="AC1849" s="269">
        <v>106610.99</v>
      </c>
      <c r="AD1849" s="7"/>
      <c r="AE1849" s="13"/>
      <c r="AF1849" s="13"/>
      <c r="AG1849" s="13"/>
    </row>
    <row r="1850" spans="1:33" x14ac:dyDescent="0.3">
      <c r="A1850" s="10">
        <f t="shared" si="414"/>
        <v>1621</v>
      </c>
      <c r="B1850" s="124" t="s">
        <v>2278</v>
      </c>
      <c r="C1850" s="273">
        <f t="shared" si="411"/>
        <v>107819.42</v>
      </c>
      <c r="D1850" s="273">
        <f t="shared" si="412"/>
        <v>0</v>
      </c>
      <c r="E1850" s="273"/>
      <c r="F1850" s="273"/>
      <c r="G1850" s="273"/>
      <c r="H1850" s="273"/>
      <c r="I1850" s="273"/>
      <c r="J1850" s="273"/>
      <c r="K1850" s="273"/>
      <c r="L1850" s="273"/>
      <c r="M1850" s="273"/>
      <c r="N1850" s="273"/>
      <c r="O1850" s="273"/>
      <c r="P1850" s="273"/>
      <c r="Q1850" s="273"/>
      <c r="R1850" s="273"/>
      <c r="S1850" s="273"/>
      <c r="T1850" s="273"/>
      <c r="U1850" s="273"/>
      <c r="V1850" s="273"/>
      <c r="W1850" s="273">
        <f t="shared" si="413"/>
        <v>107819.42</v>
      </c>
      <c r="X1850" s="269"/>
      <c r="Y1850" s="269"/>
      <c r="Z1850" s="269"/>
      <c r="AB1850" s="269"/>
      <c r="AC1850" s="269">
        <v>107819.42</v>
      </c>
      <c r="AD1850" s="7"/>
      <c r="AE1850" s="13"/>
      <c r="AF1850" s="13"/>
      <c r="AG1850" s="13"/>
    </row>
    <row r="1851" spans="1:33" x14ac:dyDescent="0.3">
      <c r="A1851" s="10">
        <f t="shared" si="414"/>
        <v>1622</v>
      </c>
      <c r="B1851" s="124" t="s">
        <v>2279</v>
      </c>
      <c r="C1851" s="273">
        <f t="shared" si="411"/>
        <v>102963.85</v>
      </c>
      <c r="D1851" s="273">
        <f t="shared" si="412"/>
        <v>0</v>
      </c>
      <c r="E1851" s="273"/>
      <c r="F1851" s="273"/>
      <c r="G1851" s="273"/>
      <c r="H1851" s="273"/>
      <c r="I1851" s="273"/>
      <c r="J1851" s="273"/>
      <c r="K1851" s="273"/>
      <c r="L1851" s="273"/>
      <c r="M1851" s="273"/>
      <c r="N1851" s="273"/>
      <c r="O1851" s="273"/>
      <c r="P1851" s="273"/>
      <c r="Q1851" s="273"/>
      <c r="R1851" s="273"/>
      <c r="S1851" s="273"/>
      <c r="T1851" s="273"/>
      <c r="U1851" s="273"/>
      <c r="V1851" s="273"/>
      <c r="W1851" s="273">
        <f t="shared" si="413"/>
        <v>102963.85</v>
      </c>
      <c r="X1851" s="269"/>
      <c r="Y1851" s="269"/>
      <c r="Z1851" s="269"/>
      <c r="AB1851" s="269"/>
      <c r="AC1851" s="269">
        <v>102963.85</v>
      </c>
      <c r="AD1851" s="7"/>
      <c r="AE1851" s="13"/>
      <c r="AF1851" s="13"/>
      <c r="AG1851" s="13"/>
    </row>
    <row r="1852" spans="1:33" x14ac:dyDescent="0.3">
      <c r="A1852" s="10">
        <f t="shared" si="414"/>
        <v>1623</v>
      </c>
      <c r="B1852" s="124" t="s">
        <v>2280</v>
      </c>
      <c r="C1852" s="273">
        <f t="shared" si="411"/>
        <v>169855.3</v>
      </c>
      <c r="D1852" s="273">
        <f t="shared" si="412"/>
        <v>0</v>
      </c>
      <c r="E1852" s="273"/>
      <c r="F1852" s="273"/>
      <c r="G1852" s="273"/>
      <c r="H1852" s="273"/>
      <c r="I1852" s="273"/>
      <c r="J1852" s="273"/>
      <c r="K1852" s="273"/>
      <c r="L1852" s="273"/>
      <c r="M1852" s="273"/>
      <c r="N1852" s="273"/>
      <c r="O1852" s="273"/>
      <c r="P1852" s="273"/>
      <c r="Q1852" s="273"/>
      <c r="R1852" s="273"/>
      <c r="S1852" s="273"/>
      <c r="T1852" s="273"/>
      <c r="U1852" s="273"/>
      <c r="V1852" s="273"/>
      <c r="W1852" s="273">
        <f t="shared" si="413"/>
        <v>169855.3</v>
      </c>
      <c r="X1852" s="269"/>
      <c r="Y1852" s="269"/>
      <c r="Z1852" s="269"/>
      <c r="AB1852" s="269"/>
      <c r="AC1852" s="269">
        <v>169855.3</v>
      </c>
      <c r="AD1852" s="7"/>
      <c r="AE1852" s="13"/>
      <c r="AF1852" s="13"/>
      <c r="AG1852" s="13"/>
    </row>
    <row r="1853" spans="1:33" x14ac:dyDescent="0.3">
      <c r="A1853" s="133" t="s">
        <v>208</v>
      </c>
      <c r="B1853" s="122"/>
      <c r="C1853" s="273">
        <f t="shared" ref="C1853:W1853" si="415">SUM(C1844:C1852)</f>
        <v>1301861.0900000001</v>
      </c>
      <c r="D1853" s="273">
        <f t="shared" si="415"/>
        <v>0</v>
      </c>
      <c r="E1853" s="273">
        <f t="shared" si="415"/>
        <v>0</v>
      </c>
      <c r="F1853" s="273">
        <f t="shared" si="415"/>
        <v>0</v>
      </c>
      <c r="G1853" s="273">
        <f t="shared" si="415"/>
        <v>0</v>
      </c>
      <c r="H1853" s="273">
        <f t="shared" si="415"/>
        <v>0</v>
      </c>
      <c r="I1853" s="273">
        <f t="shared" si="415"/>
        <v>0</v>
      </c>
      <c r="J1853" s="273">
        <f t="shared" si="415"/>
        <v>0</v>
      </c>
      <c r="K1853" s="273">
        <f t="shared" si="415"/>
        <v>0</v>
      </c>
      <c r="L1853" s="273">
        <f t="shared" si="415"/>
        <v>0</v>
      </c>
      <c r="M1853" s="273">
        <f t="shared" si="415"/>
        <v>0</v>
      </c>
      <c r="N1853" s="273">
        <f t="shared" si="415"/>
        <v>0</v>
      </c>
      <c r="O1853" s="273">
        <f t="shared" si="415"/>
        <v>0</v>
      </c>
      <c r="P1853" s="273">
        <f t="shared" si="415"/>
        <v>0</v>
      </c>
      <c r="Q1853" s="273">
        <f t="shared" si="415"/>
        <v>0</v>
      </c>
      <c r="R1853" s="273">
        <f t="shared" si="415"/>
        <v>0</v>
      </c>
      <c r="S1853" s="273">
        <f t="shared" si="415"/>
        <v>0</v>
      </c>
      <c r="T1853" s="273">
        <f t="shared" si="415"/>
        <v>0</v>
      </c>
      <c r="U1853" s="273">
        <f t="shared" si="415"/>
        <v>0</v>
      </c>
      <c r="V1853" s="273">
        <f t="shared" si="415"/>
        <v>0</v>
      </c>
      <c r="W1853" s="273">
        <f t="shared" si="415"/>
        <v>1301861.0900000001</v>
      </c>
      <c r="X1853" s="269"/>
      <c r="Y1853" s="269"/>
      <c r="Z1853" s="269"/>
      <c r="AA1853" s="269"/>
      <c r="AB1853" s="269"/>
      <c r="AD1853" s="7"/>
      <c r="AE1853" s="13"/>
      <c r="AF1853" s="13"/>
      <c r="AG1853" s="13"/>
    </row>
    <row r="1854" spans="1:33" x14ac:dyDescent="0.3">
      <c r="A1854" s="131" t="s">
        <v>2281</v>
      </c>
      <c r="B1854" s="111"/>
      <c r="C1854" s="273"/>
      <c r="D1854" s="273"/>
      <c r="E1854" s="273"/>
      <c r="F1854" s="273"/>
      <c r="G1854" s="273"/>
      <c r="H1854" s="273"/>
      <c r="I1854" s="273"/>
      <c r="J1854" s="273"/>
      <c r="K1854" s="273"/>
      <c r="L1854" s="273"/>
      <c r="M1854" s="273"/>
      <c r="N1854" s="273"/>
      <c r="O1854" s="273"/>
      <c r="P1854" s="273"/>
      <c r="Q1854" s="273"/>
      <c r="R1854" s="273"/>
      <c r="S1854" s="273"/>
      <c r="T1854" s="273"/>
      <c r="U1854" s="273"/>
      <c r="V1854" s="273"/>
      <c r="W1854" s="273"/>
      <c r="X1854" s="269"/>
      <c r="Y1854" s="269"/>
      <c r="Z1854" s="269"/>
      <c r="AA1854" s="269"/>
      <c r="AB1854" s="269"/>
      <c r="AC1854" s="7"/>
      <c r="AD1854" s="13"/>
      <c r="AE1854" s="13"/>
      <c r="AF1854" s="13"/>
      <c r="AG1854" s="13"/>
    </row>
    <row r="1855" spans="1:33" x14ac:dyDescent="0.3">
      <c r="A1855" s="10">
        <f>A1852+1</f>
        <v>1624</v>
      </c>
      <c r="B1855" s="124" t="s">
        <v>2284</v>
      </c>
      <c r="C1855" s="273">
        <f t="shared" ref="C1855:C1875" si="416">D1855+K1855+L1855+N1855+P1855+R1855+S1855+U1855+V1855+W1855</f>
        <v>203212.37</v>
      </c>
      <c r="D1855" s="273">
        <f t="shared" ref="D1855:D1875" si="417">E1855+F1855+G1855+H1855+I1855</f>
        <v>0</v>
      </c>
      <c r="E1855" s="273"/>
      <c r="F1855" s="273"/>
      <c r="G1855" s="273"/>
      <c r="H1855" s="273"/>
      <c r="I1855" s="273"/>
      <c r="J1855" s="273"/>
      <c r="K1855" s="273"/>
      <c r="L1855" s="273"/>
      <c r="M1855" s="273"/>
      <c r="N1855" s="273"/>
      <c r="O1855" s="273"/>
      <c r="P1855" s="273"/>
      <c r="Q1855" s="273"/>
      <c r="R1855" s="273"/>
      <c r="S1855" s="273"/>
      <c r="T1855" s="273"/>
      <c r="U1855" s="273"/>
      <c r="V1855" s="273"/>
      <c r="W1855" s="273">
        <f t="shared" ref="W1855:W1875" si="418">SUM(X1855:AG1855)</f>
        <v>203212.37</v>
      </c>
      <c r="X1855" s="269"/>
      <c r="Y1855" s="269"/>
      <c r="Z1855" s="269"/>
      <c r="AA1855" s="269"/>
      <c r="AC1855" s="7"/>
      <c r="AD1855" s="13"/>
      <c r="AE1855" s="269">
        <v>203212.37</v>
      </c>
      <c r="AF1855" s="13"/>
      <c r="AG1855" s="13"/>
    </row>
    <row r="1856" spans="1:33" x14ac:dyDescent="0.3">
      <c r="A1856" s="10">
        <f t="shared" ref="A1856:A1875" si="419">A1855+1</f>
        <v>1625</v>
      </c>
      <c r="B1856" s="124" t="s">
        <v>2285</v>
      </c>
      <c r="C1856" s="273">
        <f t="shared" si="416"/>
        <v>194213.21</v>
      </c>
      <c r="D1856" s="273">
        <f t="shared" si="417"/>
        <v>0</v>
      </c>
      <c r="E1856" s="273"/>
      <c r="F1856" s="273"/>
      <c r="G1856" s="273"/>
      <c r="H1856" s="273"/>
      <c r="I1856" s="273"/>
      <c r="J1856" s="273"/>
      <c r="K1856" s="273"/>
      <c r="L1856" s="273"/>
      <c r="M1856" s="273"/>
      <c r="N1856" s="273"/>
      <c r="O1856" s="273"/>
      <c r="P1856" s="273"/>
      <c r="Q1856" s="273"/>
      <c r="R1856" s="273"/>
      <c r="S1856" s="273"/>
      <c r="T1856" s="273"/>
      <c r="U1856" s="273"/>
      <c r="V1856" s="273"/>
      <c r="W1856" s="273">
        <f t="shared" si="418"/>
        <v>194213.21</v>
      </c>
      <c r="X1856" s="269"/>
      <c r="Y1856" s="269"/>
      <c r="Z1856" s="269"/>
      <c r="AA1856" s="269"/>
      <c r="AC1856" s="7">
        <v>194213.21</v>
      </c>
      <c r="AD1856" s="13"/>
      <c r="AE1856" s="269"/>
      <c r="AF1856" s="13"/>
      <c r="AG1856" s="13"/>
    </row>
    <row r="1857" spans="1:33" x14ac:dyDescent="0.3">
      <c r="A1857" s="10">
        <f t="shared" si="419"/>
        <v>1626</v>
      </c>
      <c r="B1857" s="124" t="s">
        <v>2286</v>
      </c>
      <c r="C1857" s="273">
        <f t="shared" si="416"/>
        <v>187343.08</v>
      </c>
      <c r="D1857" s="273">
        <f t="shared" si="417"/>
        <v>0</v>
      </c>
      <c r="E1857" s="273"/>
      <c r="F1857" s="273"/>
      <c r="G1857" s="273"/>
      <c r="H1857" s="273"/>
      <c r="I1857" s="273"/>
      <c r="J1857" s="273"/>
      <c r="K1857" s="273"/>
      <c r="L1857" s="273"/>
      <c r="M1857" s="273"/>
      <c r="N1857" s="273"/>
      <c r="O1857" s="273"/>
      <c r="P1857" s="273"/>
      <c r="Q1857" s="273"/>
      <c r="R1857" s="273"/>
      <c r="S1857" s="273"/>
      <c r="T1857" s="273"/>
      <c r="U1857" s="273"/>
      <c r="V1857" s="273"/>
      <c r="W1857" s="273">
        <f t="shared" si="418"/>
        <v>187343.08</v>
      </c>
      <c r="X1857" s="269"/>
      <c r="Y1857" s="269"/>
      <c r="Z1857" s="269"/>
      <c r="AA1857" s="269"/>
      <c r="AC1857" s="7"/>
      <c r="AD1857" s="13"/>
      <c r="AE1857" s="245">
        <v>187343.08</v>
      </c>
      <c r="AF1857" s="13"/>
      <c r="AG1857" s="13"/>
    </row>
    <row r="1858" spans="1:33" x14ac:dyDescent="0.3">
      <c r="A1858" s="10">
        <f t="shared" si="419"/>
        <v>1627</v>
      </c>
      <c r="B1858" s="124" t="s">
        <v>2287</v>
      </c>
      <c r="C1858" s="273">
        <f t="shared" si="416"/>
        <v>91100.87</v>
      </c>
      <c r="D1858" s="273">
        <f t="shared" si="417"/>
        <v>0</v>
      </c>
      <c r="E1858" s="273"/>
      <c r="F1858" s="273"/>
      <c r="G1858" s="273"/>
      <c r="H1858" s="273"/>
      <c r="I1858" s="273"/>
      <c r="J1858" s="273"/>
      <c r="K1858" s="273"/>
      <c r="L1858" s="273"/>
      <c r="M1858" s="273"/>
      <c r="N1858" s="273"/>
      <c r="O1858" s="273"/>
      <c r="P1858" s="273"/>
      <c r="Q1858" s="273"/>
      <c r="R1858" s="273"/>
      <c r="S1858" s="273"/>
      <c r="T1858" s="273"/>
      <c r="U1858" s="273"/>
      <c r="V1858" s="273"/>
      <c r="W1858" s="273">
        <f t="shared" si="418"/>
        <v>91100.87</v>
      </c>
      <c r="X1858" s="269"/>
      <c r="Y1858" s="269"/>
      <c r="Z1858" s="269"/>
      <c r="AA1858" s="269"/>
      <c r="AC1858" s="7">
        <v>91100.87</v>
      </c>
      <c r="AD1858" s="13"/>
      <c r="AE1858" s="269"/>
      <c r="AF1858" s="13"/>
      <c r="AG1858" s="13"/>
    </row>
    <row r="1859" spans="1:33" x14ac:dyDescent="0.3">
      <c r="A1859" s="10">
        <f t="shared" si="419"/>
        <v>1628</v>
      </c>
      <c r="B1859" s="124" t="s">
        <v>2288</v>
      </c>
      <c r="C1859" s="273">
        <f t="shared" si="416"/>
        <v>91100.87</v>
      </c>
      <c r="D1859" s="273">
        <f t="shared" si="417"/>
        <v>0</v>
      </c>
      <c r="E1859" s="273"/>
      <c r="F1859" s="273"/>
      <c r="G1859" s="273"/>
      <c r="H1859" s="273"/>
      <c r="I1859" s="273"/>
      <c r="J1859" s="273"/>
      <c r="K1859" s="273"/>
      <c r="L1859" s="273"/>
      <c r="M1859" s="273"/>
      <c r="N1859" s="273"/>
      <c r="O1859" s="273"/>
      <c r="P1859" s="273"/>
      <c r="Q1859" s="273"/>
      <c r="R1859" s="273"/>
      <c r="S1859" s="273"/>
      <c r="T1859" s="273"/>
      <c r="U1859" s="273"/>
      <c r="V1859" s="273"/>
      <c r="W1859" s="273">
        <f t="shared" si="418"/>
        <v>91100.87</v>
      </c>
      <c r="X1859" s="269"/>
      <c r="Y1859" s="269"/>
      <c r="Z1859" s="269"/>
      <c r="AA1859" s="269"/>
      <c r="AC1859" s="7">
        <v>91100.87</v>
      </c>
      <c r="AD1859" s="13"/>
      <c r="AE1859" s="269"/>
      <c r="AF1859" s="13"/>
      <c r="AG1859" s="13"/>
    </row>
    <row r="1860" spans="1:33" x14ac:dyDescent="0.3">
      <c r="A1860" s="10">
        <f t="shared" si="419"/>
        <v>1629</v>
      </c>
      <c r="B1860" s="124" t="s">
        <v>2289</v>
      </c>
      <c r="C1860" s="273">
        <f t="shared" si="416"/>
        <v>407315.01</v>
      </c>
      <c r="D1860" s="273">
        <f t="shared" si="417"/>
        <v>0</v>
      </c>
      <c r="E1860" s="273"/>
      <c r="F1860" s="273"/>
      <c r="G1860" s="273"/>
      <c r="H1860" s="273"/>
      <c r="I1860" s="273"/>
      <c r="J1860" s="273"/>
      <c r="K1860" s="273"/>
      <c r="L1860" s="273"/>
      <c r="M1860" s="273"/>
      <c r="N1860" s="273"/>
      <c r="O1860" s="273"/>
      <c r="P1860" s="273"/>
      <c r="Q1860" s="273"/>
      <c r="R1860" s="273"/>
      <c r="S1860" s="273"/>
      <c r="T1860" s="273"/>
      <c r="U1860" s="273"/>
      <c r="V1860" s="273"/>
      <c r="W1860" s="273">
        <f t="shared" si="418"/>
        <v>407315.01</v>
      </c>
      <c r="X1860" s="269"/>
      <c r="Y1860" s="269"/>
      <c r="Z1860" s="269"/>
      <c r="AA1860" s="269"/>
      <c r="AC1860" s="7">
        <v>91100.87</v>
      </c>
      <c r="AD1860" s="13"/>
      <c r="AE1860" s="269">
        <v>316214.14</v>
      </c>
      <c r="AF1860" s="13"/>
      <c r="AG1860" s="13"/>
    </row>
    <row r="1861" spans="1:33" x14ac:dyDescent="0.3">
      <c r="A1861" s="10">
        <f t="shared" si="419"/>
        <v>1630</v>
      </c>
      <c r="B1861" s="124" t="s">
        <v>2290</v>
      </c>
      <c r="C1861" s="273">
        <f t="shared" si="416"/>
        <v>184464.44</v>
      </c>
      <c r="D1861" s="273">
        <f t="shared" si="417"/>
        <v>0</v>
      </c>
      <c r="E1861" s="273"/>
      <c r="F1861" s="273"/>
      <c r="G1861" s="273"/>
      <c r="H1861" s="273"/>
      <c r="I1861" s="273"/>
      <c r="J1861" s="273"/>
      <c r="K1861" s="273"/>
      <c r="L1861" s="273"/>
      <c r="M1861" s="273"/>
      <c r="N1861" s="273"/>
      <c r="O1861" s="273"/>
      <c r="P1861" s="273"/>
      <c r="Q1861" s="273"/>
      <c r="R1861" s="273"/>
      <c r="S1861" s="273"/>
      <c r="T1861" s="273"/>
      <c r="U1861" s="273"/>
      <c r="V1861" s="273"/>
      <c r="W1861" s="273">
        <f t="shared" si="418"/>
        <v>184464.44</v>
      </c>
      <c r="X1861" s="269"/>
      <c r="Y1861" s="269"/>
      <c r="Z1861" s="269"/>
      <c r="AA1861" s="269"/>
      <c r="AC1861" s="7"/>
      <c r="AD1861" s="13"/>
      <c r="AE1861" s="269">
        <v>184464.44</v>
      </c>
      <c r="AF1861" s="13"/>
      <c r="AG1861" s="13"/>
    </row>
    <row r="1862" spans="1:33" x14ac:dyDescent="0.3">
      <c r="A1862" s="10">
        <f t="shared" si="419"/>
        <v>1631</v>
      </c>
      <c r="B1862" s="124" t="s">
        <v>2291</v>
      </c>
      <c r="C1862" s="273">
        <f t="shared" si="416"/>
        <v>346673.63</v>
      </c>
      <c r="D1862" s="273">
        <f t="shared" si="417"/>
        <v>0</v>
      </c>
      <c r="E1862" s="273"/>
      <c r="F1862" s="273"/>
      <c r="G1862" s="273"/>
      <c r="H1862" s="273"/>
      <c r="I1862" s="273"/>
      <c r="J1862" s="273"/>
      <c r="K1862" s="273"/>
      <c r="L1862" s="273"/>
      <c r="M1862" s="273"/>
      <c r="N1862" s="273"/>
      <c r="O1862" s="273"/>
      <c r="P1862" s="273"/>
      <c r="Q1862" s="273"/>
      <c r="R1862" s="273"/>
      <c r="S1862" s="273"/>
      <c r="T1862" s="273"/>
      <c r="U1862" s="273"/>
      <c r="V1862" s="273"/>
      <c r="W1862" s="273">
        <f t="shared" si="418"/>
        <v>346673.63</v>
      </c>
      <c r="X1862" s="269">
        <v>107180.83</v>
      </c>
      <c r="Y1862" s="36">
        <v>127173.29</v>
      </c>
      <c r="Z1862" s="269">
        <v>112319.51</v>
      </c>
      <c r="AA1862" s="269"/>
      <c r="AC1862" s="7"/>
      <c r="AD1862" s="13"/>
      <c r="AE1862" s="269"/>
      <c r="AF1862" s="13"/>
      <c r="AG1862" s="13"/>
    </row>
    <row r="1863" spans="1:33" x14ac:dyDescent="0.3">
      <c r="A1863" s="10">
        <f t="shared" si="419"/>
        <v>1632</v>
      </c>
      <c r="B1863" s="124" t="s">
        <v>2292</v>
      </c>
      <c r="C1863" s="273">
        <f t="shared" si="416"/>
        <v>200521.82</v>
      </c>
      <c r="D1863" s="273">
        <f t="shared" si="417"/>
        <v>0</v>
      </c>
      <c r="E1863" s="273"/>
      <c r="F1863" s="273"/>
      <c r="G1863" s="273"/>
      <c r="H1863" s="273"/>
      <c r="I1863" s="273"/>
      <c r="J1863" s="273"/>
      <c r="K1863" s="273"/>
      <c r="L1863" s="273"/>
      <c r="M1863" s="273"/>
      <c r="N1863" s="273"/>
      <c r="O1863" s="273"/>
      <c r="P1863" s="273"/>
      <c r="Q1863" s="273"/>
      <c r="R1863" s="273"/>
      <c r="S1863" s="273"/>
      <c r="T1863" s="273"/>
      <c r="U1863" s="273"/>
      <c r="V1863" s="273"/>
      <c r="W1863" s="273">
        <f t="shared" si="418"/>
        <v>200521.82</v>
      </c>
      <c r="X1863" s="269"/>
      <c r="Z1863" s="269"/>
      <c r="AA1863" s="269"/>
      <c r="AC1863" s="7">
        <v>200521.82</v>
      </c>
      <c r="AD1863" s="13"/>
      <c r="AE1863" s="269"/>
      <c r="AF1863" s="13"/>
      <c r="AG1863" s="13"/>
    </row>
    <row r="1864" spans="1:33" x14ac:dyDescent="0.3">
      <c r="A1864" s="10">
        <f t="shared" si="419"/>
        <v>1633</v>
      </c>
      <c r="B1864" s="124" t="s">
        <v>2293</v>
      </c>
      <c r="C1864" s="273">
        <f t="shared" si="416"/>
        <v>239492.8</v>
      </c>
      <c r="D1864" s="273">
        <f t="shared" si="417"/>
        <v>0</v>
      </c>
      <c r="E1864" s="273"/>
      <c r="F1864" s="273"/>
      <c r="G1864" s="273"/>
      <c r="H1864" s="273"/>
      <c r="I1864" s="273"/>
      <c r="J1864" s="273"/>
      <c r="K1864" s="273"/>
      <c r="L1864" s="273"/>
      <c r="M1864" s="273"/>
      <c r="N1864" s="273"/>
      <c r="O1864" s="273"/>
      <c r="P1864" s="273"/>
      <c r="Q1864" s="273"/>
      <c r="R1864" s="273"/>
      <c r="S1864" s="273"/>
      <c r="T1864" s="273"/>
      <c r="U1864" s="273"/>
      <c r="V1864" s="273"/>
      <c r="W1864" s="273">
        <f t="shared" si="418"/>
        <v>239492.8</v>
      </c>
      <c r="X1864" s="269"/>
      <c r="Y1864" s="36">
        <v>127173.29</v>
      </c>
      <c r="Z1864" s="269">
        <v>112319.51</v>
      </c>
      <c r="AA1864" s="269"/>
      <c r="AC1864" s="7"/>
      <c r="AD1864" s="13"/>
      <c r="AE1864" s="269"/>
      <c r="AF1864" s="13"/>
      <c r="AG1864" s="13"/>
    </row>
    <row r="1865" spans="1:33" x14ac:dyDescent="0.3">
      <c r="A1865" s="10">
        <f t="shared" si="419"/>
        <v>1634</v>
      </c>
      <c r="B1865" s="124" t="s">
        <v>2294</v>
      </c>
      <c r="C1865" s="273">
        <f t="shared" si="416"/>
        <v>239492.8</v>
      </c>
      <c r="D1865" s="273">
        <f t="shared" si="417"/>
        <v>0</v>
      </c>
      <c r="E1865" s="273"/>
      <c r="F1865" s="273"/>
      <c r="G1865" s="273"/>
      <c r="H1865" s="273"/>
      <c r="I1865" s="273"/>
      <c r="J1865" s="273"/>
      <c r="K1865" s="273"/>
      <c r="L1865" s="273"/>
      <c r="M1865" s="273"/>
      <c r="N1865" s="273"/>
      <c r="O1865" s="273"/>
      <c r="P1865" s="273"/>
      <c r="Q1865" s="273"/>
      <c r="R1865" s="273"/>
      <c r="S1865" s="273"/>
      <c r="T1865" s="273"/>
      <c r="U1865" s="273"/>
      <c r="V1865" s="273"/>
      <c r="W1865" s="273">
        <f t="shared" si="418"/>
        <v>239492.8</v>
      </c>
      <c r="X1865" s="269"/>
      <c r="Y1865" s="36">
        <v>127173.29</v>
      </c>
      <c r="Z1865" s="269">
        <v>112319.51</v>
      </c>
      <c r="AA1865" s="269"/>
      <c r="AC1865" s="7"/>
      <c r="AD1865" s="13"/>
      <c r="AE1865" s="269"/>
      <c r="AF1865" s="13"/>
      <c r="AG1865" s="13"/>
    </row>
    <row r="1866" spans="1:33" x14ac:dyDescent="0.3">
      <c r="A1866" s="10">
        <f t="shared" si="419"/>
        <v>1635</v>
      </c>
      <c r="B1866" s="124" t="s">
        <v>2295</v>
      </c>
      <c r="C1866" s="273">
        <f t="shared" si="416"/>
        <v>239492.8</v>
      </c>
      <c r="D1866" s="273">
        <f t="shared" si="417"/>
        <v>0</v>
      </c>
      <c r="E1866" s="273"/>
      <c r="F1866" s="273"/>
      <c r="G1866" s="273"/>
      <c r="H1866" s="273"/>
      <c r="I1866" s="273"/>
      <c r="J1866" s="273"/>
      <c r="K1866" s="273"/>
      <c r="L1866" s="273"/>
      <c r="M1866" s="273"/>
      <c r="N1866" s="273"/>
      <c r="O1866" s="273"/>
      <c r="P1866" s="273"/>
      <c r="Q1866" s="273"/>
      <c r="R1866" s="273"/>
      <c r="S1866" s="273"/>
      <c r="T1866" s="273"/>
      <c r="U1866" s="273"/>
      <c r="V1866" s="273"/>
      <c r="W1866" s="273">
        <f t="shared" si="418"/>
        <v>239492.8</v>
      </c>
      <c r="X1866" s="269"/>
      <c r="Y1866" s="36">
        <v>127173.29</v>
      </c>
      <c r="Z1866" s="269">
        <v>112319.51</v>
      </c>
      <c r="AA1866" s="269"/>
      <c r="AC1866" s="7"/>
      <c r="AD1866" s="13"/>
      <c r="AE1866" s="269"/>
      <c r="AF1866" s="13"/>
      <c r="AG1866" s="13"/>
    </row>
    <row r="1867" spans="1:33" x14ac:dyDescent="0.3">
      <c r="A1867" s="10">
        <f t="shared" si="419"/>
        <v>1636</v>
      </c>
      <c r="B1867" s="124" t="s">
        <v>2296</v>
      </c>
      <c r="C1867" s="273">
        <f t="shared" si="416"/>
        <v>239492.8</v>
      </c>
      <c r="D1867" s="273">
        <f t="shared" si="417"/>
        <v>0</v>
      </c>
      <c r="E1867" s="273"/>
      <c r="F1867" s="273"/>
      <c r="G1867" s="273"/>
      <c r="H1867" s="273"/>
      <c r="I1867" s="273"/>
      <c r="J1867" s="273"/>
      <c r="K1867" s="273"/>
      <c r="L1867" s="273"/>
      <c r="M1867" s="273"/>
      <c r="N1867" s="273"/>
      <c r="O1867" s="273"/>
      <c r="P1867" s="273"/>
      <c r="Q1867" s="273"/>
      <c r="R1867" s="273"/>
      <c r="S1867" s="273"/>
      <c r="T1867" s="273"/>
      <c r="U1867" s="273"/>
      <c r="V1867" s="273"/>
      <c r="W1867" s="273">
        <f t="shared" si="418"/>
        <v>239492.8</v>
      </c>
      <c r="X1867" s="269"/>
      <c r="Y1867" s="36">
        <v>127173.29</v>
      </c>
      <c r="Z1867" s="269">
        <v>112319.51</v>
      </c>
      <c r="AA1867" s="269"/>
      <c r="AC1867" s="7"/>
      <c r="AD1867" s="13"/>
      <c r="AE1867" s="269"/>
      <c r="AF1867" s="13"/>
      <c r="AG1867" s="13"/>
    </row>
    <row r="1868" spans="1:33" x14ac:dyDescent="0.3">
      <c r="A1868" s="10">
        <f t="shared" si="419"/>
        <v>1637</v>
      </c>
      <c r="B1868" s="124" t="s">
        <v>2297</v>
      </c>
      <c r="C1868" s="273">
        <f t="shared" si="416"/>
        <v>119753.21</v>
      </c>
      <c r="D1868" s="273">
        <f t="shared" si="417"/>
        <v>0</v>
      </c>
      <c r="E1868" s="273"/>
      <c r="F1868" s="273"/>
      <c r="G1868" s="273"/>
      <c r="H1868" s="273"/>
      <c r="I1868" s="273"/>
      <c r="J1868" s="273"/>
      <c r="K1868" s="273"/>
      <c r="L1868" s="273"/>
      <c r="M1868" s="273"/>
      <c r="N1868" s="273"/>
      <c r="O1868" s="273"/>
      <c r="P1868" s="273"/>
      <c r="Q1868" s="273"/>
      <c r="R1868" s="273"/>
      <c r="S1868" s="273"/>
      <c r="T1868" s="273"/>
      <c r="U1868" s="273"/>
      <c r="V1868" s="273"/>
      <c r="W1868" s="273">
        <f t="shared" si="418"/>
        <v>119753.21</v>
      </c>
      <c r="X1868" s="269">
        <v>119753.21</v>
      </c>
      <c r="Z1868" s="269"/>
      <c r="AA1868" s="269"/>
      <c r="AC1868" s="7"/>
      <c r="AD1868" s="13"/>
      <c r="AE1868" s="269"/>
      <c r="AF1868" s="13"/>
      <c r="AG1868" s="13"/>
    </row>
    <row r="1869" spans="1:33" x14ac:dyDescent="0.3">
      <c r="A1869" s="10">
        <f t="shared" si="419"/>
        <v>1638</v>
      </c>
      <c r="B1869" s="124" t="s">
        <v>2298</v>
      </c>
      <c r="C1869" s="273">
        <f t="shared" si="416"/>
        <v>385036.01</v>
      </c>
      <c r="D1869" s="273">
        <f t="shared" si="417"/>
        <v>0</v>
      </c>
      <c r="E1869" s="273"/>
      <c r="F1869" s="273"/>
      <c r="G1869" s="273"/>
      <c r="H1869" s="273"/>
      <c r="I1869" s="273"/>
      <c r="J1869" s="273"/>
      <c r="K1869" s="273"/>
      <c r="L1869" s="273"/>
      <c r="M1869" s="273"/>
      <c r="N1869" s="273"/>
      <c r="O1869" s="273"/>
      <c r="P1869" s="273"/>
      <c r="Q1869" s="273"/>
      <c r="R1869" s="273"/>
      <c r="S1869" s="273"/>
      <c r="T1869" s="273"/>
      <c r="U1869" s="273"/>
      <c r="V1869" s="273"/>
      <c r="W1869" s="273">
        <f t="shared" si="418"/>
        <v>385036.01</v>
      </c>
      <c r="X1869" s="269">
        <v>119753.21</v>
      </c>
      <c r="Y1869" s="36">
        <v>140390.92000000001</v>
      </c>
      <c r="Z1869" s="269">
        <v>124891.88</v>
      </c>
      <c r="AA1869" s="269"/>
      <c r="AC1869" s="7"/>
      <c r="AD1869" s="13"/>
      <c r="AE1869" s="269"/>
      <c r="AF1869" s="13"/>
      <c r="AG1869" s="13"/>
    </row>
    <row r="1870" spans="1:33" x14ac:dyDescent="0.3">
      <c r="A1870" s="10">
        <f t="shared" si="419"/>
        <v>1639</v>
      </c>
      <c r="B1870" s="124" t="s">
        <v>2299</v>
      </c>
      <c r="C1870" s="273">
        <f t="shared" si="416"/>
        <v>385036.01</v>
      </c>
      <c r="D1870" s="273">
        <f t="shared" si="417"/>
        <v>0</v>
      </c>
      <c r="E1870" s="273"/>
      <c r="F1870" s="273"/>
      <c r="G1870" s="273"/>
      <c r="H1870" s="273"/>
      <c r="I1870" s="273"/>
      <c r="J1870" s="273"/>
      <c r="K1870" s="273"/>
      <c r="L1870" s="273"/>
      <c r="M1870" s="273"/>
      <c r="N1870" s="273"/>
      <c r="O1870" s="273"/>
      <c r="P1870" s="273"/>
      <c r="Q1870" s="273"/>
      <c r="R1870" s="273"/>
      <c r="S1870" s="273"/>
      <c r="T1870" s="273"/>
      <c r="U1870" s="273"/>
      <c r="V1870" s="273"/>
      <c r="W1870" s="273">
        <f t="shared" si="418"/>
        <v>385036.01</v>
      </c>
      <c r="X1870" s="269">
        <v>119753.21</v>
      </c>
      <c r="Y1870" s="36">
        <v>140390.92000000001</v>
      </c>
      <c r="Z1870" s="269">
        <v>124891.88</v>
      </c>
      <c r="AA1870" s="269"/>
      <c r="AC1870" s="7"/>
      <c r="AD1870" s="13"/>
      <c r="AE1870" s="269"/>
      <c r="AF1870" s="13"/>
      <c r="AG1870" s="13"/>
    </row>
    <row r="1871" spans="1:33" x14ac:dyDescent="0.3">
      <c r="A1871" s="10">
        <f t="shared" si="419"/>
        <v>1640</v>
      </c>
      <c r="B1871" s="124" t="s">
        <v>2300</v>
      </c>
      <c r="C1871" s="273">
        <f t="shared" si="416"/>
        <v>258533.18</v>
      </c>
      <c r="D1871" s="273">
        <f t="shared" si="417"/>
        <v>0</v>
      </c>
      <c r="E1871" s="273"/>
      <c r="F1871" s="273"/>
      <c r="G1871" s="273"/>
      <c r="H1871" s="273"/>
      <c r="I1871" s="273"/>
      <c r="J1871" s="273"/>
      <c r="K1871" s="273"/>
      <c r="L1871" s="273"/>
      <c r="M1871" s="273"/>
      <c r="N1871" s="273"/>
      <c r="O1871" s="273"/>
      <c r="P1871" s="273"/>
      <c r="Q1871" s="273"/>
      <c r="R1871" s="273"/>
      <c r="S1871" s="273"/>
      <c r="T1871" s="273"/>
      <c r="U1871" s="273"/>
      <c r="V1871" s="273"/>
      <c r="W1871" s="273">
        <f t="shared" si="418"/>
        <v>258533.18</v>
      </c>
      <c r="X1871" s="269"/>
      <c r="Y1871" s="269">
        <v>140390.92000000001</v>
      </c>
      <c r="Z1871" s="269"/>
      <c r="AC1871" s="269">
        <v>118142.26</v>
      </c>
      <c r="AD1871" s="13"/>
      <c r="AE1871" s="269"/>
      <c r="AF1871" s="13"/>
      <c r="AG1871" s="13"/>
    </row>
    <row r="1872" spans="1:33" x14ac:dyDescent="0.3">
      <c r="A1872" s="10">
        <f t="shared" si="419"/>
        <v>1641</v>
      </c>
      <c r="B1872" s="124" t="s">
        <v>2301</v>
      </c>
      <c r="C1872" s="273">
        <f t="shared" si="416"/>
        <v>8234591.4199999999</v>
      </c>
      <c r="D1872" s="273">
        <f t="shared" si="417"/>
        <v>5280981.16</v>
      </c>
      <c r="E1872" s="273">
        <v>575866.16</v>
      </c>
      <c r="F1872" s="273">
        <f>423*5502+607361</f>
        <v>2934707</v>
      </c>
      <c r="G1872" s="273">
        <f>150*3910</f>
        <v>586500</v>
      </c>
      <c r="H1872" s="273">
        <v>1183908</v>
      </c>
      <c r="I1872" s="273"/>
      <c r="J1872" s="273"/>
      <c r="K1872" s="273"/>
      <c r="L1872" s="273"/>
      <c r="M1872" s="273">
        <v>600.79999999999995</v>
      </c>
      <c r="N1872" s="273">
        <v>2835468</v>
      </c>
      <c r="O1872" s="273"/>
      <c r="P1872" s="273"/>
      <c r="Q1872" s="273"/>
      <c r="R1872" s="273"/>
      <c r="S1872" s="273"/>
      <c r="T1872" s="273"/>
      <c r="U1872" s="273"/>
      <c r="V1872" s="273"/>
      <c r="W1872" s="273">
        <f t="shared" si="418"/>
        <v>118142.26</v>
      </c>
      <c r="X1872" s="269"/>
      <c r="Y1872" s="269"/>
      <c r="Z1872" s="269"/>
      <c r="AC1872" s="269">
        <v>118142.26</v>
      </c>
      <c r="AD1872" s="13"/>
      <c r="AE1872" s="269"/>
      <c r="AF1872" s="13"/>
      <c r="AG1872" s="13"/>
    </row>
    <row r="1873" spans="1:33" x14ac:dyDescent="0.3">
      <c r="A1873" s="10">
        <f t="shared" si="419"/>
        <v>1642</v>
      </c>
      <c r="B1873" s="124" t="s">
        <v>2302</v>
      </c>
      <c r="C1873" s="273">
        <f t="shared" si="416"/>
        <v>140390.92000000001</v>
      </c>
      <c r="D1873" s="273">
        <f t="shared" si="417"/>
        <v>0</v>
      </c>
      <c r="E1873" s="273"/>
      <c r="F1873" s="273"/>
      <c r="G1873" s="273"/>
      <c r="H1873" s="273"/>
      <c r="I1873" s="273"/>
      <c r="J1873" s="273"/>
      <c r="K1873" s="273"/>
      <c r="L1873" s="273"/>
      <c r="M1873" s="273"/>
      <c r="N1873" s="273"/>
      <c r="O1873" s="273"/>
      <c r="P1873" s="273"/>
      <c r="Q1873" s="273"/>
      <c r="R1873" s="273"/>
      <c r="S1873" s="273"/>
      <c r="T1873" s="273"/>
      <c r="U1873" s="273"/>
      <c r="V1873" s="273"/>
      <c r="W1873" s="273">
        <f t="shared" si="418"/>
        <v>140390.92000000001</v>
      </c>
      <c r="X1873" s="269"/>
      <c r="Y1873" s="269">
        <v>140390.92000000001</v>
      </c>
      <c r="Z1873" s="269"/>
      <c r="AC1873" s="269"/>
      <c r="AD1873" s="13"/>
      <c r="AE1873" s="269"/>
      <c r="AF1873" s="13"/>
      <c r="AG1873" s="13"/>
    </row>
    <row r="1874" spans="1:33" x14ac:dyDescent="0.3">
      <c r="A1874" s="10">
        <f t="shared" si="419"/>
        <v>1643</v>
      </c>
      <c r="B1874" s="124" t="s">
        <v>2304</v>
      </c>
      <c r="C1874" s="273">
        <f t="shared" si="416"/>
        <v>7735745.1400000006</v>
      </c>
      <c r="D1874" s="273">
        <f t="shared" si="417"/>
        <v>4988528.74</v>
      </c>
      <c r="E1874" s="273">
        <v>572054.54</v>
      </c>
      <c r="F1874" s="273">
        <f>423*5502+607361</f>
        <v>2934707</v>
      </c>
      <c r="G1874" s="273">
        <f>150*3910</f>
        <v>586500</v>
      </c>
      <c r="H1874" s="273">
        <v>895267.2</v>
      </c>
      <c r="I1874" s="273"/>
      <c r="J1874" s="273"/>
      <c r="K1874" s="273"/>
      <c r="L1874" s="273"/>
      <c r="M1874" s="273">
        <v>600.79999999999995</v>
      </c>
      <c r="N1874" s="273">
        <v>2747216.4</v>
      </c>
      <c r="O1874" s="273"/>
      <c r="P1874" s="273"/>
      <c r="Q1874" s="273"/>
      <c r="R1874" s="273"/>
      <c r="S1874" s="273"/>
      <c r="T1874" s="273"/>
      <c r="U1874" s="273"/>
      <c r="V1874" s="273"/>
      <c r="W1874" s="273">
        <f t="shared" si="418"/>
        <v>0</v>
      </c>
      <c r="X1874" s="269"/>
      <c r="Y1874" s="269"/>
      <c r="Z1874" s="269"/>
      <c r="AC1874" s="269"/>
      <c r="AD1874" s="13"/>
      <c r="AE1874" s="269"/>
      <c r="AF1874" s="13"/>
      <c r="AG1874" s="13"/>
    </row>
    <row r="1875" spans="1:33" x14ac:dyDescent="0.3">
      <c r="A1875" s="10">
        <f t="shared" si="419"/>
        <v>1644</v>
      </c>
      <c r="B1875" s="124" t="s">
        <v>2305</v>
      </c>
      <c r="C1875" s="273">
        <f t="shared" si="416"/>
        <v>5494347.2800000003</v>
      </c>
      <c r="D1875" s="273">
        <f t="shared" si="417"/>
        <v>5494347.2800000003</v>
      </c>
      <c r="E1875" s="273">
        <v>598773.07999999996</v>
      </c>
      <c r="F1875" s="273">
        <f>423*5502+607361</f>
        <v>2934707</v>
      </c>
      <c r="G1875" s="273">
        <f>150*3910</f>
        <v>586500</v>
      </c>
      <c r="H1875" s="273">
        <v>895267.2</v>
      </c>
      <c r="I1875" s="273">
        <f>150*3194</f>
        <v>479100</v>
      </c>
      <c r="J1875" s="273"/>
      <c r="K1875" s="273"/>
      <c r="L1875" s="273"/>
      <c r="M1875" s="273"/>
      <c r="N1875" s="273"/>
      <c r="O1875" s="273"/>
      <c r="P1875" s="273"/>
      <c r="Q1875" s="273"/>
      <c r="R1875" s="273"/>
      <c r="S1875" s="273"/>
      <c r="T1875" s="273"/>
      <c r="U1875" s="273"/>
      <c r="V1875" s="273"/>
      <c r="W1875" s="273">
        <f t="shared" si="418"/>
        <v>0</v>
      </c>
      <c r="X1875" s="269"/>
      <c r="Y1875" s="269"/>
      <c r="Z1875" s="269"/>
      <c r="AC1875" s="269"/>
      <c r="AD1875" s="13"/>
      <c r="AE1875" s="269"/>
      <c r="AF1875" s="13"/>
      <c r="AG1875" s="13"/>
    </row>
    <row r="1876" spans="1:33" x14ac:dyDescent="0.3">
      <c r="A1876" s="133" t="s">
        <v>208</v>
      </c>
      <c r="B1876" s="122"/>
      <c r="C1876" s="273">
        <f t="shared" ref="C1876:W1876" si="420">SUM(C1855:C1875)</f>
        <v>25617349.670000002</v>
      </c>
      <c r="D1876" s="273">
        <f t="shared" si="420"/>
        <v>15763857.18</v>
      </c>
      <c r="E1876" s="273">
        <f t="shared" si="420"/>
        <v>1746693.7800000003</v>
      </c>
      <c r="F1876" s="273">
        <f t="shared" si="420"/>
        <v>8804121</v>
      </c>
      <c r="G1876" s="273">
        <f t="shared" si="420"/>
        <v>1759500</v>
      </c>
      <c r="H1876" s="273">
        <f t="shared" si="420"/>
        <v>2974442.4</v>
      </c>
      <c r="I1876" s="273">
        <f t="shared" si="420"/>
        <v>479100</v>
      </c>
      <c r="J1876" s="273">
        <f t="shared" si="420"/>
        <v>0</v>
      </c>
      <c r="K1876" s="273">
        <f t="shared" si="420"/>
        <v>0</v>
      </c>
      <c r="L1876" s="273">
        <f t="shared" si="420"/>
        <v>0</v>
      </c>
      <c r="M1876" s="273">
        <f t="shared" si="420"/>
        <v>1201.5999999999999</v>
      </c>
      <c r="N1876" s="273">
        <f t="shared" si="420"/>
        <v>5582684.4000000004</v>
      </c>
      <c r="O1876" s="273">
        <f t="shared" si="420"/>
        <v>0</v>
      </c>
      <c r="P1876" s="273">
        <f t="shared" si="420"/>
        <v>0</v>
      </c>
      <c r="Q1876" s="273">
        <f t="shared" si="420"/>
        <v>0</v>
      </c>
      <c r="R1876" s="273">
        <f t="shared" si="420"/>
        <v>0</v>
      </c>
      <c r="S1876" s="273">
        <f t="shared" si="420"/>
        <v>0</v>
      </c>
      <c r="T1876" s="273">
        <f t="shared" si="420"/>
        <v>0</v>
      </c>
      <c r="U1876" s="273">
        <f t="shared" si="420"/>
        <v>0</v>
      </c>
      <c r="V1876" s="273">
        <f t="shared" si="420"/>
        <v>0</v>
      </c>
      <c r="W1876" s="273">
        <f t="shared" si="420"/>
        <v>4270808.09</v>
      </c>
      <c r="X1876" s="269"/>
      <c r="Y1876" s="269"/>
      <c r="Z1876" s="269"/>
      <c r="AA1876" s="269"/>
      <c r="AB1876" s="269"/>
      <c r="AC1876" s="7"/>
      <c r="AD1876" s="13"/>
      <c r="AE1876" s="13"/>
      <c r="AF1876" s="13"/>
      <c r="AG1876" s="13"/>
    </row>
    <row r="1877" spans="1:33" x14ac:dyDescent="0.3">
      <c r="A1877" s="131" t="s">
        <v>2306</v>
      </c>
      <c r="B1877" s="111"/>
      <c r="C1877" s="273"/>
      <c r="D1877" s="273"/>
      <c r="E1877" s="273"/>
      <c r="F1877" s="273"/>
      <c r="G1877" s="273"/>
      <c r="H1877" s="273"/>
      <c r="I1877" s="273"/>
      <c r="J1877" s="273"/>
      <c r="K1877" s="273"/>
      <c r="L1877" s="273"/>
      <c r="M1877" s="273"/>
      <c r="N1877" s="273"/>
      <c r="O1877" s="273"/>
      <c r="P1877" s="273"/>
      <c r="Q1877" s="273"/>
      <c r="R1877" s="273"/>
      <c r="S1877" s="273"/>
      <c r="T1877" s="273"/>
      <c r="U1877" s="273"/>
      <c r="V1877" s="273"/>
      <c r="W1877" s="273"/>
      <c r="X1877" s="269"/>
      <c r="Y1877" s="269"/>
      <c r="Z1877" s="269"/>
      <c r="AA1877" s="269"/>
      <c r="AB1877" s="269"/>
      <c r="AC1877" s="7"/>
      <c r="AD1877" s="13"/>
      <c r="AE1877" s="13"/>
      <c r="AF1877" s="13"/>
      <c r="AG1877" s="13"/>
    </row>
    <row r="1878" spans="1:33" x14ac:dyDescent="0.3">
      <c r="A1878" s="10">
        <f>A1875+1</f>
        <v>1645</v>
      </c>
      <c r="B1878" s="124" t="s">
        <v>2307</v>
      </c>
      <c r="C1878" s="273">
        <f t="shared" ref="C1878:C1904" si="421">D1878+K1878+L1878+N1878+P1878+R1878+S1878+U1878+V1878+W1878</f>
        <v>111665.21</v>
      </c>
      <c r="D1878" s="273">
        <f t="shared" ref="D1878:D1904" si="422">E1878+F1878+G1878+H1878+I1878</f>
        <v>0</v>
      </c>
      <c r="E1878" s="273"/>
      <c r="F1878" s="273"/>
      <c r="G1878" s="273"/>
      <c r="H1878" s="273"/>
      <c r="I1878" s="273"/>
      <c r="J1878" s="273"/>
      <c r="K1878" s="273"/>
      <c r="L1878" s="273"/>
      <c r="M1878" s="273"/>
      <c r="N1878" s="273"/>
      <c r="O1878" s="273"/>
      <c r="P1878" s="273"/>
      <c r="Q1878" s="273"/>
      <c r="R1878" s="273"/>
      <c r="S1878" s="273"/>
      <c r="T1878" s="273"/>
      <c r="U1878" s="273"/>
      <c r="V1878" s="273"/>
      <c r="W1878" s="273">
        <f t="shared" ref="W1878:W1900" si="423">SUM(X1878:AG1878)</f>
        <v>111665.21</v>
      </c>
      <c r="X1878" s="269"/>
      <c r="Y1878" s="269"/>
      <c r="Z1878" s="269"/>
      <c r="AB1878" s="269"/>
      <c r="AC1878" s="7">
        <v>111665.21</v>
      </c>
      <c r="AE1878" s="13"/>
      <c r="AF1878" s="13"/>
      <c r="AG1878" s="13"/>
    </row>
    <row r="1879" spans="1:33" x14ac:dyDescent="0.3">
      <c r="A1879" s="10">
        <f t="shared" ref="A1879:A1904" si="424">A1878+1</f>
        <v>1646</v>
      </c>
      <c r="B1879" s="124" t="s">
        <v>2308</v>
      </c>
      <c r="C1879" s="273">
        <f t="shared" si="421"/>
        <v>224789.64</v>
      </c>
      <c r="D1879" s="273">
        <f t="shared" si="422"/>
        <v>0</v>
      </c>
      <c r="E1879" s="273"/>
      <c r="F1879" s="273"/>
      <c r="G1879" s="273"/>
      <c r="H1879" s="273"/>
      <c r="I1879" s="273"/>
      <c r="J1879" s="273"/>
      <c r="K1879" s="273"/>
      <c r="L1879" s="273"/>
      <c r="M1879" s="273"/>
      <c r="N1879" s="273"/>
      <c r="O1879" s="273"/>
      <c r="P1879" s="273"/>
      <c r="Q1879" s="273"/>
      <c r="R1879" s="273"/>
      <c r="S1879" s="273"/>
      <c r="T1879" s="273"/>
      <c r="U1879" s="273"/>
      <c r="V1879" s="273"/>
      <c r="W1879" s="273">
        <f t="shared" si="423"/>
        <v>224789.64</v>
      </c>
      <c r="X1879" s="269"/>
      <c r="Y1879" s="269"/>
      <c r="Z1879" s="269"/>
      <c r="AB1879" s="269"/>
      <c r="AC1879" s="7">
        <v>224789.64</v>
      </c>
      <c r="AE1879" s="13"/>
      <c r="AF1879" s="13"/>
      <c r="AG1879" s="13"/>
    </row>
    <row r="1880" spans="1:33" x14ac:dyDescent="0.3">
      <c r="A1880" s="10">
        <f t="shared" si="424"/>
        <v>1647</v>
      </c>
      <c r="B1880" s="124" t="s">
        <v>2309</v>
      </c>
      <c r="C1880" s="273">
        <f t="shared" si="421"/>
        <v>110613.71</v>
      </c>
      <c r="D1880" s="273">
        <f t="shared" si="422"/>
        <v>0</v>
      </c>
      <c r="E1880" s="273"/>
      <c r="F1880" s="273"/>
      <c r="G1880" s="273"/>
      <c r="H1880" s="273"/>
      <c r="I1880" s="273"/>
      <c r="J1880" s="273"/>
      <c r="K1880" s="273"/>
      <c r="L1880" s="273"/>
      <c r="M1880" s="273"/>
      <c r="N1880" s="273"/>
      <c r="O1880" s="273"/>
      <c r="P1880" s="273"/>
      <c r="Q1880" s="273"/>
      <c r="R1880" s="273"/>
      <c r="S1880" s="273"/>
      <c r="T1880" s="273"/>
      <c r="U1880" s="273"/>
      <c r="V1880" s="273"/>
      <c r="W1880" s="273">
        <f t="shared" si="423"/>
        <v>110613.71</v>
      </c>
      <c r="X1880" s="269"/>
      <c r="Y1880" s="269"/>
      <c r="Z1880" s="269"/>
      <c r="AB1880" s="269"/>
      <c r="AC1880" s="269">
        <v>110613.71</v>
      </c>
      <c r="AD1880" s="7"/>
      <c r="AE1880" s="13"/>
      <c r="AF1880" s="13"/>
      <c r="AG1880" s="13"/>
    </row>
    <row r="1881" spans="1:33" x14ac:dyDescent="0.3">
      <c r="A1881" s="10">
        <f t="shared" si="424"/>
        <v>1648</v>
      </c>
      <c r="B1881" s="124" t="s">
        <v>2310</v>
      </c>
      <c r="C1881" s="273">
        <f t="shared" si="421"/>
        <v>110613.71</v>
      </c>
      <c r="D1881" s="273">
        <f t="shared" si="422"/>
        <v>0</v>
      </c>
      <c r="E1881" s="273"/>
      <c r="F1881" s="273"/>
      <c r="G1881" s="273"/>
      <c r="H1881" s="273"/>
      <c r="I1881" s="273"/>
      <c r="J1881" s="273"/>
      <c r="K1881" s="273"/>
      <c r="L1881" s="273"/>
      <c r="M1881" s="273"/>
      <c r="N1881" s="273"/>
      <c r="O1881" s="273"/>
      <c r="P1881" s="273"/>
      <c r="Q1881" s="273"/>
      <c r="R1881" s="273"/>
      <c r="S1881" s="273"/>
      <c r="T1881" s="273"/>
      <c r="U1881" s="273"/>
      <c r="V1881" s="273"/>
      <c r="W1881" s="273">
        <f t="shared" si="423"/>
        <v>110613.71</v>
      </c>
      <c r="X1881" s="269"/>
      <c r="Y1881" s="269"/>
      <c r="Z1881" s="269"/>
      <c r="AC1881" s="269">
        <v>110613.71</v>
      </c>
      <c r="AD1881" s="7"/>
      <c r="AE1881" s="269"/>
      <c r="AF1881" s="13"/>
      <c r="AG1881" s="13"/>
    </row>
    <row r="1882" spans="1:33" x14ac:dyDescent="0.3">
      <c r="A1882" s="10">
        <f t="shared" si="424"/>
        <v>1649</v>
      </c>
      <c r="B1882" s="124" t="s">
        <v>2311</v>
      </c>
      <c r="C1882" s="273">
        <f t="shared" si="421"/>
        <v>210280.14</v>
      </c>
      <c r="D1882" s="273">
        <f t="shared" si="422"/>
        <v>0</v>
      </c>
      <c r="E1882" s="273"/>
      <c r="F1882" s="273"/>
      <c r="G1882" s="273"/>
      <c r="H1882" s="273"/>
      <c r="I1882" s="273"/>
      <c r="J1882" s="273"/>
      <c r="K1882" s="273"/>
      <c r="L1882" s="273"/>
      <c r="M1882" s="273"/>
      <c r="N1882" s="273"/>
      <c r="O1882" s="273"/>
      <c r="P1882" s="273"/>
      <c r="Q1882" s="273"/>
      <c r="R1882" s="273"/>
      <c r="S1882" s="273"/>
      <c r="T1882" s="273"/>
      <c r="U1882" s="273"/>
      <c r="V1882" s="273"/>
      <c r="W1882" s="273">
        <f t="shared" si="423"/>
        <v>210280.14</v>
      </c>
      <c r="X1882" s="269"/>
      <c r="Y1882" s="269"/>
      <c r="Z1882" s="269"/>
      <c r="AC1882" s="269"/>
      <c r="AD1882" s="7"/>
      <c r="AE1882" s="269">
        <v>210280.14</v>
      </c>
      <c r="AF1882" s="13"/>
      <c r="AG1882" s="13"/>
    </row>
    <row r="1883" spans="1:33" x14ac:dyDescent="0.3">
      <c r="A1883" s="10">
        <f t="shared" si="424"/>
        <v>1650</v>
      </c>
      <c r="B1883" s="124" t="s">
        <v>2312</v>
      </c>
      <c r="C1883" s="273">
        <f t="shared" si="421"/>
        <v>186884.35</v>
      </c>
      <c r="D1883" s="273">
        <f t="shared" si="422"/>
        <v>0</v>
      </c>
      <c r="E1883" s="273"/>
      <c r="F1883" s="273"/>
      <c r="G1883" s="273"/>
      <c r="H1883" s="273"/>
      <c r="I1883" s="273"/>
      <c r="J1883" s="273"/>
      <c r="K1883" s="273"/>
      <c r="L1883" s="273"/>
      <c r="M1883" s="273"/>
      <c r="N1883" s="273"/>
      <c r="O1883" s="273"/>
      <c r="P1883" s="273"/>
      <c r="Q1883" s="273"/>
      <c r="R1883" s="273"/>
      <c r="S1883" s="273"/>
      <c r="T1883" s="273"/>
      <c r="U1883" s="273"/>
      <c r="V1883" s="273"/>
      <c r="W1883" s="273">
        <f t="shared" si="423"/>
        <v>186884.35</v>
      </c>
      <c r="X1883" s="269"/>
      <c r="Y1883" s="269"/>
      <c r="Z1883" s="269"/>
      <c r="AC1883" s="269"/>
      <c r="AD1883" s="7"/>
      <c r="AE1883" s="269">
        <v>186884.35</v>
      </c>
      <c r="AF1883" s="13"/>
      <c r="AG1883" s="13"/>
    </row>
    <row r="1884" spans="1:33" x14ac:dyDescent="0.3">
      <c r="A1884" s="10">
        <f t="shared" si="424"/>
        <v>1651</v>
      </c>
      <c r="B1884" s="124" t="s">
        <v>2313</v>
      </c>
      <c r="C1884" s="273">
        <f t="shared" si="421"/>
        <v>186689.28</v>
      </c>
      <c r="D1884" s="273">
        <f t="shared" si="422"/>
        <v>0</v>
      </c>
      <c r="E1884" s="273"/>
      <c r="F1884" s="273"/>
      <c r="G1884" s="273"/>
      <c r="H1884" s="273"/>
      <c r="I1884" s="273"/>
      <c r="J1884" s="273"/>
      <c r="K1884" s="273"/>
      <c r="L1884" s="273"/>
      <c r="M1884" s="273"/>
      <c r="N1884" s="273"/>
      <c r="O1884" s="273"/>
      <c r="P1884" s="273"/>
      <c r="Q1884" s="273"/>
      <c r="R1884" s="273"/>
      <c r="S1884" s="273"/>
      <c r="T1884" s="273"/>
      <c r="U1884" s="273"/>
      <c r="V1884" s="273"/>
      <c r="W1884" s="273">
        <f t="shared" si="423"/>
        <v>186689.28</v>
      </c>
      <c r="X1884" s="269"/>
      <c r="Y1884" s="269"/>
      <c r="Z1884" s="269"/>
      <c r="AC1884" s="269"/>
      <c r="AD1884" s="7">
        <v>186689.28</v>
      </c>
      <c r="AE1884" s="269"/>
      <c r="AF1884" s="13"/>
      <c r="AG1884" s="13"/>
    </row>
    <row r="1885" spans="1:33" x14ac:dyDescent="0.3">
      <c r="A1885" s="10">
        <f t="shared" si="424"/>
        <v>1652</v>
      </c>
      <c r="B1885" s="124" t="s">
        <v>2314</v>
      </c>
      <c r="C1885" s="273">
        <f t="shared" si="421"/>
        <v>209617.52</v>
      </c>
      <c r="D1885" s="273">
        <f t="shared" si="422"/>
        <v>0</v>
      </c>
      <c r="E1885" s="273"/>
      <c r="F1885" s="273"/>
      <c r="G1885" s="273"/>
      <c r="H1885" s="273"/>
      <c r="I1885" s="273"/>
      <c r="J1885" s="273"/>
      <c r="K1885" s="273"/>
      <c r="L1885" s="273"/>
      <c r="M1885" s="273"/>
      <c r="N1885" s="273"/>
      <c r="O1885" s="273"/>
      <c r="P1885" s="273"/>
      <c r="Q1885" s="273"/>
      <c r="R1885" s="273"/>
      <c r="S1885" s="273"/>
      <c r="T1885" s="273"/>
      <c r="U1885" s="273"/>
      <c r="V1885" s="273"/>
      <c r="W1885" s="273">
        <f t="shared" si="423"/>
        <v>209617.52</v>
      </c>
      <c r="X1885" s="269"/>
      <c r="Y1885" s="269"/>
      <c r="Z1885" s="269"/>
      <c r="AC1885" s="269"/>
      <c r="AD1885" s="7"/>
      <c r="AE1885" s="269">
        <v>209617.52</v>
      </c>
      <c r="AF1885" s="13"/>
      <c r="AG1885" s="13"/>
    </row>
    <row r="1886" spans="1:33" x14ac:dyDescent="0.3">
      <c r="A1886" s="10">
        <f t="shared" si="424"/>
        <v>1653</v>
      </c>
      <c r="B1886" s="124" t="s">
        <v>2315</v>
      </c>
      <c r="C1886" s="273">
        <f t="shared" si="421"/>
        <v>117614.3</v>
      </c>
      <c r="D1886" s="273">
        <f t="shared" si="422"/>
        <v>0</v>
      </c>
      <c r="E1886" s="273"/>
      <c r="F1886" s="273"/>
      <c r="G1886" s="273"/>
      <c r="H1886" s="273"/>
      <c r="I1886" s="273"/>
      <c r="J1886" s="273"/>
      <c r="K1886" s="273"/>
      <c r="L1886" s="273"/>
      <c r="M1886" s="273"/>
      <c r="N1886" s="273"/>
      <c r="O1886" s="273"/>
      <c r="P1886" s="273"/>
      <c r="Q1886" s="273"/>
      <c r="R1886" s="273"/>
      <c r="S1886" s="273"/>
      <c r="T1886" s="273"/>
      <c r="U1886" s="273"/>
      <c r="V1886" s="273"/>
      <c r="W1886" s="273">
        <f t="shared" si="423"/>
        <v>117614.3</v>
      </c>
      <c r="X1886" s="269"/>
      <c r="Y1886" s="269"/>
      <c r="Z1886" s="269"/>
      <c r="AC1886" s="269"/>
      <c r="AD1886" s="7">
        <v>117614.3</v>
      </c>
      <c r="AE1886" s="269"/>
      <c r="AF1886" s="13"/>
      <c r="AG1886" s="13"/>
    </row>
    <row r="1887" spans="1:33" x14ac:dyDescent="0.3">
      <c r="A1887" s="10">
        <f t="shared" si="424"/>
        <v>1654</v>
      </c>
      <c r="B1887" s="124" t="s">
        <v>2316</v>
      </c>
      <c r="C1887" s="273">
        <f t="shared" si="421"/>
        <v>185841.98</v>
      </c>
      <c r="D1887" s="273">
        <f t="shared" si="422"/>
        <v>0</v>
      </c>
      <c r="E1887" s="273"/>
      <c r="F1887" s="273"/>
      <c r="G1887" s="273"/>
      <c r="H1887" s="273"/>
      <c r="I1887" s="273"/>
      <c r="J1887" s="273"/>
      <c r="K1887" s="273"/>
      <c r="L1887" s="273"/>
      <c r="M1887" s="273"/>
      <c r="N1887" s="273"/>
      <c r="O1887" s="273"/>
      <c r="P1887" s="273"/>
      <c r="Q1887" s="273"/>
      <c r="R1887" s="273"/>
      <c r="S1887" s="273"/>
      <c r="T1887" s="273"/>
      <c r="U1887" s="273"/>
      <c r="V1887" s="273"/>
      <c r="W1887" s="273">
        <f t="shared" si="423"/>
        <v>185841.98</v>
      </c>
      <c r="X1887" s="269"/>
      <c r="Y1887" s="269"/>
      <c r="Z1887" s="269"/>
      <c r="AC1887" s="269"/>
      <c r="AD1887" s="7">
        <v>185841.98</v>
      </c>
      <c r="AE1887" s="269"/>
      <c r="AF1887" s="13"/>
      <c r="AG1887" s="13"/>
    </row>
    <row r="1888" spans="1:33" x14ac:dyDescent="0.3">
      <c r="A1888" s="10">
        <f t="shared" si="424"/>
        <v>1655</v>
      </c>
      <c r="B1888" s="124" t="s">
        <v>2317</v>
      </c>
      <c r="C1888" s="273">
        <f t="shared" si="421"/>
        <v>186155.8</v>
      </c>
      <c r="D1888" s="273">
        <f t="shared" si="422"/>
        <v>0</v>
      </c>
      <c r="E1888" s="273"/>
      <c r="F1888" s="273"/>
      <c r="G1888" s="273"/>
      <c r="H1888" s="273"/>
      <c r="I1888" s="273"/>
      <c r="J1888" s="273"/>
      <c r="K1888" s="273"/>
      <c r="L1888" s="273"/>
      <c r="M1888" s="273"/>
      <c r="N1888" s="273"/>
      <c r="O1888" s="273"/>
      <c r="P1888" s="273"/>
      <c r="Q1888" s="273"/>
      <c r="R1888" s="273"/>
      <c r="S1888" s="273"/>
      <c r="T1888" s="273"/>
      <c r="U1888" s="273"/>
      <c r="V1888" s="273"/>
      <c r="W1888" s="273">
        <f t="shared" si="423"/>
        <v>186155.8</v>
      </c>
      <c r="X1888" s="269"/>
      <c r="Y1888" s="269"/>
      <c r="Z1888" s="269"/>
      <c r="AC1888" s="269"/>
      <c r="AD1888" s="7">
        <v>186155.8</v>
      </c>
      <c r="AE1888" s="269"/>
      <c r="AF1888" s="13"/>
      <c r="AG1888" s="13"/>
    </row>
    <row r="1889" spans="1:33" x14ac:dyDescent="0.3">
      <c r="A1889" s="10">
        <f t="shared" si="424"/>
        <v>1656</v>
      </c>
      <c r="B1889" s="124" t="s">
        <v>2318</v>
      </c>
      <c r="C1889" s="273">
        <f t="shared" si="421"/>
        <v>49593.8</v>
      </c>
      <c r="D1889" s="273">
        <f t="shared" si="422"/>
        <v>0</v>
      </c>
      <c r="E1889" s="273"/>
      <c r="F1889" s="273"/>
      <c r="G1889" s="273"/>
      <c r="H1889" s="273"/>
      <c r="I1889" s="273"/>
      <c r="J1889" s="273"/>
      <c r="K1889" s="273"/>
      <c r="L1889" s="273"/>
      <c r="M1889" s="273"/>
      <c r="N1889" s="273"/>
      <c r="O1889" s="273"/>
      <c r="P1889" s="273"/>
      <c r="Q1889" s="273"/>
      <c r="R1889" s="273"/>
      <c r="S1889" s="273"/>
      <c r="T1889" s="273"/>
      <c r="U1889" s="273"/>
      <c r="V1889" s="273"/>
      <c r="W1889" s="273">
        <f t="shared" si="423"/>
        <v>49593.8</v>
      </c>
      <c r="X1889" s="269"/>
      <c r="Y1889" s="269"/>
      <c r="Z1889" s="269"/>
      <c r="AC1889" s="269">
        <v>49593.8</v>
      </c>
      <c r="AD1889" s="7"/>
      <c r="AE1889" s="269"/>
      <c r="AF1889" s="13"/>
      <c r="AG1889" s="13"/>
    </row>
    <row r="1890" spans="1:33" x14ac:dyDescent="0.3">
      <c r="A1890" s="10">
        <f t="shared" si="424"/>
        <v>1657</v>
      </c>
      <c r="B1890" s="124" t="s">
        <v>2319</v>
      </c>
      <c r="C1890" s="273">
        <f t="shared" si="421"/>
        <v>203241.96</v>
      </c>
      <c r="D1890" s="273">
        <f t="shared" si="422"/>
        <v>0</v>
      </c>
      <c r="E1890" s="273"/>
      <c r="F1890" s="273"/>
      <c r="G1890" s="273"/>
      <c r="H1890" s="273"/>
      <c r="I1890" s="273"/>
      <c r="J1890" s="273"/>
      <c r="K1890" s="273"/>
      <c r="L1890" s="273"/>
      <c r="M1890" s="273"/>
      <c r="N1890" s="273"/>
      <c r="O1890" s="273"/>
      <c r="P1890" s="273"/>
      <c r="Q1890" s="273"/>
      <c r="R1890" s="273"/>
      <c r="S1890" s="273"/>
      <c r="T1890" s="273"/>
      <c r="U1890" s="273"/>
      <c r="V1890" s="273"/>
      <c r="W1890" s="273">
        <f t="shared" si="423"/>
        <v>203241.96</v>
      </c>
      <c r="X1890" s="269"/>
      <c r="Y1890" s="269"/>
      <c r="Z1890" s="269"/>
      <c r="AC1890" s="269"/>
      <c r="AD1890" s="7"/>
      <c r="AE1890" s="269">
        <v>203241.96</v>
      </c>
      <c r="AF1890" s="13"/>
      <c r="AG1890" s="13"/>
    </row>
    <row r="1891" spans="1:33" x14ac:dyDescent="0.3">
      <c r="A1891" s="10">
        <f t="shared" si="424"/>
        <v>1658</v>
      </c>
      <c r="B1891" s="124" t="s">
        <v>2320</v>
      </c>
      <c r="C1891" s="273">
        <f t="shared" si="421"/>
        <v>202912.58</v>
      </c>
      <c r="D1891" s="273">
        <f t="shared" si="422"/>
        <v>0</v>
      </c>
      <c r="E1891" s="273"/>
      <c r="F1891" s="273"/>
      <c r="G1891" s="273"/>
      <c r="H1891" s="273"/>
      <c r="I1891" s="273"/>
      <c r="J1891" s="273"/>
      <c r="K1891" s="273"/>
      <c r="L1891" s="273"/>
      <c r="M1891" s="273"/>
      <c r="N1891" s="273"/>
      <c r="O1891" s="273"/>
      <c r="P1891" s="273"/>
      <c r="Q1891" s="273"/>
      <c r="R1891" s="273"/>
      <c r="S1891" s="273"/>
      <c r="T1891" s="273"/>
      <c r="U1891" s="273"/>
      <c r="V1891" s="273"/>
      <c r="W1891" s="273">
        <f t="shared" si="423"/>
        <v>202912.58</v>
      </c>
      <c r="X1891" s="269"/>
      <c r="Y1891" s="269"/>
      <c r="Z1891" s="269"/>
      <c r="AC1891" s="269"/>
      <c r="AD1891" s="7"/>
      <c r="AE1891" s="269">
        <v>202912.58</v>
      </c>
      <c r="AF1891" s="13"/>
      <c r="AG1891" s="13"/>
    </row>
    <row r="1892" spans="1:33" x14ac:dyDescent="0.3">
      <c r="A1892" s="10">
        <f t="shared" si="424"/>
        <v>1659</v>
      </c>
      <c r="B1892" s="124" t="s">
        <v>2321</v>
      </c>
      <c r="C1892" s="273">
        <f t="shared" si="421"/>
        <v>115901.72</v>
      </c>
      <c r="D1892" s="273">
        <f t="shared" si="422"/>
        <v>0</v>
      </c>
      <c r="E1892" s="273"/>
      <c r="F1892" s="273"/>
      <c r="G1892" s="273"/>
      <c r="H1892" s="273"/>
      <c r="I1892" s="273"/>
      <c r="J1892" s="273"/>
      <c r="K1892" s="273"/>
      <c r="L1892" s="273"/>
      <c r="M1892" s="273"/>
      <c r="N1892" s="273"/>
      <c r="O1892" s="273"/>
      <c r="P1892" s="273"/>
      <c r="Q1892" s="273"/>
      <c r="R1892" s="273"/>
      <c r="S1892" s="273"/>
      <c r="T1892" s="273"/>
      <c r="U1892" s="273"/>
      <c r="V1892" s="273"/>
      <c r="W1892" s="273">
        <f t="shared" si="423"/>
        <v>115901.72</v>
      </c>
      <c r="X1892" s="269"/>
      <c r="Y1892" s="269"/>
      <c r="Z1892" s="269"/>
      <c r="AC1892" s="269">
        <v>115901.72</v>
      </c>
      <c r="AD1892" s="7"/>
      <c r="AE1892" s="269"/>
      <c r="AF1892" s="13"/>
      <c r="AG1892" s="13"/>
    </row>
    <row r="1893" spans="1:33" x14ac:dyDescent="0.3">
      <c r="A1893" s="10">
        <f t="shared" si="424"/>
        <v>1660</v>
      </c>
      <c r="B1893" s="124" t="s">
        <v>2322</v>
      </c>
      <c r="C1893" s="273">
        <f t="shared" si="421"/>
        <v>195798.01</v>
      </c>
      <c r="D1893" s="273">
        <f t="shared" si="422"/>
        <v>0</v>
      </c>
      <c r="E1893" s="273"/>
      <c r="F1893" s="273"/>
      <c r="G1893" s="273"/>
      <c r="H1893" s="273"/>
      <c r="I1893" s="273"/>
      <c r="J1893" s="273"/>
      <c r="K1893" s="273"/>
      <c r="L1893" s="273"/>
      <c r="M1893" s="273"/>
      <c r="N1893" s="273"/>
      <c r="O1893" s="273"/>
      <c r="P1893" s="273"/>
      <c r="Q1893" s="273"/>
      <c r="R1893" s="273"/>
      <c r="S1893" s="273"/>
      <c r="T1893" s="273"/>
      <c r="U1893" s="273"/>
      <c r="V1893" s="273"/>
      <c r="W1893" s="273">
        <f t="shared" si="423"/>
        <v>195798.01</v>
      </c>
      <c r="X1893" s="269"/>
      <c r="Y1893" s="269"/>
      <c r="Z1893" s="269"/>
      <c r="AC1893" s="269"/>
      <c r="AD1893" s="7"/>
      <c r="AE1893" s="269">
        <v>195798.01</v>
      </c>
      <c r="AF1893" s="13"/>
      <c r="AG1893" s="13"/>
    </row>
    <row r="1894" spans="1:33" x14ac:dyDescent="0.3">
      <c r="A1894" s="10">
        <f t="shared" si="424"/>
        <v>1661</v>
      </c>
      <c r="B1894" s="124" t="s">
        <v>2323</v>
      </c>
      <c r="C1894" s="273">
        <f t="shared" si="421"/>
        <v>197129.57</v>
      </c>
      <c r="D1894" s="273">
        <f t="shared" si="422"/>
        <v>0</v>
      </c>
      <c r="E1894" s="273"/>
      <c r="F1894" s="273"/>
      <c r="G1894" s="273"/>
      <c r="H1894" s="273"/>
      <c r="I1894" s="273"/>
      <c r="J1894" s="273"/>
      <c r="K1894" s="273"/>
      <c r="L1894" s="273"/>
      <c r="M1894" s="273"/>
      <c r="N1894" s="273"/>
      <c r="O1894" s="273"/>
      <c r="P1894" s="273"/>
      <c r="Q1894" s="273"/>
      <c r="R1894" s="273"/>
      <c r="S1894" s="273"/>
      <c r="T1894" s="273"/>
      <c r="U1894" s="273"/>
      <c r="V1894" s="273"/>
      <c r="W1894" s="273">
        <f t="shared" si="423"/>
        <v>197129.57</v>
      </c>
      <c r="X1894" s="269"/>
      <c r="Y1894" s="269"/>
      <c r="Z1894" s="269"/>
      <c r="AC1894" s="269"/>
      <c r="AD1894" s="7"/>
      <c r="AE1894" s="269">
        <v>197129.57</v>
      </c>
      <c r="AF1894" s="13"/>
      <c r="AG1894" s="13"/>
    </row>
    <row r="1895" spans="1:33" x14ac:dyDescent="0.3">
      <c r="A1895" s="10">
        <f t="shared" si="424"/>
        <v>1662</v>
      </c>
      <c r="B1895" s="124" t="s">
        <v>2324</v>
      </c>
      <c r="C1895" s="273">
        <f t="shared" si="421"/>
        <v>140947.85999999999</v>
      </c>
      <c r="D1895" s="273">
        <f t="shared" si="422"/>
        <v>0</v>
      </c>
      <c r="E1895" s="273"/>
      <c r="F1895" s="273"/>
      <c r="G1895" s="273"/>
      <c r="H1895" s="273"/>
      <c r="I1895" s="273"/>
      <c r="J1895" s="273"/>
      <c r="K1895" s="273"/>
      <c r="L1895" s="273"/>
      <c r="M1895" s="273"/>
      <c r="N1895" s="273"/>
      <c r="O1895" s="273"/>
      <c r="P1895" s="273"/>
      <c r="Q1895" s="273"/>
      <c r="R1895" s="273"/>
      <c r="S1895" s="273"/>
      <c r="T1895" s="273"/>
      <c r="U1895" s="273"/>
      <c r="V1895" s="273"/>
      <c r="W1895" s="273">
        <f t="shared" si="423"/>
        <v>140947.85999999999</v>
      </c>
      <c r="X1895" s="269"/>
      <c r="Y1895" s="269"/>
      <c r="Z1895" s="269"/>
      <c r="AC1895" s="269"/>
      <c r="AD1895" s="7"/>
      <c r="AE1895" s="269">
        <v>140947.85999999999</v>
      </c>
      <c r="AF1895" s="13"/>
      <c r="AG1895" s="13"/>
    </row>
    <row r="1896" spans="1:33" x14ac:dyDescent="0.3">
      <c r="A1896" s="10">
        <f t="shared" si="424"/>
        <v>1663</v>
      </c>
      <c r="B1896" s="124" t="s">
        <v>2325</v>
      </c>
      <c r="C1896" s="273">
        <f t="shared" si="421"/>
        <v>132246.67000000001</v>
      </c>
      <c r="D1896" s="273">
        <f t="shared" si="422"/>
        <v>0</v>
      </c>
      <c r="E1896" s="273"/>
      <c r="F1896" s="273"/>
      <c r="G1896" s="273"/>
      <c r="H1896" s="273"/>
      <c r="I1896" s="273"/>
      <c r="J1896" s="273"/>
      <c r="K1896" s="273"/>
      <c r="L1896" s="273"/>
      <c r="M1896" s="273"/>
      <c r="N1896" s="273"/>
      <c r="O1896" s="273"/>
      <c r="P1896" s="273"/>
      <c r="Q1896" s="273"/>
      <c r="R1896" s="273"/>
      <c r="S1896" s="273"/>
      <c r="T1896" s="273"/>
      <c r="U1896" s="273"/>
      <c r="V1896" s="273"/>
      <c r="W1896" s="273">
        <f t="shared" si="423"/>
        <v>132246.67000000001</v>
      </c>
      <c r="X1896" s="269"/>
      <c r="Y1896" s="269"/>
      <c r="Z1896" s="269"/>
      <c r="AC1896" s="269"/>
      <c r="AD1896" s="7"/>
      <c r="AE1896" s="269">
        <v>132246.67000000001</v>
      </c>
      <c r="AF1896" s="13"/>
      <c r="AG1896" s="13"/>
    </row>
    <row r="1897" spans="1:33" x14ac:dyDescent="0.3">
      <c r="A1897" s="10">
        <f t="shared" si="424"/>
        <v>1664</v>
      </c>
      <c r="B1897" s="124" t="s">
        <v>2326</v>
      </c>
      <c r="C1897" s="273">
        <f t="shared" si="421"/>
        <v>49477.96</v>
      </c>
      <c r="D1897" s="273">
        <f t="shared" si="422"/>
        <v>0</v>
      </c>
      <c r="E1897" s="273"/>
      <c r="F1897" s="273"/>
      <c r="G1897" s="273"/>
      <c r="H1897" s="273"/>
      <c r="I1897" s="273"/>
      <c r="J1897" s="273"/>
      <c r="K1897" s="273"/>
      <c r="L1897" s="273"/>
      <c r="M1897" s="273"/>
      <c r="N1897" s="273"/>
      <c r="O1897" s="273"/>
      <c r="P1897" s="273"/>
      <c r="Q1897" s="273"/>
      <c r="R1897" s="273"/>
      <c r="S1897" s="273"/>
      <c r="T1897" s="273"/>
      <c r="U1897" s="273"/>
      <c r="V1897" s="273"/>
      <c r="W1897" s="273">
        <f t="shared" si="423"/>
        <v>49477.96</v>
      </c>
      <c r="X1897" s="269"/>
      <c r="Y1897" s="280">
        <v>49477.96</v>
      </c>
      <c r="Z1897" s="269"/>
      <c r="AC1897" s="269"/>
      <c r="AD1897" s="7"/>
      <c r="AE1897" s="269"/>
      <c r="AF1897" s="13"/>
      <c r="AG1897" s="13"/>
    </row>
    <row r="1898" spans="1:33" x14ac:dyDescent="0.3">
      <c r="A1898" s="10">
        <f t="shared" si="424"/>
        <v>1665</v>
      </c>
      <c r="B1898" s="124" t="s">
        <v>2329</v>
      </c>
      <c r="C1898" s="273">
        <f t="shared" si="421"/>
        <v>448949.51</v>
      </c>
      <c r="D1898" s="273">
        <f t="shared" si="422"/>
        <v>0</v>
      </c>
      <c r="E1898" s="273"/>
      <c r="F1898" s="273"/>
      <c r="G1898" s="273"/>
      <c r="H1898" s="273"/>
      <c r="I1898" s="273"/>
      <c r="J1898" s="273"/>
      <c r="K1898" s="273"/>
      <c r="L1898" s="273"/>
      <c r="M1898" s="273"/>
      <c r="N1898" s="273"/>
      <c r="O1898" s="273"/>
      <c r="P1898" s="273"/>
      <c r="Q1898" s="273"/>
      <c r="R1898" s="273"/>
      <c r="S1898" s="273"/>
      <c r="T1898" s="273"/>
      <c r="U1898" s="273"/>
      <c r="V1898" s="273"/>
      <c r="W1898" s="273">
        <f t="shared" si="423"/>
        <v>448949.51</v>
      </c>
      <c r="X1898" s="269"/>
      <c r="Y1898" s="269"/>
      <c r="Z1898" s="269"/>
      <c r="AC1898" s="269"/>
      <c r="AD1898" s="7"/>
      <c r="AE1898" s="269">
        <v>448949.51</v>
      </c>
      <c r="AF1898" s="13"/>
      <c r="AG1898" s="13"/>
    </row>
    <row r="1899" spans="1:33" x14ac:dyDescent="0.3">
      <c r="A1899" s="10">
        <f t="shared" si="424"/>
        <v>1666</v>
      </c>
      <c r="B1899" s="124" t="s">
        <v>2330</v>
      </c>
      <c r="C1899" s="273">
        <f t="shared" si="421"/>
        <v>453115.64</v>
      </c>
      <c r="D1899" s="273">
        <f t="shared" si="422"/>
        <v>0</v>
      </c>
      <c r="E1899" s="273"/>
      <c r="F1899" s="273"/>
      <c r="G1899" s="273"/>
      <c r="H1899" s="273"/>
      <c r="I1899" s="273"/>
      <c r="J1899" s="273"/>
      <c r="K1899" s="273"/>
      <c r="L1899" s="273"/>
      <c r="M1899" s="273"/>
      <c r="N1899" s="273"/>
      <c r="O1899" s="273"/>
      <c r="P1899" s="273"/>
      <c r="Q1899" s="273"/>
      <c r="R1899" s="273"/>
      <c r="S1899" s="273"/>
      <c r="T1899" s="273"/>
      <c r="U1899" s="273"/>
      <c r="V1899" s="273"/>
      <c r="W1899" s="273">
        <f t="shared" si="423"/>
        <v>453115.64</v>
      </c>
      <c r="X1899" s="269"/>
      <c r="Y1899" s="269"/>
      <c r="Z1899" s="269"/>
      <c r="AC1899" s="269"/>
      <c r="AD1899" s="7"/>
      <c r="AE1899" s="269">
        <v>453115.64</v>
      </c>
      <c r="AF1899" s="13"/>
      <c r="AG1899" s="13"/>
    </row>
    <row r="1900" spans="1:33" x14ac:dyDescent="0.3">
      <c r="A1900" s="10">
        <f t="shared" si="424"/>
        <v>1667</v>
      </c>
      <c r="B1900" s="124" t="s">
        <v>2331</v>
      </c>
      <c r="C1900" s="273">
        <f t="shared" si="421"/>
        <v>191397.72</v>
      </c>
      <c r="D1900" s="273">
        <f t="shared" si="422"/>
        <v>0</v>
      </c>
      <c r="E1900" s="273"/>
      <c r="F1900" s="273"/>
      <c r="G1900" s="273"/>
      <c r="H1900" s="273"/>
      <c r="I1900" s="273"/>
      <c r="J1900" s="273"/>
      <c r="K1900" s="273"/>
      <c r="L1900" s="273"/>
      <c r="M1900" s="273"/>
      <c r="N1900" s="273"/>
      <c r="O1900" s="273"/>
      <c r="P1900" s="273"/>
      <c r="Q1900" s="273"/>
      <c r="R1900" s="273"/>
      <c r="S1900" s="273"/>
      <c r="T1900" s="273"/>
      <c r="U1900" s="273"/>
      <c r="V1900" s="273"/>
      <c r="W1900" s="273">
        <f t="shared" si="423"/>
        <v>191397.72</v>
      </c>
      <c r="X1900" s="269"/>
      <c r="Y1900" s="269"/>
      <c r="Z1900" s="269"/>
      <c r="AC1900" s="269"/>
      <c r="AD1900" s="7"/>
      <c r="AE1900" s="269">
        <v>191397.72</v>
      </c>
      <c r="AF1900" s="13"/>
      <c r="AG1900" s="13"/>
    </row>
    <row r="1901" spans="1:33" x14ac:dyDescent="0.3">
      <c r="A1901" s="10">
        <f t="shared" si="424"/>
        <v>1668</v>
      </c>
      <c r="B1901" s="124" t="s">
        <v>2332</v>
      </c>
      <c r="C1901" s="273">
        <f t="shared" si="421"/>
        <v>480946.25</v>
      </c>
      <c r="D1901" s="273">
        <f t="shared" si="422"/>
        <v>0</v>
      </c>
      <c r="E1901" s="273"/>
      <c r="F1901" s="273"/>
      <c r="G1901" s="273"/>
      <c r="H1901" s="273"/>
      <c r="I1901" s="273"/>
      <c r="J1901" s="273"/>
      <c r="K1901" s="273"/>
      <c r="L1901" s="273"/>
      <c r="M1901" s="273"/>
      <c r="N1901" s="273"/>
      <c r="O1901" s="273"/>
      <c r="P1901" s="273"/>
      <c r="Q1901" s="273"/>
      <c r="R1901" s="273"/>
      <c r="S1901" s="273"/>
      <c r="T1901" s="273"/>
      <c r="U1901" s="273"/>
      <c r="V1901" s="273"/>
      <c r="W1901" s="273">
        <v>480946.25</v>
      </c>
      <c r="X1901" s="269"/>
      <c r="Y1901" s="269"/>
      <c r="Z1901" s="269"/>
      <c r="AC1901" s="269"/>
      <c r="AD1901" s="7"/>
      <c r="AE1901" s="245">
        <v>480946.25</v>
      </c>
      <c r="AF1901" s="13"/>
      <c r="AG1901" s="13"/>
    </row>
    <row r="1902" spans="1:33" x14ac:dyDescent="0.3">
      <c r="A1902" s="10">
        <f t="shared" si="424"/>
        <v>1669</v>
      </c>
      <c r="B1902" s="124" t="s">
        <v>2333</v>
      </c>
      <c r="C1902" s="273">
        <f t="shared" si="421"/>
        <v>285429.67</v>
      </c>
      <c r="D1902" s="273">
        <f t="shared" si="422"/>
        <v>0</v>
      </c>
      <c r="E1902" s="273"/>
      <c r="F1902" s="273"/>
      <c r="G1902" s="273"/>
      <c r="H1902" s="273"/>
      <c r="I1902" s="273"/>
      <c r="J1902" s="273"/>
      <c r="K1902" s="273"/>
      <c r="L1902" s="273"/>
      <c r="M1902" s="273"/>
      <c r="N1902" s="273"/>
      <c r="O1902" s="273"/>
      <c r="P1902" s="273"/>
      <c r="Q1902" s="273"/>
      <c r="R1902" s="273"/>
      <c r="S1902" s="273"/>
      <c r="T1902" s="273"/>
      <c r="U1902" s="273"/>
      <c r="V1902" s="273"/>
      <c r="W1902" s="273">
        <f>SUM(X1902:AG1902)</f>
        <v>285429.67</v>
      </c>
      <c r="X1902" s="269">
        <v>101287.21</v>
      </c>
      <c r="Y1902" s="269"/>
      <c r="Z1902" s="269"/>
      <c r="AC1902" s="269"/>
      <c r="AD1902" s="7"/>
      <c r="AE1902" s="269">
        <v>184142.46</v>
      </c>
      <c r="AF1902" s="13"/>
      <c r="AG1902" s="13"/>
    </row>
    <row r="1903" spans="1:33" x14ac:dyDescent="0.3">
      <c r="A1903" s="10">
        <f t="shared" si="424"/>
        <v>1670</v>
      </c>
      <c r="B1903" s="124" t="s">
        <v>2334</v>
      </c>
      <c r="C1903" s="273">
        <f t="shared" si="421"/>
        <v>190011.35</v>
      </c>
      <c r="D1903" s="273">
        <f t="shared" si="422"/>
        <v>0</v>
      </c>
      <c r="E1903" s="273"/>
      <c r="F1903" s="273"/>
      <c r="G1903" s="273"/>
      <c r="H1903" s="273"/>
      <c r="I1903" s="273"/>
      <c r="J1903" s="273"/>
      <c r="K1903" s="273"/>
      <c r="L1903" s="273"/>
      <c r="M1903" s="273"/>
      <c r="N1903" s="273"/>
      <c r="O1903" s="273"/>
      <c r="P1903" s="273"/>
      <c r="Q1903" s="273"/>
      <c r="R1903" s="273"/>
      <c r="S1903" s="273"/>
      <c r="T1903" s="273"/>
      <c r="U1903" s="273"/>
      <c r="V1903" s="273"/>
      <c r="W1903" s="273">
        <f>SUM(X1903:AG1903)</f>
        <v>190011.35</v>
      </c>
      <c r="X1903" s="269"/>
      <c r="Y1903" s="269"/>
      <c r="Z1903" s="269"/>
      <c r="AC1903" s="269"/>
      <c r="AD1903" s="7"/>
      <c r="AE1903" s="269">
        <v>190011.35</v>
      </c>
      <c r="AF1903" s="13"/>
      <c r="AG1903" s="13"/>
    </row>
    <row r="1904" spans="1:33" x14ac:dyDescent="0.3">
      <c r="A1904" s="10">
        <f t="shared" si="424"/>
        <v>1671</v>
      </c>
      <c r="B1904" s="124" t="s">
        <v>2335</v>
      </c>
      <c r="C1904" s="273">
        <f t="shared" si="421"/>
        <v>296219.67000000004</v>
      </c>
      <c r="D1904" s="273">
        <f t="shared" si="422"/>
        <v>0</v>
      </c>
      <c r="E1904" s="273"/>
      <c r="F1904" s="273"/>
      <c r="G1904" s="273"/>
      <c r="H1904" s="273"/>
      <c r="I1904" s="273"/>
      <c r="J1904" s="273"/>
      <c r="K1904" s="273"/>
      <c r="L1904" s="273"/>
      <c r="M1904" s="273"/>
      <c r="N1904" s="273"/>
      <c r="O1904" s="273"/>
      <c r="P1904" s="273"/>
      <c r="Q1904" s="273"/>
      <c r="R1904" s="273"/>
      <c r="S1904" s="273"/>
      <c r="T1904" s="273"/>
      <c r="U1904" s="273"/>
      <c r="V1904" s="273"/>
      <c r="W1904" s="273">
        <f>SUM(X1904:AG1904)</f>
        <v>296219.67000000004</v>
      </c>
      <c r="X1904" s="269"/>
      <c r="Y1904" s="269">
        <v>106208.32000000001</v>
      </c>
      <c r="Z1904" s="269"/>
      <c r="AC1904" s="269"/>
      <c r="AD1904" s="7"/>
      <c r="AE1904" s="269">
        <v>190011.35</v>
      </c>
      <c r="AF1904" s="13"/>
      <c r="AG1904" s="13"/>
    </row>
    <row r="1905" spans="1:39" x14ac:dyDescent="0.3">
      <c r="A1905" s="133" t="s">
        <v>208</v>
      </c>
      <c r="B1905" s="122"/>
      <c r="C1905" s="273">
        <f t="shared" ref="C1905:W1905" si="425">SUM(C1878:C1904)</f>
        <v>5474085.5799999991</v>
      </c>
      <c r="D1905" s="273">
        <f t="shared" si="425"/>
        <v>0</v>
      </c>
      <c r="E1905" s="273">
        <f t="shared" si="425"/>
        <v>0</v>
      </c>
      <c r="F1905" s="273">
        <f t="shared" si="425"/>
        <v>0</v>
      </c>
      <c r="G1905" s="273">
        <f t="shared" si="425"/>
        <v>0</v>
      </c>
      <c r="H1905" s="273">
        <f t="shared" si="425"/>
        <v>0</v>
      </c>
      <c r="I1905" s="273">
        <f t="shared" si="425"/>
        <v>0</v>
      </c>
      <c r="J1905" s="273">
        <f t="shared" si="425"/>
        <v>0</v>
      </c>
      <c r="K1905" s="273">
        <f t="shared" si="425"/>
        <v>0</v>
      </c>
      <c r="L1905" s="273">
        <f t="shared" si="425"/>
        <v>0</v>
      </c>
      <c r="M1905" s="273">
        <f t="shared" si="425"/>
        <v>0</v>
      </c>
      <c r="N1905" s="273">
        <f t="shared" si="425"/>
        <v>0</v>
      </c>
      <c r="O1905" s="273">
        <f t="shared" si="425"/>
        <v>0</v>
      </c>
      <c r="P1905" s="273">
        <f t="shared" si="425"/>
        <v>0</v>
      </c>
      <c r="Q1905" s="273">
        <f t="shared" si="425"/>
        <v>0</v>
      </c>
      <c r="R1905" s="273">
        <f t="shared" si="425"/>
        <v>0</v>
      </c>
      <c r="S1905" s="273">
        <f t="shared" si="425"/>
        <v>0</v>
      </c>
      <c r="T1905" s="273">
        <f t="shared" si="425"/>
        <v>0</v>
      </c>
      <c r="U1905" s="273">
        <f t="shared" si="425"/>
        <v>0</v>
      </c>
      <c r="V1905" s="273">
        <f t="shared" si="425"/>
        <v>0</v>
      </c>
      <c r="W1905" s="273">
        <f t="shared" si="425"/>
        <v>5474085.5799999991</v>
      </c>
      <c r="X1905" s="269"/>
      <c r="Y1905" s="269"/>
      <c r="Z1905" s="269"/>
      <c r="AA1905" s="269"/>
      <c r="AB1905" s="269"/>
      <c r="AC1905" s="7"/>
      <c r="AD1905" s="13"/>
      <c r="AE1905" s="13"/>
      <c r="AF1905" s="13"/>
      <c r="AG1905" s="13"/>
    </row>
    <row r="1906" spans="1:39" x14ac:dyDescent="0.3">
      <c r="A1906" s="131" t="s">
        <v>2336</v>
      </c>
      <c r="B1906" s="111"/>
      <c r="C1906" s="251">
        <f t="shared" ref="C1906:W1906" si="426">C1905+C1876+C1853+C1842+C1818+C1812+C1809</f>
        <v>39934514.859999999</v>
      </c>
      <c r="D1906" s="251">
        <f t="shared" si="426"/>
        <v>16157124.18</v>
      </c>
      <c r="E1906" s="251">
        <f t="shared" si="426"/>
        <v>2139960.7800000003</v>
      </c>
      <c r="F1906" s="251">
        <f t="shared" si="426"/>
        <v>8804121</v>
      </c>
      <c r="G1906" s="251">
        <f t="shared" si="426"/>
        <v>1759500</v>
      </c>
      <c r="H1906" s="251">
        <f t="shared" si="426"/>
        <v>2974442.4</v>
      </c>
      <c r="I1906" s="251">
        <f t="shared" si="426"/>
        <v>479100</v>
      </c>
      <c r="J1906" s="251">
        <f t="shared" si="426"/>
        <v>0</v>
      </c>
      <c r="K1906" s="251">
        <f t="shared" si="426"/>
        <v>0</v>
      </c>
      <c r="L1906" s="251">
        <f t="shared" si="426"/>
        <v>0</v>
      </c>
      <c r="M1906" s="251">
        <f t="shared" si="426"/>
        <v>1214.5999999999999</v>
      </c>
      <c r="N1906" s="251">
        <f t="shared" si="426"/>
        <v>5687906.4000000004</v>
      </c>
      <c r="O1906" s="251">
        <f t="shared" si="426"/>
        <v>0</v>
      </c>
      <c r="P1906" s="251">
        <f t="shared" si="426"/>
        <v>0</v>
      </c>
      <c r="Q1906" s="251">
        <f t="shared" si="426"/>
        <v>0</v>
      </c>
      <c r="R1906" s="251">
        <f t="shared" si="426"/>
        <v>0</v>
      </c>
      <c r="S1906" s="251">
        <f t="shared" si="426"/>
        <v>0</v>
      </c>
      <c r="T1906" s="251">
        <f t="shared" si="426"/>
        <v>0</v>
      </c>
      <c r="U1906" s="251">
        <f t="shared" si="426"/>
        <v>0</v>
      </c>
      <c r="V1906" s="251">
        <f t="shared" si="426"/>
        <v>0</v>
      </c>
      <c r="W1906" s="251">
        <f t="shared" si="426"/>
        <v>18089484.279999997</v>
      </c>
      <c r="X1906" s="269"/>
      <c r="Y1906" s="269"/>
      <c r="Z1906" s="269"/>
      <c r="AA1906" s="269"/>
      <c r="AB1906" s="269"/>
      <c r="AC1906" s="7"/>
      <c r="AD1906" s="13"/>
      <c r="AE1906" s="13"/>
      <c r="AF1906" s="13"/>
      <c r="AG1906" s="13"/>
    </row>
    <row r="1907" spans="1:39" x14ac:dyDescent="0.3">
      <c r="A1907" s="410" t="s">
        <v>2337</v>
      </c>
      <c r="B1907" s="411"/>
      <c r="C1907" s="411"/>
      <c r="D1907" s="411"/>
      <c r="E1907" s="411"/>
      <c r="F1907" s="411"/>
      <c r="G1907" s="411"/>
      <c r="H1907" s="411"/>
      <c r="I1907" s="411"/>
      <c r="J1907" s="411"/>
      <c r="K1907" s="411"/>
      <c r="L1907" s="411"/>
      <c r="M1907" s="411"/>
      <c r="N1907" s="411"/>
      <c r="O1907" s="411"/>
      <c r="P1907" s="411"/>
      <c r="Q1907" s="411"/>
      <c r="R1907" s="411"/>
      <c r="S1907" s="411"/>
      <c r="T1907" s="411"/>
      <c r="U1907" s="411"/>
      <c r="V1907" s="411"/>
      <c r="W1907" s="412"/>
      <c r="X1907" s="254" t="s">
        <v>2338</v>
      </c>
      <c r="Y1907" s="254" t="s">
        <v>2339</v>
      </c>
      <c r="Z1907" s="254" t="s">
        <v>2340</v>
      </c>
      <c r="AA1907" s="269" t="s">
        <v>2341</v>
      </c>
      <c r="AB1907" s="269" t="s">
        <v>2342</v>
      </c>
      <c r="AC1907" s="269"/>
      <c r="AD1907" s="7"/>
      <c r="AE1907" s="13"/>
      <c r="AF1907" s="13"/>
      <c r="AG1907" s="13"/>
      <c r="AH1907" s="13"/>
      <c r="AI1907" s="13"/>
      <c r="AJ1907" s="13"/>
      <c r="AK1907" s="13"/>
      <c r="AL1907" s="13"/>
      <c r="AM1907" s="13"/>
    </row>
    <row r="1908" spans="1:39" x14ac:dyDescent="0.3">
      <c r="A1908" s="131" t="s">
        <v>2343</v>
      </c>
      <c r="B1908" s="111"/>
      <c r="C1908" s="273"/>
      <c r="D1908" s="273"/>
      <c r="E1908" s="273"/>
      <c r="F1908" s="273"/>
      <c r="G1908" s="273"/>
      <c r="H1908" s="273"/>
      <c r="I1908" s="273"/>
      <c r="J1908" s="273"/>
      <c r="K1908" s="273"/>
      <c r="L1908" s="273"/>
      <c r="M1908" s="273"/>
      <c r="N1908" s="273"/>
      <c r="O1908" s="273"/>
      <c r="P1908" s="273"/>
      <c r="Q1908" s="273"/>
      <c r="R1908" s="273"/>
      <c r="S1908" s="273"/>
      <c r="T1908" s="273"/>
      <c r="U1908" s="273"/>
      <c r="V1908" s="273"/>
      <c r="W1908" s="273"/>
      <c r="X1908" s="271"/>
      <c r="Y1908" s="271"/>
      <c r="Z1908" s="271"/>
      <c r="AA1908" s="271"/>
      <c r="AB1908" s="269"/>
      <c r="AC1908" s="269"/>
      <c r="AD1908" s="7"/>
      <c r="AE1908" s="13"/>
      <c r="AF1908" s="13"/>
      <c r="AG1908" s="13"/>
      <c r="AH1908" s="13"/>
      <c r="AI1908" s="13"/>
      <c r="AJ1908" s="13"/>
      <c r="AK1908" s="13"/>
      <c r="AL1908" s="13"/>
      <c r="AM1908" s="13"/>
    </row>
    <row r="1909" spans="1:39" x14ac:dyDescent="0.3">
      <c r="A1909" s="10">
        <f>A1904+1</f>
        <v>1672</v>
      </c>
      <c r="B1909" s="124" t="s">
        <v>2344</v>
      </c>
      <c r="C1909" s="273">
        <f>D1909+K1909+L1909+N1909+P1909+R1909+S1909+U1909+V1909+W1909</f>
        <v>594232.21</v>
      </c>
      <c r="D1909" s="273">
        <f>E1909+F1909+G1909+H1909+I1909</f>
        <v>0</v>
      </c>
      <c r="E1909" s="273"/>
      <c r="F1909" s="273"/>
      <c r="G1909" s="273"/>
      <c r="H1909" s="273"/>
      <c r="I1909" s="273"/>
      <c r="J1909" s="273"/>
      <c r="K1909" s="273"/>
      <c r="L1909" s="273"/>
      <c r="M1909" s="273"/>
      <c r="N1909" s="273"/>
      <c r="O1909" s="273"/>
      <c r="P1909" s="273"/>
      <c r="Q1909" s="273"/>
      <c r="R1909" s="273"/>
      <c r="S1909" s="273"/>
      <c r="T1909" s="273"/>
      <c r="U1909" s="273"/>
      <c r="V1909" s="273"/>
      <c r="W1909" s="273">
        <f>SUM(X1909:AH1909)</f>
        <v>594232.21</v>
      </c>
      <c r="X1909" s="271"/>
      <c r="Y1909" s="271"/>
      <c r="Z1909" s="271"/>
      <c r="AA1909" s="271"/>
      <c r="AC1909" s="269">
        <v>160319.42000000001</v>
      </c>
      <c r="AE1909" s="269">
        <v>278850.40999999997</v>
      </c>
      <c r="AF1909" s="7">
        <v>155062.38</v>
      </c>
      <c r="AG1909" s="13"/>
      <c r="AH1909" s="13"/>
      <c r="AI1909" s="13"/>
      <c r="AJ1909" s="13"/>
      <c r="AK1909" s="13"/>
      <c r="AL1909" s="13"/>
      <c r="AM1909" s="13">
        <v>200</v>
      </c>
    </row>
    <row r="1910" spans="1:39" x14ac:dyDescent="0.3">
      <c r="A1910" s="133" t="s">
        <v>208</v>
      </c>
      <c r="B1910" s="122"/>
      <c r="C1910" s="273">
        <f t="shared" ref="C1910:W1910" si="427">C1909</f>
        <v>594232.21</v>
      </c>
      <c r="D1910" s="273">
        <f t="shared" si="427"/>
        <v>0</v>
      </c>
      <c r="E1910" s="273">
        <f t="shared" si="427"/>
        <v>0</v>
      </c>
      <c r="F1910" s="273">
        <f t="shared" si="427"/>
        <v>0</v>
      </c>
      <c r="G1910" s="273">
        <f t="shared" si="427"/>
        <v>0</v>
      </c>
      <c r="H1910" s="273">
        <f t="shared" si="427"/>
        <v>0</v>
      </c>
      <c r="I1910" s="273">
        <f t="shared" si="427"/>
        <v>0</v>
      </c>
      <c r="J1910" s="273">
        <f t="shared" si="427"/>
        <v>0</v>
      </c>
      <c r="K1910" s="273">
        <f t="shared" si="427"/>
        <v>0</v>
      </c>
      <c r="L1910" s="273">
        <f t="shared" si="427"/>
        <v>0</v>
      </c>
      <c r="M1910" s="273">
        <f t="shared" si="427"/>
        <v>0</v>
      </c>
      <c r="N1910" s="273">
        <f t="shared" si="427"/>
        <v>0</v>
      </c>
      <c r="O1910" s="273">
        <f t="shared" si="427"/>
        <v>0</v>
      </c>
      <c r="P1910" s="273">
        <f t="shared" si="427"/>
        <v>0</v>
      </c>
      <c r="Q1910" s="273">
        <f t="shared" si="427"/>
        <v>0</v>
      </c>
      <c r="R1910" s="273">
        <f t="shared" si="427"/>
        <v>0</v>
      </c>
      <c r="S1910" s="273">
        <f t="shared" si="427"/>
        <v>0</v>
      </c>
      <c r="T1910" s="273">
        <f t="shared" si="427"/>
        <v>0</v>
      </c>
      <c r="U1910" s="273">
        <f t="shared" si="427"/>
        <v>0</v>
      </c>
      <c r="V1910" s="273">
        <f t="shared" si="427"/>
        <v>0</v>
      </c>
      <c r="W1910" s="273">
        <f t="shared" si="427"/>
        <v>594232.21</v>
      </c>
      <c r="X1910" s="271"/>
      <c r="Y1910" s="271"/>
      <c r="Z1910" s="271"/>
      <c r="AA1910" s="271"/>
      <c r="AB1910" s="269"/>
      <c r="AC1910" s="269"/>
      <c r="AD1910" s="7"/>
      <c r="AE1910" s="13"/>
      <c r="AF1910" s="13"/>
      <c r="AG1910" s="13"/>
      <c r="AH1910" s="13"/>
      <c r="AI1910" s="13"/>
      <c r="AJ1910" s="13"/>
      <c r="AK1910" s="13"/>
      <c r="AL1910" s="13"/>
      <c r="AM1910" s="13"/>
    </row>
    <row r="1911" spans="1:39" x14ac:dyDescent="0.3">
      <c r="A1911" s="131" t="s">
        <v>2345</v>
      </c>
      <c r="B1911" s="111"/>
      <c r="C1911" s="273"/>
      <c r="D1911" s="273"/>
      <c r="E1911" s="273"/>
      <c r="F1911" s="273"/>
      <c r="G1911" s="273"/>
      <c r="H1911" s="273"/>
      <c r="I1911" s="273"/>
      <c r="J1911" s="273"/>
      <c r="K1911" s="273"/>
      <c r="L1911" s="273"/>
      <c r="M1911" s="273"/>
      <c r="N1911" s="273"/>
      <c r="O1911" s="273"/>
      <c r="P1911" s="273"/>
      <c r="Q1911" s="273"/>
      <c r="R1911" s="273"/>
      <c r="S1911" s="273"/>
      <c r="T1911" s="273"/>
      <c r="U1911" s="273"/>
      <c r="V1911" s="273"/>
      <c r="W1911" s="273"/>
      <c r="X1911" s="271"/>
      <c r="Y1911" s="271"/>
      <c r="Z1911" s="271"/>
      <c r="AA1911" s="271"/>
      <c r="AB1911" s="269"/>
      <c r="AC1911" s="269"/>
      <c r="AD1911" s="7"/>
      <c r="AE1911" s="13"/>
      <c r="AF1911" s="13"/>
      <c r="AG1911" s="13"/>
      <c r="AH1911" s="13"/>
      <c r="AI1911" s="13"/>
      <c r="AJ1911" s="13"/>
      <c r="AK1911" s="13"/>
      <c r="AL1911" s="13"/>
      <c r="AM1911" s="13"/>
    </row>
    <row r="1912" spans="1:39" x14ac:dyDescent="0.3">
      <c r="A1912" s="10">
        <f>A1909+1</f>
        <v>1673</v>
      </c>
      <c r="B1912" s="124" t="s">
        <v>2346</v>
      </c>
      <c r="C1912" s="273">
        <f t="shared" ref="C1912:C1921" si="428">D1912+K1912+L1912+N1912+P1912+R1912+S1912+U1912+V1912+W1912</f>
        <v>253806.88</v>
      </c>
      <c r="D1912" s="273">
        <f t="shared" ref="D1912:D1921" si="429">E1912+F1912+G1912+H1912+I1912</f>
        <v>0</v>
      </c>
      <c r="E1912" s="273"/>
      <c r="F1912" s="273"/>
      <c r="G1912" s="273"/>
      <c r="H1912" s="273"/>
      <c r="I1912" s="273"/>
      <c r="J1912" s="273"/>
      <c r="K1912" s="273"/>
      <c r="L1912" s="273"/>
      <c r="M1912" s="273"/>
      <c r="N1912" s="273"/>
      <c r="O1912" s="273"/>
      <c r="P1912" s="273"/>
      <c r="Q1912" s="273"/>
      <c r="R1912" s="273"/>
      <c r="S1912" s="273"/>
      <c r="T1912" s="273"/>
      <c r="U1912" s="273"/>
      <c r="V1912" s="273"/>
      <c r="W1912" s="273">
        <f t="shared" ref="W1912:W1921" si="430">SUM(X1912:AH1912)</f>
        <v>253806.88</v>
      </c>
      <c r="X1912" s="271"/>
      <c r="Y1912" s="110">
        <v>121051.4</v>
      </c>
      <c r="Z1912" s="110"/>
      <c r="AA1912" s="271">
        <v>132755.48000000001</v>
      </c>
      <c r="AB1912" s="269"/>
      <c r="AC1912" s="269"/>
      <c r="AD1912" s="7"/>
      <c r="AE1912" s="13"/>
      <c r="AF1912" s="13"/>
      <c r="AG1912" s="13"/>
      <c r="AH1912" s="13"/>
      <c r="AI1912" s="13"/>
      <c r="AJ1912" s="13"/>
      <c r="AK1912" s="13"/>
      <c r="AL1912" s="13"/>
      <c r="AM1912" s="13"/>
    </row>
    <row r="1913" spans="1:39" x14ac:dyDescent="0.3">
      <c r="A1913" s="10">
        <f t="shared" ref="A1913:A1921" si="431">A1912+1</f>
        <v>1674</v>
      </c>
      <c r="B1913" s="124" t="s">
        <v>2347</v>
      </c>
      <c r="C1913" s="273">
        <f t="shared" si="428"/>
        <v>172766.83</v>
      </c>
      <c r="D1913" s="273">
        <f t="shared" si="429"/>
        <v>0</v>
      </c>
      <c r="E1913" s="273"/>
      <c r="F1913" s="273"/>
      <c r="G1913" s="273"/>
      <c r="H1913" s="273"/>
      <c r="I1913" s="273"/>
      <c r="J1913" s="273"/>
      <c r="K1913" s="273"/>
      <c r="L1913" s="273"/>
      <c r="M1913" s="273"/>
      <c r="N1913" s="273"/>
      <c r="O1913" s="273"/>
      <c r="P1913" s="273"/>
      <c r="Q1913" s="273"/>
      <c r="R1913" s="273"/>
      <c r="S1913" s="273"/>
      <c r="T1913" s="273"/>
      <c r="U1913" s="273"/>
      <c r="V1913" s="273"/>
      <c r="W1913" s="273">
        <f t="shared" si="430"/>
        <v>172766.83</v>
      </c>
      <c r="X1913" s="271"/>
      <c r="Y1913" s="271"/>
      <c r="Z1913" s="271"/>
      <c r="AA1913" s="271"/>
      <c r="AB1913" s="269">
        <v>172766.83</v>
      </c>
      <c r="AC1913" s="269"/>
      <c r="AD1913" s="7"/>
      <c r="AE1913" s="13"/>
      <c r="AF1913" s="13"/>
      <c r="AG1913" s="13"/>
      <c r="AH1913" s="13"/>
      <c r="AI1913" s="13"/>
      <c r="AJ1913" s="13"/>
      <c r="AK1913" s="13"/>
      <c r="AL1913" s="13"/>
      <c r="AM1913" s="13"/>
    </row>
    <row r="1914" spans="1:39" x14ac:dyDescent="0.3">
      <c r="A1914" s="10">
        <f t="shared" si="431"/>
        <v>1675</v>
      </c>
      <c r="B1914" s="124" t="s">
        <v>2348</v>
      </c>
      <c r="C1914" s="273">
        <f t="shared" si="428"/>
        <v>172766.83</v>
      </c>
      <c r="D1914" s="273">
        <f t="shared" si="429"/>
        <v>0</v>
      </c>
      <c r="E1914" s="273"/>
      <c r="F1914" s="273"/>
      <c r="G1914" s="273"/>
      <c r="H1914" s="273"/>
      <c r="I1914" s="273"/>
      <c r="J1914" s="273"/>
      <c r="K1914" s="273"/>
      <c r="L1914" s="273"/>
      <c r="M1914" s="273"/>
      <c r="N1914" s="273"/>
      <c r="O1914" s="273"/>
      <c r="P1914" s="273"/>
      <c r="Q1914" s="273"/>
      <c r="R1914" s="273"/>
      <c r="S1914" s="273"/>
      <c r="T1914" s="273"/>
      <c r="U1914" s="273"/>
      <c r="V1914" s="273"/>
      <c r="W1914" s="273">
        <f t="shared" si="430"/>
        <v>172766.83</v>
      </c>
      <c r="X1914" s="271"/>
      <c r="Y1914" s="271"/>
      <c r="Z1914" s="271"/>
      <c r="AA1914" s="269"/>
      <c r="AB1914" s="269">
        <v>172766.83</v>
      </c>
      <c r="AC1914" s="269"/>
      <c r="AD1914" s="7"/>
      <c r="AE1914" s="13"/>
      <c r="AF1914" s="13"/>
      <c r="AG1914" s="13"/>
      <c r="AH1914" s="13"/>
      <c r="AI1914" s="13"/>
      <c r="AJ1914" s="13"/>
      <c r="AK1914" s="13"/>
      <c r="AL1914" s="13"/>
      <c r="AM1914" s="13"/>
    </row>
    <row r="1915" spans="1:39" x14ac:dyDescent="0.3">
      <c r="A1915" s="10">
        <f t="shared" si="431"/>
        <v>1676</v>
      </c>
      <c r="B1915" s="124" t="s">
        <v>2349</v>
      </c>
      <c r="C1915" s="273">
        <f t="shared" si="428"/>
        <v>1390107.96</v>
      </c>
      <c r="D1915" s="273">
        <f t="shared" si="429"/>
        <v>0</v>
      </c>
      <c r="E1915" s="273"/>
      <c r="F1915" s="273"/>
      <c r="G1915" s="273"/>
      <c r="H1915" s="273"/>
      <c r="I1915" s="273"/>
      <c r="J1915" s="273"/>
      <c r="K1915" s="273"/>
      <c r="L1915" s="273"/>
      <c r="M1915" s="273"/>
      <c r="N1915" s="273"/>
      <c r="O1915" s="273"/>
      <c r="P1915" s="273"/>
      <c r="Q1915" s="273"/>
      <c r="R1915" s="273"/>
      <c r="S1915" s="273"/>
      <c r="T1915" s="273"/>
      <c r="U1915" s="273"/>
      <c r="V1915" s="273"/>
      <c r="W1915" s="273">
        <f t="shared" si="430"/>
        <v>1390107.96</v>
      </c>
      <c r="X1915" s="271"/>
      <c r="Y1915" s="271"/>
      <c r="Z1915" s="271"/>
      <c r="AA1915" s="271"/>
      <c r="AB1915" s="269"/>
      <c r="AC1915" s="269"/>
      <c r="AF1915" s="7">
        <v>193694.8</v>
      </c>
      <c r="AG1915" s="13">
        <v>1196413.1599999999</v>
      </c>
      <c r="AH1915" s="13"/>
      <c r="AI1915" s="13"/>
      <c r="AJ1915" s="13"/>
      <c r="AK1915" s="13"/>
      <c r="AL1915" s="13"/>
      <c r="AM1915" s="13"/>
    </row>
    <row r="1916" spans="1:39" x14ac:dyDescent="0.3">
      <c r="A1916" s="10">
        <f t="shared" si="431"/>
        <v>1677</v>
      </c>
      <c r="B1916" s="124" t="s">
        <v>2350</v>
      </c>
      <c r="C1916" s="273">
        <f t="shared" si="428"/>
        <v>83492.44</v>
      </c>
      <c r="D1916" s="273">
        <f t="shared" si="429"/>
        <v>0</v>
      </c>
      <c r="E1916" s="273"/>
      <c r="F1916" s="273"/>
      <c r="G1916" s="273"/>
      <c r="H1916" s="273"/>
      <c r="I1916" s="273"/>
      <c r="J1916" s="273"/>
      <c r="K1916" s="273"/>
      <c r="L1916" s="273"/>
      <c r="M1916" s="273"/>
      <c r="N1916" s="273"/>
      <c r="O1916" s="273"/>
      <c r="P1916" s="273"/>
      <c r="Q1916" s="273"/>
      <c r="R1916" s="273"/>
      <c r="S1916" s="273"/>
      <c r="T1916" s="273"/>
      <c r="U1916" s="273"/>
      <c r="V1916" s="273"/>
      <c r="W1916" s="273">
        <f t="shared" si="430"/>
        <v>83492.44</v>
      </c>
      <c r="X1916" s="271"/>
      <c r="Y1916" s="271"/>
      <c r="Z1916" s="271"/>
      <c r="AA1916" s="271"/>
      <c r="AB1916" s="269">
        <v>83492.44</v>
      </c>
      <c r="AC1916" s="269"/>
      <c r="AD1916" s="7"/>
      <c r="AE1916" s="13"/>
      <c r="AF1916" s="13"/>
      <c r="AG1916" s="13"/>
      <c r="AH1916" s="13"/>
      <c r="AI1916" s="13"/>
      <c r="AJ1916" s="13"/>
      <c r="AK1916" s="13"/>
      <c r="AL1916" s="13"/>
      <c r="AM1916" s="13"/>
    </row>
    <row r="1917" spans="1:39" x14ac:dyDescent="0.3">
      <c r="A1917" s="10">
        <f t="shared" si="431"/>
        <v>1678</v>
      </c>
      <c r="B1917" s="124" t="s">
        <v>2351</v>
      </c>
      <c r="C1917" s="273">
        <f t="shared" si="428"/>
        <v>704232.71000000008</v>
      </c>
      <c r="D1917" s="273">
        <f t="shared" si="429"/>
        <v>0</v>
      </c>
      <c r="E1917" s="273"/>
      <c r="F1917" s="273"/>
      <c r="G1917" s="273"/>
      <c r="H1917" s="273"/>
      <c r="I1917" s="273"/>
      <c r="J1917" s="273"/>
      <c r="K1917" s="273"/>
      <c r="L1917" s="273"/>
      <c r="M1917" s="273"/>
      <c r="N1917" s="273"/>
      <c r="O1917" s="273"/>
      <c r="P1917" s="273"/>
      <c r="Q1917" s="273"/>
      <c r="R1917" s="273"/>
      <c r="S1917" s="273"/>
      <c r="T1917" s="273"/>
      <c r="U1917" s="273"/>
      <c r="V1917" s="273"/>
      <c r="W1917" s="273">
        <f t="shared" si="430"/>
        <v>704232.71000000008</v>
      </c>
      <c r="X1917" s="271"/>
      <c r="Y1917" s="269"/>
      <c r="Z1917" s="269">
        <v>118660.9</v>
      </c>
      <c r="AA1917" s="271"/>
      <c r="AB1917" s="269"/>
      <c r="AC1917" s="269"/>
      <c r="AD1917" s="7"/>
      <c r="AE1917" s="13">
        <v>585571.81000000006</v>
      </c>
      <c r="AF1917" s="13"/>
      <c r="AG1917" s="13"/>
      <c r="AH1917" s="13"/>
      <c r="AI1917" s="13"/>
      <c r="AJ1917" s="13"/>
      <c r="AK1917" s="13"/>
      <c r="AL1917" s="13"/>
      <c r="AM1917" s="13"/>
    </row>
    <row r="1918" spans="1:39" x14ac:dyDescent="0.3">
      <c r="A1918" s="10">
        <f t="shared" si="431"/>
        <v>1679</v>
      </c>
      <c r="B1918" s="124" t="s">
        <v>2352</v>
      </c>
      <c r="C1918" s="273">
        <f t="shared" si="428"/>
        <v>973554.19</v>
      </c>
      <c r="D1918" s="273">
        <f t="shared" si="429"/>
        <v>0</v>
      </c>
      <c r="E1918" s="273"/>
      <c r="F1918" s="273"/>
      <c r="G1918" s="273"/>
      <c r="H1918" s="273"/>
      <c r="I1918" s="273"/>
      <c r="J1918" s="273"/>
      <c r="K1918" s="273"/>
      <c r="L1918" s="273"/>
      <c r="M1918" s="273"/>
      <c r="N1918" s="273"/>
      <c r="O1918" s="273"/>
      <c r="P1918" s="273"/>
      <c r="Q1918" s="273"/>
      <c r="R1918" s="273"/>
      <c r="S1918" s="273"/>
      <c r="T1918" s="273"/>
      <c r="U1918" s="273"/>
      <c r="V1918" s="273"/>
      <c r="W1918" s="273">
        <f t="shared" si="430"/>
        <v>973554.19</v>
      </c>
      <c r="X1918" s="271">
        <v>100824.16</v>
      </c>
      <c r="Y1918" s="110">
        <v>111201.22</v>
      </c>
      <c r="Z1918" s="110"/>
      <c r="AA1918" s="271">
        <v>123710.56</v>
      </c>
      <c r="AB1918" s="269">
        <v>105483.3</v>
      </c>
      <c r="AC1918" s="269"/>
      <c r="AD1918" s="7"/>
      <c r="AE1918" s="13">
        <v>532334.94999999995</v>
      </c>
      <c r="AF1918" s="13"/>
      <c r="AG1918" s="13"/>
      <c r="AH1918" s="13"/>
      <c r="AI1918" s="13"/>
      <c r="AJ1918" s="13"/>
      <c r="AK1918" s="13"/>
      <c r="AL1918" s="13"/>
      <c r="AM1918" s="13"/>
    </row>
    <row r="1919" spans="1:39" x14ac:dyDescent="0.3">
      <c r="A1919" s="10">
        <f t="shared" si="431"/>
        <v>1680</v>
      </c>
      <c r="B1919" s="124" t="s">
        <v>2353</v>
      </c>
      <c r="C1919" s="273">
        <f t="shared" si="428"/>
        <v>765472.2</v>
      </c>
      <c r="D1919" s="273">
        <f t="shared" si="429"/>
        <v>0</v>
      </c>
      <c r="E1919" s="273"/>
      <c r="F1919" s="273"/>
      <c r="G1919" s="273"/>
      <c r="H1919" s="273"/>
      <c r="I1919" s="273"/>
      <c r="J1919" s="273"/>
      <c r="K1919" s="273"/>
      <c r="L1919" s="273"/>
      <c r="M1919" s="273"/>
      <c r="N1919" s="273"/>
      <c r="O1919" s="273"/>
      <c r="P1919" s="273"/>
      <c r="Q1919" s="273"/>
      <c r="R1919" s="273"/>
      <c r="S1919" s="273"/>
      <c r="T1919" s="273"/>
      <c r="U1919" s="273"/>
      <c r="V1919" s="273"/>
      <c r="W1919" s="273">
        <f t="shared" si="430"/>
        <v>765472.2</v>
      </c>
      <c r="X1919" s="271"/>
      <c r="Y1919" s="110">
        <v>110917.27</v>
      </c>
      <c r="Z1919" s="110"/>
      <c r="AA1919" s="271">
        <v>123419.82</v>
      </c>
      <c r="AB1919" s="269"/>
      <c r="AC1919" s="269"/>
      <c r="AD1919" s="7"/>
      <c r="AE1919" s="13">
        <v>531135.11</v>
      </c>
      <c r="AF1919" s="13"/>
      <c r="AG1919" s="13"/>
      <c r="AH1919" s="13"/>
      <c r="AI1919" s="13"/>
      <c r="AJ1919" s="13"/>
      <c r="AK1919" s="13"/>
      <c r="AL1919" s="13"/>
      <c r="AM1919" s="13"/>
    </row>
    <row r="1920" spans="1:39" x14ac:dyDescent="0.3">
      <c r="A1920" s="10">
        <f t="shared" si="431"/>
        <v>1681</v>
      </c>
      <c r="B1920" s="124" t="s">
        <v>2354</v>
      </c>
      <c r="C1920" s="273">
        <f t="shared" si="428"/>
        <v>105277.86</v>
      </c>
      <c r="D1920" s="273">
        <f t="shared" si="429"/>
        <v>0</v>
      </c>
      <c r="E1920" s="273"/>
      <c r="F1920" s="273"/>
      <c r="G1920" s="273"/>
      <c r="H1920" s="273"/>
      <c r="I1920" s="273"/>
      <c r="J1920" s="273"/>
      <c r="K1920" s="273"/>
      <c r="L1920" s="273"/>
      <c r="M1920" s="273"/>
      <c r="N1920" s="273"/>
      <c r="O1920" s="273"/>
      <c r="P1920" s="273"/>
      <c r="Q1920" s="273"/>
      <c r="R1920" s="273"/>
      <c r="S1920" s="273"/>
      <c r="T1920" s="273"/>
      <c r="U1920" s="273"/>
      <c r="V1920" s="273"/>
      <c r="W1920" s="273">
        <f t="shared" si="430"/>
        <v>105277.86</v>
      </c>
      <c r="X1920" s="271"/>
      <c r="Y1920" s="271"/>
      <c r="Z1920" s="271"/>
      <c r="AA1920" s="271"/>
      <c r="AB1920" s="269">
        <v>105277.86</v>
      </c>
      <c r="AC1920" s="269"/>
      <c r="AD1920" s="7"/>
      <c r="AE1920" s="13"/>
      <c r="AF1920" s="13"/>
      <c r="AG1920" s="13"/>
      <c r="AH1920" s="13"/>
      <c r="AI1920" s="13"/>
      <c r="AJ1920" s="13"/>
      <c r="AK1920" s="13"/>
      <c r="AL1920" s="13"/>
      <c r="AM1920" s="13"/>
    </row>
    <row r="1921" spans="1:39" x14ac:dyDescent="0.3">
      <c r="A1921" s="10">
        <f t="shared" si="431"/>
        <v>1682</v>
      </c>
      <c r="B1921" s="124" t="s">
        <v>2355</v>
      </c>
      <c r="C1921" s="273">
        <f t="shared" si="428"/>
        <v>1080946.6399999999</v>
      </c>
      <c r="D1921" s="273">
        <f t="shared" si="429"/>
        <v>0</v>
      </c>
      <c r="E1921" s="273"/>
      <c r="F1921" s="273"/>
      <c r="G1921" s="273"/>
      <c r="H1921" s="273"/>
      <c r="I1921" s="273"/>
      <c r="J1921" s="273"/>
      <c r="K1921" s="273"/>
      <c r="L1921" s="273"/>
      <c r="M1921" s="273"/>
      <c r="N1921" s="273"/>
      <c r="O1921" s="273"/>
      <c r="P1921" s="273"/>
      <c r="Q1921" s="273"/>
      <c r="R1921" s="273"/>
      <c r="S1921" s="273"/>
      <c r="T1921" s="273"/>
      <c r="U1921" s="273"/>
      <c r="V1921" s="273"/>
      <c r="W1921" s="273">
        <f t="shared" si="430"/>
        <v>1080946.6399999999</v>
      </c>
      <c r="X1921" s="271"/>
      <c r="Y1921" s="271"/>
      <c r="Z1921" s="271"/>
      <c r="AA1921" s="271"/>
      <c r="AC1921" s="269">
        <v>110645.86</v>
      </c>
      <c r="AF1921" s="7">
        <v>213959.33</v>
      </c>
      <c r="AG1921" s="13">
        <v>756341.45</v>
      </c>
      <c r="AH1921" s="13"/>
      <c r="AI1921" s="13"/>
      <c r="AJ1921" s="13"/>
      <c r="AK1921" s="13"/>
      <c r="AL1921" s="13"/>
      <c r="AM1921" s="13"/>
    </row>
    <row r="1922" spans="1:39" x14ac:dyDescent="0.3">
      <c r="A1922" s="133" t="s">
        <v>208</v>
      </c>
      <c r="B1922" s="122"/>
      <c r="C1922" s="273">
        <f t="shared" ref="C1922:W1922" si="432">SUM(C1912:C1921)</f>
        <v>5702424.54</v>
      </c>
      <c r="D1922" s="273">
        <f t="shared" si="432"/>
        <v>0</v>
      </c>
      <c r="E1922" s="273">
        <f t="shared" si="432"/>
        <v>0</v>
      </c>
      <c r="F1922" s="273">
        <f t="shared" si="432"/>
        <v>0</v>
      </c>
      <c r="G1922" s="273">
        <f t="shared" si="432"/>
        <v>0</v>
      </c>
      <c r="H1922" s="273">
        <f t="shared" si="432"/>
        <v>0</v>
      </c>
      <c r="I1922" s="273">
        <f t="shared" si="432"/>
        <v>0</v>
      </c>
      <c r="J1922" s="273">
        <f t="shared" si="432"/>
        <v>0</v>
      </c>
      <c r="K1922" s="273">
        <f t="shared" si="432"/>
        <v>0</v>
      </c>
      <c r="L1922" s="273">
        <f t="shared" si="432"/>
        <v>0</v>
      </c>
      <c r="M1922" s="273">
        <f t="shared" si="432"/>
        <v>0</v>
      </c>
      <c r="N1922" s="273">
        <f t="shared" si="432"/>
        <v>0</v>
      </c>
      <c r="O1922" s="273">
        <f t="shared" si="432"/>
        <v>0</v>
      </c>
      <c r="P1922" s="273">
        <f t="shared" si="432"/>
        <v>0</v>
      </c>
      <c r="Q1922" s="273">
        <f t="shared" si="432"/>
        <v>0</v>
      </c>
      <c r="R1922" s="273">
        <f t="shared" si="432"/>
        <v>0</v>
      </c>
      <c r="S1922" s="273">
        <f t="shared" si="432"/>
        <v>0</v>
      </c>
      <c r="T1922" s="273">
        <f t="shared" si="432"/>
        <v>0</v>
      </c>
      <c r="U1922" s="273">
        <f t="shared" si="432"/>
        <v>0</v>
      </c>
      <c r="V1922" s="273">
        <f t="shared" si="432"/>
        <v>0</v>
      </c>
      <c r="W1922" s="273">
        <f t="shared" si="432"/>
        <v>5702424.54</v>
      </c>
      <c r="X1922" s="271"/>
      <c r="Y1922" s="271"/>
      <c r="Z1922" s="271"/>
      <c r="AA1922" s="271"/>
      <c r="AB1922" s="269"/>
      <c r="AC1922" s="269"/>
      <c r="AD1922" s="7"/>
      <c r="AE1922" s="13"/>
      <c r="AF1922" s="13"/>
      <c r="AG1922" s="13"/>
      <c r="AH1922" s="13"/>
      <c r="AI1922" s="13"/>
      <c r="AJ1922" s="13"/>
      <c r="AK1922" s="13"/>
      <c r="AL1922" s="13"/>
      <c r="AM1922" s="13"/>
    </row>
    <row r="1923" spans="1:39" x14ac:dyDescent="0.3">
      <c r="A1923" s="131" t="s">
        <v>2356</v>
      </c>
      <c r="B1923" s="111"/>
      <c r="C1923" s="273"/>
      <c r="D1923" s="273"/>
      <c r="E1923" s="273"/>
      <c r="F1923" s="273"/>
      <c r="G1923" s="273"/>
      <c r="H1923" s="273"/>
      <c r="I1923" s="273"/>
      <c r="J1923" s="273"/>
      <c r="K1923" s="273"/>
      <c r="L1923" s="273"/>
      <c r="M1923" s="273"/>
      <c r="N1923" s="273"/>
      <c r="O1923" s="273"/>
      <c r="P1923" s="273"/>
      <c r="Q1923" s="273"/>
      <c r="R1923" s="273"/>
      <c r="S1923" s="273"/>
      <c r="T1923" s="273"/>
      <c r="U1923" s="273"/>
      <c r="V1923" s="273"/>
      <c r="W1923" s="273"/>
      <c r="X1923" s="271"/>
      <c r="Y1923" s="271"/>
      <c r="Z1923" s="271"/>
      <c r="AA1923" s="271"/>
      <c r="AB1923" s="269"/>
      <c r="AC1923" s="269"/>
      <c r="AD1923" s="7"/>
      <c r="AE1923" s="13"/>
      <c r="AF1923" s="13"/>
      <c r="AG1923" s="13"/>
      <c r="AH1923" s="13"/>
      <c r="AI1923" s="13"/>
      <c r="AJ1923" s="13"/>
      <c r="AK1923" s="13"/>
      <c r="AL1923" s="13"/>
      <c r="AM1923" s="13"/>
    </row>
    <row r="1924" spans="1:39" x14ac:dyDescent="0.3">
      <c r="A1924" s="10">
        <f>A1921+1</f>
        <v>1683</v>
      </c>
      <c r="B1924" s="124" t="s">
        <v>2357</v>
      </c>
      <c r="C1924" s="273">
        <f t="shared" ref="C1924:C1955" si="433">D1924+K1924+L1924+N1924+P1924+R1924+S1924+U1924+V1924+W1924</f>
        <v>159904</v>
      </c>
      <c r="D1924" s="273">
        <f t="shared" ref="D1924:D1955" si="434">E1924+F1924+G1924+H1924+I1924</f>
        <v>0</v>
      </c>
      <c r="E1924" s="273"/>
      <c r="F1924" s="273"/>
      <c r="G1924" s="273"/>
      <c r="H1924" s="273"/>
      <c r="I1924" s="273"/>
      <c r="J1924" s="273"/>
      <c r="K1924" s="273"/>
      <c r="L1924" s="273"/>
      <c r="M1924" s="273"/>
      <c r="N1924" s="273"/>
      <c r="O1924" s="273"/>
      <c r="P1924" s="273"/>
      <c r="Q1924" s="273"/>
      <c r="R1924" s="273"/>
      <c r="S1924" s="273"/>
      <c r="T1924" s="273"/>
      <c r="U1924" s="273"/>
      <c r="V1924" s="273"/>
      <c r="W1924" s="273">
        <f t="shared" ref="W1924:W1930" si="435">SUM(X1924:AH1924)</f>
        <v>159904</v>
      </c>
      <c r="X1924" s="271"/>
      <c r="Y1924" s="271"/>
      <c r="Z1924" s="271"/>
      <c r="AC1924" s="269"/>
      <c r="AE1924" s="269">
        <v>159904</v>
      </c>
      <c r="AF1924" s="7"/>
      <c r="AG1924" s="13"/>
      <c r="AH1924" s="13"/>
      <c r="AI1924" s="13"/>
      <c r="AJ1924" s="13"/>
      <c r="AK1924" s="13"/>
      <c r="AL1924" s="13"/>
      <c r="AM1924" s="13"/>
    </row>
    <row r="1925" spans="1:39" x14ac:dyDescent="0.3">
      <c r="A1925" s="10">
        <f t="shared" ref="A1925:A1956" si="436">A1924+1</f>
        <v>1684</v>
      </c>
      <c r="B1925" s="124" t="s">
        <v>2358</v>
      </c>
      <c r="C1925" s="273">
        <f t="shared" si="433"/>
        <v>175265.44</v>
      </c>
      <c r="D1925" s="273">
        <f t="shared" si="434"/>
        <v>0</v>
      </c>
      <c r="E1925" s="273"/>
      <c r="F1925" s="273"/>
      <c r="G1925" s="273"/>
      <c r="H1925" s="273"/>
      <c r="I1925" s="273"/>
      <c r="J1925" s="273"/>
      <c r="K1925" s="273"/>
      <c r="L1925" s="273"/>
      <c r="M1925" s="273"/>
      <c r="N1925" s="273"/>
      <c r="O1925" s="273"/>
      <c r="P1925" s="273"/>
      <c r="Q1925" s="273"/>
      <c r="R1925" s="273"/>
      <c r="S1925" s="273"/>
      <c r="T1925" s="273"/>
      <c r="U1925" s="273"/>
      <c r="V1925" s="273"/>
      <c r="W1925" s="273">
        <f t="shared" si="435"/>
        <v>175265.44</v>
      </c>
      <c r="X1925" s="271"/>
      <c r="Y1925" s="271"/>
      <c r="Z1925" s="271"/>
      <c r="AC1925" s="269"/>
      <c r="AE1925" s="269">
        <v>175265.44</v>
      </c>
      <c r="AF1925" s="7"/>
      <c r="AG1925" s="13"/>
      <c r="AH1925" s="13"/>
      <c r="AI1925" s="13"/>
      <c r="AJ1925" s="13"/>
      <c r="AK1925" s="13"/>
      <c r="AL1925" s="13"/>
      <c r="AM1925" s="13">
        <v>129.21</v>
      </c>
    </row>
    <row r="1926" spans="1:39" x14ac:dyDescent="0.3">
      <c r="A1926" s="10">
        <f t="shared" si="436"/>
        <v>1685</v>
      </c>
      <c r="B1926" s="124" t="s">
        <v>2359</v>
      </c>
      <c r="C1926" s="273">
        <f t="shared" si="433"/>
        <v>184378.81</v>
      </c>
      <c r="D1926" s="273">
        <f t="shared" si="434"/>
        <v>0</v>
      </c>
      <c r="E1926" s="273"/>
      <c r="F1926" s="273"/>
      <c r="G1926" s="273"/>
      <c r="H1926" s="273"/>
      <c r="I1926" s="273"/>
      <c r="J1926" s="273"/>
      <c r="K1926" s="273"/>
      <c r="L1926" s="273"/>
      <c r="M1926" s="273"/>
      <c r="N1926" s="273"/>
      <c r="O1926" s="273"/>
      <c r="P1926" s="273"/>
      <c r="Q1926" s="273"/>
      <c r="R1926" s="273"/>
      <c r="S1926" s="273"/>
      <c r="T1926" s="273"/>
      <c r="U1926" s="273"/>
      <c r="V1926" s="273"/>
      <c r="W1926" s="273">
        <f t="shared" si="435"/>
        <v>184378.81</v>
      </c>
      <c r="X1926" s="271"/>
      <c r="Y1926" s="271"/>
      <c r="Z1926" s="271"/>
      <c r="AC1926" s="269"/>
      <c r="AE1926" s="269">
        <v>184378.81</v>
      </c>
      <c r="AF1926" s="7"/>
      <c r="AG1926" s="13"/>
      <c r="AH1926" s="13"/>
      <c r="AI1926" s="13"/>
      <c r="AJ1926" s="13"/>
      <c r="AK1926" s="13"/>
      <c r="AL1926" s="13"/>
      <c r="AM1926" s="13">
        <v>136.80000000000001</v>
      </c>
    </row>
    <row r="1927" spans="1:39" x14ac:dyDescent="0.3">
      <c r="A1927" s="10">
        <f t="shared" si="436"/>
        <v>1686</v>
      </c>
      <c r="B1927" s="124" t="s">
        <v>2360</v>
      </c>
      <c r="C1927" s="273">
        <f t="shared" si="433"/>
        <v>182269.61</v>
      </c>
      <c r="D1927" s="273">
        <f t="shared" si="434"/>
        <v>0</v>
      </c>
      <c r="E1927" s="273"/>
      <c r="F1927" s="273"/>
      <c r="G1927" s="273"/>
      <c r="H1927" s="273"/>
      <c r="I1927" s="273"/>
      <c r="J1927" s="273"/>
      <c r="K1927" s="273"/>
      <c r="L1927" s="273"/>
      <c r="M1927" s="273"/>
      <c r="N1927" s="273"/>
      <c r="O1927" s="273"/>
      <c r="P1927" s="273"/>
      <c r="Q1927" s="273"/>
      <c r="R1927" s="273"/>
      <c r="S1927" s="273"/>
      <c r="T1927" s="273"/>
      <c r="U1927" s="273"/>
      <c r="V1927" s="273"/>
      <c r="W1927" s="273">
        <f t="shared" si="435"/>
        <v>182269.61</v>
      </c>
      <c r="X1927" s="271"/>
      <c r="Y1927" s="271"/>
      <c r="Z1927" s="271"/>
      <c r="AC1927" s="269"/>
      <c r="AE1927" s="269">
        <v>182269.61</v>
      </c>
      <c r="AF1927" s="7"/>
      <c r="AG1927" s="13"/>
      <c r="AH1927" s="13"/>
      <c r="AI1927" s="13"/>
      <c r="AJ1927" s="13"/>
      <c r="AK1927" s="13"/>
      <c r="AL1927" s="13"/>
      <c r="AM1927" s="13"/>
    </row>
    <row r="1928" spans="1:39" x14ac:dyDescent="0.3">
      <c r="A1928" s="10">
        <f t="shared" si="436"/>
        <v>1687</v>
      </c>
      <c r="B1928" s="124" t="s">
        <v>2361</v>
      </c>
      <c r="C1928" s="273">
        <f t="shared" si="433"/>
        <v>150145.93</v>
      </c>
      <c r="D1928" s="273">
        <f t="shared" si="434"/>
        <v>0</v>
      </c>
      <c r="E1928" s="273"/>
      <c r="F1928" s="273"/>
      <c r="G1928" s="273"/>
      <c r="H1928" s="273"/>
      <c r="I1928" s="273"/>
      <c r="J1928" s="273"/>
      <c r="K1928" s="273"/>
      <c r="L1928" s="273"/>
      <c r="M1928" s="273"/>
      <c r="N1928" s="273"/>
      <c r="O1928" s="273"/>
      <c r="P1928" s="273"/>
      <c r="Q1928" s="273"/>
      <c r="R1928" s="273"/>
      <c r="S1928" s="273"/>
      <c r="T1928" s="273"/>
      <c r="U1928" s="273"/>
      <c r="V1928" s="273"/>
      <c r="W1928" s="273">
        <f t="shared" si="435"/>
        <v>150145.93</v>
      </c>
      <c r="X1928" s="271"/>
      <c r="Y1928" s="271"/>
      <c r="Z1928" s="271"/>
      <c r="AC1928" s="269"/>
      <c r="AE1928" s="269">
        <v>150145.93</v>
      </c>
      <c r="AF1928" s="7"/>
      <c r="AG1928" s="13"/>
      <c r="AH1928" s="13"/>
      <c r="AI1928" s="13"/>
      <c r="AJ1928" s="13"/>
      <c r="AK1928" s="13"/>
      <c r="AL1928" s="13"/>
      <c r="AM1928" s="13">
        <v>132.75</v>
      </c>
    </row>
    <row r="1929" spans="1:39" x14ac:dyDescent="0.3">
      <c r="A1929" s="10">
        <f t="shared" si="436"/>
        <v>1688</v>
      </c>
      <c r="B1929" s="124" t="s">
        <v>2362</v>
      </c>
      <c r="C1929" s="273">
        <f t="shared" si="433"/>
        <v>365928.24</v>
      </c>
      <c r="D1929" s="273">
        <f t="shared" si="434"/>
        <v>0</v>
      </c>
      <c r="E1929" s="273"/>
      <c r="F1929" s="273"/>
      <c r="G1929" s="273"/>
      <c r="H1929" s="273"/>
      <c r="I1929" s="273"/>
      <c r="J1929" s="273"/>
      <c r="K1929" s="273"/>
      <c r="L1929" s="273"/>
      <c r="M1929" s="273"/>
      <c r="N1929" s="273"/>
      <c r="O1929" s="273"/>
      <c r="P1929" s="273"/>
      <c r="Q1929" s="273"/>
      <c r="R1929" s="273"/>
      <c r="S1929" s="273"/>
      <c r="T1929" s="273"/>
      <c r="U1929" s="273"/>
      <c r="V1929" s="273"/>
      <c r="W1929" s="273">
        <f t="shared" si="435"/>
        <v>365928.24</v>
      </c>
      <c r="X1929" s="271">
        <v>106352.3</v>
      </c>
      <c r="Y1929" s="271">
        <v>142795</v>
      </c>
      <c r="Z1929" s="271">
        <v>116780.94</v>
      </c>
      <c r="AC1929" s="269"/>
      <c r="AE1929" s="269"/>
      <c r="AF1929" s="7"/>
      <c r="AG1929" s="13"/>
      <c r="AH1929" s="13"/>
      <c r="AI1929" s="13"/>
      <c r="AJ1929" s="13"/>
      <c r="AK1929" s="13"/>
      <c r="AL1929" s="13"/>
      <c r="AM1929" s="13"/>
    </row>
    <row r="1930" spans="1:39" x14ac:dyDescent="0.3">
      <c r="A1930" s="10">
        <f t="shared" si="436"/>
        <v>1689</v>
      </c>
      <c r="B1930" s="124" t="s">
        <v>2363</v>
      </c>
      <c r="C1930" s="273">
        <f t="shared" si="433"/>
        <v>673673.48</v>
      </c>
      <c r="D1930" s="273">
        <f t="shared" si="434"/>
        <v>0</v>
      </c>
      <c r="E1930" s="273"/>
      <c r="F1930" s="273"/>
      <c r="G1930" s="273"/>
      <c r="H1930" s="273"/>
      <c r="I1930" s="273"/>
      <c r="J1930" s="273"/>
      <c r="K1930" s="273"/>
      <c r="L1930" s="273"/>
      <c r="M1930" s="273"/>
      <c r="N1930" s="273"/>
      <c r="O1930" s="273"/>
      <c r="P1930" s="273"/>
      <c r="Q1930" s="273"/>
      <c r="R1930" s="273"/>
      <c r="S1930" s="273"/>
      <c r="T1930" s="273"/>
      <c r="U1930" s="273"/>
      <c r="V1930" s="273"/>
      <c r="W1930" s="273">
        <f t="shared" si="435"/>
        <v>673673.48</v>
      </c>
      <c r="X1930" s="271">
        <v>108230.2</v>
      </c>
      <c r="Y1930" s="271"/>
      <c r="Z1930" s="271"/>
      <c r="AC1930" s="269"/>
      <c r="AE1930" s="269"/>
      <c r="AF1930" s="7"/>
      <c r="AG1930" s="13">
        <v>565443.28</v>
      </c>
      <c r="AH1930" s="13"/>
      <c r="AI1930" s="13"/>
      <c r="AJ1930" s="13"/>
      <c r="AK1930" s="13"/>
      <c r="AL1930" s="13"/>
      <c r="AM1930" s="13"/>
    </row>
    <row r="1931" spans="1:39" x14ac:dyDescent="0.3">
      <c r="A1931" s="10">
        <f t="shared" si="436"/>
        <v>1690</v>
      </c>
      <c r="B1931" s="124" t="s">
        <v>3282</v>
      </c>
      <c r="C1931" s="273">
        <f t="shared" si="433"/>
        <v>235222</v>
      </c>
      <c r="D1931" s="273">
        <f t="shared" si="434"/>
        <v>105222</v>
      </c>
      <c r="E1931" s="273"/>
      <c r="F1931" s="273"/>
      <c r="G1931" s="273"/>
      <c r="H1931" s="273"/>
      <c r="I1931" s="273">
        <v>105222</v>
      </c>
      <c r="J1931" s="273"/>
      <c r="K1931" s="273"/>
      <c r="L1931" s="273"/>
      <c r="M1931" s="273"/>
      <c r="N1931" s="36"/>
      <c r="O1931" s="273"/>
      <c r="P1931" s="273"/>
      <c r="Q1931" s="273"/>
      <c r="R1931" s="273"/>
      <c r="S1931" s="273"/>
      <c r="T1931" s="273"/>
      <c r="U1931" s="273"/>
      <c r="V1931" s="273"/>
      <c r="W1931" s="273">
        <v>130000</v>
      </c>
      <c r="X1931" s="271"/>
      <c r="Y1931" s="271"/>
      <c r="Z1931" s="271"/>
      <c r="AC1931" s="269"/>
      <c r="AE1931" s="269"/>
      <c r="AF1931" s="7"/>
      <c r="AG1931" s="13"/>
      <c r="AH1931" s="13"/>
      <c r="AI1931" s="13"/>
      <c r="AJ1931" s="13"/>
      <c r="AK1931" s="13"/>
      <c r="AL1931" s="13"/>
      <c r="AM1931" s="13"/>
    </row>
    <row r="1932" spans="1:39" x14ac:dyDescent="0.3">
      <c r="A1932" s="10">
        <f t="shared" si="436"/>
        <v>1691</v>
      </c>
      <c r="B1932" s="124" t="s">
        <v>2364</v>
      </c>
      <c r="C1932" s="273">
        <f t="shared" si="433"/>
        <v>130000</v>
      </c>
      <c r="D1932" s="273">
        <f t="shared" si="434"/>
        <v>0</v>
      </c>
      <c r="E1932" s="273"/>
      <c r="F1932" s="273"/>
      <c r="G1932" s="273"/>
      <c r="H1932" s="273"/>
      <c r="I1932" s="273"/>
      <c r="J1932" s="273"/>
      <c r="K1932" s="273"/>
      <c r="L1932" s="273"/>
      <c r="M1932" s="273"/>
      <c r="N1932" s="273"/>
      <c r="O1932" s="273"/>
      <c r="P1932" s="273"/>
      <c r="Q1932" s="273"/>
      <c r="R1932" s="273"/>
      <c r="S1932" s="273"/>
      <c r="T1932" s="273"/>
      <c r="U1932" s="273"/>
      <c r="V1932" s="273"/>
      <c r="W1932" s="273">
        <v>130000</v>
      </c>
      <c r="X1932" s="271"/>
      <c r="Y1932" s="271"/>
      <c r="Z1932" s="271"/>
      <c r="AC1932" s="269"/>
      <c r="AE1932" s="269"/>
      <c r="AF1932" s="7"/>
      <c r="AG1932" s="13"/>
      <c r="AH1932" s="13"/>
      <c r="AI1932" s="13"/>
      <c r="AJ1932" s="13"/>
      <c r="AK1932" s="13"/>
      <c r="AL1932" s="13"/>
      <c r="AM1932" s="13"/>
    </row>
    <row r="1933" spans="1:39" x14ac:dyDescent="0.3">
      <c r="A1933" s="10">
        <f t="shared" si="436"/>
        <v>1692</v>
      </c>
      <c r="B1933" s="124" t="s">
        <v>2365</v>
      </c>
      <c r="C1933" s="273">
        <f t="shared" si="433"/>
        <v>105271.66</v>
      </c>
      <c r="D1933" s="273">
        <f t="shared" si="434"/>
        <v>0</v>
      </c>
      <c r="E1933" s="273"/>
      <c r="F1933" s="273"/>
      <c r="G1933" s="273"/>
      <c r="H1933" s="273"/>
      <c r="I1933" s="273"/>
      <c r="J1933" s="273"/>
      <c r="K1933" s="273"/>
      <c r="L1933" s="273"/>
      <c r="M1933" s="273"/>
      <c r="N1933" s="273"/>
      <c r="O1933" s="273"/>
      <c r="P1933" s="273"/>
      <c r="Q1933" s="273"/>
      <c r="R1933" s="273"/>
      <c r="S1933" s="273"/>
      <c r="T1933" s="273"/>
      <c r="U1933" s="273"/>
      <c r="V1933" s="273"/>
      <c r="W1933" s="273">
        <f>SUM(X1933:AH1933)</f>
        <v>105271.66</v>
      </c>
      <c r="X1933" s="271">
        <v>105271.66</v>
      </c>
      <c r="Y1933" s="271"/>
      <c r="Z1933" s="271"/>
      <c r="AC1933" s="269"/>
      <c r="AE1933" s="269"/>
      <c r="AF1933" s="7"/>
      <c r="AG1933" s="13"/>
      <c r="AH1933" s="13"/>
      <c r="AI1933" s="13"/>
      <c r="AJ1933" s="13"/>
      <c r="AK1933" s="13"/>
      <c r="AL1933" s="13"/>
      <c r="AM1933" s="13"/>
    </row>
    <row r="1934" spans="1:39" x14ac:dyDescent="0.3">
      <c r="A1934" s="10">
        <f t="shared" si="436"/>
        <v>1693</v>
      </c>
      <c r="B1934" s="124" t="s">
        <v>2366</v>
      </c>
      <c r="C1934" s="273">
        <f t="shared" si="433"/>
        <v>601157.56000000006</v>
      </c>
      <c r="D1934" s="273">
        <f t="shared" si="434"/>
        <v>0</v>
      </c>
      <c r="E1934" s="273"/>
      <c r="F1934" s="273"/>
      <c r="G1934" s="273"/>
      <c r="H1934" s="273"/>
      <c r="I1934" s="273"/>
      <c r="J1934" s="273"/>
      <c r="K1934" s="273"/>
      <c r="L1934" s="273"/>
      <c r="M1934" s="273">
        <v>13</v>
      </c>
      <c r="N1934" s="273">
        <v>105222</v>
      </c>
      <c r="O1934" s="273"/>
      <c r="P1934" s="273"/>
      <c r="Q1934" s="273"/>
      <c r="R1934" s="273"/>
      <c r="S1934" s="273"/>
      <c r="T1934" s="273"/>
      <c r="U1934" s="273"/>
      <c r="V1934" s="273"/>
      <c r="W1934" s="273">
        <f>SUM(X1934:AH1934)</f>
        <v>495935.56</v>
      </c>
      <c r="X1934" s="271"/>
      <c r="Y1934" s="271"/>
      <c r="Z1934" s="271"/>
      <c r="AC1934" s="269"/>
      <c r="AE1934" s="269">
        <v>495935.56</v>
      </c>
      <c r="AF1934" s="7"/>
      <c r="AG1934" s="13"/>
      <c r="AH1934" s="13"/>
      <c r="AI1934" s="13"/>
      <c r="AJ1934" s="13"/>
      <c r="AK1934" s="13"/>
      <c r="AL1934" s="13"/>
      <c r="AM1934" s="13"/>
    </row>
    <row r="1935" spans="1:39" x14ac:dyDescent="0.3">
      <c r="A1935" s="10">
        <f t="shared" si="436"/>
        <v>1694</v>
      </c>
      <c r="B1935" s="124" t="s">
        <v>2367</v>
      </c>
      <c r="C1935" s="273">
        <f t="shared" si="433"/>
        <v>756961.27</v>
      </c>
      <c r="D1935" s="273">
        <f t="shared" si="434"/>
        <v>0</v>
      </c>
      <c r="E1935" s="273"/>
      <c r="F1935" s="273"/>
      <c r="G1935" s="273"/>
      <c r="H1935" s="273"/>
      <c r="I1935" s="273"/>
      <c r="J1935" s="273"/>
      <c r="K1935" s="273"/>
      <c r="L1935" s="273"/>
      <c r="M1935" s="273"/>
      <c r="N1935" s="273"/>
      <c r="O1935" s="273"/>
      <c r="P1935" s="273"/>
      <c r="Q1935" s="273"/>
      <c r="R1935" s="273"/>
      <c r="S1935" s="273"/>
      <c r="T1935" s="273"/>
      <c r="U1935" s="273"/>
      <c r="V1935" s="273"/>
      <c r="W1935" s="273">
        <f>SUM(X1935:AH1935)</f>
        <v>756961.27</v>
      </c>
      <c r="X1935" s="271"/>
      <c r="Y1935" s="271"/>
      <c r="Z1935" s="271"/>
      <c r="AC1935" s="269"/>
      <c r="AE1935" s="269">
        <v>207022.98</v>
      </c>
      <c r="AF1935" s="7"/>
      <c r="AG1935" s="13">
        <v>549938.29</v>
      </c>
      <c r="AH1935" s="13"/>
      <c r="AI1935" s="13"/>
      <c r="AJ1935" s="13"/>
      <c r="AK1935" s="13"/>
      <c r="AL1935" s="13"/>
      <c r="AM1935" s="13"/>
    </row>
    <row r="1936" spans="1:39" x14ac:dyDescent="0.3">
      <c r="A1936" s="10">
        <f t="shared" si="436"/>
        <v>1695</v>
      </c>
      <c r="B1936" s="124" t="s">
        <v>2368</v>
      </c>
      <c r="C1936" s="273">
        <f t="shared" si="433"/>
        <v>783892.03</v>
      </c>
      <c r="D1936" s="273">
        <f t="shared" si="434"/>
        <v>0</v>
      </c>
      <c r="E1936" s="273"/>
      <c r="F1936" s="273"/>
      <c r="G1936" s="273"/>
      <c r="H1936" s="273"/>
      <c r="I1936" s="273"/>
      <c r="J1936" s="273"/>
      <c r="K1936" s="273"/>
      <c r="L1936" s="273"/>
      <c r="M1936" s="273"/>
      <c r="N1936" s="273"/>
      <c r="O1936" s="273"/>
      <c r="P1936" s="273"/>
      <c r="Q1936" s="273"/>
      <c r="R1936" s="273"/>
      <c r="S1936" s="273"/>
      <c r="T1936" s="273"/>
      <c r="U1936" s="273"/>
      <c r="V1936" s="273"/>
      <c r="W1936" s="273">
        <f>SUM(X1936:AH1936)</f>
        <v>783892.03</v>
      </c>
      <c r="X1936" s="271"/>
      <c r="Y1936" s="271"/>
      <c r="Z1936" s="271"/>
      <c r="AC1936" s="269"/>
      <c r="AE1936" s="269">
        <v>214584.3</v>
      </c>
      <c r="AF1936" s="7"/>
      <c r="AG1936" s="13">
        <v>569307.73</v>
      </c>
      <c r="AH1936" s="13"/>
      <c r="AI1936" s="13"/>
      <c r="AJ1936" s="13"/>
      <c r="AK1936" s="13"/>
      <c r="AL1936" s="13"/>
      <c r="AM1936" s="13"/>
    </row>
    <row r="1937" spans="1:40" x14ac:dyDescent="0.3">
      <c r="A1937" s="10">
        <f t="shared" si="436"/>
        <v>1696</v>
      </c>
      <c r="B1937" s="124" t="s">
        <v>2369</v>
      </c>
      <c r="C1937" s="273">
        <f t="shared" si="433"/>
        <v>219816.46000000002</v>
      </c>
      <c r="D1937" s="273">
        <f t="shared" si="434"/>
        <v>0</v>
      </c>
      <c r="E1937" s="273"/>
      <c r="F1937" s="273"/>
      <c r="G1937" s="273"/>
      <c r="H1937" s="273"/>
      <c r="I1937" s="273"/>
      <c r="J1937" s="273"/>
      <c r="K1937" s="273"/>
      <c r="L1937" s="273"/>
      <c r="M1937" s="273"/>
      <c r="N1937" s="273"/>
      <c r="O1937" s="273"/>
      <c r="P1937" s="273"/>
      <c r="Q1937" s="273"/>
      <c r="R1937" s="273"/>
      <c r="S1937" s="273"/>
      <c r="T1937" s="273"/>
      <c r="U1937" s="273"/>
      <c r="V1937" s="273"/>
      <c r="W1937" s="273">
        <f>SUM(X1937:AH1937)</f>
        <v>219816.46000000002</v>
      </c>
      <c r="X1937" s="271">
        <v>105228.88</v>
      </c>
      <c r="Y1937" s="271"/>
      <c r="Z1937" s="271"/>
      <c r="AA1937" s="271">
        <v>114587.58</v>
      </c>
      <c r="AC1937" s="269"/>
      <c r="AE1937" s="269"/>
      <c r="AF1937" s="7"/>
      <c r="AG1937" s="13"/>
      <c r="AH1937" s="13"/>
      <c r="AI1937" s="13"/>
      <c r="AJ1937" s="13"/>
      <c r="AK1937" s="13"/>
      <c r="AL1937" s="13"/>
      <c r="AM1937" s="13"/>
    </row>
    <row r="1938" spans="1:40" x14ac:dyDescent="0.3">
      <c r="A1938" s="10">
        <f t="shared" si="436"/>
        <v>1697</v>
      </c>
      <c r="B1938" s="124" t="s">
        <v>2370</v>
      </c>
      <c r="C1938" s="273">
        <f t="shared" si="433"/>
        <v>130000</v>
      </c>
      <c r="D1938" s="273">
        <f t="shared" si="434"/>
        <v>0</v>
      </c>
      <c r="E1938" s="273"/>
      <c r="F1938" s="273"/>
      <c r="G1938" s="273"/>
      <c r="H1938" s="273"/>
      <c r="I1938" s="273"/>
      <c r="J1938" s="273"/>
      <c r="K1938" s="273"/>
      <c r="L1938" s="273"/>
      <c r="M1938" s="273"/>
      <c r="N1938" s="273"/>
      <c r="O1938" s="273"/>
      <c r="P1938" s="273"/>
      <c r="Q1938" s="273"/>
      <c r="R1938" s="273"/>
      <c r="S1938" s="273"/>
      <c r="T1938" s="273"/>
      <c r="U1938" s="273"/>
      <c r="V1938" s="273"/>
      <c r="W1938" s="273">
        <v>130000</v>
      </c>
      <c r="X1938" s="271"/>
      <c r="Y1938" s="271"/>
      <c r="Z1938" s="271"/>
      <c r="AA1938" s="271"/>
      <c r="AC1938" s="269"/>
      <c r="AE1938" s="269"/>
      <c r="AF1938" s="7"/>
      <c r="AG1938" s="13"/>
      <c r="AH1938" s="13"/>
      <c r="AI1938" s="13"/>
      <c r="AJ1938" s="13"/>
      <c r="AK1938" s="13"/>
      <c r="AL1938" s="13"/>
      <c r="AM1938" s="13"/>
    </row>
    <row r="1939" spans="1:40" x14ac:dyDescent="0.3">
      <c r="A1939" s="10">
        <f t="shared" si="436"/>
        <v>1698</v>
      </c>
      <c r="B1939" s="124" t="s">
        <v>2371</v>
      </c>
      <c r="C1939" s="273">
        <f t="shared" si="433"/>
        <v>199232.96</v>
      </c>
      <c r="D1939" s="273">
        <f t="shared" si="434"/>
        <v>0</v>
      </c>
      <c r="E1939" s="273"/>
      <c r="F1939" s="273"/>
      <c r="G1939" s="273"/>
      <c r="H1939" s="273"/>
      <c r="I1939" s="273"/>
      <c r="J1939" s="273"/>
      <c r="K1939" s="273"/>
      <c r="L1939" s="273"/>
      <c r="M1939" s="273"/>
      <c r="N1939" s="273"/>
      <c r="O1939" s="273"/>
      <c r="P1939" s="273"/>
      <c r="Q1939" s="273"/>
      <c r="R1939" s="273"/>
      <c r="S1939" s="273"/>
      <c r="T1939" s="273"/>
      <c r="U1939" s="273"/>
      <c r="V1939" s="273"/>
      <c r="W1939" s="273">
        <f>SUM(X1939:AH1939)</f>
        <v>199232.96</v>
      </c>
      <c r="X1939" s="271"/>
      <c r="Y1939" s="271"/>
      <c r="Z1939" s="271"/>
      <c r="AA1939" s="271"/>
      <c r="AC1939" s="269">
        <v>199232.96</v>
      </c>
      <c r="AE1939" s="269"/>
      <c r="AF1939" s="7"/>
      <c r="AG1939" s="13"/>
      <c r="AH1939" s="13"/>
      <c r="AI1939" s="13"/>
      <c r="AJ1939" s="13"/>
      <c r="AK1939" s="13"/>
      <c r="AL1939" s="13"/>
      <c r="AM1939" s="13"/>
    </row>
    <row r="1940" spans="1:40" x14ac:dyDescent="0.3">
      <c r="A1940" s="10">
        <f t="shared" si="436"/>
        <v>1699</v>
      </c>
      <c r="B1940" s="124" t="s">
        <v>2372</v>
      </c>
      <c r="C1940" s="273">
        <f t="shared" si="433"/>
        <v>1553281.61</v>
      </c>
      <c r="D1940" s="273">
        <f t="shared" si="434"/>
        <v>393267</v>
      </c>
      <c r="E1940" s="273">
        <f>13*2688+358323</f>
        <v>393267</v>
      </c>
      <c r="F1940" s="273"/>
      <c r="G1940" s="273"/>
      <c r="H1940" s="273"/>
      <c r="I1940" s="273"/>
      <c r="J1940" s="273"/>
      <c r="K1940" s="273"/>
      <c r="L1940" s="273"/>
      <c r="M1940" s="273"/>
      <c r="N1940" s="273"/>
      <c r="O1940" s="273"/>
      <c r="P1940" s="273"/>
      <c r="Q1940" s="273"/>
      <c r="R1940" s="273"/>
      <c r="S1940" s="273"/>
      <c r="T1940" s="273"/>
      <c r="U1940" s="273"/>
      <c r="V1940" s="273"/>
      <c r="W1940" s="273">
        <f>SUM(X1940:AH1940)</f>
        <v>1160014.6100000001</v>
      </c>
      <c r="X1940" s="271"/>
      <c r="Y1940" s="271"/>
      <c r="Z1940" s="271"/>
      <c r="AA1940" s="271"/>
      <c r="AC1940" s="269"/>
      <c r="AE1940" s="269"/>
      <c r="AF1940" s="7"/>
      <c r="AG1940" s="13">
        <v>1160014.6100000001</v>
      </c>
      <c r="AH1940" s="13"/>
      <c r="AI1940" s="13"/>
      <c r="AJ1940" s="13"/>
      <c r="AK1940" s="13"/>
      <c r="AL1940" s="13"/>
      <c r="AM1940" s="13"/>
    </row>
    <row r="1941" spans="1:40" x14ac:dyDescent="0.3">
      <c r="A1941" s="10">
        <f t="shared" si="436"/>
        <v>1700</v>
      </c>
      <c r="B1941" s="124" t="s">
        <v>2373</v>
      </c>
      <c r="C1941" s="273">
        <f t="shared" si="433"/>
        <v>105222</v>
      </c>
      <c r="D1941" s="273">
        <f t="shared" si="434"/>
        <v>0</v>
      </c>
      <c r="E1941" s="273"/>
      <c r="F1941" s="273"/>
      <c r="G1941" s="273"/>
      <c r="H1941" s="273"/>
      <c r="I1941" s="273"/>
      <c r="J1941" s="273"/>
      <c r="K1941" s="273"/>
      <c r="L1941" s="273"/>
      <c r="M1941" s="273">
        <v>13</v>
      </c>
      <c r="N1941" s="273">
        <f>M1941*8094</f>
        <v>105222</v>
      </c>
      <c r="O1941" s="273"/>
      <c r="P1941" s="273"/>
      <c r="Q1941" s="273"/>
      <c r="R1941" s="273"/>
      <c r="S1941" s="273"/>
      <c r="T1941" s="273"/>
      <c r="U1941" s="273"/>
      <c r="V1941" s="273"/>
      <c r="W1941" s="273"/>
      <c r="X1941" s="271"/>
      <c r="Y1941" s="271"/>
      <c r="Z1941" s="271"/>
      <c r="AA1941" s="271"/>
      <c r="AC1941" s="269"/>
      <c r="AE1941" s="269"/>
      <c r="AF1941" s="7"/>
      <c r="AG1941" s="13"/>
      <c r="AH1941" s="13"/>
      <c r="AI1941" s="13"/>
      <c r="AJ1941" s="13"/>
      <c r="AK1941" s="13"/>
      <c r="AL1941" s="13"/>
      <c r="AM1941" s="13">
        <v>245</v>
      </c>
      <c r="AN1941" s="13"/>
    </row>
    <row r="1942" spans="1:40" x14ac:dyDescent="0.3">
      <c r="A1942" s="10">
        <f t="shared" si="436"/>
        <v>1701</v>
      </c>
      <c r="B1942" s="124" t="s">
        <v>2374</v>
      </c>
      <c r="C1942" s="273">
        <f t="shared" si="433"/>
        <v>105222</v>
      </c>
      <c r="D1942" s="273">
        <f t="shared" si="434"/>
        <v>0</v>
      </c>
      <c r="E1942" s="273"/>
      <c r="F1942" s="273"/>
      <c r="G1942" s="273"/>
      <c r="H1942" s="273"/>
      <c r="I1942" s="273"/>
      <c r="J1942" s="273"/>
      <c r="K1942" s="273"/>
      <c r="L1942" s="273"/>
      <c r="M1942" s="273">
        <v>13</v>
      </c>
      <c r="N1942" s="273">
        <f>M1942*8094</f>
        <v>105222</v>
      </c>
      <c r="O1942" s="273"/>
      <c r="P1942" s="273"/>
      <c r="Q1942" s="273"/>
      <c r="R1942" s="273"/>
      <c r="S1942" s="273"/>
      <c r="T1942" s="273"/>
      <c r="U1942" s="273"/>
      <c r="V1942" s="273"/>
      <c r="W1942" s="273"/>
      <c r="X1942" s="271"/>
      <c r="Y1942" s="271"/>
      <c r="Z1942" s="271"/>
      <c r="AA1942" s="271"/>
      <c r="AC1942" s="269"/>
      <c r="AE1942" s="269"/>
      <c r="AF1942" s="7"/>
      <c r="AG1942" s="13"/>
      <c r="AH1942" s="13"/>
      <c r="AI1942" s="13"/>
      <c r="AJ1942" s="13"/>
      <c r="AK1942" s="13"/>
      <c r="AL1942" s="13"/>
      <c r="AM1942" s="13">
        <v>239.98</v>
      </c>
      <c r="AN1942" s="13"/>
    </row>
    <row r="1943" spans="1:40" x14ac:dyDescent="0.3">
      <c r="A1943" s="10">
        <f t="shared" si="436"/>
        <v>1702</v>
      </c>
      <c r="B1943" s="124" t="s">
        <v>2385</v>
      </c>
      <c r="C1943" s="273">
        <f t="shared" si="433"/>
        <v>608969.06000000006</v>
      </c>
      <c r="D1943" s="273">
        <f t="shared" si="434"/>
        <v>0</v>
      </c>
      <c r="E1943" s="273"/>
      <c r="F1943" s="273"/>
      <c r="G1943" s="273"/>
      <c r="H1943" s="273"/>
      <c r="I1943" s="273"/>
      <c r="J1943" s="273"/>
      <c r="K1943" s="273"/>
      <c r="L1943" s="273"/>
      <c r="M1943" s="273"/>
      <c r="N1943" s="273"/>
      <c r="O1943" s="273">
        <v>13</v>
      </c>
      <c r="P1943" s="273">
        <f>O1943*26433</f>
        <v>343629</v>
      </c>
      <c r="Q1943" s="273"/>
      <c r="R1943" s="273"/>
      <c r="S1943" s="273"/>
      <c r="T1943" s="273"/>
      <c r="U1943" s="273"/>
      <c r="V1943" s="273"/>
      <c r="W1943" s="273">
        <v>265340.06</v>
      </c>
      <c r="X1943" s="271"/>
      <c r="Y1943" s="271">
        <v>142388.29999999999</v>
      </c>
      <c r="Z1943" s="110"/>
      <c r="AA1943" s="110">
        <v>122951.76</v>
      </c>
      <c r="AC1943" s="269"/>
      <c r="AE1943" s="269"/>
      <c r="AF1943" s="7"/>
      <c r="AG1943" s="13"/>
      <c r="AH1943" s="13"/>
      <c r="AI1943" s="13"/>
      <c r="AJ1943" s="13"/>
      <c r="AK1943" s="13"/>
      <c r="AL1943" s="13"/>
      <c r="AM1943" s="13"/>
      <c r="AN1943" s="13"/>
    </row>
    <row r="1944" spans="1:40" x14ac:dyDescent="0.3">
      <c r="A1944" s="10">
        <f t="shared" si="436"/>
        <v>1703</v>
      </c>
      <c r="B1944" s="124" t="s">
        <v>2375</v>
      </c>
      <c r="C1944" s="273">
        <f t="shared" si="433"/>
        <v>130000</v>
      </c>
      <c r="D1944" s="273">
        <f t="shared" si="434"/>
        <v>0</v>
      </c>
      <c r="E1944" s="273"/>
      <c r="F1944" s="273"/>
      <c r="G1944" s="273"/>
      <c r="H1944" s="273"/>
      <c r="I1944" s="273"/>
      <c r="J1944" s="273"/>
      <c r="K1944" s="273"/>
      <c r="L1944" s="273"/>
      <c r="M1944" s="273"/>
      <c r="N1944" s="273"/>
      <c r="O1944" s="273"/>
      <c r="P1944" s="273"/>
      <c r="Q1944" s="273"/>
      <c r="R1944" s="273"/>
      <c r="S1944" s="273"/>
      <c r="T1944" s="273"/>
      <c r="U1944" s="273"/>
      <c r="V1944" s="273"/>
      <c r="W1944" s="273">
        <v>130000</v>
      </c>
      <c r="X1944" s="271"/>
      <c r="Y1944" s="271"/>
      <c r="Z1944" s="271"/>
      <c r="AA1944" s="271"/>
      <c r="AC1944" s="269"/>
      <c r="AE1944" s="269"/>
      <c r="AF1944" s="7"/>
      <c r="AG1944" s="13"/>
      <c r="AH1944" s="13"/>
      <c r="AI1944" s="13"/>
      <c r="AJ1944" s="13"/>
      <c r="AK1944" s="13"/>
      <c r="AL1944" s="13"/>
      <c r="AM1944" s="13"/>
    </row>
    <row r="1945" spans="1:40" x14ac:dyDescent="0.3">
      <c r="A1945" s="10">
        <f t="shared" si="436"/>
        <v>1704</v>
      </c>
      <c r="B1945" s="124" t="s">
        <v>2376</v>
      </c>
      <c r="C1945" s="273">
        <f t="shared" si="433"/>
        <v>773686.67999999993</v>
      </c>
      <c r="D1945" s="273">
        <f t="shared" si="434"/>
        <v>0</v>
      </c>
      <c r="E1945" s="273"/>
      <c r="F1945" s="273"/>
      <c r="G1945" s="273"/>
      <c r="H1945" s="273"/>
      <c r="I1945" s="273"/>
      <c r="J1945" s="273"/>
      <c r="K1945" s="273"/>
      <c r="L1945" s="273"/>
      <c r="M1945" s="273"/>
      <c r="N1945" s="273"/>
      <c r="O1945" s="273"/>
      <c r="P1945" s="273"/>
      <c r="Q1945" s="273"/>
      <c r="R1945" s="273"/>
      <c r="S1945" s="273"/>
      <c r="T1945" s="273"/>
      <c r="U1945" s="273"/>
      <c r="V1945" s="273"/>
      <c r="W1945" s="273">
        <f>SUM(X1945:AH1945)</f>
        <v>773686.67999999993</v>
      </c>
      <c r="X1945" s="271"/>
      <c r="Y1945" s="271"/>
      <c r="Z1945" s="271"/>
      <c r="AA1945" s="271"/>
      <c r="AC1945" s="269"/>
      <c r="AE1945" s="269">
        <v>211718.95</v>
      </c>
      <c r="AF1945" s="7"/>
      <c r="AG1945" s="13">
        <v>561967.73</v>
      </c>
      <c r="AH1945" s="13"/>
      <c r="AI1945" s="13"/>
      <c r="AJ1945" s="13"/>
      <c r="AK1945" s="13"/>
      <c r="AL1945" s="13"/>
      <c r="AM1945" s="13"/>
    </row>
    <row r="1946" spans="1:40" x14ac:dyDescent="0.3">
      <c r="A1946" s="10">
        <f t="shared" si="436"/>
        <v>1705</v>
      </c>
      <c r="B1946" s="124" t="s">
        <v>2377</v>
      </c>
      <c r="C1946" s="273">
        <f t="shared" si="433"/>
        <v>747021.96</v>
      </c>
      <c r="D1946" s="273">
        <f t="shared" si="434"/>
        <v>0</v>
      </c>
      <c r="E1946" s="273"/>
      <c r="F1946" s="273"/>
      <c r="G1946" s="273"/>
      <c r="H1946" s="273"/>
      <c r="I1946" s="273"/>
      <c r="J1946" s="273"/>
      <c r="K1946" s="273"/>
      <c r="L1946" s="273"/>
      <c r="M1946" s="273"/>
      <c r="N1946" s="273"/>
      <c r="O1946" s="273"/>
      <c r="P1946" s="273"/>
      <c r="Q1946" s="273"/>
      <c r="R1946" s="273"/>
      <c r="S1946" s="273"/>
      <c r="T1946" s="273"/>
      <c r="U1946" s="273"/>
      <c r="V1946" s="273"/>
      <c r="W1946" s="273">
        <f>SUM(X1946:AH1946)</f>
        <v>747021.96</v>
      </c>
      <c r="X1946" s="271"/>
      <c r="Y1946" s="271"/>
      <c r="Z1946" s="271"/>
      <c r="AA1946" s="271"/>
      <c r="AC1946" s="269"/>
      <c r="AE1946" s="269">
        <v>204117.83</v>
      </c>
      <c r="AF1946" s="7"/>
      <c r="AG1946" s="13">
        <v>542904.13</v>
      </c>
      <c r="AH1946" s="13"/>
      <c r="AI1946" s="13"/>
      <c r="AJ1946" s="13"/>
      <c r="AK1946" s="13"/>
      <c r="AL1946" s="13"/>
      <c r="AM1946" s="13"/>
    </row>
    <row r="1947" spans="1:40" x14ac:dyDescent="0.3">
      <c r="A1947" s="10">
        <f t="shared" si="436"/>
        <v>1706</v>
      </c>
      <c r="B1947" s="124" t="s">
        <v>2378</v>
      </c>
      <c r="C1947" s="273">
        <f t="shared" si="433"/>
        <v>172146.61</v>
      </c>
      <c r="D1947" s="273">
        <f t="shared" si="434"/>
        <v>0</v>
      </c>
      <c r="E1947" s="273"/>
      <c r="F1947" s="273"/>
      <c r="G1947" s="273"/>
      <c r="H1947" s="273"/>
      <c r="I1947" s="273"/>
      <c r="J1947" s="273"/>
      <c r="K1947" s="273"/>
      <c r="L1947" s="273"/>
      <c r="M1947" s="273"/>
      <c r="N1947" s="273"/>
      <c r="O1947" s="273"/>
      <c r="P1947" s="273"/>
      <c r="Q1947" s="273"/>
      <c r="R1947" s="273"/>
      <c r="S1947" s="273"/>
      <c r="T1947" s="273"/>
      <c r="U1947" s="273"/>
      <c r="V1947" s="273"/>
      <c r="W1947" s="273">
        <f>SUM(X1947:AH1947)</f>
        <v>172146.61</v>
      </c>
      <c r="X1947" s="271"/>
      <c r="Y1947" s="271"/>
      <c r="Z1947" s="271"/>
      <c r="AA1947" s="271"/>
      <c r="AC1947" s="269"/>
      <c r="AE1947" s="269">
        <v>172146.61</v>
      </c>
      <c r="AF1947" s="7"/>
      <c r="AG1947" s="13"/>
      <c r="AH1947" s="13"/>
      <c r="AI1947" s="13"/>
      <c r="AJ1947" s="13"/>
      <c r="AK1947" s="13"/>
      <c r="AL1947" s="13"/>
      <c r="AM1947" s="13"/>
    </row>
    <row r="1948" spans="1:40" x14ac:dyDescent="0.3">
      <c r="A1948" s="10">
        <f t="shared" si="436"/>
        <v>1707</v>
      </c>
      <c r="B1948" s="124" t="s">
        <v>2379</v>
      </c>
      <c r="C1948" s="273">
        <f t="shared" si="433"/>
        <v>778834.57</v>
      </c>
      <c r="D1948" s="273">
        <f t="shared" si="434"/>
        <v>0</v>
      </c>
      <c r="E1948" s="273"/>
      <c r="F1948" s="273"/>
      <c r="G1948" s="273"/>
      <c r="H1948" s="273"/>
      <c r="I1948" s="273"/>
      <c r="J1948" s="273"/>
      <c r="K1948" s="273"/>
      <c r="L1948" s="273"/>
      <c r="M1948" s="273"/>
      <c r="N1948" s="273"/>
      <c r="O1948" s="273"/>
      <c r="P1948" s="273"/>
      <c r="Q1948" s="273"/>
      <c r="R1948" s="273"/>
      <c r="S1948" s="273"/>
      <c r="T1948" s="273"/>
      <c r="U1948" s="273"/>
      <c r="V1948" s="273"/>
      <c r="W1948" s="273">
        <f>SUM(X1948:AH1948)</f>
        <v>778834.57</v>
      </c>
      <c r="X1948" s="271"/>
      <c r="Y1948" s="271"/>
      <c r="Z1948" s="271"/>
      <c r="AA1948" s="271"/>
      <c r="AC1948" s="269"/>
      <c r="AE1948" s="269">
        <v>212513.71</v>
      </c>
      <c r="AF1948" s="7"/>
      <c r="AG1948" s="13">
        <v>566320.86</v>
      </c>
      <c r="AH1948" s="13"/>
      <c r="AI1948" s="13"/>
      <c r="AJ1948" s="13"/>
      <c r="AK1948" s="13"/>
      <c r="AL1948" s="13"/>
      <c r="AM1948" s="13"/>
    </row>
    <row r="1949" spans="1:40" x14ac:dyDescent="0.3">
      <c r="A1949" s="10">
        <f t="shared" si="436"/>
        <v>1708</v>
      </c>
      <c r="B1949" s="124" t="s">
        <v>2380</v>
      </c>
      <c r="C1949" s="273">
        <f t="shared" si="433"/>
        <v>196712.69</v>
      </c>
      <c r="D1949" s="273">
        <f t="shared" si="434"/>
        <v>0</v>
      </c>
      <c r="E1949" s="273"/>
      <c r="F1949" s="273"/>
      <c r="G1949" s="273"/>
      <c r="H1949" s="273"/>
      <c r="I1949" s="273"/>
      <c r="J1949" s="273"/>
      <c r="K1949" s="273"/>
      <c r="L1949" s="273"/>
      <c r="M1949" s="273"/>
      <c r="N1949" s="273"/>
      <c r="O1949" s="273"/>
      <c r="P1949" s="273"/>
      <c r="Q1949" s="273"/>
      <c r="R1949" s="273"/>
      <c r="S1949" s="273"/>
      <c r="T1949" s="273"/>
      <c r="U1949" s="273"/>
      <c r="V1949" s="273"/>
      <c r="W1949" s="273">
        <f>SUM(X1949:AH1949)</f>
        <v>196712.69</v>
      </c>
      <c r="X1949" s="271"/>
      <c r="Y1949" s="271"/>
      <c r="Z1949" s="271"/>
      <c r="AA1949" s="271"/>
      <c r="AC1949" s="269"/>
      <c r="AE1949" s="269">
        <v>196712.69</v>
      </c>
      <c r="AF1949" s="7"/>
      <c r="AG1949" s="13"/>
      <c r="AH1949" s="13"/>
      <c r="AI1949" s="13"/>
      <c r="AJ1949" s="13"/>
      <c r="AK1949" s="13"/>
      <c r="AL1949" s="13"/>
      <c r="AM1949" s="13"/>
    </row>
    <row r="1950" spans="1:40" x14ac:dyDescent="0.3">
      <c r="A1950" s="10">
        <f t="shared" si="436"/>
        <v>1709</v>
      </c>
      <c r="B1950" s="124" t="s">
        <v>2382</v>
      </c>
      <c r="C1950" s="273">
        <f t="shared" si="433"/>
        <v>130000</v>
      </c>
      <c r="D1950" s="273">
        <f t="shared" si="434"/>
        <v>0</v>
      </c>
      <c r="E1950" s="273"/>
      <c r="F1950" s="273"/>
      <c r="G1950" s="273"/>
      <c r="H1950" s="273"/>
      <c r="I1950" s="273"/>
      <c r="J1950" s="273"/>
      <c r="K1950" s="273"/>
      <c r="L1950" s="273"/>
      <c r="M1950" s="273"/>
      <c r="N1950" s="273"/>
      <c r="O1950" s="273"/>
      <c r="P1950" s="273"/>
      <c r="Q1950" s="273"/>
      <c r="R1950" s="273"/>
      <c r="S1950" s="273"/>
      <c r="T1950" s="273"/>
      <c r="U1950" s="273"/>
      <c r="V1950" s="273"/>
      <c r="W1950" s="273">
        <v>130000</v>
      </c>
      <c r="X1950" s="271"/>
      <c r="Y1950" s="271"/>
      <c r="Z1950" s="271"/>
      <c r="AA1950" s="271"/>
      <c r="AC1950" s="269"/>
      <c r="AE1950" s="269"/>
      <c r="AF1950" s="7"/>
      <c r="AG1950" s="13"/>
      <c r="AH1950" s="13"/>
      <c r="AI1950" s="13"/>
      <c r="AJ1950" s="13"/>
      <c r="AK1950" s="13"/>
      <c r="AL1950" s="13"/>
      <c r="AM1950" s="13"/>
    </row>
    <row r="1951" spans="1:40" x14ac:dyDescent="0.3">
      <c r="A1951" s="10">
        <f t="shared" si="436"/>
        <v>1710</v>
      </c>
      <c r="B1951" s="124" t="s">
        <v>2383</v>
      </c>
      <c r="C1951" s="273">
        <f t="shared" si="433"/>
        <v>2100604.2600000002</v>
      </c>
      <c r="D1951" s="273">
        <f t="shared" si="434"/>
        <v>0</v>
      </c>
      <c r="E1951" s="273"/>
      <c r="F1951" s="273"/>
      <c r="G1951" s="273"/>
      <c r="H1951" s="273"/>
      <c r="I1951" s="273"/>
      <c r="J1951" s="273"/>
      <c r="K1951" s="273"/>
      <c r="L1951" s="273"/>
      <c r="M1951" s="273"/>
      <c r="N1951" s="273"/>
      <c r="O1951" s="273"/>
      <c r="P1951" s="273"/>
      <c r="Q1951" s="273"/>
      <c r="R1951" s="273"/>
      <c r="S1951" s="273"/>
      <c r="T1951" s="273"/>
      <c r="U1951" s="273"/>
      <c r="V1951" s="273"/>
      <c r="W1951" s="273">
        <f t="shared" ref="W1951:W1956" si="437">SUM(X1951:AH1951)</f>
        <v>2100604.2600000002</v>
      </c>
      <c r="X1951" s="271"/>
      <c r="Y1951" s="271"/>
      <c r="Z1951" s="271"/>
      <c r="AA1951" s="271"/>
      <c r="AC1951" s="269"/>
      <c r="AE1951" s="269">
        <v>488692.14</v>
      </c>
      <c r="AF1951" s="7"/>
      <c r="AG1951" s="13">
        <v>1611912.12</v>
      </c>
      <c r="AH1951" s="13"/>
      <c r="AI1951" s="13"/>
      <c r="AJ1951" s="13"/>
      <c r="AK1951" s="13"/>
      <c r="AL1951" s="13"/>
      <c r="AM1951" s="13"/>
    </row>
    <row r="1952" spans="1:40" x14ac:dyDescent="0.3">
      <c r="A1952" s="10">
        <f t="shared" si="436"/>
        <v>1711</v>
      </c>
      <c r="B1952" s="124" t="s">
        <v>2384</v>
      </c>
      <c r="C1952" s="273">
        <f t="shared" si="433"/>
        <v>274862.40999999997</v>
      </c>
      <c r="D1952" s="273">
        <f t="shared" si="434"/>
        <v>0</v>
      </c>
      <c r="E1952" s="273"/>
      <c r="F1952" s="273"/>
      <c r="G1952" s="273"/>
      <c r="H1952" s="273"/>
      <c r="I1952" s="273"/>
      <c r="J1952" s="273"/>
      <c r="K1952" s="273"/>
      <c r="L1952" s="273"/>
      <c r="M1952" s="273"/>
      <c r="N1952" s="273"/>
      <c r="O1952" s="273"/>
      <c r="P1952" s="273"/>
      <c r="Q1952" s="273"/>
      <c r="R1952" s="273"/>
      <c r="S1952" s="273"/>
      <c r="T1952" s="273"/>
      <c r="U1952" s="273"/>
      <c r="V1952" s="273"/>
      <c r="W1952" s="273">
        <f t="shared" si="437"/>
        <v>274862.40999999997</v>
      </c>
      <c r="X1952" s="271"/>
      <c r="Y1952" s="271"/>
      <c r="Z1952" s="271"/>
      <c r="AA1952" s="271"/>
      <c r="AC1952" s="269">
        <v>274862.40999999997</v>
      </c>
      <c r="AE1952" s="269"/>
      <c r="AF1952" s="7"/>
      <c r="AG1952" s="13"/>
      <c r="AH1952" s="13"/>
      <c r="AI1952" s="13"/>
      <c r="AJ1952" s="13"/>
      <c r="AK1952" s="13"/>
      <c r="AL1952" s="13"/>
      <c r="AM1952" s="13"/>
    </row>
    <row r="1953" spans="1:39" x14ac:dyDescent="0.3">
      <c r="A1953" s="10">
        <f t="shared" si="436"/>
        <v>1712</v>
      </c>
      <c r="B1953" s="124" t="s">
        <v>2386</v>
      </c>
      <c r="C1953" s="273">
        <f t="shared" si="433"/>
        <v>229908.31</v>
      </c>
      <c r="D1953" s="273">
        <f t="shared" si="434"/>
        <v>0</v>
      </c>
      <c r="E1953" s="273"/>
      <c r="F1953" s="273"/>
      <c r="G1953" s="273"/>
      <c r="H1953" s="273"/>
      <c r="I1953" s="273"/>
      <c r="J1953" s="273"/>
      <c r="K1953" s="273"/>
      <c r="L1953" s="273"/>
      <c r="M1953" s="273"/>
      <c r="N1953" s="273"/>
      <c r="O1953" s="273"/>
      <c r="P1953" s="273"/>
      <c r="Q1953" s="273"/>
      <c r="R1953" s="273"/>
      <c r="S1953" s="273"/>
      <c r="T1953" s="273"/>
      <c r="U1953" s="273"/>
      <c r="V1953" s="273"/>
      <c r="W1953" s="273">
        <f t="shared" si="437"/>
        <v>229908.31</v>
      </c>
      <c r="X1953" s="271">
        <v>109634.3</v>
      </c>
      <c r="Y1953" s="271"/>
      <c r="Z1953" s="271">
        <v>120274.01</v>
      </c>
      <c r="AA1953" s="271"/>
      <c r="AC1953" s="269"/>
      <c r="AE1953" s="269"/>
      <c r="AF1953" s="7"/>
      <c r="AG1953" s="13"/>
      <c r="AH1953" s="13"/>
      <c r="AI1953" s="13"/>
      <c r="AJ1953" s="13"/>
      <c r="AK1953" s="13"/>
      <c r="AL1953" s="13"/>
      <c r="AM1953" s="13"/>
    </row>
    <row r="1954" spans="1:39" x14ac:dyDescent="0.3">
      <c r="A1954" s="10">
        <f t="shared" si="436"/>
        <v>1713</v>
      </c>
      <c r="B1954" s="124" t="s">
        <v>2387</v>
      </c>
      <c r="C1954" s="273">
        <f t="shared" si="433"/>
        <v>1299062.03</v>
      </c>
      <c r="D1954" s="273">
        <f t="shared" si="434"/>
        <v>0</v>
      </c>
      <c r="E1954" s="273"/>
      <c r="F1954" s="273"/>
      <c r="G1954" s="273"/>
      <c r="H1954" s="273"/>
      <c r="I1954" s="273"/>
      <c r="J1954" s="273"/>
      <c r="K1954" s="273"/>
      <c r="L1954" s="273"/>
      <c r="M1954" s="273"/>
      <c r="N1954" s="273"/>
      <c r="O1954" s="273"/>
      <c r="P1954" s="273"/>
      <c r="Q1954" s="273"/>
      <c r="R1954" s="273"/>
      <c r="S1954" s="273"/>
      <c r="T1954" s="273"/>
      <c r="U1954" s="273"/>
      <c r="V1954" s="273"/>
      <c r="W1954" s="273">
        <f t="shared" si="437"/>
        <v>1299062.03</v>
      </c>
      <c r="X1954" s="271"/>
      <c r="Y1954" s="271"/>
      <c r="Z1954" s="243"/>
      <c r="AA1954" s="242">
        <v>182370.19</v>
      </c>
      <c r="AC1954" s="269">
        <v>186065.54</v>
      </c>
      <c r="AE1954" s="269">
        <v>353776.88</v>
      </c>
      <c r="AF1954" s="7"/>
      <c r="AG1954" s="13">
        <v>576849.42000000004</v>
      </c>
      <c r="AH1954" s="13"/>
      <c r="AI1954" s="13"/>
      <c r="AJ1954" s="13"/>
      <c r="AK1954" s="13"/>
      <c r="AL1954" s="13"/>
      <c r="AM1954" s="13">
        <v>624.44000000000005</v>
      </c>
    </row>
    <row r="1955" spans="1:39" x14ac:dyDescent="0.3">
      <c r="A1955" s="10">
        <f t="shared" si="436"/>
        <v>1714</v>
      </c>
      <c r="B1955" s="124" t="s">
        <v>2388</v>
      </c>
      <c r="C1955" s="273">
        <f t="shared" si="433"/>
        <v>271927.03000000003</v>
      </c>
      <c r="D1955" s="273">
        <f t="shared" si="434"/>
        <v>0</v>
      </c>
      <c r="E1955" s="273"/>
      <c r="F1955" s="273"/>
      <c r="G1955" s="273"/>
      <c r="H1955" s="273"/>
      <c r="I1955" s="273"/>
      <c r="J1955" s="273"/>
      <c r="K1955" s="273"/>
      <c r="L1955" s="273"/>
      <c r="M1955" s="273"/>
      <c r="N1955" s="273"/>
      <c r="O1955" s="273"/>
      <c r="P1955" s="273"/>
      <c r="Q1955" s="273"/>
      <c r="R1955" s="273"/>
      <c r="S1955" s="273"/>
      <c r="T1955" s="273"/>
      <c r="U1955" s="273"/>
      <c r="V1955" s="273"/>
      <c r="W1955" s="273">
        <f t="shared" si="437"/>
        <v>271927.03000000003</v>
      </c>
      <c r="X1955" s="271"/>
      <c r="Y1955" s="271">
        <v>142095.92000000001</v>
      </c>
      <c r="Z1955" s="110"/>
      <c r="AA1955" s="110">
        <v>129831.11</v>
      </c>
      <c r="AC1955" s="269"/>
      <c r="AE1955" s="269"/>
      <c r="AF1955" s="7"/>
      <c r="AG1955" s="13"/>
      <c r="AH1955" s="13"/>
      <c r="AI1955" s="13"/>
      <c r="AJ1955" s="13"/>
      <c r="AK1955" s="13"/>
      <c r="AL1955" s="13"/>
      <c r="AM1955" s="13"/>
    </row>
    <row r="1956" spans="1:39" x14ac:dyDescent="0.3">
      <c r="A1956" s="10">
        <f t="shared" si="436"/>
        <v>1715</v>
      </c>
      <c r="B1956" s="124" t="s">
        <v>2389</v>
      </c>
      <c r="C1956" s="273">
        <f t="shared" ref="C1956:C1987" si="438">D1956+K1956+L1956+N1956+P1956+R1956+S1956+U1956+V1956+W1956</f>
        <v>448556.53</v>
      </c>
      <c r="D1956" s="273">
        <f t="shared" ref="D1956:D1987" si="439">E1956+F1956+G1956+H1956+I1956</f>
        <v>0</v>
      </c>
      <c r="E1956" s="273"/>
      <c r="F1956" s="273"/>
      <c r="G1956" s="273"/>
      <c r="H1956" s="273"/>
      <c r="I1956" s="273"/>
      <c r="J1956" s="273"/>
      <c r="K1956" s="273"/>
      <c r="L1956" s="273"/>
      <c r="M1956" s="273"/>
      <c r="N1956" s="273"/>
      <c r="O1956" s="273"/>
      <c r="P1956" s="273"/>
      <c r="Q1956" s="273"/>
      <c r="R1956" s="273"/>
      <c r="S1956" s="273"/>
      <c r="T1956" s="273"/>
      <c r="U1956" s="273"/>
      <c r="V1956" s="273"/>
      <c r="W1956" s="273">
        <f t="shared" si="437"/>
        <v>448556.53</v>
      </c>
      <c r="X1956" s="271"/>
      <c r="Y1956" s="271">
        <v>171898.18</v>
      </c>
      <c r="Z1956" s="110"/>
      <c r="AA1956" s="110">
        <v>143780.14000000001</v>
      </c>
      <c r="AC1956" s="269">
        <v>132878.21</v>
      </c>
      <c r="AE1956" s="269"/>
      <c r="AF1956" s="7"/>
      <c r="AG1956" s="13"/>
      <c r="AH1956" s="13"/>
      <c r="AI1956" s="13"/>
      <c r="AJ1956" s="13"/>
      <c r="AK1956" s="13"/>
      <c r="AL1956" s="13"/>
      <c r="AM1956" s="13"/>
    </row>
    <row r="1957" spans="1:39" x14ac:dyDescent="0.3">
      <c r="A1957" s="10">
        <f t="shared" ref="A1957:A1988" si="440">A1956+1</f>
        <v>1716</v>
      </c>
      <c r="B1957" s="124" t="s">
        <v>2390</v>
      </c>
      <c r="C1957" s="273">
        <f t="shared" si="438"/>
        <v>15011588.4</v>
      </c>
      <c r="D1957" s="273">
        <f t="shared" si="439"/>
        <v>5809009.2000000002</v>
      </c>
      <c r="E1957" s="273">
        <v>5809009.2000000002</v>
      </c>
      <c r="F1957" s="273"/>
      <c r="G1957" s="273"/>
      <c r="H1957" s="273"/>
      <c r="I1957" s="273"/>
      <c r="J1957" s="273"/>
      <c r="K1957" s="273"/>
      <c r="L1957" s="273"/>
      <c r="M1957" s="273">
        <v>636</v>
      </c>
      <c r="N1957" s="273">
        <v>3049519.2</v>
      </c>
      <c r="O1957" s="273"/>
      <c r="P1957" s="273"/>
      <c r="Q1957" s="273">
        <v>3300</v>
      </c>
      <c r="R1957" s="273">
        <v>6153060</v>
      </c>
      <c r="S1957" s="273"/>
      <c r="T1957" s="273"/>
      <c r="U1957" s="273"/>
      <c r="V1957" s="273"/>
      <c r="W1957" s="273"/>
      <c r="X1957" s="271"/>
      <c r="Y1957" s="271">
        <v>357704.04</v>
      </c>
      <c r="Z1957" s="110"/>
      <c r="AA1957" s="110">
        <v>287020.3</v>
      </c>
      <c r="AC1957" s="269"/>
      <c r="AE1957" s="269"/>
      <c r="AF1957" s="7"/>
      <c r="AG1957" s="13"/>
      <c r="AH1957" s="13"/>
      <c r="AI1957" s="13"/>
      <c r="AJ1957" s="13"/>
      <c r="AK1957" s="13"/>
      <c r="AL1957" s="13"/>
      <c r="AM1957" s="13"/>
    </row>
    <row r="1958" spans="1:39" x14ac:dyDescent="0.3">
      <c r="A1958" s="10">
        <f t="shared" si="440"/>
        <v>1717</v>
      </c>
      <c r="B1958" s="124" t="s">
        <v>2391</v>
      </c>
      <c r="C1958" s="273">
        <f t="shared" si="438"/>
        <v>130000</v>
      </c>
      <c r="D1958" s="273">
        <f t="shared" si="439"/>
        <v>0</v>
      </c>
      <c r="E1958" s="273"/>
      <c r="F1958" s="273"/>
      <c r="G1958" s="273"/>
      <c r="H1958" s="273"/>
      <c r="I1958" s="273"/>
      <c r="J1958" s="273"/>
      <c r="K1958" s="273"/>
      <c r="L1958" s="273"/>
      <c r="M1958" s="273"/>
      <c r="N1958" s="273"/>
      <c r="O1958" s="273"/>
      <c r="P1958" s="273"/>
      <c r="Q1958" s="273"/>
      <c r="R1958" s="273"/>
      <c r="S1958" s="273"/>
      <c r="T1958" s="273"/>
      <c r="U1958" s="273"/>
      <c r="V1958" s="273"/>
      <c r="W1958" s="273">
        <v>130000</v>
      </c>
      <c r="X1958" s="271"/>
      <c r="Y1958" s="271"/>
      <c r="Z1958" s="271"/>
      <c r="AA1958" s="271"/>
      <c r="AC1958" s="269"/>
      <c r="AE1958" s="269"/>
      <c r="AF1958" s="7"/>
      <c r="AG1958" s="13"/>
      <c r="AH1958" s="13"/>
      <c r="AI1958" s="13"/>
      <c r="AJ1958" s="13"/>
      <c r="AK1958" s="13"/>
      <c r="AL1958" s="13"/>
      <c r="AM1958" s="13"/>
    </row>
    <row r="1959" spans="1:39" x14ac:dyDescent="0.3">
      <c r="A1959" s="10">
        <f t="shared" si="440"/>
        <v>1718</v>
      </c>
      <c r="B1959" s="124" t="s">
        <v>2392</v>
      </c>
      <c r="C1959" s="273">
        <f t="shared" si="438"/>
        <v>92890.79</v>
      </c>
      <c r="D1959" s="273">
        <f t="shared" si="439"/>
        <v>0</v>
      </c>
      <c r="E1959" s="273"/>
      <c r="F1959" s="273"/>
      <c r="G1959" s="273"/>
      <c r="H1959" s="273"/>
      <c r="I1959" s="273"/>
      <c r="J1959" s="273"/>
      <c r="K1959" s="273"/>
      <c r="L1959" s="273"/>
      <c r="M1959" s="273"/>
      <c r="N1959" s="273"/>
      <c r="O1959" s="273"/>
      <c r="P1959" s="273"/>
      <c r="Q1959" s="273"/>
      <c r="R1959" s="273"/>
      <c r="S1959" s="273"/>
      <c r="T1959" s="273"/>
      <c r="U1959" s="273"/>
      <c r="V1959" s="273"/>
      <c r="W1959" s="273">
        <f>SUM(X1959:AH1959)</f>
        <v>92890.79</v>
      </c>
      <c r="X1959" s="271">
        <v>92890.79</v>
      </c>
      <c r="Y1959" s="271"/>
      <c r="Z1959" s="271"/>
      <c r="AA1959" s="271"/>
      <c r="AC1959" s="269"/>
      <c r="AE1959" s="269"/>
      <c r="AF1959" s="7"/>
      <c r="AG1959" s="13"/>
      <c r="AH1959" s="13"/>
      <c r="AI1959" s="13"/>
      <c r="AJ1959" s="13"/>
      <c r="AK1959" s="13"/>
      <c r="AL1959" s="13"/>
      <c r="AM1959" s="13"/>
    </row>
    <row r="1960" spans="1:39" x14ac:dyDescent="0.3">
      <c r="A1960" s="10">
        <f t="shared" si="440"/>
        <v>1719</v>
      </c>
      <c r="B1960" s="124" t="s">
        <v>2393</v>
      </c>
      <c r="C1960" s="273">
        <f t="shared" si="438"/>
        <v>100214.81</v>
      </c>
      <c r="D1960" s="273">
        <f t="shared" si="439"/>
        <v>0</v>
      </c>
      <c r="E1960" s="273"/>
      <c r="F1960" s="273"/>
      <c r="G1960" s="273"/>
      <c r="H1960" s="273"/>
      <c r="I1960" s="273"/>
      <c r="J1960" s="273"/>
      <c r="K1960" s="273"/>
      <c r="L1960" s="273"/>
      <c r="M1960" s="273"/>
      <c r="N1960" s="273"/>
      <c r="O1960" s="273"/>
      <c r="P1960" s="273"/>
      <c r="Q1960" s="273"/>
      <c r="R1960" s="273"/>
      <c r="S1960" s="273"/>
      <c r="T1960" s="273"/>
      <c r="U1960" s="273"/>
      <c r="V1960" s="273"/>
      <c r="W1960" s="273">
        <f>SUM(X1960:AH1960)</f>
        <v>100214.81</v>
      </c>
      <c r="X1960" s="271">
        <v>100214.81</v>
      </c>
      <c r="Y1960" s="271"/>
      <c r="Z1960" s="271"/>
      <c r="AA1960" s="271"/>
      <c r="AC1960" s="269"/>
      <c r="AE1960" s="269"/>
      <c r="AF1960" s="7"/>
      <c r="AG1960" s="13"/>
      <c r="AH1960" s="13"/>
      <c r="AI1960" s="13"/>
      <c r="AJ1960" s="13"/>
      <c r="AK1960" s="13"/>
      <c r="AL1960" s="13"/>
      <c r="AM1960" s="13"/>
    </row>
    <row r="1961" spans="1:39" x14ac:dyDescent="0.3">
      <c r="A1961" s="10">
        <f t="shared" si="440"/>
        <v>1720</v>
      </c>
      <c r="B1961" s="124" t="s">
        <v>2394</v>
      </c>
      <c r="C1961" s="273">
        <f t="shared" si="438"/>
        <v>130000</v>
      </c>
      <c r="D1961" s="273">
        <f t="shared" si="439"/>
        <v>0</v>
      </c>
      <c r="E1961" s="273"/>
      <c r="F1961" s="273"/>
      <c r="G1961" s="273"/>
      <c r="H1961" s="273"/>
      <c r="I1961" s="273"/>
      <c r="J1961" s="273"/>
      <c r="K1961" s="273"/>
      <c r="L1961" s="273"/>
      <c r="M1961" s="273"/>
      <c r="N1961" s="273"/>
      <c r="O1961" s="273"/>
      <c r="P1961" s="273"/>
      <c r="Q1961" s="273"/>
      <c r="R1961" s="273"/>
      <c r="S1961" s="273"/>
      <c r="T1961" s="273"/>
      <c r="U1961" s="273"/>
      <c r="V1961" s="273"/>
      <c r="W1961" s="273">
        <v>130000</v>
      </c>
      <c r="X1961" s="271"/>
      <c r="Y1961" s="271"/>
      <c r="Z1961" s="271"/>
      <c r="AA1961" s="271"/>
      <c r="AC1961" s="269"/>
      <c r="AE1961" s="269"/>
      <c r="AF1961" s="7"/>
      <c r="AG1961" s="13"/>
      <c r="AH1961" s="13"/>
      <c r="AI1961" s="13"/>
      <c r="AJ1961" s="13"/>
      <c r="AK1961" s="13"/>
      <c r="AL1961" s="13"/>
      <c r="AM1961" s="13"/>
    </row>
    <row r="1962" spans="1:39" x14ac:dyDescent="0.3">
      <c r="A1962" s="10">
        <f t="shared" si="440"/>
        <v>1721</v>
      </c>
      <c r="B1962" s="124" t="s">
        <v>2395</v>
      </c>
      <c r="C1962" s="273">
        <f t="shared" si="438"/>
        <v>99092.76</v>
      </c>
      <c r="D1962" s="273">
        <f t="shared" si="439"/>
        <v>0</v>
      </c>
      <c r="E1962" s="273"/>
      <c r="F1962" s="273"/>
      <c r="G1962" s="273"/>
      <c r="H1962" s="273"/>
      <c r="I1962" s="273"/>
      <c r="J1962" s="273"/>
      <c r="K1962" s="273"/>
      <c r="L1962" s="273"/>
      <c r="M1962" s="273"/>
      <c r="N1962" s="273"/>
      <c r="O1962" s="273"/>
      <c r="P1962" s="273"/>
      <c r="Q1962" s="273"/>
      <c r="R1962" s="273"/>
      <c r="S1962" s="273"/>
      <c r="T1962" s="273"/>
      <c r="U1962" s="273"/>
      <c r="V1962" s="273"/>
      <c r="W1962" s="273">
        <f>SUM(X1962:AH1962)</f>
        <v>99092.76</v>
      </c>
      <c r="X1962" s="271">
        <v>99092.76</v>
      </c>
      <c r="Y1962" s="271"/>
      <c r="Z1962" s="271"/>
      <c r="AA1962" s="271"/>
      <c r="AC1962" s="269"/>
      <c r="AE1962" s="269"/>
      <c r="AF1962" s="7"/>
      <c r="AG1962" s="13"/>
      <c r="AH1962" s="13"/>
      <c r="AI1962" s="13"/>
      <c r="AJ1962" s="13"/>
      <c r="AK1962" s="13"/>
      <c r="AL1962" s="13"/>
      <c r="AM1962" s="13"/>
    </row>
    <row r="1963" spans="1:39" x14ac:dyDescent="0.3">
      <c r="A1963" s="10">
        <f t="shared" si="440"/>
        <v>1722</v>
      </c>
      <c r="B1963" s="124" t="s">
        <v>2396</v>
      </c>
      <c r="C1963" s="273">
        <f t="shared" si="438"/>
        <v>100162.7</v>
      </c>
      <c r="D1963" s="273">
        <f t="shared" si="439"/>
        <v>0</v>
      </c>
      <c r="E1963" s="273"/>
      <c r="F1963" s="273"/>
      <c r="G1963" s="273"/>
      <c r="H1963" s="273"/>
      <c r="I1963" s="273"/>
      <c r="J1963" s="273"/>
      <c r="K1963" s="273"/>
      <c r="L1963" s="273"/>
      <c r="M1963" s="273"/>
      <c r="N1963" s="273"/>
      <c r="O1963" s="273"/>
      <c r="P1963" s="273"/>
      <c r="Q1963" s="273"/>
      <c r="R1963" s="273"/>
      <c r="S1963" s="273"/>
      <c r="T1963" s="273"/>
      <c r="U1963" s="273"/>
      <c r="V1963" s="273"/>
      <c r="W1963" s="273">
        <f>SUM(X1963:AH1963)</f>
        <v>100162.7</v>
      </c>
      <c r="X1963" s="271">
        <v>100162.7</v>
      </c>
      <c r="Y1963" s="271"/>
      <c r="Z1963" s="271"/>
      <c r="AA1963" s="271"/>
      <c r="AC1963" s="269"/>
      <c r="AE1963" s="269"/>
      <c r="AF1963" s="7"/>
      <c r="AG1963" s="13"/>
      <c r="AH1963" s="13"/>
      <c r="AI1963" s="13"/>
      <c r="AJ1963" s="13"/>
      <c r="AK1963" s="13"/>
      <c r="AL1963" s="13"/>
      <c r="AM1963" s="13"/>
    </row>
    <row r="1964" spans="1:39" x14ac:dyDescent="0.3">
      <c r="A1964" s="10">
        <f t="shared" si="440"/>
        <v>1723</v>
      </c>
      <c r="B1964" s="124" t="s">
        <v>2397</v>
      </c>
      <c r="C1964" s="273">
        <f t="shared" si="438"/>
        <v>207245.77000000002</v>
      </c>
      <c r="D1964" s="273">
        <f t="shared" si="439"/>
        <v>0</v>
      </c>
      <c r="E1964" s="273"/>
      <c r="F1964" s="273"/>
      <c r="G1964" s="273"/>
      <c r="H1964" s="273"/>
      <c r="I1964" s="273"/>
      <c r="J1964" s="273"/>
      <c r="K1964" s="273"/>
      <c r="L1964" s="273"/>
      <c r="M1964" s="273"/>
      <c r="N1964" s="273"/>
      <c r="O1964" s="273"/>
      <c r="P1964" s="273"/>
      <c r="Q1964" s="273"/>
      <c r="R1964" s="273"/>
      <c r="S1964" s="273"/>
      <c r="T1964" s="273"/>
      <c r="U1964" s="273"/>
      <c r="V1964" s="273"/>
      <c r="W1964" s="273">
        <f>SUM(X1964:AH1964)</f>
        <v>207245.77000000002</v>
      </c>
      <c r="X1964" s="271">
        <v>100981.67</v>
      </c>
      <c r="Y1964" s="271"/>
      <c r="Z1964" s="271">
        <v>106264.1</v>
      </c>
      <c r="AA1964" s="271"/>
      <c r="AC1964" s="269"/>
      <c r="AE1964" s="269"/>
      <c r="AF1964" s="7"/>
      <c r="AG1964" s="13"/>
      <c r="AH1964" s="13"/>
      <c r="AI1964" s="13"/>
      <c r="AJ1964" s="13"/>
      <c r="AK1964" s="13"/>
      <c r="AL1964" s="13"/>
      <c r="AM1964" s="13"/>
    </row>
    <row r="1965" spans="1:39" x14ac:dyDescent="0.3">
      <c r="A1965" s="10">
        <f t="shared" si="440"/>
        <v>1724</v>
      </c>
      <c r="B1965" s="124" t="s">
        <v>2398</v>
      </c>
      <c r="C1965" s="273">
        <f t="shared" si="438"/>
        <v>233384.37</v>
      </c>
      <c r="D1965" s="273">
        <f t="shared" si="439"/>
        <v>0</v>
      </c>
      <c r="E1965" s="273"/>
      <c r="F1965" s="273"/>
      <c r="G1965" s="273"/>
      <c r="H1965" s="273"/>
      <c r="I1965" s="273"/>
      <c r="J1965" s="273"/>
      <c r="K1965" s="273"/>
      <c r="L1965" s="273"/>
      <c r="M1965" s="273"/>
      <c r="N1965" s="273"/>
      <c r="O1965" s="273"/>
      <c r="P1965" s="273"/>
      <c r="Q1965" s="273"/>
      <c r="R1965" s="273"/>
      <c r="S1965" s="273"/>
      <c r="T1965" s="273"/>
      <c r="U1965" s="273"/>
      <c r="V1965" s="273"/>
      <c r="W1965" s="273">
        <f>SUM(X1965:AH1965)</f>
        <v>233384.37</v>
      </c>
      <c r="X1965" s="271">
        <v>113794.85</v>
      </c>
      <c r="Y1965" s="271"/>
      <c r="Z1965" s="271">
        <v>119589.52</v>
      </c>
      <c r="AA1965" s="271"/>
      <c r="AC1965" s="269"/>
      <c r="AE1965" s="269"/>
      <c r="AF1965" s="7"/>
      <c r="AG1965" s="13"/>
      <c r="AH1965" s="13"/>
      <c r="AI1965" s="13"/>
      <c r="AJ1965" s="13"/>
      <c r="AK1965" s="13"/>
      <c r="AL1965" s="13"/>
      <c r="AM1965" s="13"/>
    </row>
    <row r="1966" spans="1:39" x14ac:dyDescent="0.3">
      <c r="A1966" s="10">
        <f t="shared" si="440"/>
        <v>1725</v>
      </c>
      <c r="B1966" s="124" t="s">
        <v>2399</v>
      </c>
      <c r="C1966" s="273">
        <f t="shared" si="438"/>
        <v>130000</v>
      </c>
      <c r="D1966" s="273">
        <f t="shared" si="439"/>
        <v>0</v>
      </c>
      <c r="E1966" s="273"/>
      <c r="F1966" s="273"/>
      <c r="G1966" s="273"/>
      <c r="H1966" s="273"/>
      <c r="I1966" s="273"/>
      <c r="J1966" s="273"/>
      <c r="K1966" s="273"/>
      <c r="L1966" s="273"/>
      <c r="M1966" s="273"/>
      <c r="N1966" s="273"/>
      <c r="O1966" s="273"/>
      <c r="P1966" s="273"/>
      <c r="Q1966" s="273"/>
      <c r="R1966" s="273"/>
      <c r="S1966" s="273"/>
      <c r="T1966" s="273"/>
      <c r="U1966" s="273"/>
      <c r="V1966" s="273"/>
      <c r="W1966" s="273">
        <v>130000</v>
      </c>
      <c r="X1966" s="271"/>
      <c r="Y1966" s="271"/>
      <c r="Z1966" s="271"/>
      <c r="AA1966" s="271"/>
      <c r="AC1966" s="269"/>
      <c r="AE1966" s="269"/>
      <c r="AF1966" s="7"/>
      <c r="AG1966" s="13"/>
      <c r="AH1966" s="13"/>
      <c r="AI1966" s="13"/>
      <c r="AJ1966" s="13"/>
      <c r="AK1966" s="13"/>
      <c r="AL1966" s="13"/>
      <c r="AM1966" s="13"/>
    </row>
    <row r="1967" spans="1:39" x14ac:dyDescent="0.3">
      <c r="A1967" s="10">
        <f t="shared" si="440"/>
        <v>1726</v>
      </c>
      <c r="B1967" s="124" t="s">
        <v>2400</v>
      </c>
      <c r="C1967" s="273">
        <f t="shared" si="438"/>
        <v>99028.38</v>
      </c>
      <c r="D1967" s="273">
        <f t="shared" si="439"/>
        <v>0</v>
      </c>
      <c r="E1967" s="273"/>
      <c r="F1967" s="273"/>
      <c r="G1967" s="273"/>
      <c r="H1967" s="273"/>
      <c r="I1967" s="273"/>
      <c r="J1967" s="273"/>
      <c r="K1967" s="273"/>
      <c r="L1967" s="273"/>
      <c r="M1967" s="273"/>
      <c r="N1967" s="273"/>
      <c r="O1967" s="273"/>
      <c r="P1967" s="273"/>
      <c r="Q1967" s="273"/>
      <c r="R1967" s="273"/>
      <c r="S1967" s="273"/>
      <c r="T1967" s="273"/>
      <c r="U1967" s="273"/>
      <c r="V1967" s="273"/>
      <c r="W1967" s="273">
        <f>SUM(X1967:AH1967)</f>
        <v>99028.38</v>
      </c>
      <c r="X1967" s="271">
        <v>99028.38</v>
      </c>
      <c r="Y1967" s="271"/>
      <c r="Z1967" s="271"/>
      <c r="AA1967" s="271"/>
      <c r="AC1967" s="269"/>
      <c r="AE1967" s="269"/>
      <c r="AF1967" s="7"/>
      <c r="AG1967" s="13"/>
      <c r="AH1967" s="13"/>
      <c r="AI1967" s="13"/>
      <c r="AJ1967" s="13"/>
      <c r="AK1967" s="13"/>
      <c r="AL1967" s="13"/>
      <c r="AM1967" s="13"/>
    </row>
    <row r="1968" spans="1:39" x14ac:dyDescent="0.3">
      <c r="A1968" s="10">
        <f t="shared" si="440"/>
        <v>1727</v>
      </c>
      <c r="B1968" s="124" t="s">
        <v>2401</v>
      </c>
      <c r="C1968" s="273">
        <f t="shared" si="438"/>
        <v>106963.26</v>
      </c>
      <c r="D1968" s="273">
        <f t="shared" si="439"/>
        <v>0</v>
      </c>
      <c r="E1968" s="273"/>
      <c r="F1968" s="273"/>
      <c r="G1968" s="273"/>
      <c r="H1968" s="273"/>
      <c r="I1968" s="273"/>
      <c r="J1968" s="273"/>
      <c r="K1968" s="273"/>
      <c r="L1968" s="273"/>
      <c r="M1968" s="273"/>
      <c r="N1968" s="273"/>
      <c r="O1968" s="273"/>
      <c r="P1968" s="273"/>
      <c r="Q1968" s="273"/>
      <c r="R1968" s="273"/>
      <c r="S1968" s="273"/>
      <c r="T1968" s="273"/>
      <c r="U1968" s="273"/>
      <c r="V1968" s="273"/>
      <c r="W1968" s="273">
        <f>SUM(X1968:AH1968)</f>
        <v>106963.26</v>
      </c>
      <c r="X1968" s="271">
        <v>106963.26</v>
      </c>
      <c r="Y1968" s="271"/>
      <c r="Z1968" s="271"/>
      <c r="AA1968" s="271"/>
      <c r="AC1968" s="269"/>
      <c r="AE1968" s="269"/>
      <c r="AF1968" s="7"/>
      <c r="AG1968" s="13"/>
      <c r="AH1968" s="13"/>
      <c r="AI1968" s="13"/>
      <c r="AJ1968" s="13"/>
      <c r="AK1968" s="13"/>
      <c r="AL1968" s="13"/>
      <c r="AM1968" s="13"/>
    </row>
    <row r="1969" spans="1:39" x14ac:dyDescent="0.3">
      <c r="A1969" s="10">
        <f t="shared" si="440"/>
        <v>1728</v>
      </c>
      <c r="B1969" s="124" t="s">
        <v>2402</v>
      </c>
      <c r="C1969" s="273">
        <f t="shared" si="438"/>
        <v>136376.46</v>
      </c>
      <c r="D1969" s="273">
        <f t="shared" si="439"/>
        <v>0</v>
      </c>
      <c r="E1969" s="273"/>
      <c r="F1969" s="273"/>
      <c r="G1969" s="273"/>
      <c r="H1969" s="273"/>
      <c r="I1969" s="273"/>
      <c r="J1969" s="273"/>
      <c r="K1969" s="273"/>
      <c r="L1969" s="273"/>
      <c r="M1969" s="273"/>
      <c r="N1969" s="273"/>
      <c r="O1969" s="273"/>
      <c r="P1969" s="273"/>
      <c r="Q1969" s="273"/>
      <c r="R1969" s="273"/>
      <c r="S1969" s="273"/>
      <c r="T1969" s="273"/>
      <c r="U1969" s="273"/>
      <c r="V1969" s="273"/>
      <c r="W1969" s="273">
        <f>SUM(X1969:AH1969)</f>
        <v>136376.46</v>
      </c>
      <c r="X1969" s="271">
        <v>136376.46</v>
      </c>
      <c r="Y1969" s="271"/>
      <c r="Z1969" s="271"/>
      <c r="AA1969" s="271"/>
      <c r="AC1969" s="269"/>
      <c r="AE1969" s="269"/>
      <c r="AF1969" s="7"/>
      <c r="AG1969" s="13"/>
      <c r="AH1969" s="13"/>
      <c r="AI1969" s="13"/>
      <c r="AJ1969" s="13"/>
      <c r="AK1969" s="13"/>
      <c r="AL1969" s="13"/>
      <c r="AM1969" s="13"/>
    </row>
    <row r="1970" spans="1:39" x14ac:dyDescent="0.3">
      <c r="A1970" s="10">
        <f t="shared" si="440"/>
        <v>1729</v>
      </c>
      <c r="B1970" s="124" t="s">
        <v>2403</v>
      </c>
      <c r="C1970" s="273">
        <f t="shared" si="438"/>
        <v>99560.09</v>
      </c>
      <c r="D1970" s="273">
        <f t="shared" si="439"/>
        <v>0</v>
      </c>
      <c r="E1970" s="273"/>
      <c r="F1970" s="273"/>
      <c r="G1970" s="273"/>
      <c r="H1970" s="273"/>
      <c r="I1970" s="273"/>
      <c r="J1970" s="273"/>
      <c r="K1970" s="273"/>
      <c r="L1970" s="273"/>
      <c r="M1970" s="273"/>
      <c r="N1970" s="273"/>
      <c r="O1970" s="273"/>
      <c r="P1970" s="273"/>
      <c r="Q1970" s="273"/>
      <c r="R1970" s="273"/>
      <c r="S1970" s="273"/>
      <c r="T1970" s="273"/>
      <c r="U1970" s="273"/>
      <c r="V1970" s="273"/>
      <c r="W1970" s="273">
        <f>SUM(X1970:AH1970)</f>
        <v>99560.09</v>
      </c>
      <c r="X1970" s="271">
        <v>99560.09</v>
      </c>
      <c r="Y1970" s="271"/>
      <c r="Z1970" s="271"/>
      <c r="AA1970" s="271"/>
      <c r="AC1970" s="269"/>
      <c r="AE1970" s="269"/>
      <c r="AF1970" s="7"/>
      <c r="AG1970" s="13"/>
      <c r="AH1970" s="13"/>
      <c r="AI1970" s="13"/>
      <c r="AJ1970" s="13"/>
      <c r="AK1970" s="13"/>
      <c r="AL1970" s="13"/>
      <c r="AM1970" s="13"/>
    </row>
    <row r="1971" spans="1:39" x14ac:dyDescent="0.3">
      <c r="A1971" s="10">
        <f t="shared" si="440"/>
        <v>1730</v>
      </c>
      <c r="B1971" s="124" t="s">
        <v>2404</v>
      </c>
      <c r="C1971" s="273">
        <f t="shared" si="438"/>
        <v>110929.98</v>
      </c>
      <c r="D1971" s="273">
        <f t="shared" si="439"/>
        <v>0</v>
      </c>
      <c r="E1971" s="273"/>
      <c r="F1971" s="273"/>
      <c r="G1971" s="273"/>
      <c r="H1971" s="273"/>
      <c r="I1971" s="273"/>
      <c r="J1971" s="273"/>
      <c r="K1971" s="273"/>
      <c r="L1971" s="273"/>
      <c r="M1971" s="273"/>
      <c r="N1971" s="273"/>
      <c r="O1971" s="273"/>
      <c r="P1971" s="273"/>
      <c r="Q1971" s="273"/>
      <c r="R1971" s="273"/>
      <c r="S1971" s="273"/>
      <c r="T1971" s="273"/>
      <c r="U1971" s="273"/>
      <c r="V1971" s="273"/>
      <c r="W1971" s="273">
        <f>SUM(X1971:AH1971)</f>
        <v>110929.98</v>
      </c>
      <c r="X1971" s="271">
        <v>110929.98</v>
      </c>
      <c r="Y1971" s="271"/>
      <c r="Z1971" s="271"/>
      <c r="AA1971" s="271"/>
      <c r="AC1971" s="269"/>
      <c r="AE1971" s="269"/>
      <c r="AF1971" s="7"/>
      <c r="AG1971" s="13"/>
      <c r="AH1971" s="13"/>
      <c r="AI1971" s="13"/>
      <c r="AJ1971" s="13"/>
      <c r="AK1971" s="13"/>
      <c r="AL1971" s="13"/>
      <c r="AM1971" s="13"/>
    </row>
    <row r="1972" spans="1:39" x14ac:dyDescent="0.3">
      <c r="A1972" s="10">
        <f t="shared" si="440"/>
        <v>1731</v>
      </c>
      <c r="B1972" s="124" t="s">
        <v>2405</v>
      </c>
      <c r="C1972" s="273">
        <f t="shared" si="438"/>
        <v>130000</v>
      </c>
      <c r="D1972" s="273">
        <f t="shared" si="439"/>
        <v>0</v>
      </c>
      <c r="E1972" s="273"/>
      <c r="F1972" s="273"/>
      <c r="G1972" s="273"/>
      <c r="H1972" s="273"/>
      <c r="I1972" s="273"/>
      <c r="J1972" s="273"/>
      <c r="K1972" s="273"/>
      <c r="L1972" s="273"/>
      <c r="M1972" s="273"/>
      <c r="N1972" s="273"/>
      <c r="O1972" s="273"/>
      <c r="P1972" s="273"/>
      <c r="Q1972" s="273"/>
      <c r="R1972" s="273"/>
      <c r="S1972" s="273"/>
      <c r="T1972" s="273"/>
      <c r="U1972" s="273"/>
      <c r="V1972" s="273"/>
      <c r="W1972" s="273">
        <v>130000</v>
      </c>
      <c r="X1972" s="271"/>
      <c r="Y1972" s="271"/>
      <c r="Z1972" s="271"/>
      <c r="AA1972" s="271"/>
      <c r="AC1972" s="269"/>
      <c r="AE1972" s="269"/>
      <c r="AF1972" s="7"/>
      <c r="AG1972" s="13"/>
      <c r="AH1972" s="13"/>
      <c r="AI1972" s="13"/>
      <c r="AJ1972" s="13"/>
      <c r="AK1972" s="13"/>
      <c r="AL1972" s="13"/>
      <c r="AM1972" s="13"/>
    </row>
    <row r="1973" spans="1:39" x14ac:dyDescent="0.3">
      <c r="A1973" s="10">
        <f t="shared" si="440"/>
        <v>1732</v>
      </c>
      <c r="B1973" s="124" t="s">
        <v>2406</v>
      </c>
      <c r="C1973" s="273">
        <f t="shared" si="438"/>
        <v>101674.27</v>
      </c>
      <c r="D1973" s="273">
        <f t="shared" si="439"/>
        <v>0</v>
      </c>
      <c r="E1973" s="273"/>
      <c r="F1973" s="273"/>
      <c r="G1973" s="273"/>
      <c r="H1973" s="273"/>
      <c r="I1973" s="273"/>
      <c r="J1973" s="273"/>
      <c r="K1973" s="273"/>
      <c r="L1973" s="273"/>
      <c r="M1973" s="273"/>
      <c r="N1973" s="273"/>
      <c r="O1973" s="273"/>
      <c r="P1973" s="273"/>
      <c r="Q1973" s="273"/>
      <c r="R1973" s="273"/>
      <c r="S1973" s="273"/>
      <c r="T1973" s="273"/>
      <c r="U1973" s="273"/>
      <c r="V1973" s="273"/>
      <c r="W1973" s="273">
        <f>SUM(X1973:AH1973)</f>
        <v>101674.27</v>
      </c>
      <c r="X1973" s="271">
        <v>101674.27</v>
      </c>
      <c r="Y1973" s="271"/>
      <c r="Z1973" s="271"/>
      <c r="AA1973" s="271"/>
      <c r="AC1973" s="269"/>
      <c r="AE1973" s="269"/>
      <c r="AF1973" s="7"/>
      <c r="AG1973" s="13"/>
      <c r="AH1973" s="13"/>
      <c r="AI1973" s="13"/>
      <c r="AJ1973" s="13"/>
      <c r="AK1973" s="13"/>
      <c r="AL1973" s="13"/>
      <c r="AM1973" s="13"/>
    </row>
    <row r="1974" spans="1:39" x14ac:dyDescent="0.3">
      <c r="A1974" s="10">
        <f t="shared" si="440"/>
        <v>1733</v>
      </c>
      <c r="B1974" s="124" t="s">
        <v>2407</v>
      </c>
      <c r="C1974" s="273">
        <f t="shared" si="438"/>
        <v>338992.97</v>
      </c>
      <c r="D1974" s="273">
        <f t="shared" si="439"/>
        <v>0</v>
      </c>
      <c r="E1974" s="273"/>
      <c r="F1974" s="273"/>
      <c r="G1974" s="273"/>
      <c r="H1974" s="273"/>
      <c r="I1974" s="273"/>
      <c r="J1974" s="273"/>
      <c r="K1974" s="273"/>
      <c r="L1974" s="273"/>
      <c r="M1974" s="273"/>
      <c r="N1974" s="273"/>
      <c r="O1974" s="273"/>
      <c r="P1974" s="273"/>
      <c r="Q1974" s="273"/>
      <c r="R1974" s="273"/>
      <c r="S1974" s="273"/>
      <c r="T1974" s="273"/>
      <c r="U1974" s="273"/>
      <c r="V1974" s="273"/>
      <c r="W1974" s="273">
        <f>SUM(X1974:AH1974)</f>
        <v>338992.97</v>
      </c>
      <c r="X1974" s="271">
        <v>103815.05</v>
      </c>
      <c r="Y1974" s="271">
        <v>125967.17</v>
      </c>
      <c r="Z1974" s="271">
        <v>109210.75</v>
      </c>
      <c r="AA1974" s="271"/>
      <c r="AC1974" s="269"/>
      <c r="AE1974" s="269"/>
      <c r="AF1974" s="7"/>
      <c r="AG1974" s="13"/>
      <c r="AH1974" s="13"/>
      <c r="AI1974" s="13"/>
      <c r="AJ1974" s="13"/>
      <c r="AK1974" s="13"/>
      <c r="AL1974" s="13"/>
      <c r="AM1974" s="13"/>
    </row>
    <row r="1975" spans="1:39" x14ac:dyDescent="0.3">
      <c r="A1975" s="10">
        <f t="shared" si="440"/>
        <v>1734</v>
      </c>
      <c r="B1975" s="124" t="s">
        <v>2408</v>
      </c>
      <c r="C1975" s="273">
        <f t="shared" si="438"/>
        <v>130000</v>
      </c>
      <c r="D1975" s="273">
        <f t="shared" si="439"/>
        <v>0</v>
      </c>
      <c r="E1975" s="273"/>
      <c r="F1975" s="273"/>
      <c r="G1975" s="273"/>
      <c r="H1975" s="273"/>
      <c r="I1975" s="273"/>
      <c r="J1975" s="273"/>
      <c r="K1975" s="273"/>
      <c r="L1975" s="273"/>
      <c r="M1975" s="273"/>
      <c r="N1975" s="273"/>
      <c r="O1975" s="273"/>
      <c r="P1975" s="273"/>
      <c r="Q1975" s="273"/>
      <c r="R1975" s="273"/>
      <c r="S1975" s="273"/>
      <c r="T1975" s="273"/>
      <c r="U1975" s="273"/>
      <c r="V1975" s="273"/>
      <c r="W1975" s="273">
        <v>130000</v>
      </c>
      <c r="X1975" s="271"/>
      <c r="Y1975" s="271"/>
      <c r="Z1975" s="271"/>
      <c r="AA1975" s="271"/>
      <c r="AC1975" s="269"/>
      <c r="AE1975" s="269"/>
      <c r="AF1975" s="7"/>
      <c r="AG1975" s="13"/>
      <c r="AH1975" s="13"/>
      <c r="AI1975" s="13"/>
      <c r="AJ1975" s="13"/>
      <c r="AK1975" s="13"/>
      <c r="AL1975" s="13"/>
      <c r="AM1975" s="13"/>
    </row>
    <row r="1976" spans="1:39" x14ac:dyDescent="0.3">
      <c r="A1976" s="10">
        <f t="shared" si="440"/>
        <v>1735</v>
      </c>
      <c r="B1976" s="124" t="s">
        <v>2409</v>
      </c>
      <c r="C1976" s="273">
        <f t="shared" si="438"/>
        <v>776457.27</v>
      </c>
      <c r="D1976" s="273">
        <f t="shared" si="439"/>
        <v>0</v>
      </c>
      <c r="E1976" s="273"/>
      <c r="F1976" s="273"/>
      <c r="G1976" s="273"/>
      <c r="H1976" s="273"/>
      <c r="I1976" s="273"/>
      <c r="J1976" s="273"/>
      <c r="K1976" s="273"/>
      <c r="L1976" s="273"/>
      <c r="M1976" s="273"/>
      <c r="N1976" s="273"/>
      <c r="O1976" s="273"/>
      <c r="P1976" s="273"/>
      <c r="Q1976" s="273"/>
      <c r="R1976" s="273"/>
      <c r="S1976" s="273"/>
      <c r="T1976" s="273"/>
      <c r="U1976" s="273"/>
      <c r="V1976" s="273"/>
      <c r="W1976" s="273">
        <f t="shared" ref="W1976:W1994" si="441">SUM(X1976:AH1976)</f>
        <v>776457.27</v>
      </c>
      <c r="X1976" s="271"/>
      <c r="Y1976" s="271"/>
      <c r="Z1976" s="271"/>
      <c r="AA1976" s="271"/>
      <c r="AC1976" s="269"/>
      <c r="AE1976" s="269">
        <v>211493.27</v>
      </c>
      <c r="AF1976" s="7"/>
      <c r="AG1976" s="13">
        <v>564964</v>
      </c>
      <c r="AH1976" s="13"/>
      <c r="AI1976" s="13"/>
      <c r="AJ1976" s="13"/>
      <c r="AK1976" s="13"/>
      <c r="AL1976" s="13"/>
      <c r="AM1976" s="13"/>
    </row>
    <row r="1977" spans="1:39" x14ac:dyDescent="0.3">
      <c r="A1977" s="10">
        <f t="shared" si="440"/>
        <v>1736</v>
      </c>
      <c r="B1977" s="124" t="s">
        <v>2410</v>
      </c>
      <c r="C1977" s="273">
        <f t="shared" si="438"/>
        <v>219940.9</v>
      </c>
      <c r="D1977" s="273">
        <f t="shared" si="439"/>
        <v>0</v>
      </c>
      <c r="E1977" s="273"/>
      <c r="F1977" s="273"/>
      <c r="G1977" s="273"/>
      <c r="H1977" s="273"/>
      <c r="I1977" s="273"/>
      <c r="J1977" s="273"/>
      <c r="K1977" s="273"/>
      <c r="L1977" s="273"/>
      <c r="M1977" s="273"/>
      <c r="N1977" s="273"/>
      <c r="O1977" s="273"/>
      <c r="P1977" s="273"/>
      <c r="Q1977" s="273"/>
      <c r="R1977" s="273"/>
      <c r="S1977" s="273"/>
      <c r="T1977" s="273"/>
      <c r="U1977" s="273"/>
      <c r="V1977" s="273"/>
      <c r="W1977" s="273">
        <f t="shared" si="441"/>
        <v>219940.9</v>
      </c>
      <c r="X1977" s="271"/>
      <c r="Y1977" s="271"/>
      <c r="Z1977" s="271"/>
      <c r="AA1977" s="271"/>
      <c r="AC1977" s="269"/>
      <c r="AE1977" s="269">
        <v>219940.9</v>
      </c>
      <c r="AF1977" s="7"/>
      <c r="AG1977" s="13"/>
      <c r="AH1977" s="13"/>
      <c r="AI1977" s="13"/>
      <c r="AJ1977" s="13"/>
      <c r="AK1977" s="13"/>
      <c r="AL1977" s="13"/>
      <c r="AM1977" s="13"/>
    </row>
    <row r="1978" spans="1:39" x14ac:dyDescent="0.3">
      <c r="A1978" s="10">
        <f t="shared" si="440"/>
        <v>1737</v>
      </c>
      <c r="B1978" s="124" t="s">
        <v>2411</v>
      </c>
      <c r="C1978" s="273">
        <f t="shared" si="438"/>
        <v>918215.59000000008</v>
      </c>
      <c r="D1978" s="273">
        <f t="shared" si="439"/>
        <v>0</v>
      </c>
      <c r="E1978" s="273"/>
      <c r="F1978" s="273"/>
      <c r="G1978" s="273"/>
      <c r="H1978" s="273"/>
      <c r="I1978" s="273"/>
      <c r="J1978" s="273"/>
      <c r="K1978" s="273"/>
      <c r="L1978" s="273"/>
      <c r="M1978" s="273"/>
      <c r="N1978" s="273"/>
      <c r="O1978" s="273"/>
      <c r="P1978" s="273"/>
      <c r="Q1978" s="273"/>
      <c r="R1978" s="273"/>
      <c r="S1978" s="273"/>
      <c r="T1978" s="273"/>
      <c r="U1978" s="273"/>
      <c r="V1978" s="273"/>
      <c r="W1978" s="273">
        <f t="shared" si="441"/>
        <v>918215.59000000008</v>
      </c>
      <c r="X1978" s="271"/>
      <c r="Y1978" s="271"/>
      <c r="Z1978" s="271"/>
      <c r="AA1978" s="271"/>
      <c r="AC1978" s="269">
        <v>117466.88</v>
      </c>
      <c r="AE1978" s="269">
        <v>218268.06</v>
      </c>
      <c r="AF1978" s="7"/>
      <c r="AG1978" s="13">
        <v>582480.65</v>
      </c>
      <c r="AH1978" s="13"/>
      <c r="AI1978" s="13"/>
      <c r="AJ1978" s="13"/>
      <c r="AK1978" s="13"/>
      <c r="AL1978" s="13"/>
      <c r="AM1978" s="13"/>
    </row>
    <row r="1979" spans="1:39" x14ac:dyDescent="0.3">
      <c r="A1979" s="10">
        <f t="shared" si="440"/>
        <v>1738</v>
      </c>
      <c r="B1979" s="124" t="s">
        <v>2412</v>
      </c>
      <c r="C1979" s="273">
        <f t="shared" si="438"/>
        <v>963403.03</v>
      </c>
      <c r="D1979" s="273">
        <f t="shared" si="439"/>
        <v>0</v>
      </c>
      <c r="E1979" s="273"/>
      <c r="F1979" s="273"/>
      <c r="G1979" s="273"/>
      <c r="H1979" s="273"/>
      <c r="I1979" s="273"/>
      <c r="J1979" s="273"/>
      <c r="K1979" s="273"/>
      <c r="L1979" s="273"/>
      <c r="M1979" s="273"/>
      <c r="N1979" s="273"/>
      <c r="O1979" s="273"/>
      <c r="P1979" s="273"/>
      <c r="Q1979" s="273"/>
      <c r="R1979" s="273"/>
      <c r="S1979" s="273"/>
      <c r="T1979" s="273"/>
      <c r="U1979" s="273"/>
      <c r="V1979" s="273"/>
      <c r="W1979" s="273">
        <f t="shared" si="441"/>
        <v>963403.03</v>
      </c>
      <c r="X1979" s="271"/>
      <c r="Y1979" s="271"/>
      <c r="Z1979" s="271"/>
      <c r="AA1979" s="271"/>
      <c r="AC1979" s="269">
        <v>124153.16</v>
      </c>
      <c r="AE1979" s="269">
        <v>229005.91</v>
      </c>
      <c r="AF1979" s="7"/>
      <c r="AG1979" s="13">
        <v>610243.96</v>
      </c>
      <c r="AH1979" s="13"/>
      <c r="AI1979" s="13"/>
      <c r="AJ1979" s="13"/>
      <c r="AK1979" s="13"/>
      <c r="AL1979" s="13"/>
      <c r="AM1979" s="13"/>
    </row>
    <row r="1980" spans="1:39" x14ac:dyDescent="0.3">
      <c r="A1980" s="10">
        <f t="shared" si="440"/>
        <v>1739</v>
      </c>
      <c r="B1980" s="124" t="s">
        <v>2413</v>
      </c>
      <c r="C1980" s="273">
        <f t="shared" si="438"/>
        <v>870606.5</v>
      </c>
      <c r="D1980" s="273">
        <f t="shared" si="439"/>
        <v>0</v>
      </c>
      <c r="E1980" s="273"/>
      <c r="F1980" s="273"/>
      <c r="G1980" s="273"/>
      <c r="H1980" s="273"/>
      <c r="I1980" s="273"/>
      <c r="J1980" s="273"/>
      <c r="K1980" s="273"/>
      <c r="L1980" s="273"/>
      <c r="M1980" s="273"/>
      <c r="N1980" s="273"/>
      <c r="O1980" s="273"/>
      <c r="P1980" s="273"/>
      <c r="Q1980" s="273"/>
      <c r="R1980" s="273"/>
      <c r="S1980" s="273"/>
      <c r="T1980" s="273"/>
      <c r="U1980" s="273"/>
      <c r="V1980" s="273"/>
      <c r="W1980" s="273">
        <f t="shared" si="441"/>
        <v>870606.5</v>
      </c>
      <c r="X1980" s="271"/>
      <c r="Y1980" s="271"/>
      <c r="Z1980" s="271"/>
      <c r="AA1980" s="271"/>
      <c r="AC1980" s="269"/>
      <c r="AE1980" s="269">
        <v>237751.18</v>
      </c>
      <c r="AF1980" s="7"/>
      <c r="AG1980" s="13">
        <v>632855.31999999995</v>
      </c>
      <c r="AH1980" s="13"/>
      <c r="AI1980" s="13"/>
      <c r="AJ1980" s="13"/>
      <c r="AK1980" s="13"/>
      <c r="AL1980" s="13"/>
      <c r="AM1980" s="13"/>
    </row>
    <row r="1981" spans="1:39" x14ac:dyDescent="0.3">
      <c r="A1981" s="10">
        <f t="shared" si="440"/>
        <v>1740</v>
      </c>
      <c r="B1981" s="124" t="s">
        <v>2414</v>
      </c>
      <c r="C1981" s="273">
        <f t="shared" si="438"/>
        <v>746259.65</v>
      </c>
      <c r="D1981" s="273">
        <f t="shared" si="439"/>
        <v>0</v>
      </c>
      <c r="E1981" s="273"/>
      <c r="F1981" s="273"/>
      <c r="G1981" s="273"/>
      <c r="H1981" s="273"/>
      <c r="I1981" s="273"/>
      <c r="J1981" s="273"/>
      <c r="K1981" s="273"/>
      <c r="L1981" s="273"/>
      <c r="M1981" s="273"/>
      <c r="N1981" s="273"/>
      <c r="O1981" s="273"/>
      <c r="P1981" s="273"/>
      <c r="Q1981" s="273"/>
      <c r="R1981" s="273"/>
      <c r="S1981" s="273"/>
      <c r="T1981" s="273"/>
      <c r="U1981" s="273"/>
      <c r="V1981" s="273"/>
      <c r="W1981" s="273">
        <f t="shared" si="441"/>
        <v>746259.65</v>
      </c>
      <c r="X1981" s="271"/>
      <c r="Y1981" s="271"/>
      <c r="Z1981" s="271"/>
      <c r="AA1981" s="271"/>
      <c r="AC1981" s="269"/>
      <c r="AE1981" s="269">
        <v>203071.25</v>
      </c>
      <c r="AF1981" s="7"/>
      <c r="AG1981" s="13">
        <v>543188.4</v>
      </c>
      <c r="AH1981" s="13"/>
      <c r="AI1981" s="13"/>
      <c r="AJ1981" s="13"/>
      <c r="AK1981" s="13"/>
      <c r="AL1981" s="13"/>
      <c r="AM1981" s="13"/>
    </row>
    <row r="1982" spans="1:39" x14ac:dyDescent="0.3">
      <c r="A1982" s="10">
        <f t="shared" si="440"/>
        <v>1741</v>
      </c>
      <c r="B1982" s="124" t="s">
        <v>2415</v>
      </c>
      <c r="C1982" s="273">
        <f t="shared" si="438"/>
        <v>463689.76</v>
      </c>
      <c r="D1982" s="273">
        <f t="shared" si="439"/>
        <v>0</v>
      </c>
      <c r="E1982" s="273"/>
      <c r="F1982" s="273"/>
      <c r="G1982" s="273"/>
      <c r="H1982" s="273"/>
      <c r="I1982" s="273"/>
      <c r="J1982" s="273"/>
      <c r="K1982" s="273"/>
      <c r="L1982" s="273"/>
      <c r="M1982" s="273"/>
      <c r="N1982" s="273"/>
      <c r="O1982" s="273"/>
      <c r="P1982" s="273"/>
      <c r="Q1982" s="273"/>
      <c r="R1982" s="273"/>
      <c r="S1982" s="273"/>
      <c r="T1982" s="273"/>
      <c r="U1982" s="273"/>
      <c r="V1982" s="273"/>
      <c r="W1982" s="273">
        <f t="shared" si="441"/>
        <v>463689.76</v>
      </c>
      <c r="X1982" s="271"/>
      <c r="Y1982" s="271"/>
      <c r="Z1982" s="271"/>
      <c r="AA1982" s="271"/>
      <c r="AC1982" s="269"/>
      <c r="AE1982" s="269">
        <v>174947.04</v>
      </c>
      <c r="AF1982" s="7"/>
      <c r="AG1982" s="13">
        <v>288742.71999999997</v>
      </c>
      <c r="AH1982" s="13"/>
      <c r="AI1982" s="13"/>
      <c r="AJ1982" s="13"/>
      <c r="AK1982" s="13"/>
      <c r="AL1982" s="13"/>
      <c r="AM1982" s="13">
        <v>133.34</v>
      </c>
    </row>
    <row r="1983" spans="1:39" x14ac:dyDescent="0.3">
      <c r="A1983" s="10">
        <f t="shared" si="440"/>
        <v>1742</v>
      </c>
      <c r="B1983" s="124" t="s">
        <v>2416</v>
      </c>
      <c r="C1983" s="273">
        <f t="shared" si="438"/>
        <v>724381.45</v>
      </c>
      <c r="D1983" s="273">
        <f t="shared" si="439"/>
        <v>0</v>
      </c>
      <c r="E1983" s="273"/>
      <c r="F1983" s="273"/>
      <c r="G1983" s="273"/>
      <c r="H1983" s="273"/>
      <c r="I1983" s="273"/>
      <c r="J1983" s="273"/>
      <c r="K1983" s="273"/>
      <c r="L1983" s="273"/>
      <c r="M1983" s="273"/>
      <c r="N1983" s="273"/>
      <c r="O1983" s="273"/>
      <c r="P1983" s="273"/>
      <c r="Q1983" s="273"/>
      <c r="R1983" s="273"/>
      <c r="S1983" s="273"/>
      <c r="T1983" s="273"/>
      <c r="U1983" s="273"/>
      <c r="V1983" s="273"/>
      <c r="W1983" s="273">
        <f t="shared" si="441"/>
        <v>724381.45</v>
      </c>
      <c r="X1983" s="271"/>
      <c r="Y1983" s="271"/>
      <c r="Z1983" s="271"/>
      <c r="AA1983" s="271"/>
      <c r="AC1983" s="269"/>
      <c r="AE1983" s="269">
        <v>196969.49</v>
      </c>
      <c r="AF1983" s="7"/>
      <c r="AG1983" s="13">
        <v>527411.96</v>
      </c>
      <c r="AH1983" s="13"/>
      <c r="AI1983" s="13"/>
      <c r="AJ1983" s="13"/>
      <c r="AK1983" s="13"/>
      <c r="AL1983" s="13"/>
      <c r="AM1983" s="13"/>
    </row>
    <row r="1984" spans="1:39" x14ac:dyDescent="0.3">
      <c r="A1984" s="10">
        <f t="shared" si="440"/>
        <v>1743</v>
      </c>
      <c r="B1984" s="124" t="s">
        <v>2417</v>
      </c>
      <c r="C1984" s="273">
        <f t="shared" si="438"/>
        <v>751689.49</v>
      </c>
      <c r="D1984" s="273">
        <f t="shared" si="439"/>
        <v>0</v>
      </c>
      <c r="E1984" s="273"/>
      <c r="F1984" s="273"/>
      <c r="G1984" s="273"/>
      <c r="H1984" s="273"/>
      <c r="I1984" s="273"/>
      <c r="J1984" s="273"/>
      <c r="K1984" s="273"/>
      <c r="L1984" s="273"/>
      <c r="M1984" s="273"/>
      <c r="N1984" s="273"/>
      <c r="O1984" s="273"/>
      <c r="P1984" s="273"/>
      <c r="Q1984" s="273"/>
      <c r="R1984" s="273"/>
      <c r="S1984" s="273"/>
      <c r="T1984" s="273"/>
      <c r="U1984" s="273"/>
      <c r="V1984" s="273"/>
      <c r="W1984" s="273">
        <f t="shared" si="441"/>
        <v>751689.49</v>
      </c>
      <c r="X1984" s="271"/>
      <c r="Y1984" s="271"/>
      <c r="Z1984" s="271"/>
      <c r="AA1984" s="271"/>
      <c r="AC1984" s="269"/>
      <c r="AE1984" s="269">
        <v>204585.61</v>
      </c>
      <c r="AF1984" s="7"/>
      <c r="AG1984" s="13">
        <v>547103.88</v>
      </c>
      <c r="AH1984" s="13"/>
      <c r="AI1984" s="13"/>
      <c r="AJ1984" s="13"/>
      <c r="AK1984" s="13"/>
      <c r="AL1984" s="13"/>
      <c r="AM1984" s="13"/>
    </row>
    <row r="1985" spans="1:39" x14ac:dyDescent="0.3">
      <c r="A1985" s="10">
        <f t="shared" si="440"/>
        <v>1744</v>
      </c>
      <c r="B1985" s="124" t="s">
        <v>2418</v>
      </c>
      <c r="C1985" s="273">
        <f t="shared" si="438"/>
        <v>709962.84</v>
      </c>
      <c r="D1985" s="273">
        <f t="shared" si="439"/>
        <v>0</v>
      </c>
      <c r="E1985" s="273"/>
      <c r="F1985" s="273"/>
      <c r="G1985" s="273"/>
      <c r="H1985" s="273"/>
      <c r="I1985" s="273"/>
      <c r="J1985" s="273"/>
      <c r="K1985" s="273"/>
      <c r="L1985" s="273"/>
      <c r="M1985" s="273"/>
      <c r="N1985" s="273"/>
      <c r="O1985" s="273"/>
      <c r="P1985" s="273"/>
      <c r="Q1985" s="273"/>
      <c r="R1985" s="273"/>
      <c r="S1985" s="273"/>
      <c r="T1985" s="273"/>
      <c r="U1985" s="273"/>
      <c r="V1985" s="273"/>
      <c r="W1985" s="273">
        <f t="shared" si="441"/>
        <v>709962.84</v>
      </c>
      <c r="X1985" s="271"/>
      <c r="Y1985" s="271"/>
      <c r="Z1985" s="271"/>
      <c r="AA1985" s="271"/>
      <c r="AC1985" s="269">
        <v>88222.34</v>
      </c>
      <c r="AE1985" s="269">
        <v>169057.18</v>
      </c>
      <c r="AF1985" s="7"/>
      <c r="AG1985" s="13">
        <v>452683.32</v>
      </c>
      <c r="AH1985" s="13"/>
      <c r="AI1985" s="13"/>
      <c r="AJ1985" s="13"/>
      <c r="AK1985" s="13"/>
      <c r="AL1985" s="13"/>
      <c r="AM1985" s="13"/>
    </row>
    <row r="1986" spans="1:39" x14ac:dyDescent="0.3">
      <c r="A1986" s="10">
        <f t="shared" si="440"/>
        <v>1745</v>
      </c>
      <c r="B1986" s="124" t="s">
        <v>2419</v>
      </c>
      <c r="C1986" s="273">
        <f t="shared" si="438"/>
        <v>631095.40999999992</v>
      </c>
      <c r="D1986" s="273">
        <f t="shared" si="439"/>
        <v>0</v>
      </c>
      <c r="E1986" s="273"/>
      <c r="F1986" s="273"/>
      <c r="G1986" s="273"/>
      <c r="H1986" s="273"/>
      <c r="I1986" s="273"/>
      <c r="J1986" s="273"/>
      <c r="K1986" s="273"/>
      <c r="L1986" s="273"/>
      <c r="M1986" s="273"/>
      <c r="N1986" s="273"/>
      <c r="O1986" s="273"/>
      <c r="P1986" s="273"/>
      <c r="Q1986" s="273"/>
      <c r="R1986" s="273"/>
      <c r="S1986" s="273"/>
      <c r="T1986" s="273"/>
      <c r="U1986" s="273"/>
      <c r="V1986" s="273"/>
      <c r="W1986" s="273">
        <f t="shared" si="441"/>
        <v>631095.40999999992</v>
      </c>
      <c r="X1986" s="271"/>
      <c r="Y1986" s="271"/>
      <c r="Z1986" s="271"/>
      <c r="AA1986" s="271"/>
      <c r="AC1986" s="269"/>
      <c r="AE1986" s="269">
        <v>171683.75</v>
      </c>
      <c r="AF1986" s="7"/>
      <c r="AG1986" s="13">
        <v>459411.66</v>
      </c>
      <c r="AH1986" s="13"/>
      <c r="AI1986" s="13"/>
      <c r="AJ1986" s="13"/>
      <c r="AK1986" s="13"/>
      <c r="AL1986" s="13"/>
      <c r="AM1986" s="13"/>
    </row>
    <row r="1987" spans="1:39" x14ac:dyDescent="0.3">
      <c r="A1987" s="10">
        <f t="shared" si="440"/>
        <v>1746</v>
      </c>
      <c r="B1987" s="124" t="s">
        <v>2420</v>
      </c>
      <c r="C1987" s="273">
        <f t="shared" si="438"/>
        <v>751636.16999999993</v>
      </c>
      <c r="D1987" s="273">
        <f t="shared" si="439"/>
        <v>0</v>
      </c>
      <c r="E1987" s="273"/>
      <c r="F1987" s="273"/>
      <c r="G1987" s="273"/>
      <c r="H1987" s="273"/>
      <c r="I1987" s="273"/>
      <c r="J1987" s="273"/>
      <c r="K1987" s="273"/>
      <c r="L1987" s="273"/>
      <c r="M1987" s="273"/>
      <c r="N1987" s="273"/>
      <c r="O1987" s="273"/>
      <c r="P1987" s="273"/>
      <c r="Q1987" s="273"/>
      <c r="R1987" s="273"/>
      <c r="S1987" s="273"/>
      <c r="T1987" s="273"/>
      <c r="U1987" s="273"/>
      <c r="V1987" s="273"/>
      <c r="W1987" s="273">
        <f t="shared" si="441"/>
        <v>751636.16999999993</v>
      </c>
      <c r="X1987" s="271"/>
      <c r="Y1987" s="271"/>
      <c r="Z1987" s="271"/>
      <c r="AA1987" s="271"/>
      <c r="AC1987" s="269"/>
      <c r="AE1987" s="269">
        <v>203917.1</v>
      </c>
      <c r="AF1987" s="7"/>
      <c r="AG1987" s="13">
        <v>547719.06999999995</v>
      </c>
      <c r="AH1987" s="13"/>
      <c r="AI1987" s="13"/>
      <c r="AJ1987" s="13"/>
      <c r="AK1987" s="13"/>
      <c r="AL1987" s="13"/>
      <c r="AM1987" s="13"/>
    </row>
    <row r="1988" spans="1:39" x14ac:dyDescent="0.3">
      <c r="A1988" s="10">
        <f t="shared" si="440"/>
        <v>1747</v>
      </c>
      <c r="B1988" s="124" t="s">
        <v>2421</v>
      </c>
      <c r="C1988" s="273">
        <f t="shared" ref="C1988:C2018" si="442">D1988+K1988+L1988+N1988+P1988+R1988+S1988+U1988+V1988+W1988</f>
        <v>175822.57</v>
      </c>
      <c r="D1988" s="273">
        <f t="shared" ref="D1988:D2018" si="443">E1988+F1988+G1988+H1988+I1988</f>
        <v>0</v>
      </c>
      <c r="E1988" s="273"/>
      <c r="F1988" s="273"/>
      <c r="G1988" s="273"/>
      <c r="H1988" s="273"/>
      <c r="I1988" s="273"/>
      <c r="J1988" s="273"/>
      <c r="K1988" s="273"/>
      <c r="L1988" s="273"/>
      <c r="M1988" s="273"/>
      <c r="N1988" s="273"/>
      <c r="O1988" s="273"/>
      <c r="P1988" s="273"/>
      <c r="Q1988" s="273"/>
      <c r="R1988" s="273"/>
      <c r="S1988" s="273"/>
      <c r="T1988" s="273"/>
      <c r="U1988" s="273"/>
      <c r="V1988" s="273"/>
      <c r="W1988" s="273">
        <f t="shared" si="441"/>
        <v>175822.57</v>
      </c>
      <c r="X1988" s="271"/>
      <c r="Y1988" s="271"/>
      <c r="Z1988" s="271"/>
      <c r="AA1988" s="271"/>
      <c r="AC1988" s="269"/>
      <c r="AE1988" s="269">
        <v>175822.57</v>
      </c>
      <c r="AF1988" s="7"/>
      <c r="AG1988" s="13"/>
      <c r="AH1988" s="13"/>
      <c r="AI1988" s="13"/>
      <c r="AJ1988" s="13"/>
      <c r="AK1988" s="13"/>
      <c r="AL1988" s="13"/>
      <c r="AM1988" s="13"/>
    </row>
    <row r="1989" spans="1:39" x14ac:dyDescent="0.3">
      <c r="A1989" s="10">
        <f t="shared" ref="A1989:A2019" si="444">A1988+1</f>
        <v>1748</v>
      </c>
      <c r="B1989" s="124" t="s">
        <v>2422</v>
      </c>
      <c r="C1989" s="273">
        <f t="shared" si="442"/>
        <v>648104.31000000006</v>
      </c>
      <c r="D1989" s="273">
        <f t="shared" si="443"/>
        <v>0</v>
      </c>
      <c r="E1989" s="273"/>
      <c r="F1989" s="273"/>
      <c r="G1989" s="273"/>
      <c r="H1989" s="273"/>
      <c r="I1989" s="273"/>
      <c r="J1989" s="273"/>
      <c r="K1989" s="273"/>
      <c r="L1989" s="273"/>
      <c r="M1989" s="273"/>
      <c r="N1989" s="273"/>
      <c r="O1989" s="273"/>
      <c r="P1989" s="273"/>
      <c r="Q1989" s="273"/>
      <c r="R1989" s="273"/>
      <c r="S1989" s="273"/>
      <c r="T1989" s="273"/>
      <c r="U1989" s="273"/>
      <c r="V1989" s="273"/>
      <c r="W1989" s="273">
        <f t="shared" si="441"/>
        <v>648104.31000000006</v>
      </c>
      <c r="X1989" s="271"/>
      <c r="Y1989" s="271"/>
      <c r="Z1989" s="271"/>
      <c r="AA1989" s="271"/>
      <c r="AC1989" s="269"/>
      <c r="AE1989" s="269">
        <v>176459.32</v>
      </c>
      <c r="AF1989" s="7"/>
      <c r="AG1989" s="13">
        <v>471644.99</v>
      </c>
      <c r="AH1989" s="13"/>
      <c r="AI1989" s="13"/>
      <c r="AJ1989" s="13"/>
      <c r="AK1989" s="13"/>
      <c r="AL1989" s="13"/>
      <c r="AM1989" s="13"/>
    </row>
    <row r="1990" spans="1:39" x14ac:dyDescent="0.3">
      <c r="A1990" s="10">
        <f t="shared" si="444"/>
        <v>1749</v>
      </c>
      <c r="B1990" s="124" t="s">
        <v>2423</v>
      </c>
      <c r="C1990" s="273">
        <f t="shared" si="442"/>
        <v>780267.66999999993</v>
      </c>
      <c r="D1990" s="273">
        <f t="shared" si="443"/>
        <v>0</v>
      </c>
      <c r="E1990" s="273"/>
      <c r="F1990" s="273"/>
      <c r="G1990" s="273"/>
      <c r="H1990" s="273"/>
      <c r="I1990" s="273"/>
      <c r="J1990" s="273"/>
      <c r="K1990" s="273"/>
      <c r="L1990" s="273"/>
      <c r="M1990" s="273"/>
      <c r="N1990" s="273"/>
      <c r="O1990" s="273"/>
      <c r="P1990" s="273"/>
      <c r="Q1990" s="273"/>
      <c r="R1990" s="273"/>
      <c r="S1990" s="273"/>
      <c r="T1990" s="273"/>
      <c r="U1990" s="273"/>
      <c r="V1990" s="273"/>
      <c r="W1990" s="273">
        <f t="shared" si="441"/>
        <v>780267.66999999993</v>
      </c>
      <c r="X1990" s="271"/>
      <c r="Y1990" s="271"/>
      <c r="Z1990" s="271"/>
      <c r="AA1990" s="271"/>
      <c r="AC1990" s="269"/>
      <c r="AE1990" s="269">
        <v>212555.96</v>
      </c>
      <c r="AF1990" s="7"/>
      <c r="AG1990" s="13">
        <v>567711.71</v>
      </c>
      <c r="AH1990" s="13"/>
      <c r="AI1990" s="13"/>
      <c r="AJ1990" s="13"/>
      <c r="AK1990" s="13"/>
      <c r="AL1990" s="13"/>
      <c r="AM1990" s="13"/>
    </row>
    <row r="1991" spans="1:39" x14ac:dyDescent="0.3">
      <c r="A1991" s="10">
        <f t="shared" si="444"/>
        <v>1750</v>
      </c>
      <c r="B1991" s="124" t="s">
        <v>2424</v>
      </c>
      <c r="C1991" s="273">
        <f t="shared" si="442"/>
        <v>812021.20000000007</v>
      </c>
      <c r="D1991" s="273">
        <f t="shared" si="443"/>
        <v>0</v>
      </c>
      <c r="E1991" s="273"/>
      <c r="F1991" s="273"/>
      <c r="G1991" s="273"/>
      <c r="H1991" s="273"/>
      <c r="I1991" s="273"/>
      <c r="J1991" s="273"/>
      <c r="K1991" s="273"/>
      <c r="L1991" s="273"/>
      <c r="M1991" s="273"/>
      <c r="N1991" s="273"/>
      <c r="O1991" s="273"/>
      <c r="P1991" s="273"/>
      <c r="Q1991" s="273"/>
      <c r="R1991" s="273"/>
      <c r="S1991" s="273"/>
      <c r="T1991" s="273"/>
      <c r="U1991" s="273"/>
      <c r="V1991" s="273"/>
      <c r="W1991" s="273">
        <f t="shared" si="441"/>
        <v>812021.20000000007</v>
      </c>
      <c r="X1991" s="271"/>
      <c r="Y1991" s="271"/>
      <c r="Z1991" s="271"/>
      <c r="AA1991" s="271"/>
      <c r="AC1991" s="269"/>
      <c r="AE1991" s="269">
        <v>221411.92</v>
      </c>
      <c r="AF1991" s="7"/>
      <c r="AG1991" s="13">
        <v>590609.28</v>
      </c>
      <c r="AH1991" s="13"/>
      <c r="AI1991" s="13"/>
      <c r="AJ1991" s="13"/>
      <c r="AK1991" s="13"/>
      <c r="AL1991" s="13"/>
      <c r="AM1991" s="13"/>
    </row>
    <row r="1992" spans="1:39" x14ac:dyDescent="0.3">
      <c r="A1992" s="10">
        <f t="shared" si="444"/>
        <v>1751</v>
      </c>
      <c r="B1992" s="124" t="s">
        <v>2425</v>
      </c>
      <c r="C1992" s="273">
        <f t="shared" si="442"/>
        <v>854175.57</v>
      </c>
      <c r="D1992" s="273">
        <f t="shared" si="443"/>
        <v>0</v>
      </c>
      <c r="E1992" s="273"/>
      <c r="F1992" s="273"/>
      <c r="G1992" s="273"/>
      <c r="H1992" s="273"/>
      <c r="I1992" s="273"/>
      <c r="J1992" s="273"/>
      <c r="K1992" s="273"/>
      <c r="L1992" s="273"/>
      <c r="M1992" s="273"/>
      <c r="N1992" s="273"/>
      <c r="O1992" s="273"/>
      <c r="P1992" s="273"/>
      <c r="Q1992" s="273"/>
      <c r="R1992" s="273"/>
      <c r="S1992" s="273"/>
      <c r="T1992" s="273"/>
      <c r="U1992" s="273"/>
      <c r="V1992" s="273"/>
      <c r="W1992" s="273">
        <f t="shared" si="441"/>
        <v>854175.57</v>
      </c>
      <c r="X1992" s="271"/>
      <c r="Y1992" s="271"/>
      <c r="Z1992" s="271"/>
      <c r="AA1992" s="271"/>
      <c r="AC1992" s="269">
        <v>106324.08</v>
      </c>
      <c r="AE1992" s="269">
        <v>202866.41</v>
      </c>
      <c r="AF1992" s="7"/>
      <c r="AG1992" s="13">
        <v>544985.07999999996</v>
      </c>
      <c r="AH1992" s="13"/>
      <c r="AI1992" s="13"/>
      <c r="AJ1992" s="13"/>
      <c r="AK1992" s="13"/>
      <c r="AL1992" s="13"/>
      <c r="AM1992" s="13"/>
    </row>
    <row r="1993" spans="1:39" x14ac:dyDescent="0.3">
      <c r="A1993" s="10">
        <f t="shared" si="444"/>
        <v>1752</v>
      </c>
      <c r="B1993" s="124" t="s">
        <v>2426</v>
      </c>
      <c r="C1993" s="273">
        <f t="shared" si="442"/>
        <v>160500.28</v>
      </c>
      <c r="D1993" s="273">
        <f t="shared" si="443"/>
        <v>0</v>
      </c>
      <c r="E1993" s="273"/>
      <c r="F1993" s="273"/>
      <c r="G1993" s="273"/>
      <c r="H1993" s="273"/>
      <c r="I1993" s="273"/>
      <c r="J1993" s="273"/>
      <c r="K1993" s="273"/>
      <c r="L1993" s="273"/>
      <c r="M1993" s="273"/>
      <c r="N1993" s="273"/>
      <c r="O1993" s="273"/>
      <c r="P1993" s="273"/>
      <c r="Q1993" s="273"/>
      <c r="R1993" s="273"/>
      <c r="S1993" s="273"/>
      <c r="T1993" s="273"/>
      <c r="U1993" s="273"/>
      <c r="V1993" s="273"/>
      <c r="W1993" s="273">
        <f t="shared" si="441"/>
        <v>160500.28</v>
      </c>
      <c r="X1993" s="271"/>
      <c r="Y1993" s="271"/>
      <c r="Z1993" s="271"/>
      <c r="AA1993" s="271"/>
      <c r="AC1993" s="269">
        <v>160500.28</v>
      </c>
      <c r="AE1993" s="269"/>
      <c r="AF1993" s="7"/>
      <c r="AG1993" s="13"/>
      <c r="AH1993" s="13"/>
      <c r="AI1993" s="13"/>
      <c r="AJ1993" s="13"/>
      <c r="AK1993" s="13"/>
      <c r="AL1993" s="13"/>
      <c r="AM1993" s="13"/>
    </row>
    <row r="1994" spans="1:39" x14ac:dyDescent="0.3">
      <c r="A1994" s="10">
        <f t="shared" si="444"/>
        <v>1753</v>
      </c>
      <c r="B1994" s="124" t="s">
        <v>2427</v>
      </c>
      <c r="C1994" s="273">
        <f t="shared" si="442"/>
        <v>105625.08</v>
      </c>
      <c r="D1994" s="273">
        <f t="shared" si="443"/>
        <v>0</v>
      </c>
      <c r="E1994" s="273"/>
      <c r="F1994" s="273"/>
      <c r="G1994" s="273"/>
      <c r="H1994" s="273"/>
      <c r="I1994" s="273"/>
      <c r="J1994" s="273"/>
      <c r="K1994" s="273"/>
      <c r="L1994" s="273"/>
      <c r="M1994" s="273"/>
      <c r="N1994" s="273"/>
      <c r="O1994" s="273"/>
      <c r="P1994" s="273"/>
      <c r="Q1994" s="273"/>
      <c r="R1994" s="273"/>
      <c r="S1994" s="273"/>
      <c r="T1994" s="273"/>
      <c r="U1994" s="273"/>
      <c r="V1994" s="273"/>
      <c r="W1994" s="273">
        <f t="shared" si="441"/>
        <v>105625.08</v>
      </c>
      <c r="X1994" s="271"/>
      <c r="Y1994" s="271"/>
      <c r="Z1994" s="271"/>
      <c r="AA1994" s="271"/>
      <c r="AC1994" s="269">
        <v>105625.08</v>
      </c>
      <c r="AE1994" s="269"/>
      <c r="AF1994" s="7"/>
      <c r="AG1994" s="13"/>
      <c r="AH1994" s="13"/>
      <c r="AI1994" s="13"/>
      <c r="AJ1994" s="13"/>
      <c r="AK1994" s="13"/>
      <c r="AL1994" s="13"/>
      <c r="AM1994" s="13"/>
    </row>
    <row r="1995" spans="1:39" x14ac:dyDescent="0.3">
      <c r="A1995" s="10">
        <f t="shared" si="444"/>
        <v>1754</v>
      </c>
      <c r="B1995" s="124" t="s">
        <v>2428</v>
      </c>
      <c r="C1995" s="273">
        <f t="shared" si="442"/>
        <v>130000</v>
      </c>
      <c r="D1995" s="273">
        <f t="shared" si="443"/>
        <v>0</v>
      </c>
      <c r="E1995" s="273"/>
      <c r="F1995" s="273"/>
      <c r="G1995" s="273"/>
      <c r="H1995" s="273"/>
      <c r="I1995" s="273"/>
      <c r="J1995" s="273"/>
      <c r="K1995" s="273"/>
      <c r="L1995" s="273"/>
      <c r="M1995" s="273"/>
      <c r="N1995" s="273"/>
      <c r="O1995" s="273"/>
      <c r="P1995" s="273"/>
      <c r="Q1995" s="273"/>
      <c r="R1995" s="273"/>
      <c r="S1995" s="273"/>
      <c r="T1995" s="273"/>
      <c r="U1995" s="273"/>
      <c r="V1995" s="273"/>
      <c r="W1995" s="273">
        <v>130000</v>
      </c>
      <c r="X1995" s="271"/>
      <c r="Y1995" s="271"/>
      <c r="Z1995" s="271"/>
      <c r="AA1995" s="271"/>
      <c r="AC1995" s="269"/>
      <c r="AE1995" s="269"/>
      <c r="AF1995" s="7"/>
      <c r="AG1995" s="13"/>
      <c r="AH1995" s="13"/>
      <c r="AI1995" s="13"/>
      <c r="AJ1995" s="13"/>
      <c r="AK1995" s="13"/>
      <c r="AL1995" s="13"/>
      <c r="AM1995" s="13"/>
    </row>
    <row r="1996" spans="1:39" x14ac:dyDescent="0.3">
      <c r="A1996" s="10">
        <f t="shared" si="444"/>
        <v>1755</v>
      </c>
      <c r="B1996" s="124" t="s">
        <v>2429</v>
      </c>
      <c r="C1996" s="273">
        <f t="shared" si="442"/>
        <v>216878.59</v>
      </c>
      <c r="D1996" s="273">
        <f t="shared" si="443"/>
        <v>0</v>
      </c>
      <c r="E1996" s="273"/>
      <c r="F1996" s="273"/>
      <c r="G1996" s="273"/>
      <c r="H1996" s="273"/>
      <c r="I1996" s="273"/>
      <c r="J1996" s="273"/>
      <c r="K1996" s="273"/>
      <c r="L1996" s="273"/>
      <c r="M1996" s="273"/>
      <c r="N1996" s="273"/>
      <c r="O1996" s="273"/>
      <c r="P1996" s="273"/>
      <c r="Q1996" s="273"/>
      <c r="R1996" s="273"/>
      <c r="S1996" s="273"/>
      <c r="T1996" s="273"/>
      <c r="U1996" s="273"/>
      <c r="V1996" s="273"/>
      <c r="W1996" s="273">
        <f t="shared" ref="W1996:W2026" si="445">SUM(X1996:AH1996)</f>
        <v>216878.59</v>
      </c>
      <c r="X1996" s="271"/>
      <c r="Y1996" s="271"/>
      <c r="Z1996" s="271"/>
      <c r="AA1996" s="271"/>
      <c r="AC1996" s="269"/>
      <c r="AE1996" s="269">
        <v>216878.59</v>
      </c>
      <c r="AF1996" s="7"/>
      <c r="AG1996" s="13"/>
      <c r="AH1996" s="13"/>
      <c r="AI1996" s="13"/>
      <c r="AJ1996" s="13"/>
      <c r="AK1996" s="13"/>
      <c r="AL1996" s="13"/>
      <c r="AM1996" s="13"/>
    </row>
    <row r="1997" spans="1:39" x14ac:dyDescent="0.3">
      <c r="A1997" s="10">
        <f t="shared" si="444"/>
        <v>1756</v>
      </c>
      <c r="B1997" s="124" t="s">
        <v>2430</v>
      </c>
      <c r="C1997" s="273">
        <f t="shared" si="442"/>
        <v>323053.63</v>
      </c>
      <c r="D1997" s="273">
        <f t="shared" si="443"/>
        <v>0</v>
      </c>
      <c r="E1997" s="273"/>
      <c r="F1997" s="273"/>
      <c r="G1997" s="273"/>
      <c r="H1997" s="273"/>
      <c r="I1997" s="273"/>
      <c r="J1997" s="273"/>
      <c r="K1997" s="273"/>
      <c r="L1997" s="273"/>
      <c r="M1997" s="273"/>
      <c r="N1997" s="273"/>
      <c r="O1997" s="273"/>
      <c r="P1997" s="273"/>
      <c r="Q1997" s="273"/>
      <c r="R1997" s="273"/>
      <c r="S1997" s="273"/>
      <c r="T1997" s="273"/>
      <c r="U1997" s="273"/>
      <c r="V1997" s="273"/>
      <c r="W1997" s="273">
        <f t="shared" si="445"/>
        <v>323053.63</v>
      </c>
      <c r="X1997" s="271"/>
      <c r="Y1997" s="271"/>
      <c r="Z1997" s="271"/>
      <c r="AA1997" s="271"/>
      <c r="AC1997" s="269">
        <v>323053.63</v>
      </c>
      <c r="AE1997" s="269"/>
      <c r="AF1997" s="7"/>
      <c r="AG1997" s="13"/>
      <c r="AH1997" s="13"/>
      <c r="AI1997" s="13"/>
      <c r="AJ1997" s="13"/>
      <c r="AK1997" s="13"/>
      <c r="AL1997" s="13"/>
      <c r="AM1997" s="13"/>
    </row>
    <row r="1998" spans="1:39" x14ac:dyDescent="0.3">
      <c r="A1998" s="10">
        <f t="shared" si="444"/>
        <v>1757</v>
      </c>
      <c r="B1998" s="124" t="s">
        <v>2431</v>
      </c>
      <c r="C1998" s="273">
        <f t="shared" si="442"/>
        <v>183723.71</v>
      </c>
      <c r="D1998" s="273">
        <f t="shared" si="443"/>
        <v>0</v>
      </c>
      <c r="E1998" s="273"/>
      <c r="F1998" s="273"/>
      <c r="G1998" s="273"/>
      <c r="H1998" s="273"/>
      <c r="I1998" s="273"/>
      <c r="J1998" s="273"/>
      <c r="K1998" s="273"/>
      <c r="L1998" s="273"/>
      <c r="M1998" s="273"/>
      <c r="N1998" s="273"/>
      <c r="O1998" s="273"/>
      <c r="P1998" s="273"/>
      <c r="Q1998" s="273"/>
      <c r="R1998" s="273"/>
      <c r="S1998" s="273"/>
      <c r="T1998" s="273"/>
      <c r="U1998" s="273"/>
      <c r="V1998" s="273"/>
      <c r="W1998" s="273">
        <f t="shared" si="445"/>
        <v>183723.71</v>
      </c>
      <c r="X1998" s="271">
        <v>90949.01</v>
      </c>
      <c r="Y1998" s="271"/>
      <c r="Z1998" s="271"/>
      <c r="AA1998" s="271"/>
      <c r="AC1998" s="269">
        <v>92774.7</v>
      </c>
      <c r="AE1998" s="269"/>
      <c r="AF1998" s="7"/>
      <c r="AG1998" s="13"/>
      <c r="AH1998" s="13"/>
      <c r="AI1998" s="13"/>
      <c r="AJ1998" s="13"/>
      <c r="AK1998" s="13"/>
      <c r="AL1998" s="13"/>
      <c r="AM1998" s="13"/>
    </row>
    <row r="1999" spans="1:39" x14ac:dyDescent="0.3">
      <c r="A1999" s="10">
        <f t="shared" si="444"/>
        <v>1758</v>
      </c>
      <c r="B1999" s="124" t="s">
        <v>2432</v>
      </c>
      <c r="C1999" s="273">
        <f t="shared" si="442"/>
        <v>110048.5</v>
      </c>
      <c r="D1999" s="273">
        <f t="shared" si="443"/>
        <v>0</v>
      </c>
      <c r="E1999" s="273"/>
      <c r="F1999" s="273"/>
      <c r="G1999" s="273"/>
      <c r="H1999" s="273"/>
      <c r="I1999" s="273"/>
      <c r="J1999" s="273"/>
      <c r="K1999" s="273"/>
      <c r="L1999" s="273"/>
      <c r="M1999" s="273"/>
      <c r="N1999" s="273"/>
      <c r="O1999" s="273"/>
      <c r="P1999" s="273"/>
      <c r="Q1999" s="273"/>
      <c r="R1999" s="273"/>
      <c r="S1999" s="273"/>
      <c r="T1999" s="273"/>
      <c r="U1999" s="273"/>
      <c r="V1999" s="273"/>
      <c r="W1999" s="273">
        <f t="shared" si="445"/>
        <v>110048.5</v>
      </c>
      <c r="X1999" s="271">
        <v>110048.5</v>
      </c>
      <c r="Y1999" s="271"/>
      <c r="Z1999" s="271"/>
      <c r="AA1999" s="271"/>
      <c r="AC1999" s="269"/>
      <c r="AE1999" s="269"/>
      <c r="AF1999" s="7"/>
      <c r="AG1999" s="13"/>
      <c r="AH1999" s="13"/>
      <c r="AI1999" s="13"/>
      <c r="AJ1999" s="13"/>
      <c r="AK1999" s="13"/>
      <c r="AL1999" s="13"/>
      <c r="AM1999" s="13"/>
    </row>
    <row r="2000" spans="1:39" x14ac:dyDescent="0.3">
      <c r="A2000" s="10">
        <f t="shared" si="444"/>
        <v>1759</v>
      </c>
      <c r="B2000" s="124" t="s">
        <v>2433</v>
      </c>
      <c r="C2000" s="273">
        <f t="shared" si="442"/>
        <v>196261.02</v>
      </c>
      <c r="D2000" s="273">
        <f t="shared" si="443"/>
        <v>0</v>
      </c>
      <c r="E2000" s="273"/>
      <c r="F2000" s="273"/>
      <c r="G2000" s="273"/>
      <c r="H2000" s="273"/>
      <c r="I2000" s="273"/>
      <c r="J2000" s="273"/>
      <c r="K2000" s="273"/>
      <c r="L2000" s="273"/>
      <c r="M2000" s="273"/>
      <c r="N2000" s="273"/>
      <c r="O2000" s="273"/>
      <c r="P2000" s="273"/>
      <c r="Q2000" s="273"/>
      <c r="R2000" s="273"/>
      <c r="S2000" s="273"/>
      <c r="T2000" s="273"/>
      <c r="U2000" s="273"/>
      <c r="V2000" s="273"/>
      <c r="W2000" s="273">
        <f t="shared" si="445"/>
        <v>196261.02</v>
      </c>
      <c r="X2000" s="271"/>
      <c r="Y2000" s="271"/>
      <c r="Z2000" s="271"/>
      <c r="AA2000" s="271"/>
      <c r="AC2000" s="269"/>
      <c r="AE2000" s="269">
        <v>196261.02</v>
      </c>
      <c r="AF2000" s="7"/>
      <c r="AG2000" s="13"/>
      <c r="AH2000" s="13"/>
      <c r="AI2000" s="13"/>
      <c r="AJ2000" s="13"/>
      <c r="AK2000" s="13"/>
      <c r="AL2000" s="13"/>
      <c r="AM2000" s="13"/>
    </row>
    <row r="2001" spans="1:39" x14ac:dyDescent="0.3">
      <c r="A2001" s="10">
        <f t="shared" si="444"/>
        <v>1760</v>
      </c>
      <c r="B2001" s="124" t="s">
        <v>2434</v>
      </c>
      <c r="C2001" s="273">
        <f t="shared" si="442"/>
        <v>200520.74</v>
      </c>
      <c r="D2001" s="273">
        <f t="shared" si="443"/>
        <v>0</v>
      </c>
      <c r="E2001" s="273"/>
      <c r="F2001" s="273"/>
      <c r="G2001" s="273"/>
      <c r="H2001" s="273"/>
      <c r="I2001" s="273"/>
      <c r="J2001" s="273"/>
      <c r="K2001" s="273"/>
      <c r="L2001" s="273"/>
      <c r="M2001" s="273"/>
      <c r="N2001" s="273"/>
      <c r="O2001" s="273"/>
      <c r="P2001" s="273"/>
      <c r="Q2001" s="273"/>
      <c r="R2001" s="273"/>
      <c r="S2001" s="273"/>
      <c r="T2001" s="273"/>
      <c r="U2001" s="273"/>
      <c r="V2001" s="273"/>
      <c r="W2001" s="273">
        <f t="shared" si="445"/>
        <v>200520.74</v>
      </c>
      <c r="X2001" s="271"/>
      <c r="Y2001" s="271"/>
      <c r="Z2001" s="271"/>
      <c r="AA2001" s="271"/>
      <c r="AC2001" s="269"/>
      <c r="AE2001" s="269">
        <v>200520.74</v>
      </c>
      <c r="AF2001" s="7"/>
      <c r="AG2001" s="13"/>
      <c r="AH2001" s="13"/>
      <c r="AI2001" s="13"/>
      <c r="AJ2001" s="13"/>
      <c r="AK2001" s="13"/>
      <c r="AL2001" s="13"/>
      <c r="AM2001" s="13"/>
    </row>
    <row r="2002" spans="1:39" x14ac:dyDescent="0.3">
      <c r="A2002" s="10">
        <f t="shared" si="444"/>
        <v>1761</v>
      </c>
      <c r="B2002" s="124" t="s">
        <v>2435</v>
      </c>
      <c r="C2002" s="273">
        <f t="shared" si="442"/>
        <v>214743.47</v>
      </c>
      <c r="D2002" s="273">
        <f t="shared" si="443"/>
        <v>0</v>
      </c>
      <c r="E2002" s="273"/>
      <c r="F2002" s="273"/>
      <c r="G2002" s="273"/>
      <c r="H2002" s="273"/>
      <c r="I2002" s="273"/>
      <c r="J2002" s="273"/>
      <c r="K2002" s="273"/>
      <c r="L2002" s="273"/>
      <c r="M2002" s="273"/>
      <c r="N2002" s="273"/>
      <c r="O2002" s="273"/>
      <c r="P2002" s="273"/>
      <c r="Q2002" s="273"/>
      <c r="R2002" s="273"/>
      <c r="S2002" s="273"/>
      <c r="T2002" s="273"/>
      <c r="U2002" s="273"/>
      <c r="V2002" s="273"/>
      <c r="W2002" s="273">
        <f t="shared" si="445"/>
        <v>214743.47</v>
      </c>
      <c r="X2002" s="271"/>
      <c r="Y2002" s="271"/>
      <c r="Z2002" s="271"/>
      <c r="AA2002" s="271"/>
      <c r="AC2002" s="269"/>
      <c r="AE2002" s="269">
        <v>214743.47</v>
      </c>
      <c r="AF2002" s="7"/>
      <c r="AG2002" s="13"/>
      <c r="AH2002" s="13"/>
      <c r="AI2002" s="13"/>
      <c r="AJ2002" s="13"/>
      <c r="AK2002" s="13"/>
      <c r="AL2002" s="13"/>
      <c r="AM2002" s="13"/>
    </row>
    <row r="2003" spans="1:39" x14ac:dyDescent="0.3">
      <c r="A2003" s="10">
        <f t="shared" si="444"/>
        <v>1762</v>
      </c>
      <c r="B2003" s="124" t="s">
        <v>2436</v>
      </c>
      <c r="C2003" s="273">
        <f t="shared" si="442"/>
        <v>208535.23</v>
      </c>
      <c r="D2003" s="273">
        <f t="shared" si="443"/>
        <v>0</v>
      </c>
      <c r="E2003" s="273"/>
      <c r="F2003" s="273"/>
      <c r="G2003" s="273"/>
      <c r="H2003" s="273"/>
      <c r="I2003" s="273"/>
      <c r="J2003" s="273"/>
      <c r="K2003" s="273"/>
      <c r="L2003" s="273"/>
      <c r="M2003" s="273"/>
      <c r="N2003" s="273"/>
      <c r="O2003" s="273"/>
      <c r="P2003" s="273"/>
      <c r="Q2003" s="273"/>
      <c r="R2003" s="273"/>
      <c r="S2003" s="273"/>
      <c r="T2003" s="273"/>
      <c r="U2003" s="273"/>
      <c r="V2003" s="273"/>
      <c r="W2003" s="273">
        <f t="shared" si="445"/>
        <v>208535.23</v>
      </c>
      <c r="X2003" s="271"/>
      <c r="Y2003" s="271"/>
      <c r="Z2003" s="271"/>
      <c r="AA2003" s="271"/>
      <c r="AC2003" s="269"/>
      <c r="AE2003" s="269">
        <v>208535.23</v>
      </c>
      <c r="AF2003" s="7"/>
      <c r="AG2003" s="13"/>
      <c r="AH2003" s="13"/>
      <c r="AI2003" s="13"/>
      <c r="AJ2003" s="13"/>
      <c r="AK2003" s="13"/>
      <c r="AL2003" s="13"/>
      <c r="AM2003" s="13"/>
    </row>
    <row r="2004" spans="1:39" x14ac:dyDescent="0.3">
      <c r="A2004" s="10">
        <f t="shared" si="444"/>
        <v>1763</v>
      </c>
      <c r="B2004" s="124" t="s">
        <v>2437</v>
      </c>
      <c r="C2004" s="273">
        <f t="shared" si="442"/>
        <v>159975.29999999999</v>
      </c>
      <c r="D2004" s="273">
        <f t="shared" si="443"/>
        <v>0</v>
      </c>
      <c r="E2004" s="273"/>
      <c r="F2004" s="273"/>
      <c r="G2004" s="273"/>
      <c r="H2004" s="273"/>
      <c r="I2004" s="273"/>
      <c r="J2004" s="273"/>
      <c r="K2004" s="273"/>
      <c r="L2004" s="273"/>
      <c r="M2004" s="273"/>
      <c r="N2004" s="273"/>
      <c r="O2004" s="273"/>
      <c r="P2004" s="273"/>
      <c r="Q2004" s="273"/>
      <c r="R2004" s="273"/>
      <c r="S2004" s="273"/>
      <c r="T2004" s="273"/>
      <c r="U2004" s="273"/>
      <c r="V2004" s="273"/>
      <c r="W2004" s="273">
        <f t="shared" si="445"/>
        <v>159975.29999999999</v>
      </c>
      <c r="X2004" s="271"/>
      <c r="Y2004" s="271"/>
      <c r="Z2004" s="271"/>
      <c r="AA2004" s="271"/>
      <c r="AC2004" s="269"/>
      <c r="AE2004" s="269">
        <v>159975.29999999999</v>
      </c>
      <c r="AF2004" s="7"/>
      <c r="AG2004" s="13"/>
      <c r="AH2004" s="13"/>
      <c r="AI2004" s="13"/>
      <c r="AJ2004" s="13"/>
      <c r="AK2004" s="13"/>
      <c r="AL2004" s="13"/>
      <c r="AM2004" s="13"/>
    </row>
    <row r="2005" spans="1:39" x14ac:dyDescent="0.3">
      <c r="A2005" s="10">
        <f t="shared" si="444"/>
        <v>1764</v>
      </c>
      <c r="B2005" s="124" t="s">
        <v>2438</v>
      </c>
      <c r="C2005" s="273">
        <f t="shared" si="442"/>
        <v>214663.9</v>
      </c>
      <c r="D2005" s="273">
        <f t="shared" si="443"/>
        <v>0</v>
      </c>
      <c r="E2005" s="273"/>
      <c r="F2005" s="273"/>
      <c r="G2005" s="273"/>
      <c r="H2005" s="273"/>
      <c r="I2005" s="273"/>
      <c r="J2005" s="273"/>
      <c r="K2005" s="273"/>
      <c r="L2005" s="273"/>
      <c r="M2005" s="273"/>
      <c r="N2005" s="273"/>
      <c r="O2005" s="273"/>
      <c r="P2005" s="273"/>
      <c r="Q2005" s="273"/>
      <c r="R2005" s="273"/>
      <c r="S2005" s="273"/>
      <c r="T2005" s="273"/>
      <c r="U2005" s="273"/>
      <c r="V2005" s="273"/>
      <c r="W2005" s="273">
        <f t="shared" si="445"/>
        <v>214663.9</v>
      </c>
      <c r="X2005" s="271"/>
      <c r="Y2005" s="271"/>
      <c r="Z2005" s="271"/>
      <c r="AA2005" s="271"/>
      <c r="AC2005" s="269"/>
      <c r="AE2005" s="269">
        <v>214663.9</v>
      </c>
      <c r="AF2005" s="7"/>
      <c r="AG2005" s="13"/>
      <c r="AH2005" s="13"/>
      <c r="AI2005" s="13"/>
      <c r="AJ2005" s="13"/>
      <c r="AK2005" s="13"/>
      <c r="AL2005" s="13"/>
      <c r="AM2005" s="13"/>
    </row>
    <row r="2006" spans="1:39" x14ac:dyDescent="0.3">
      <c r="A2006" s="10">
        <f t="shared" si="444"/>
        <v>1765</v>
      </c>
      <c r="B2006" s="124" t="s">
        <v>2439</v>
      </c>
      <c r="C2006" s="273">
        <f t="shared" si="442"/>
        <v>218667.41</v>
      </c>
      <c r="D2006" s="273">
        <f t="shared" si="443"/>
        <v>0</v>
      </c>
      <c r="E2006" s="273"/>
      <c r="F2006" s="273"/>
      <c r="G2006" s="273"/>
      <c r="H2006" s="273"/>
      <c r="I2006" s="273"/>
      <c r="J2006" s="273"/>
      <c r="K2006" s="273"/>
      <c r="L2006" s="273"/>
      <c r="M2006" s="273"/>
      <c r="N2006" s="273"/>
      <c r="O2006" s="273"/>
      <c r="P2006" s="273"/>
      <c r="Q2006" s="273"/>
      <c r="R2006" s="273"/>
      <c r="S2006" s="273"/>
      <c r="T2006" s="273"/>
      <c r="U2006" s="273"/>
      <c r="V2006" s="273"/>
      <c r="W2006" s="273">
        <f t="shared" si="445"/>
        <v>218667.41</v>
      </c>
      <c r="X2006" s="271"/>
      <c r="Y2006" s="271"/>
      <c r="Z2006" s="271"/>
      <c r="AA2006" s="271"/>
      <c r="AC2006" s="269"/>
      <c r="AE2006" s="269">
        <v>218667.41</v>
      </c>
      <c r="AF2006" s="7"/>
      <c r="AG2006" s="13"/>
      <c r="AH2006" s="13"/>
      <c r="AI2006" s="13"/>
      <c r="AJ2006" s="13"/>
      <c r="AK2006" s="13"/>
      <c r="AL2006" s="13"/>
      <c r="AM2006" s="13"/>
    </row>
    <row r="2007" spans="1:39" x14ac:dyDescent="0.3">
      <c r="A2007" s="10">
        <f t="shared" si="444"/>
        <v>1766</v>
      </c>
      <c r="B2007" s="124" t="s">
        <v>2440</v>
      </c>
      <c r="C2007" s="273">
        <f t="shared" si="442"/>
        <v>214982.27</v>
      </c>
      <c r="D2007" s="273">
        <f t="shared" si="443"/>
        <v>0</v>
      </c>
      <c r="E2007" s="273"/>
      <c r="F2007" s="273"/>
      <c r="G2007" s="273"/>
      <c r="H2007" s="273"/>
      <c r="I2007" s="273"/>
      <c r="J2007" s="273"/>
      <c r="K2007" s="273"/>
      <c r="L2007" s="273"/>
      <c r="M2007" s="273"/>
      <c r="N2007" s="273"/>
      <c r="O2007" s="273"/>
      <c r="P2007" s="273"/>
      <c r="Q2007" s="273"/>
      <c r="R2007" s="273"/>
      <c r="S2007" s="273"/>
      <c r="T2007" s="273"/>
      <c r="U2007" s="273"/>
      <c r="V2007" s="273"/>
      <c r="W2007" s="273">
        <f t="shared" si="445"/>
        <v>214982.27</v>
      </c>
      <c r="X2007" s="271"/>
      <c r="Y2007" s="271"/>
      <c r="Z2007" s="271"/>
      <c r="AA2007" s="271"/>
      <c r="AC2007" s="269"/>
      <c r="AE2007" s="269">
        <v>214982.27</v>
      </c>
      <c r="AF2007" s="7"/>
      <c r="AG2007" s="13"/>
      <c r="AH2007" s="13"/>
      <c r="AI2007" s="13"/>
      <c r="AJ2007" s="13"/>
      <c r="AK2007" s="13"/>
      <c r="AL2007" s="13"/>
      <c r="AM2007" s="13"/>
    </row>
    <row r="2008" spans="1:39" x14ac:dyDescent="0.3">
      <c r="A2008" s="10">
        <f t="shared" si="444"/>
        <v>1767</v>
      </c>
      <c r="B2008" s="124" t="s">
        <v>2441</v>
      </c>
      <c r="C2008" s="273">
        <f t="shared" si="442"/>
        <v>208446.82</v>
      </c>
      <c r="D2008" s="273">
        <f t="shared" si="443"/>
        <v>0</v>
      </c>
      <c r="E2008" s="273"/>
      <c r="F2008" s="273"/>
      <c r="G2008" s="273"/>
      <c r="H2008" s="273"/>
      <c r="I2008" s="273"/>
      <c r="J2008" s="273"/>
      <c r="K2008" s="273"/>
      <c r="L2008" s="273"/>
      <c r="M2008" s="273"/>
      <c r="N2008" s="273"/>
      <c r="O2008" s="273"/>
      <c r="P2008" s="273"/>
      <c r="Q2008" s="273"/>
      <c r="R2008" s="273"/>
      <c r="S2008" s="273"/>
      <c r="T2008" s="273"/>
      <c r="U2008" s="273"/>
      <c r="V2008" s="273"/>
      <c r="W2008" s="273">
        <f t="shared" si="445"/>
        <v>208446.82</v>
      </c>
      <c r="X2008" s="271"/>
      <c r="Y2008" s="271"/>
      <c r="Z2008" s="271"/>
      <c r="AA2008" s="271"/>
      <c r="AC2008" s="269"/>
      <c r="AE2008" s="269">
        <v>208446.82</v>
      </c>
      <c r="AF2008" s="7"/>
      <c r="AG2008" s="13"/>
      <c r="AH2008" s="13"/>
      <c r="AI2008" s="13"/>
      <c r="AJ2008" s="13"/>
      <c r="AK2008" s="13"/>
      <c r="AL2008" s="13"/>
      <c r="AM2008" s="13"/>
    </row>
    <row r="2009" spans="1:39" x14ac:dyDescent="0.3">
      <c r="A2009" s="10">
        <f t="shared" si="444"/>
        <v>1768</v>
      </c>
      <c r="B2009" s="124" t="s">
        <v>2442</v>
      </c>
      <c r="C2009" s="273">
        <f t="shared" si="442"/>
        <v>216160.24</v>
      </c>
      <c r="D2009" s="273">
        <f t="shared" si="443"/>
        <v>0</v>
      </c>
      <c r="E2009" s="273"/>
      <c r="F2009" s="273"/>
      <c r="G2009" s="273"/>
      <c r="H2009" s="273"/>
      <c r="I2009" s="273"/>
      <c r="J2009" s="273"/>
      <c r="K2009" s="273"/>
      <c r="L2009" s="273"/>
      <c r="M2009" s="273"/>
      <c r="N2009" s="273"/>
      <c r="O2009" s="273"/>
      <c r="P2009" s="273"/>
      <c r="Q2009" s="273"/>
      <c r="R2009" s="273"/>
      <c r="S2009" s="273"/>
      <c r="T2009" s="273"/>
      <c r="U2009" s="273"/>
      <c r="V2009" s="273"/>
      <c r="W2009" s="273">
        <f t="shared" si="445"/>
        <v>216160.24</v>
      </c>
      <c r="X2009" s="271"/>
      <c r="Y2009" s="271"/>
      <c r="Z2009" s="271"/>
      <c r="AA2009" s="271"/>
      <c r="AC2009" s="269"/>
      <c r="AE2009" s="269">
        <v>216160.24</v>
      </c>
      <c r="AF2009" s="7"/>
      <c r="AG2009" s="13"/>
      <c r="AH2009" s="13"/>
      <c r="AI2009" s="13"/>
      <c r="AJ2009" s="13"/>
      <c r="AK2009" s="13"/>
      <c r="AL2009" s="13"/>
      <c r="AM2009" s="13"/>
    </row>
    <row r="2010" spans="1:39" x14ac:dyDescent="0.3">
      <c r="A2010" s="10">
        <f t="shared" si="444"/>
        <v>1769</v>
      </c>
      <c r="B2010" s="124" t="s">
        <v>2443</v>
      </c>
      <c r="C2010" s="273">
        <f t="shared" si="442"/>
        <v>196216.74</v>
      </c>
      <c r="D2010" s="273">
        <f t="shared" si="443"/>
        <v>0</v>
      </c>
      <c r="E2010" s="273"/>
      <c r="F2010" s="273"/>
      <c r="G2010" s="273"/>
      <c r="H2010" s="273"/>
      <c r="I2010" s="273"/>
      <c r="J2010" s="273"/>
      <c r="K2010" s="273"/>
      <c r="L2010" s="273"/>
      <c r="M2010" s="273"/>
      <c r="N2010" s="273"/>
      <c r="O2010" s="273"/>
      <c r="P2010" s="273"/>
      <c r="Q2010" s="273"/>
      <c r="R2010" s="273"/>
      <c r="S2010" s="273"/>
      <c r="T2010" s="273"/>
      <c r="U2010" s="273"/>
      <c r="V2010" s="273"/>
      <c r="W2010" s="273">
        <f t="shared" si="445"/>
        <v>196216.74</v>
      </c>
      <c r="X2010" s="271"/>
      <c r="Y2010" s="271"/>
      <c r="Z2010" s="271"/>
      <c r="AA2010" s="271"/>
      <c r="AC2010" s="269"/>
      <c r="AE2010" s="269">
        <v>196216.74</v>
      </c>
      <c r="AF2010" s="7"/>
      <c r="AG2010" s="13"/>
      <c r="AH2010" s="13"/>
      <c r="AI2010" s="13"/>
      <c r="AJ2010" s="13"/>
      <c r="AK2010" s="13"/>
      <c r="AL2010" s="13"/>
      <c r="AM2010" s="13"/>
    </row>
    <row r="2011" spans="1:39" x14ac:dyDescent="0.3">
      <c r="A2011" s="10">
        <f t="shared" si="444"/>
        <v>1770</v>
      </c>
      <c r="B2011" s="124" t="s">
        <v>2444</v>
      </c>
      <c r="C2011" s="273">
        <f t="shared" si="442"/>
        <v>575359.43999999994</v>
      </c>
      <c r="D2011" s="273">
        <f t="shared" si="443"/>
        <v>0</v>
      </c>
      <c r="E2011" s="273"/>
      <c r="F2011" s="273"/>
      <c r="G2011" s="273"/>
      <c r="H2011" s="273"/>
      <c r="I2011" s="273"/>
      <c r="J2011" s="273"/>
      <c r="K2011" s="273"/>
      <c r="L2011" s="273"/>
      <c r="M2011" s="273"/>
      <c r="N2011" s="273"/>
      <c r="O2011" s="273"/>
      <c r="P2011" s="273"/>
      <c r="Q2011" s="273"/>
      <c r="R2011" s="273"/>
      <c r="S2011" s="273"/>
      <c r="T2011" s="273"/>
      <c r="U2011" s="273"/>
      <c r="V2011" s="273"/>
      <c r="W2011" s="273">
        <f t="shared" si="445"/>
        <v>575359.43999999994</v>
      </c>
      <c r="X2011" s="271"/>
      <c r="Y2011" s="271"/>
      <c r="Z2011" s="271"/>
      <c r="AA2011" s="271"/>
      <c r="AC2011" s="269"/>
      <c r="AE2011" s="269">
        <v>216895.38</v>
      </c>
      <c r="AF2011" s="7"/>
      <c r="AG2011" s="13">
        <v>358464.06</v>
      </c>
      <c r="AH2011" s="13"/>
      <c r="AI2011" s="13"/>
      <c r="AJ2011" s="13"/>
      <c r="AK2011" s="13"/>
      <c r="AL2011" s="13"/>
      <c r="AM2011" s="13">
        <v>482.4</v>
      </c>
    </row>
    <row r="2012" spans="1:39" x14ac:dyDescent="0.3">
      <c r="A2012" s="10">
        <f t="shared" si="444"/>
        <v>1771</v>
      </c>
      <c r="B2012" s="124" t="s">
        <v>2445</v>
      </c>
      <c r="C2012" s="273">
        <f t="shared" si="442"/>
        <v>227566.81</v>
      </c>
      <c r="D2012" s="273">
        <f t="shared" si="443"/>
        <v>0</v>
      </c>
      <c r="E2012" s="273"/>
      <c r="F2012" s="273"/>
      <c r="G2012" s="273"/>
      <c r="H2012" s="273"/>
      <c r="I2012" s="273"/>
      <c r="J2012" s="273"/>
      <c r="K2012" s="273"/>
      <c r="L2012" s="273"/>
      <c r="M2012" s="273"/>
      <c r="N2012" s="273"/>
      <c r="O2012" s="273"/>
      <c r="P2012" s="273"/>
      <c r="Q2012" s="273"/>
      <c r="R2012" s="273"/>
      <c r="S2012" s="273"/>
      <c r="T2012" s="273"/>
      <c r="U2012" s="273"/>
      <c r="V2012" s="273"/>
      <c r="W2012" s="273">
        <f t="shared" si="445"/>
        <v>227566.81</v>
      </c>
      <c r="X2012" s="271"/>
      <c r="Y2012" s="271"/>
      <c r="Z2012" s="271"/>
      <c r="AA2012" s="271"/>
      <c r="AC2012" s="269"/>
      <c r="AE2012" s="269">
        <v>227566.81</v>
      </c>
      <c r="AF2012" s="7"/>
      <c r="AG2012" s="13"/>
      <c r="AH2012" s="13"/>
      <c r="AI2012" s="13"/>
      <c r="AJ2012" s="13"/>
      <c r="AK2012" s="13"/>
      <c r="AL2012" s="13"/>
      <c r="AM2012" s="13"/>
    </row>
    <row r="2013" spans="1:39" x14ac:dyDescent="0.3">
      <c r="A2013" s="10">
        <f t="shared" si="444"/>
        <v>1772</v>
      </c>
      <c r="B2013" s="124" t="s">
        <v>2446</v>
      </c>
      <c r="C2013" s="273">
        <f t="shared" si="442"/>
        <v>227201.26</v>
      </c>
      <c r="D2013" s="273">
        <f t="shared" si="443"/>
        <v>0</v>
      </c>
      <c r="E2013" s="273"/>
      <c r="F2013" s="273"/>
      <c r="G2013" s="273"/>
      <c r="H2013" s="273"/>
      <c r="I2013" s="273"/>
      <c r="J2013" s="273"/>
      <c r="K2013" s="273"/>
      <c r="L2013" s="273"/>
      <c r="M2013" s="273"/>
      <c r="N2013" s="273"/>
      <c r="O2013" s="273"/>
      <c r="P2013" s="273"/>
      <c r="Q2013" s="273"/>
      <c r="R2013" s="273"/>
      <c r="S2013" s="273"/>
      <c r="T2013" s="273"/>
      <c r="U2013" s="273"/>
      <c r="V2013" s="273"/>
      <c r="W2013" s="273">
        <f t="shared" si="445"/>
        <v>227201.26</v>
      </c>
      <c r="X2013" s="271"/>
      <c r="Y2013" s="271"/>
      <c r="Z2013" s="271"/>
      <c r="AA2013" s="271"/>
      <c r="AC2013" s="269"/>
      <c r="AE2013" s="269">
        <v>227201.26</v>
      </c>
      <c r="AF2013" s="7"/>
      <c r="AG2013" s="13"/>
      <c r="AH2013" s="13"/>
      <c r="AI2013" s="13"/>
      <c r="AJ2013" s="13"/>
      <c r="AK2013" s="13"/>
      <c r="AL2013" s="13"/>
      <c r="AM2013" s="13"/>
    </row>
    <row r="2014" spans="1:39" x14ac:dyDescent="0.3">
      <c r="A2014" s="10">
        <f t="shared" si="444"/>
        <v>1773</v>
      </c>
      <c r="B2014" s="124" t="s">
        <v>2447</v>
      </c>
      <c r="C2014" s="273">
        <f t="shared" si="442"/>
        <v>86977.93</v>
      </c>
      <c r="D2014" s="273">
        <f t="shared" si="443"/>
        <v>0</v>
      </c>
      <c r="E2014" s="273"/>
      <c r="F2014" s="273"/>
      <c r="G2014" s="273"/>
      <c r="H2014" s="273"/>
      <c r="I2014" s="273"/>
      <c r="J2014" s="273"/>
      <c r="K2014" s="273"/>
      <c r="L2014" s="273"/>
      <c r="M2014" s="273"/>
      <c r="N2014" s="273"/>
      <c r="O2014" s="273"/>
      <c r="P2014" s="273"/>
      <c r="Q2014" s="273"/>
      <c r="R2014" s="273"/>
      <c r="S2014" s="273"/>
      <c r="T2014" s="273"/>
      <c r="U2014" s="273"/>
      <c r="V2014" s="273"/>
      <c r="W2014" s="273">
        <f t="shared" si="445"/>
        <v>86977.93</v>
      </c>
      <c r="X2014" s="271">
        <v>86977.93</v>
      </c>
      <c r="Y2014" s="271"/>
      <c r="Z2014" s="271"/>
      <c r="AA2014" s="271"/>
      <c r="AC2014" s="269"/>
      <c r="AE2014" s="269"/>
      <c r="AF2014" s="7"/>
      <c r="AG2014" s="13"/>
      <c r="AH2014" s="13"/>
      <c r="AI2014" s="13"/>
      <c r="AJ2014" s="13"/>
      <c r="AK2014" s="13"/>
      <c r="AL2014" s="13"/>
      <c r="AM2014" s="13"/>
    </row>
    <row r="2015" spans="1:39" x14ac:dyDescent="0.3">
      <c r="A2015" s="10">
        <f t="shared" si="444"/>
        <v>1774</v>
      </c>
      <c r="B2015" s="124" t="s">
        <v>2448</v>
      </c>
      <c r="C2015" s="273">
        <f t="shared" si="442"/>
        <v>141800.18</v>
      </c>
      <c r="D2015" s="273">
        <f t="shared" si="443"/>
        <v>0</v>
      </c>
      <c r="E2015" s="273"/>
      <c r="F2015" s="273"/>
      <c r="G2015" s="273"/>
      <c r="H2015" s="273"/>
      <c r="I2015" s="273"/>
      <c r="J2015" s="273"/>
      <c r="K2015" s="273"/>
      <c r="L2015" s="273"/>
      <c r="M2015" s="273"/>
      <c r="N2015" s="273"/>
      <c r="O2015" s="273"/>
      <c r="P2015" s="273"/>
      <c r="Q2015" s="273"/>
      <c r="R2015" s="273"/>
      <c r="S2015" s="273"/>
      <c r="T2015" s="273"/>
      <c r="U2015" s="273"/>
      <c r="V2015" s="273"/>
      <c r="W2015" s="273">
        <f t="shared" si="445"/>
        <v>141800.18</v>
      </c>
      <c r="X2015" s="271">
        <v>141800.18</v>
      </c>
      <c r="Y2015" s="271"/>
      <c r="Z2015" s="271"/>
      <c r="AA2015" s="271"/>
      <c r="AC2015" s="269"/>
      <c r="AE2015" s="269"/>
      <c r="AF2015" s="7"/>
      <c r="AG2015" s="13"/>
      <c r="AH2015" s="13"/>
      <c r="AI2015" s="13"/>
      <c r="AJ2015" s="13"/>
      <c r="AK2015" s="13"/>
      <c r="AL2015" s="13"/>
      <c r="AM2015" s="13"/>
    </row>
    <row r="2016" spans="1:39" x14ac:dyDescent="0.3">
      <c r="A2016" s="10">
        <f t="shared" si="444"/>
        <v>1775</v>
      </c>
      <c r="B2016" s="124" t="s">
        <v>2449</v>
      </c>
      <c r="C2016" s="273">
        <f t="shared" si="442"/>
        <v>124792.12</v>
      </c>
      <c r="D2016" s="273">
        <f t="shared" si="443"/>
        <v>0</v>
      </c>
      <c r="E2016" s="273"/>
      <c r="F2016" s="273"/>
      <c r="G2016" s="273"/>
      <c r="H2016" s="273"/>
      <c r="I2016" s="273"/>
      <c r="J2016" s="273"/>
      <c r="K2016" s="273"/>
      <c r="L2016" s="273"/>
      <c r="M2016" s="273"/>
      <c r="N2016" s="273"/>
      <c r="O2016" s="273"/>
      <c r="P2016" s="273"/>
      <c r="Q2016" s="273"/>
      <c r="R2016" s="273"/>
      <c r="S2016" s="273"/>
      <c r="T2016" s="273"/>
      <c r="U2016" s="273"/>
      <c r="V2016" s="273"/>
      <c r="W2016" s="273">
        <f t="shared" si="445"/>
        <v>124792.12</v>
      </c>
      <c r="X2016" s="271">
        <v>124792.12</v>
      </c>
      <c r="Y2016" s="271"/>
      <c r="Z2016" s="271"/>
      <c r="AA2016" s="271"/>
      <c r="AC2016" s="269"/>
      <c r="AE2016" s="269"/>
      <c r="AF2016" s="7"/>
      <c r="AG2016" s="13"/>
      <c r="AH2016" s="13"/>
      <c r="AI2016" s="13"/>
      <c r="AJ2016" s="13"/>
      <c r="AK2016" s="13"/>
      <c r="AL2016" s="13"/>
      <c r="AM2016" s="13"/>
    </row>
    <row r="2017" spans="1:39" x14ac:dyDescent="0.3">
      <c r="A2017" s="10">
        <f t="shared" si="444"/>
        <v>1776</v>
      </c>
      <c r="B2017" s="124" t="s">
        <v>2450</v>
      </c>
      <c r="C2017" s="273">
        <f t="shared" si="442"/>
        <v>223486.58</v>
      </c>
      <c r="D2017" s="273">
        <f t="shared" si="443"/>
        <v>0</v>
      </c>
      <c r="E2017" s="273"/>
      <c r="F2017" s="273"/>
      <c r="G2017" s="273"/>
      <c r="H2017" s="273"/>
      <c r="I2017" s="273"/>
      <c r="J2017" s="273"/>
      <c r="K2017" s="273"/>
      <c r="L2017" s="273"/>
      <c r="M2017" s="273"/>
      <c r="N2017" s="273"/>
      <c r="O2017" s="273"/>
      <c r="P2017" s="273"/>
      <c r="Q2017" s="273"/>
      <c r="R2017" s="273"/>
      <c r="S2017" s="273"/>
      <c r="T2017" s="273"/>
      <c r="U2017" s="273"/>
      <c r="V2017" s="273"/>
      <c r="W2017" s="273">
        <f t="shared" si="445"/>
        <v>223486.58</v>
      </c>
      <c r="X2017" s="271"/>
      <c r="Y2017" s="271"/>
      <c r="Z2017" s="271"/>
      <c r="AA2017" s="271"/>
      <c r="AC2017" s="269">
        <v>223486.58</v>
      </c>
      <c r="AE2017" s="269"/>
      <c r="AF2017" s="7"/>
      <c r="AG2017" s="13"/>
      <c r="AH2017" s="13"/>
      <c r="AI2017" s="13"/>
      <c r="AJ2017" s="13"/>
      <c r="AK2017" s="13"/>
      <c r="AL2017" s="13"/>
      <c r="AM2017" s="13"/>
    </row>
    <row r="2018" spans="1:39" x14ac:dyDescent="0.3">
      <c r="A2018" s="10">
        <f t="shared" si="444"/>
        <v>1777</v>
      </c>
      <c r="B2018" s="124" t="s">
        <v>2451</v>
      </c>
      <c r="C2018" s="273">
        <f t="shared" si="442"/>
        <v>1183924.3699999999</v>
      </c>
      <c r="D2018" s="273">
        <f t="shared" si="443"/>
        <v>0</v>
      </c>
      <c r="E2018" s="273"/>
      <c r="F2018" s="273"/>
      <c r="G2018" s="273"/>
      <c r="H2018" s="273"/>
      <c r="I2018" s="273"/>
      <c r="J2018" s="273"/>
      <c r="K2018" s="273"/>
      <c r="L2018" s="273"/>
      <c r="M2018" s="273"/>
      <c r="N2018" s="273"/>
      <c r="O2018" s="273"/>
      <c r="P2018" s="273"/>
      <c r="Q2018" s="273"/>
      <c r="R2018" s="273"/>
      <c r="S2018" s="273"/>
      <c r="T2018" s="273"/>
      <c r="U2018" s="273"/>
      <c r="V2018" s="273"/>
      <c r="W2018" s="273">
        <f t="shared" si="445"/>
        <v>1183924.3699999999</v>
      </c>
      <c r="X2018" s="271"/>
      <c r="Y2018" s="271"/>
      <c r="Z2018" s="271"/>
      <c r="AA2018" s="271"/>
      <c r="AC2018" s="269"/>
      <c r="AE2018" s="269">
        <v>204913.78</v>
      </c>
      <c r="AF2018" s="7"/>
      <c r="AG2018" s="13">
        <v>979010.59</v>
      </c>
      <c r="AH2018" s="13"/>
      <c r="AI2018" s="13"/>
      <c r="AJ2018" s="13"/>
      <c r="AK2018" s="13"/>
      <c r="AL2018" s="13"/>
      <c r="AM2018" s="13"/>
    </row>
    <row r="2019" spans="1:39" x14ac:dyDescent="0.3">
      <c r="A2019" s="10">
        <f t="shared" si="444"/>
        <v>1778</v>
      </c>
      <c r="B2019" s="124" t="s">
        <v>2452</v>
      </c>
      <c r="C2019" s="273">
        <f t="shared" ref="C2019:C2026" si="446">D2019+K2019+L2019+N2019+P2019+R2019+S2019+U2019+V2019+W2019</f>
        <v>708959.35000000009</v>
      </c>
      <c r="D2019" s="273">
        <f t="shared" ref="D2019:D2026" si="447">E2019+F2019+G2019+H2019+I2019</f>
        <v>0</v>
      </c>
      <c r="E2019" s="273"/>
      <c r="F2019" s="273"/>
      <c r="G2019" s="273"/>
      <c r="H2019" s="273"/>
      <c r="I2019" s="273"/>
      <c r="J2019" s="273"/>
      <c r="K2019" s="273"/>
      <c r="L2019" s="273"/>
      <c r="M2019" s="273"/>
      <c r="N2019" s="273"/>
      <c r="O2019" s="273"/>
      <c r="P2019" s="273"/>
      <c r="Q2019" s="273"/>
      <c r="R2019" s="273"/>
      <c r="S2019" s="273"/>
      <c r="T2019" s="273"/>
      <c r="U2019" s="273"/>
      <c r="V2019" s="273"/>
      <c r="W2019" s="273">
        <f t="shared" si="445"/>
        <v>708959.35000000009</v>
      </c>
      <c r="X2019" s="271"/>
      <c r="Y2019" s="271"/>
      <c r="Z2019" s="271"/>
      <c r="AA2019" s="271"/>
      <c r="AC2019" s="269"/>
      <c r="AE2019" s="269">
        <v>235350.07</v>
      </c>
      <c r="AF2019" s="7"/>
      <c r="AG2019" s="13">
        <v>473609.28</v>
      </c>
      <c r="AH2019" s="13"/>
      <c r="AI2019" s="13"/>
      <c r="AJ2019" s="13"/>
      <c r="AK2019" s="13"/>
      <c r="AL2019" s="13"/>
      <c r="AM2019" s="13"/>
    </row>
    <row r="2020" spans="1:39" x14ac:dyDescent="0.3">
      <c r="A2020" s="10">
        <f t="shared" ref="A2020:A2026" si="448">A2019+1</f>
        <v>1779</v>
      </c>
      <c r="B2020" s="124" t="s">
        <v>2453</v>
      </c>
      <c r="C2020" s="273">
        <f t="shared" si="446"/>
        <v>272456.07999999996</v>
      </c>
      <c r="D2020" s="273">
        <f t="shared" si="447"/>
        <v>0</v>
      </c>
      <c r="E2020" s="273"/>
      <c r="F2020" s="273"/>
      <c r="G2020" s="273"/>
      <c r="H2020" s="273"/>
      <c r="I2020" s="273"/>
      <c r="J2020" s="273"/>
      <c r="K2020" s="273"/>
      <c r="L2020" s="273"/>
      <c r="M2020" s="273"/>
      <c r="N2020" s="273"/>
      <c r="O2020" s="273"/>
      <c r="P2020" s="273"/>
      <c r="Q2020" s="273"/>
      <c r="R2020" s="273"/>
      <c r="S2020" s="273"/>
      <c r="T2020" s="273"/>
      <c r="U2020" s="273"/>
      <c r="V2020" s="273"/>
      <c r="W2020" s="273">
        <f t="shared" si="445"/>
        <v>272456.07999999996</v>
      </c>
      <c r="X2020" s="271"/>
      <c r="Y2020" s="271">
        <v>153646.68</v>
      </c>
      <c r="Z2020" s="271">
        <v>118809.4</v>
      </c>
      <c r="AA2020" s="271"/>
      <c r="AC2020" s="269"/>
      <c r="AE2020" s="269"/>
      <c r="AF2020" s="7"/>
      <c r="AG2020" s="13"/>
      <c r="AH2020" s="13"/>
      <c r="AI2020" s="13"/>
      <c r="AJ2020" s="13"/>
      <c r="AK2020" s="13"/>
      <c r="AL2020" s="13"/>
      <c r="AM2020" s="13"/>
    </row>
    <row r="2021" spans="1:39" x14ac:dyDescent="0.3">
      <c r="A2021" s="10">
        <f t="shared" si="448"/>
        <v>1780</v>
      </c>
      <c r="B2021" s="124" t="s">
        <v>2454</v>
      </c>
      <c r="C2021" s="273">
        <f t="shared" si="446"/>
        <v>901776.33000000007</v>
      </c>
      <c r="D2021" s="273">
        <f t="shared" si="447"/>
        <v>0</v>
      </c>
      <c r="E2021" s="273"/>
      <c r="F2021" s="273"/>
      <c r="G2021" s="273"/>
      <c r="H2021" s="273"/>
      <c r="I2021" s="273"/>
      <c r="J2021" s="273"/>
      <c r="K2021" s="273"/>
      <c r="L2021" s="273"/>
      <c r="M2021" s="273"/>
      <c r="N2021" s="273"/>
      <c r="O2021" s="273"/>
      <c r="P2021" s="273"/>
      <c r="Q2021" s="273"/>
      <c r="R2021" s="273"/>
      <c r="S2021" s="273"/>
      <c r="T2021" s="273"/>
      <c r="U2021" s="273"/>
      <c r="V2021" s="273"/>
      <c r="W2021" s="273">
        <f t="shared" si="445"/>
        <v>901776.33000000007</v>
      </c>
      <c r="X2021" s="271">
        <v>102102.44</v>
      </c>
      <c r="Y2021" s="271"/>
      <c r="Z2021" s="271"/>
      <c r="AA2021" s="271"/>
      <c r="AC2021" s="269"/>
      <c r="AE2021" s="269">
        <v>268914.38</v>
      </c>
      <c r="AF2021" s="7"/>
      <c r="AG2021" s="13">
        <v>530759.51</v>
      </c>
      <c r="AH2021" s="13"/>
      <c r="AI2021" s="13"/>
      <c r="AJ2021" s="13"/>
      <c r="AK2021" s="13"/>
      <c r="AL2021" s="13"/>
      <c r="AM2021" s="13"/>
    </row>
    <row r="2022" spans="1:39" x14ac:dyDescent="0.3">
      <c r="A2022" s="10">
        <f t="shared" si="448"/>
        <v>1781</v>
      </c>
      <c r="B2022" s="124" t="s">
        <v>2455</v>
      </c>
      <c r="C2022" s="273">
        <f t="shared" si="446"/>
        <v>122509.01</v>
      </c>
      <c r="D2022" s="273">
        <f t="shared" si="447"/>
        <v>0</v>
      </c>
      <c r="E2022" s="273"/>
      <c r="F2022" s="273"/>
      <c r="G2022" s="273"/>
      <c r="H2022" s="273"/>
      <c r="I2022" s="273"/>
      <c r="J2022" s="273"/>
      <c r="K2022" s="273"/>
      <c r="L2022" s="273"/>
      <c r="M2022" s="273"/>
      <c r="N2022" s="273"/>
      <c r="O2022" s="273"/>
      <c r="P2022" s="273"/>
      <c r="Q2022" s="273"/>
      <c r="R2022" s="273"/>
      <c r="S2022" s="273"/>
      <c r="T2022" s="273"/>
      <c r="U2022" s="273"/>
      <c r="V2022" s="273"/>
      <c r="W2022" s="273">
        <f t="shared" si="445"/>
        <v>122509.01</v>
      </c>
      <c r="X2022" s="271">
        <v>122509.01</v>
      </c>
      <c r="Y2022" s="271"/>
      <c r="Z2022" s="271"/>
      <c r="AA2022" s="271"/>
      <c r="AC2022" s="269"/>
      <c r="AE2022" s="269"/>
      <c r="AF2022" s="7"/>
      <c r="AG2022" s="13"/>
      <c r="AH2022" s="13"/>
      <c r="AI2022" s="13"/>
      <c r="AJ2022" s="13"/>
      <c r="AK2022" s="13"/>
      <c r="AL2022" s="13"/>
      <c r="AM2022" s="13"/>
    </row>
    <row r="2023" spans="1:39" x14ac:dyDescent="0.3">
      <c r="A2023" s="10">
        <f t="shared" si="448"/>
        <v>1782</v>
      </c>
      <c r="B2023" s="124" t="s">
        <v>2456</v>
      </c>
      <c r="C2023" s="273">
        <f t="shared" si="446"/>
        <v>735325.3600000001</v>
      </c>
      <c r="D2023" s="273">
        <f t="shared" si="447"/>
        <v>0</v>
      </c>
      <c r="E2023" s="273"/>
      <c r="F2023" s="273"/>
      <c r="G2023" s="273"/>
      <c r="H2023" s="273"/>
      <c r="I2023" s="273"/>
      <c r="J2023" s="273"/>
      <c r="K2023" s="273"/>
      <c r="L2023" s="273"/>
      <c r="M2023" s="273"/>
      <c r="N2023" s="273"/>
      <c r="O2023" s="273"/>
      <c r="P2023" s="273"/>
      <c r="Q2023" s="273"/>
      <c r="R2023" s="273"/>
      <c r="S2023" s="273"/>
      <c r="T2023" s="273"/>
      <c r="U2023" s="273"/>
      <c r="V2023" s="273"/>
      <c r="W2023" s="273">
        <f t="shared" si="445"/>
        <v>735325.3600000001</v>
      </c>
      <c r="X2023" s="271"/>
      <c r="Y2023" s="271"/>
      <c r="Z2023" s="271"/>
      <c r="AA2023" s="271"/>
      <c r="AC2023" s="269"/>
      <c r="AE2023" s="269">
        <v>199388.93</v>
      </c>
      <c r="AF2023" s="7"/>
      <c r="AG2023" s="13">
        <v>535936.43000000005</v>
      </c>
      <c r="AH2023" s="13"/>
      <c r="AI2023" s="13"/>
      <c r="AJ2023" s="13"/>
      <c r="AK2023" s="13"/>
      <c r="AL2023" s="13"/>
      <c r="AM2023" s="13"/>
    </row>
    <row r="2024" spans="1:39" x14ac:dyDescent="0.3">
      <c r="A2024" s="10">
        <f t="shared" si="448"/>
        <v>1783</v>
      </c>
      <c r="B2024" s="124" t="s">
        <v>2457</v>
      </c>
      <c r="C2024" s="273">
        <f t="shared" si="446"/>
        <v>228521.69</v>
      </c>
      <c r="D2024" s="273">
        <f t="shared" si="447"/>
        <v>0</v>
      </c>
      <c r="E2024" s="273"/>
      <c r="F2024" s="273"/>
      <c r="G2024" s="273"/>
      <c r="H2024" s="273"/>
      <c r="I2024" s="273"/>
      <c r="J2024" s="273"/>
      <c r="K2024" s="273"/>
      <c r="L2024" s="273"/>
      <c r="M2024" s="273"/>
      <c r="N2024" s="273"/>
      <c r="O2024" s="273"/>
      <c r="P2024" s="273"/>
      <c r="Q2024" s="273"/>
      <c r="R2024" s="273"/>
      <c r="S2024" s="273"/>
      <c r="T2024" s="273"/>
      <c r="U2024" s="273"/>
      <c r="V2024" s="273"/>
      <c r="W2024" s="273">
        <f t="shared" si="445"/>
        <v>228521.69</v>
      </c>
      <c r="X2024" s="271"/>
      <c r="Y2024" s="271">
        <v>122617.74</v>
      </c>
      <c r="Z2024" s="271">
        <v>105903.95</v>
      </c>
      <c r="AA2024" s="271"/>
      <c r="AC2024" s="269"/>
      <c r="AE2024" s="269"/>
      <c r="AF2024" s="7"/>
      <c r="AG2024" s="13"/>
      <c r="AH2024" s="13"/>
      <c r="AI2024" s="13"/>
      <c r="AJ2024" s="13"/>
      <c r="AK2024" s="13"/>
      <c r="AL2024" s="13"/>
      <c r="AM2024" s="13"/>
    </row>
    <row r="2025" spans="1:39" x14ac:dyDescent="0.3">
      <c r="A2025" s="10">
        <f t="shared" si="448"/>
        <v>1784</v>
      </c>
      <c r="B2025" s="124" t="s">
        <v>2458</v>
      </c>
      <c r="C2025" s="273">
        <f t="shared" si="446"/>
        <v>242289.1</v>
      </c>
      <c r="D2025" s="273">
        <f t="shared" si="447"/>
        <v>0</v>
      </c>
      <c r="E2025" s="273"/>
      <c r="F2025" s="273"/>
      <c r="G2025" s="273"/>
      <c r="H2025" s="273"/>
      <c r="I2025" s="273"/>
      <c r="J2025" s="273"/>
      <c r="K2025" s="273"/>
      <c r="L2025" s="273"/>
      <c r="M2025" s="273"/>
      <c r="N2025" s="273"/>
      <c r="O2025" s="273"/>
      <c r="P2025" s="273"/>
      <c r="Q2025" s="273"/>
      <c r="R2025" s="273"/>
      <c r="S2025" s="273"/>
      <c r="T2025" s="273"/>
      <c r="U2025" s="273"/>
      <c r="V2025" s="273"/>
      <c r="W2025" s="273">
        <f t="shared" si="445"/>
        <v>242289.1</v>
      </c>
      <c r="X2025" s="271">
        <v>118182.46</v>
      </c>
      <c r="Y2025" s="271"/>
      <c r="Z2025" s="271">
        <v>124106.64</v>
      </c>
      <c r="AA2025" s="271"/>
      <c r="AC2025" s="269"/>
      <c r="AE2025" s="269"/>
      <c r="AF2025" s="7"/>
      <c r="AG2025" s="13"/>
      <c r="AH2025" s="13"/>
      <c r="AI2025" s="13"/>
      <c r="AJ2025" s="13"/>
      <c r="AK2025" s="13"/>
      <c r="AL2025" s="13"/>
      <c r="AM2025" s="13"/>
    </row>
    <row r="2026" spans="1:39" x14ac:dyDescent="0.3">
      <c r="A2026" s="10">
        <f t="shared" si="448"/>
        <v>1785</v>
      </c>
      <c r="B2026" s="124" t="s">
        <v>2459</v>
      </c>
      <c r="C2026" s="273">
        <f t="shared" si="446"/>
        <v>498946.79</v>
      </c>
      <c r="D2026" s="273">
        <f t="shared" si="447"/>
        <v>393267</v>
      </c>
      <c r="E2026" s="273">
        <f>13*2688+358323</f>
        <v>393267</v>
      </c>
      <c r="F2026" s="273"/>
      <c r="G2026" s="273"/>
      <c r="H2026" s="273"/>
      <c r="I2026" s="273"/>
      <c r="J2026" s="273"/>
      <c r="K2026" s="273"/>
      <c r="L2026" s="273"/>
      <c r="M2026" s="273"/>
      <c r="N2026" s="273"/>
      <c r="O2026" s="273"/>
      <c r="P2026" s="273"/>
      <c r="Q2026" s="273"/>
      <c r="R2026" s="273"/>
      <c r="S2026" s="273"/>
      <c r="T2026" s="273"/>
      <c r="U2026" s="273"/>
      <c r="V2026" s="273"/>
      <c r="W2026" s="273">
        <f t="shared" si="445"/>
        <v>105679.79</v>
      </c>
      <c r="X2026" s="271">
        <v>105679.79</v>
      </c>
      <c r="Y2026" s="271"/>
      <c r="Z2026" s="271"/>
      <c r="AA2026" s="271"/>
      <c r="AC2026" s="269"/>
      <c r="AD2026" s="269"/>
      <c r="AE2026" s="7"/>
      <c r="AF2026" s="13"/>
      <c r="AG2026" s="13"/>
      <c r="AH2026" s="13"/>
      <c r="AI2026" s="13"/>
      <c r="AJ2026" s="13"/>
      <c r="AK2026" s="13"/>
      <c r="AL2026" s="13"/>
      <c r="AM2026" s="13"/>
    </row>
    <row r="2027" spans="1:39" x14ac:dyDescent="0.3">
      <c r="A2027" s="133" t="s">
        <v>208</v>
      </c>
      <c r="B2027" s="122"/>
      <c r="C2027" s="273">
        <f t="shared" ref="C2027:W2027" si="449">SUM(C1924:C2026)</f>
        <v>54245866.920000002</v>
      </c>
      <c r="D2027" s="273">
        <f t="shared" si="449"/>
        <v>6700765.2000000002</v>
      </c>
      <c r="E2027" s="273">
        <f t="shared" si="449"/>
        <v>6595543.2000000002</v>
      </c>
      <c r="F2027" s="273">
        <f t="shared" si="449"/>
        <v>0</v>
      </c>
      <c r="G2027" s="273">
        <f t="shared" si="449"/>
        <v>0</v>
      </c>
      <c r="H2027" s="273">
        <f t="shared" si="449"/>
        <v>0</v>
      </c>
      <c r="I2027" s="273">
        <f t="shared" si="449"/>
        <v>105222</v>
      </c>
      <c r="J2027" s="273">
        <f t="shared" si="449"/>
        <v>0</v>
      </c>
      <c r="K2027" s="273">
        <f t="shared" si="449"/>
        <v>0</v>
      </c>
      <c r="L2027" s="273">
        <f t="shared" si="449"/>
        <v>0</v>
      </c>
      <c r="M2027" s="273">
        <f t="shared" si="449"/>
        <v>675</v>
      </c>
      <c r="N2027" s="273">
        <f t="shared" si="449"/>
        <v>3365185.2</v>
      </c>
      <c r="O2027" s="273">
        <f t="shared" si="449"/>
        <v>13</v>
      </c>
      <c r="P2027" s="273">
        <f t="shared" si="449"/>
        <v>343629</v>
      </c>
      <c r="Q2027" s="273">
        <f t="shared" si="449"/>
        <v>3300</v>
      </c>
      <c r="R2027" s="273">
        <f t="shared" si="449"/>
        <v>6153060</v>
      </c>
      <c r="S2027" s="273">
        <f t="shared" si="449"/>
        <v>0</v>
      </c>
      <c r="T2027" s="273">
        <f t="shared" si="449"/>
        <v>0</v>
      </c>
      <c r="U2027" s="273">
        <f t="shared" si="449"/>
        <v>0</v>
      </c>
      <c r="V2027" s="273">
        <f t="shared" si="449"/>
        <v>0</v>
      </c>
      <c r="W2027" s="273">
        <f t="shared" si="449"/>
        <v>37683227.519999981</v>
      </c>
      <c r="X2027" s="271"/>
      <c r="Y2027" s="271"/>
      <c r="Z2027" s="271"/>
      <c r="AC2027" s="269"/>
      <c r="AD2027" s="269"/>
      <c r="AE2027" s="7"/>
      <c r="AF2027" s="13"/>
      <c r="AG2027" s="13"/>
      <c r="AH2027" s="13"/>
      <c r="AI2027" s="13"/>
      <c r="AJ2027" s="13"/>
      <c r="AK2027" s="13"/>
      <c r="AL2027" s="13"/>
      <c r="AM2027" s="13"/>
    </row>
    <row r="2028" spans="1:39" x14ac:dyDescent="0.3">
      <c r="A2028" s="131" t="s">
        <v>2460</v>
      </c>
      <c r="B2028" s="111"/>
      <c r="C2028" s="251">
        <f t="shared" ref="C2028:W2028" si="450">C2027+C1922+C1910</f>
        <v>60542523.670000002</v>
      </c>
      <c r="D2028" s="251">
        <f t="shared" si="450"/>
        <v>6700765.2000000002</v>
      </c>
      <c r="E2028" s="251">
        <f t="shared" si="450"/>
        <v>6595543.2000000002</v>
      </c>
      <c r="F2028" s="251">
        <f t="shared" si="450"/>
        <v>0</v>
      </c>
      <c r="G2028" s="251">
        <f t="shared" si="450"/>
        <v>0</v>
      </c>
      <c r="H2028" s="251">
        <f t="shared" si="450"/>
        <v>0</v>
      </c>
      <c r="I2028" s="251">
        <f t="shared" si="450"/>
        <v>105222</v>
      </c>
      <c r="J2028" s="251">
        <f t="shared" si="450"/>
        <v>0</v>
      </c>
      <c r="K2028" s="251">
        <f t="shared" si="450"/>
        <v>0</v>
      </c>
      <c r="L2028" s="251">
        <f t="shared" si="450"/>
        <v>0</v>
      </c>
      <c r="M2028" s="251">
        <f t="shared" si="450"/>
        <v>675</v>
      </c>
      <c r="N2028" s="251">
        <f t="shared" si="450"/>
        <v>3365185.2</v>
      </c>
      <c r="O2028" s="251">
        <f t="shared" si="450"/>
        <v>13</v>
      </c>
      <c r="P2028" s="251">
        <f t="shared" si="450"/>
        <v>343629</v>
      </c>
      <c r="Q2028" s="251">
        <f t="shared" si="450"/>
        <v>3300</v>
      </c>
      <c r="R2028" s="251">
        <f t="shared" si="450"/>
        <v>6153060</v>
      </c>
      <c r="S2028" s="251">
        <f t="shared" si="450"/>
        <v>0</v>
      </c>
      <c r="T2028" s="251">
        <f t="shared" si="450"/>
        <v>0</v>
      </c>
      <c r="U2028" s="251">
        <f t="shared" si="450"/>
        <v>0</v>
      </c>
      <c r="V2028" s="251">
        <f t="shared" si="450"/>
        <v>0</v>
      </c>
      <c r="W2028" s="251">
        <f t="shared" si="450"/>
        <v>43979884.269999981</v>
      </c>
      <c r="X2028" s="271"/>
      <c r="Y2028" s="271"/>
      <c r="Z2028" s="271"/>
      <c r="AA2028" s="271"/>
      <c r="AB2028" s="269"/>
      <c r="AC2028" s="269"/>
      <c r="AD2028" s="7"/>
      <c r="AE2028" s="13"/>
      <c r="AF2028" s="13"/>
      <c r="AG2028" s="13"/>
      <c r="AH2028" s="13"/>
      <c r="AI2028" s="13"/>
      <c r="AJ2028" s="13"/>
      <c r="AK2028" s="13"/>
      <c r="AL2028" s="13"/>
      <c r="AM2028" s="13"/>
    </row>
    <row r="2029" spans="1:39" x14ac:dyDescent="0.3">
      <c r="A2029" s="410" t="s">
        <v>2461</v>
      </c>
      <c r="B2029" s="411"/>
      <c r="C2029" s="411"/>
      <c r="D2029" s="411"/>
      <c r="E2029" s="411"/>
      <c r="F2029" s="411"/>
      <c r="G2029" s="411"/>
      <c r="H2029" s="411"/>
      <c r="I2029" s="411"/>
      <c r="J2029" s="411"/>
      <c r="K2029" s="411"/>
      <c r="L2029" s="411"/>
      <c r="M2029" s="411"/>
      <c r="N2029" s="411"/>
      <c r="O2029" s="411"/>
      <c r="P2029" s="411"/>
      <c r="Q2029" s="411"/>
      <c r="R2029" s="411"/>
      <c r="S2029" s="411"/>
      <c r="T2029" s="411"/>
      <c r="U2029" s="411"/>
      <c r="V2029" s="411"/>
      <c r="W2029" s="412"/>
      <c r="X2029" s="276"/>
      <c r="Y2029" s="276"/>
      <c r="Z2029" s="273"/>
      <c r="AA2029" s="273"/>
      <c r="AB2029" s="14"/>
      <c r="AC2029" s="259"/>
      <c r="AD2029" s="13"/>
      <c r="AE2029" s="273"/>
      <c r="AF2029" s="14"/>
      <c r="AG2029" s="259"/>
      <c r="AH2029" s="13"/>
    </row>
    <row r="2030" spans="1:39" x14ac:dyDescent="0.3">
      <c r="A2030" s="10">
        <f>A2026+1</f>
        <v>1786</v>
      </c>
      <c r="B2030" s="124" t="s">
        <v>2462</v>
      </c>
      <c r="C2030" s="273">
        <f t="shared" ref="C2030:C2062" si="451">D2030+K2030+L2030+N2030+P2030+R2030+S2030+U2030+V2030+W2030</f>
        <v>17862116.399999999</v>
      </c>
      <c r="D2030" s="273">
        <f t="shared" ref="D2030:D2038" si="452">SUM(E2030:I2030)</f>
        <v>0</v>
      </c>
      <c r="E2030" s="273"/>
      <c r="F2030" s="273"/>
      <c r="G2030" s="273"/>
      <c r="H2030" s="273"/>
      <c r="I2030" s="273"/>
      <c r="J2030" s="273"/>
      <c r="K2030" s="273"/>
      <c r="L2030" s="273"/>
      <c r="M2030" s="273"/>
      <c r="N2030" s="273"/>
      <c r="O2030" s="273"/>
      <c r="P2030" s="273"/>
      <c r="Q2030" s="273">
        <v>2725.14</v>
      </c>
      <c r="R2030" s="273">
        <v>17862116.399999999</v>
      </c>
      <c r="S2030" s="273"/>
      <c r="T2030" s="273"/>
      <c r="U2030" s="273"/>
      <c r="V2030" s="273"/>
      <c r="W2030" s="273"/>
      <c r="X2030" s="119"/>
      <c r="Y2030" s="119"/>
      <c r="Z2030" s="273"/>
      <c r="AA2030" s="273"/>
      <c r="AB2030" s="261"/>
      <c r="AC2030" s="273"/>
      <c r="AD2030" s="13"/>
      <c r="AE2030" s="273"/>
      <c r="AF2030" s="261"/>
      <c r="AG2030" s="273"/>
      <c r="AH2030" s="13"/>
    </row>
    <row r="2031" spans="1:39" x14ac:dyDescent="0.3">
      <c r="A2031" s="10">
        <f t="shared" ref="A2031:A2062" si="453">A2030+1</f>
        <v>1787</v>
      </c>
      <c r="B2031" s="124" t="s">
        <v>2466</v>
      </c>
      <c r="C2031" s="273">
        <f t="shared" si="451"/>
        <v>16907324.379999999</v>
      </c>
      <c r="D2031" s="273">
        <f t="shared" si="452"/>
        <v>0</v>
      </c>
      <c r="E2031" s="273"/>
      <c r="F2031" s="273"/>
      <c r="G2031" s="273"/>
      <c r="H2031" s="273"/>
      <c r="I2031" s="273"/>
      <c r="J2031" s="273"/>
      <c r="K2031" s="273"/>
      <c r="L2031" s="273"/>
      <c r="M2031" s="273"/>
      <c r="N2031" s="273"/>
      <c r="O2031" s="273"/>
      <c r="P2031" s="273"/>
      <c r="Q2031" s="273">
        <f>2725.14</f>
        <v>2725.14</v>
      </c>
      <c r="R2031" s="273">
        <v>16907324.379999999</v>
      </c>
      <c r="S2031" s="273"/>
      <c r="T2031" s="273"/>
      <c r="U2031" s="273"/>
      <c r="V2031" s="273"/>
      <c r="W2031" s="273"/>
      <c r="X2031" s="119"/>
      <c r="Y2031" s="119"/>
      <c r="Z2031" s="273"/>
      <c r="AA2031" s="273"/>
      <c r="AB2031" s="261"/>
      <c r="AC2031" s="273"/>
      <c r="AD2031" s="13"/>
      <c r="AE2031" s="273"/>
      <c r="AF2031" s="261"/>
      <c r="AG2031" s="273"/>
      <c r="AH2031" s="13"/>
    </row>
    <row r="2032" spans="1:39" x14ac:dyDescent="0.3">
      <c r="A2032" s="10">
        <f t="shared" si="453"/>
        <v>1788</v>
      </c>
      <c r="B2032" s="124" t="s">
        <v>2488</v>
      </c>
      <c r="C2032" s="273">
        <f t="shared" si="451"/>
        <v>11427280.199999999</v>
      </c>
      <c r="D2032" s="273">
        <f t="shared" si="452"/>
        <v>0</v>
      </c>
      <c r="E2032" s="273"/>
      <c r="F2032" s="273"/>
      <c r="G2032" s="273"/>
      <c r="H2032" s="273"/>
      <c r="I2032" s="273"/>
      <c r="J2032" s="273"/>
      <c r="K2032" s="273"/>
      <c r="L2032" s="273"/>
      <c r="M2032" s="273"/>
      <c r="N2032" s="273"/>
      <c r="O2032" s="273"/>
      <c r="P2032" s="273"/>
      <c r="Q2032" s="273">
        <v>1733.5</v>
      </c>
      <c r="R2032" s="273">
        <v>11427280.199999999</v>
      </c>
      <c r="S2032" s="273"/>
      <c r="T2032" s="273"/>
      <c r="U2032" s="273"/>
      <c r="V2032" s="273"/>
      <c r="W2032" s="273"/>
      <c r="X2032" s="119"/>
      <c r="Y2032" s="119"/>
      <c r="Z2032" s="273"/>
      <c r="AA2032" s="273"/>
      <c r="AB2032" s="261"/>
      <c r="AC2032" s="273"/>
      <c r="AD2032" s="13"/>
      <c r="AE2032" s="273"/>
      <c r="AF2032" s="261"/>
      <c r="AG2032" s="273"/>
      <c r="AH2032" s="13"/>
    </row>
    <row r="2033" spans="1:34" x14ac:dyDescent="0.3">
      <c r="A2033" s="10">
        <f t="shared" si="453"/>
        <v>1789</v>
      </c>
      <c r="B2033" s="124" t="s">
        <v>2489</v>
      </c>
      <c r="C2033" s="273">
        <f t="shared" si="451"/>
        <v>15243760.98</v>
      </c>
      <c r="D2033" s="273">
        <f t="shared" si="452"/>
        <v>0</v>
      </c>
      <c r="E2033" s="273"/>
      <c r="F2033" s="273"/>
      <c r="G2033" s="273"/>
      <c r="H2033" s="273"/>
      <c r="I2033" s="273"/>
      <c r="J2033" s="273"/>
      <c r="K2033" s="273"/>
      <c r="L2033" s="273"/>
      <c r="M2033" s="273"/>
      <c r="N2033" s="273"/>
      <c r="O2033" s="273"/>
      <c r="P2033" s="273"/>
      <c r="Q2033" s="273">
        <v>2467.4</v>
      </c>
      <c r="R2033" s="273">
        <v>15243760.98</v>
      </c>
      <c r="S2033" s="273"/>
      <c r="T2033" s="273"/>
      <c r="U2033" s="273"/>
      <c r="V2033" s="273"/>
      <c r="W2033" s="273"/>
      <c r="X2033" s="119"/>
      <c r="Y2033" s="119"/>
      <c r="Z2033" s="273"/>
      <c r="AA2033" s="273"/>
      <c r="AB2033" s="261"/>
      <c r="AC2033" s="273"/>
      <c r="AD2033" s="13"/>
      <c r="AE2033" s="273"/>
      <c r="AF2033" s="261"/>
      <c r="AG2033" s="273"/>
      <c r="AH2033" s="13"/>
    </row>
    <row r="2034" spans="1:34" x14ac:dyDescent="0.3">
      <c r="A2034" s="10">
        <f t="shared" si="453"/>
        <v>1790</v>
      </c>
      <c r="B2034" s="124" t="s">
        <v>2490</v>
      </c>
      <c r="C2034" s="273">
        <f t="shared" si="451"/>
        <v>17574327.539999999</v>
      </c>
      <c r="D2034" s="273">
        <f t="shared" si="452"/>
        <v>0</v>
      </c>
      <c r="E2034" s="273"/>
      <c r="F2034" s="273"/>
      <c r="G2034" s="273"/>
      <c r="H2034" s="273"/>
      <c r="I2034" s="273"/>
      <c r="J2034" s="273"/>
      <c r="K2034" s="273"/>
      <c r="L2034" s="273"/>
      <c r="M2034" s="273"/>
      <c r="N2034" s="273"/>
      <c r="O2034" s="273"/>
      <c r="P2034" s="273"/>
      <c r="Q2034" s="273">
        <v>2778.9</v>
      </c>
      <c r="R2034" s="273">
        <v>17574327.539999999</v>
      </c>
      <c r="S2034" s="273"/>
      <c r="T2034" s="273"/>
      <c r="U2034" s="273"/>
      <c r="V2034" s="273"/>
      <c r="W2034" s="273"/>
      <c r="X2034" s="119"/>
      <c r="Y2034" s="119"/>
      <c r="Z2034" s="273"/>
      <c r="AA2034" s="273"/>
      <c r="AB2034" s="261"/>
      <c r="AC2034" s="273"/>
      <c r="AD2034" s="13"/>
      <c r="AE2034" s="273"/>
      <c r="AF2034" s="261"/>
      <c r="AG2034" s="273"/>
      <c r="AH2034" s="13"/>
    </row>
    <row r="2035" spans="1:34" x14ac:dyDescent="0.3">
      <c r="A2035" s="10">
        <f t="shared" si="453"/>
        <v>1791</v>
      </c>
      <c r="B2035" s="124" t="s">
        <v>2491</v>
      </c>
      <c r="C2035" s="273">
        <f t="shared" si="451"/>
        <v>32090224.32</v>
      </c>
      <c r="D2035" s="273">
        <f t="shared" si="452"/>
        <v>0</v>
      </c>
      <c r="E2035" s="273"/>
      <c r="F2035" s="273"/>
      <c r="G2035" s="273"/>
      <c r="H2035" s="273"/>
      <c r="I2035" s="273"/>
      <c r="J2035" s="273"/>
      <c r="K2035" s="273"/>
      <c r="L2035" s="273"/>
      <c r="M2035" s="273"/>
      <c r="N2035" s="273"/>
      <c r="O2035" s="273"/>
      <c r="P2035" s="273"/>
      <c r="Q2035" s="273">
        <v>5101.2</v>
      </c>
      <c r="R2035" s="273">
        <v>32090224.32</v>
      </c>
      <c r="S2035" s="273"/>
      <c r="T2035" s="273"/>
      <c r="U2035" s="273"/>
      <c r="V2035" s="273"/>
      <c r="W2035" s="273"/>
      <c r="X2035" s="119"/>
      <c r="Y2035" s="119"/>
      <c r="Z2035" s="273"/>
      <c r="AA2035" s="273"/>
      <c r="AB2035" s="261"/>
      <c r="AC2035" s="273"/>
      <c r="AD2035" s="13"/>
      <c r="AE2035" s="273"/>
      <c r="AF2035" s="261"/>
      <c r="AG2035" s="273"/>
      <c r="AH2035" s="13"/>
    </row>
    <row r="2036" spans="1:34" x14ac:dyDescent="0.3">
      <c r="A2036" s="10">
        <f t="shared" si="453"/>
        <v>1792</v>
      </c>
      <c r="B2036" s="124" t="s">
        <v>2495</v>
      </c>
      <c r="C2036" s="273">
        <f t="shared" si="451"/>
        <v>15322086.359999999</v>
      </c>
      <c r="D2036" s="273">
        <f t="shared" si="452"/>
        <v>0</v>
      </c>
      <c r="E2036" s="273"/>
      <c r="F2036" s="273"/>
      <c r="G2036" s="273"/>
      <c r="H2036" s="273"/>
      <c r="I2036" s="273"/>
      <c r="J2036" s="273"/>
      <c r="K2036" s="273"/>
      <c r="L2036" s="273"/>
      <c r="M2036" s="273"/>
      <c r="N2036" s="273"/>
      <c r="O2036" s="273"/>
      <c r="P2036" s="273"/>
      <c r="Q2036" s="273">
        <v>2284.3000000000002</v>
      </c>
      <c r="R2036" s="273">
        <v>15322086.359999999</v>
      </c>
      <c r="S2036" s="273"/>
      <c r="T2036" s="273"/>
      <c r="U2036" s="273"/>
      <c r="V2036" s="273"/>
      <c r="W2036" s="273"/>
      <c r="X2036" s="119"/>
      <c r="Y2036" s="119"/>
      <c r="Z2036" s="273"/>
      <c r="AA2036" s="273"/>
      <c r="AB2036" s="261"/>
      <c r="AC2036" s="273"/>
      <c r="AD2036" s="13"/>
      <c r="AE2036" s="273"/>
      <c r="AF2036" s="261"/>
      <c r="AG2036" s="273"/>
      <c r="AH2036" s="13"/>
    </row>
    <row r="2037" spans="1:34" x14ac:dyDescent="0.3">
      <c r="A2037" s="10">
        <f t="shared" si="453"/>
        <v>1793</v>
      </c>
      <c r="B2037" s="124" t="s">
        <v>2498</v>
      </c>
      <c r="C2037" s="273">
        <f t="shared" si="451"/>
        <v>16215922.800000001</v>
      </c>
      <c r="D2037" s="273">
        <f t="shared" si="452"/>
        <v>0</v>
      </c>
      <c r="E2037" s="273"/>
      <c r="F2037" s="273"/>
      <c r="G2037" s="273"/>
      <c r="H2037" s="273"/>
      <c r="I2037" s="273"/>
      <c r="J2037" s="273"/>
      <c r="K2037" s="273"/>
      <c r="L2037" s="273"/>
      <c r="M2037" s="273"/>
      <c r="N2037" s="273"/>
      <c r="O2037" s="273"/>
      <c r="P2037" s="273"/>
      <c r="Q2037" s="273">
        <v>2344.6</v>
      </c>
      <c r="R2037" s="273">
        <v>16215922.800000001</v>
      </c>
      <c r="S2037" s="273"/>
      <c r="T2037" s="273"/>
      <c r="U2037" s="273"/>
      <c r="V2037" s="273"/>
      <c r="W2037" s="273"/>
      <c r="X2037" s="119"/>
      <c r="Y2037" s="119"/>
      <c r="Z2037" s="273"/>
      <c r="AA2037" s="273"/>
      <c r="AB2037" s="261"/>
      <c r="AC2037" s="273"/>
      <c r="AD2037" s="13"/>
      <c r="AE2037" s="273"/>
      <c r="AF2037" s="261"/>
      <c r="AG2037" s="273"/>
      <c r="AH2037" s="13"/>
    </row>
    <row r="2038" spans="1:34" x14ac:dyDescent="0.3">
      <c r="A2038" s="10">
        <f t="shared" si="453"/>
        <v>1794</v>
      </c>
      <c r="B2038" s="124" t="s">
        <v>2503</v>
      </c>
      <c r="C2038" s="273">
        <f t="shared" si="451"/>
        <v>27380823.539999999</v>
      </c>
      <c r="D2038" s="273">
        <f t="shared" si="452"/>
        <v>1756249.2</v>
      </c>
      <c r="E2038" s="273">
        <v>1756249.2</v>
      </c>
      <c r="F2038" s="273"/>
      <c r="G2038" s="273"/>
      <c r="H2038" s="273"/>
      <c r="I2038" s="273"/>
      <c r="J2038" s="273"/>
      <c r="K2038" s="273"/>
      <c r="L2038" s="273"/>
      <c r="M2038" s="273">
        <v>13</v>
      </c>
      <c r="N2038" s="273">
        <v>7907438.4000000004</v>
      </c>
      <c r="O2038" s="273"/>
      <c r="P2038" s="273"/>
      <c r="Q2038" s="273">
        <v>2560.4</v>
      </c>
      <c r="R2038" s="273">
        <v>17717135.940000001</v>
      </c>
      <c r="S2038" s="273"/>
      <c r="T2038" s="273"/>
      <c r="U2038" s="273"/>
      <c r="V2038" s="273"/>
      <c r="W2038" s="273"/>
      <c r="X2038" s="119"/>
      <c r="Y2038" s="119"/>
      <c r="Z2038" s="273"/>
      <c r="AA2038" s="273"/>
      <c r="AB2038" s="261"/>
      <c r="AC2038" s="273"/>
      <c r="AD2038" s="13"/>
      <c r="AE2038" s="273"/>
      <c r="AF2038" s="261"/>
      <c r="AG2038" s="273"/>
      <c r="AH2038" s="13"/>
    </row>
    <row r="2039" spans="1:34" s="40" customFormat="1" x14ac:dyDescent="0.3">
      <c r="A2039" s="10">
        <f t="shared" si="453"/>
        <v>1795</v>
      </c>
      <c r="B2039" s="20" t="s">
        <v>3582</v>
      </c>
      <c r="C2039" s="273">
        <f t="shared" si="451"/>
        <v>1588492.22</v>
      </c>
      <c r="D2039" s="273"/>
      <c r="E2039" s="273"/>
      <c r="F2039" s="273"/>
      <c r="G2039" s="273"/>
      <c r="H2039" s="273"/>
      <c r="I2039" s="273"/>
      <c r="J2039" s="50"/>
      <c r="K2039" s="273"/>
      <c r="L2039" s="273"/>
      <c r="M2039" s="273"/>
      <c r="N2039" s="273"/>
      <c r="O2039" s="273"/>
      <c r="P2039" s="273"/>
      <c r="Q2039" s="22"/>
      <c r="R2039" s="273"/>
      <c r="S2039" s="273"/>
      <c r="T2039" s="273"/>
      <c r="U2039" s="273"/>
      <c r="V2039" s="273"/>
      <c r="W2039" s="273">
        <f>SUM(Y2039:AG2039)</f>
        <v>1588492.22</v>
      </c>
      <c r="X2039" s="193"/>
      <c r="Y2039" s="193"/>
      <c r="Z2039" s="194"/>
      <c r="AA2039" s="273"/>
      <c r="AC2039" s="194"/>
      <c r="AE2039" s="273">
        <v>481965.16</v>
      </c>
      <c r="AF2039" s="261">
        <v>74651.7</v>
      </c>
      <c r="AG2039" s="273">
        <v>1031875.36</v>
      </c>
    </row>
    <row r="2040" spans="1:34" x14ac:dyDescent="0.3">
      <c r="A2040" s="10">
        <f t="shared" si="453"/>
        <v>1796</v>
      </c>
      <c r="B2040" s="124" t="s">
        <v>2508</v>
      </c>
      <c r="C2040" s="273">
        <f t="shared" si="451"/>
        <v>18466423.920000002</v>
      </c>
      <c r="D2040" s="273">
        <f t="shared" ref="D2040:D2062" si="454">SUM(E2040:I2040)</f>
        <v>0</v>
      </c>
      <c r="E2040" s="273"/>
      <c r="F2040" s="273"/>
      <c r="G2040" s="273"/>
      <c r="H2040" s="273"/>
      <c r="I2040" s="273"/>
      <c r="J2040" s="273"/>
      <c r="K2040" s="273"/>
      <c r="L2040" s="273"/>
      <c r="M2040" s="273"/>
      <c r="N2040" s="273"/>
      <c r="O2040" s="273"/>
      <c r="P2040" s="273"/>
      <c r="Q2040" s="273">
        <v>2669.6</v>
      </c>
      <c r="R2040" s="273">
        <v>18466423.920000002</v>
      </c>
      <c r="S2040" s="273"/>
      <c r="T2040" s="273"/>
      <c r="U2040" s="273"/>
      <c r="V2040" s="273"/>
      <c r="W2040" s="273"/>
      <c r="X2040" s="119"/>
      <c r="Y2040" s="119"/>
      <c r="Z2040" s="273"/>
      <c r="AA2040" s="273"/>
      <c r="AB2040" s="261"/>
      <c r="AC2040" s="273"/>
      <c r="AD2040" s="13"/>
      <c r="AE2040" s="273"/>
      <c r="AF2040" s="261"/>
      <c r="AG2040" s="273"/>
      <c r="AH2040" s="13"/>
    </row>
    <row r="2041" spans="1:34" x14ac:dyDescent="0.3">
      <c r="A2041" s="10">
        <f t="shared" si="453"/>
        <v>1797</v>
      </c>
      <c r="B2041" s="124" t="s">
        <v>2510</v>
      </c>
      <c r="C2041" s="273">
        <f t="shared" si="451"/>
        <v>4827160.8</v>
      </c>
      <c r="D2041" s="273">
        <f t="shared" si="454"/>
        <v>0</v>
      </c>
      <c r="E2041" s="273"/>
      <c r="F2041" s="273"/>
      <c r="G2041" s="273"/>
      <c r="H2041" s="273"/>
      <c r="I2041" s="273"/>
      <c r="J2041" s="273"/>
      <c r="K2041" s="273"/>
      <c r="L2041" s="273"/>
      <c r="M2041" s="273"/>
      <c r="N2041" s="273"/>
      <c r="O2041" s="273"/>
      <c r="P2041" s="273"/>
      <c r="Q2041" s="273">
        <v>1027.4000000000001</v>
      </c>
      <c r="R2041" s="273">
        <v>4827160.8</v>
      </c>
      <c r="S2041" s="273"/>
      <c r="T2041" s="273"/>
      <c r="U2041" s="273"/>
      <c r="V2041" s="273"/>
      <c r="W2041" s="273"/>
      <c r="X2041" s="119"/>
      <c r="Y2041" s="119"/>
      <c r="Z2041" s="273"/>
      <c r="AA2041" s="273"/>
      <c r="AB2041" s="261"/>
      <c r="AC2041" s="273"/>
      <c r="AD2041" s="13"/>
      <c r="AE2041" s="273"/>
      <c r="AF2041" s="261"/>
      <c r="AG2041" s="273"/>
      <c r="AH2041" s="13"/>
    </row>
    <row r="2042" spans="1:34" x14ac:dyDescent="0.3">
      <c r="A2042" s="10">
        <f t="shared" si="453"/>
        <v>1798</v>
      </c>
      <c r="B2042" s="124" t="s">
        <v>2526</v>
      </c>
      <c r="C2042" s="273">
        <f t="shared" si="451"/>
        <v>712649</v>
      </c>
      <c r="D2042" s="273">
        <f t="shared" si="454"/>
        <v>712649</v>
      </c>
      <c r="E2042" s="273"/>
      <c r="F2042" s="273">
        <f>13*5250+579542</f>
        <v>647792</v>
      </c>
      <c r="G2042" s="273">
        <f>13*3910</f>
        <v>50830</v>
      </c>
      <c r="H2042" s="273">
        <f>13*1079</f>
        <v>14027</v>
      </c>
      <c r="I2042" s="273"/>
      <c r="J2042" s="273"/>
      <c r="K2042" s="273"/>
      <c r="L2042" s="273"/>
      <c r="M2042" s="273"/>
      <c r="N2042" s="273"/>
      <c r="O2042" s="273"/>
      <c r="P2042" s="273"/>
      <c r="Q2042" s="273"/>
      <c r="R2042" s="273"/>
      <c r="S2042" s="273"/>
      <c r="T2042" s="273"/>
      <c r="U2042" s="273"/>
      <c r="V2042" s="273"/>
      <c r="W2042" s="273"/>
    </row>
    <row r="2043" spans="1:34" x14ac:dyDescent="0.3">
      <c r="A2043" s="10">
        <f t="shared" si="453"/>
        <v>1799</v>
      </c>
      <c r="B2043" s="124" t="s">
        <v>2531</v>
      </c>
      <c r="C2043" s="273">
        <f t="shared" si="451"/>
        <v>13971510</v>
      </c>
      <c r="D2043" s="273">
        <f t="shared" si="454"/>
        <v>0</v>
      </c>
      <c r="E2043" s="273"/>
      <c r="F2043" s="273"/>
      <c r="G2043" s="273"/>
      <c r="H2043" s="273"/>
      <c r="I2043" s="273"/>
      <c r="J2043" s="273"/>
      <c r="K2043" s="273"/>
      <c r="L2043" s="273"/>
      <c r="M2043" s="273"/>
      <c r="N2043" s="273"/>
      <c r="O2043" s="273"/>
      <c r="P2043" s="273"/>
      <c r="Q2043" s="273">
        <v>2705.1</v>
      </c>
      <c r="R2043" s="273">
        <v>13971510</v>
      </c>
      <c r="S2043" s="273"/>
      <c r="T2043" s="273"/>
      <c r="U2043" s="273"/>
      <c r="V2043" s="273"/>
      <c r="W2043" s="273"/>
      <c r="X2043" s="119"/>
      <c r="Y2043" s="119"/>
      <c r="Z2043" s="273"/>
      <c r="AA2043" s="273"/>
      <c r="AB2043" s="261"/>
      <c r="AC2043" s="273"/>
      <c r="AD2043" s="13"/>
      <c r="AE2043" s="273"/>
      <c r="AF2043" s="261"/>
      <c r="AG2043" s="273"/>
      <c r="AH2043" s="13"/>
    </row>
    <row r="2044" spans="1:34" x14ac:dyDescent="0.3">
      <c r="A2044" s="10">
        <f t="shared" si="453"/>
        <v>1800</v>
      </c>
      <c r="B2044" s="124" t="s">
        <v>2532</v>
      </c>
      <c r="C2044" s="273">
        <f t="shared" si="451"/>
        <v>12996634.800000001</v>
      </c>
      <c r="D2044" s="273">
        <f t="shared" si="454"/>
        <v>0</v>
      </c>
      <c r="E2044" s="273"/>
      <c r="F2044" s="273"/>
      <c r="G2044" s="273"/>
      <c r="H2044" s="273"/>
      <c r="I2044" s="273"/>
      <c r="J2044" s="273"/>
      <c r="K2044" s="273"/>
      <c r="L2044" s="273"/>
      <c r="M2044" s="273"/>
      <c r="N2044" s="273"/>
      <c r="O2044" s="273"/>
      <c r="P2044" s="273"/>
      <c r="Q2044" s="273">
        <v>2342.8000000000002</v>
      </c>
      <c r="R2044" s="273">
        <v>12996634.800000001</v>
      </c>
      <c r="S2044" s="273"/>
      <c r="T2044" s="273"/>
      <c r="U2044" s="273"/>
      <c r="V2044" s="273"/>
      <c r="W2044" s="273"/>
      <c r="X2044" s="119"/>
      <c r="Y2044" s="119"/>
      <c r="Z2044" s="273"/>
      <c r="AA2044" s="273"/>
      <c r="AB2044" s="261"/>
      <c r="AC2044" s="273"/>
      <c r="AD2044" s="13"/>
      <c r="AE2044" s="273"/>
      <c r="AF2044" s="261"/>
      <c r="AG2044" s="273"/>
      <c r="AH2044" s="13"/>
    </row>
    <row r="2045" spans="1:34" x14ac:dyDescent="0.3">
      <c r="A2045" s="10">
        <f t="shared" si="453"/>
        <v>1801</v>
      </c>
      <c r="B2045" s="124" t="s">
        <v>2533</v>
      </c>
      <c r="C2045" s="273">
        <f t="shared" si="451"/>
        <v>22422438</v>
      </c>
      <c r="D2045" s="273">
        <f t="shared" si="454"/>
        <v>0</v>
      </c>
      <c r="E2045" s="273"/>
      <c r="F2045" s="273"/>
      <c r="G2045" s="273"/>
      <c r="H2045" s="273"/>
      <c r="I2045" s="273"/>
      <c r="J2045" s="273"/>
      <c r="K2045" s="273"/>
      <c r="L2045" s="273"/>
      <c r="M2045" s="273"/>
      <c r="N2045" s="273"/>
      <c r="O2045" s="273"/>
      <c r="P2045" s="273"/>
      <c r="Q2045" s="273">
        <v>3527.1</v>
      </c>
      <c r="R2045" s="273">
        <v>22422438</v>
      </c>
      <c r="S2045" s="273"/>
      <c r="T2045" s="273"/>
      <c r="U2045" s="273"/>
      <c r="V2045" s="273"/>
      <c r="W2045" s="273"/>
      <c r="X2045" s="119"/>
      <c r="Y2045" s="119"/>
      <c r="Z2045" s="273"/>
      <c r="AA2045" s="273"/>
      <c r="AB2045" s="261"/>
      <c r="AC2045" s="273"/>
      <c r="AD2045" s="13"/>
      <c r="AE2045" s="273"/>
      <c r="AF2045" s="261"/>
      <c r="AG2045" s="273"/>
      <c r="AH2045" s="13"/>
    </row>
    <row r="2046" spans="1:34" x14ac:dyDescent="0.3">
      <c r="A2046" s="10">
        <f t="shared" si="453"/>
        <v>1802</v>
      </c>
      <c r="B2046" s="124" t="s">
        <v>2539</v>
      </c>
      <c r="C2046" s="273">
        <f t="shared" si="451"/>
        <v>11868491.880000001</v>
      </c>
      <c r="D2046" s="273">
        <f t="shared" si="454"/>
        <v>0</v>
      </c>
      <c r="E2046" s="273"/>
      <c r="F2046" s="273"/>
      <c r="G2046" s="273"/>
      <c r="H2046" s="273"/>
      <c r="I2046" s="273"/>
      <c r="J2046" s="273"/>
      <c r="K2046" s="273"/>
      <c r="L2046" s="273"/>
      <c r="M2046" s="273"/>
      <c r="N2046" s="273"/>
      <c r="O2046" s="273"/>
      <c r="P2046" s="273"/>
      <c r="Q2046" s="273">
        <v>2207.6999999999998</v>
      </c>
      <c r="R2046" s="273">
        <v>11868491.880000001</v>
      </c>
      <c r="S2046" s="273"/>
      <c r="T2046" s="273"/>
      <c r="U2046" s="273"/>
      <c r="V2046" s="273"/>
      <c r="W2046" s="273"/>
      <c r="X2046" s="119"/>
      <c r="Y2046" s="119"/>
      <c r="Z2046" s="273"/>
      <c r="AA2046" s="273"/>
      <c r="AB2046" s="261"/>
      <c r="AC2046" s="273"/>
      <c r="AD2046" s="13"/>
      <c r="AE2046" s="273"/>
      <c r="AF2046" s="261"/>
      <c r="AG2046" s="273"/>
      <c r="AH2046" s="13"/>
    </row>
    <row r="2047" spans="1:34" x14ac:dyDescent="0.3">
      <c r="A2047" s="10">
        <f t="shared" si="453"/>
        <v>1803</v>
      </c>
      <c r="B2047" s="124" t="s">
        <v>2540</v>
      </c>
      <c r="C2047" s="273">
        <f t="shared" si="451"/>
        <v>16451414.4</v>
      </c>
      <c r="D2047" s="273">
        <f t="shared" si="454"/>
        <v>0</v>
      </c>
      <c r="E2047" s="273"/>
      <c r="F2047" s="273"/>
      <c r="G2047" s="273"/>
      <c r="H2047" s="273"/>
      <c r="I2047" s="273"/>
      <c r="J2047" s="273"/>
      <c r="K2047" s="273"/>
      <c r="L2047" s="273"/>
      <c r="M2047" s="273"/>
      <c r="N2047" s="273"/>
      <c r="O2047" s="273"/>
      <c r="P2047" s="273"/>
      <c r="Q2047" s="273">
        <v>2616.4</v>
      </c>
      <c r="R2047" s="273">
        <v>16451414.4</v>
      </c>
      <c r="S2047" s="273"/>
      <c r="T2047" s="273"/>
      <c r="U2047" s="273"/>
      <c r="V2047" s="273"/>
      <c r="W2047" s="273"/>
      <c r="X2047" s="119"/>
      <c r="Y2047" s="119"/>
      <c r="Z2047" s="273"/>
      <c r="AA2047" s="273"/>
      <c r="AB2047" s="261"/>
      <c r="AC2047" s="273"/>
      <c r="AD2047" s="13"/>
      <c r="AE2047" s="273"/>
      <c r="AF2047" s="261"/>
      <c r="AG2047" s="273"/>
      <c r="AH2047" s="13"/>
    </row>
    <row r="2048" spans="1:34" x14ac:dyDescent="0.3">
      <c r="A2048" s="10">
        <f t="shared" si="453"/>
        <v>1804</v>
      </c>
      <c r="B2048" s="124" t="s">
        <v>2542</v>
      </c>
      <c r="C2048" s="273">
        <f t="shared" si="451"/>
        <v>14811853.199999999</v>
      </c>
      <c r="D2048" s="273">
        <f t="shared" si="454"/>
        <v>0</v>
      </c>
      <c r="E2048" s="273"/>
      <c r="F2048" s="273"/>
      <c r="G2048" s="273"/>
      <c r="H2048" s="273"/>
      <c r="I2048" s="273"/>
      <c r="J2048" s="273"/>
      <c r="K2048" s="273"/>
      <c r="L2048" s="273"/>
      <c r="M2048" s="273"/>
      <c r="N2048" s="273"/>
      <c r="O2048" s="273"/>
      <c r="P2048" s="273"/>
      <c r="Q2048" s="273">
        <v>2466.1999999999998</v>
      </c>
      <c r="R2048" s="273">
        <v>14811853.199999999</v>
      </c>
      <c r="S2048" s="273"/>
      <c r="T2048" s="273"/>
      <c r="U2048" s="273"/>
      <c r="V2048" s="273"/>
      <c r="W2048" s="273"/>
      <c r="X2048" s="119"/>
      <c r="Y2048" s="119"/>
      <c r="Z2048" s="273"/>
      <c r="AA2048" s="273"/>
      <c r="AB2048" s="261"/>
      <c r="AC2048" s="273"/>
      <c r="AD2048" s="13"/>
      <c r="AE2048" s="273"/>
      <c r="AF2048" s="261"/>
      <c r="AG2048" s="273"/>
      <c r="AH2048" s="13"/>
    </row>
    <row r="2049" spans="1:35" x14ac:dyDescent="0.3">
      <c r="A2049" s="10">
        <f t="shared" si="453"/>
        <v>1805</v>
      </c>
      <c r="B2049" s="124" t="s">
        <v>2543</v>
      </c>
      <c r="C2049" s="273">
        <f t="shared" si="451"/>
        <v>14617674</v>
      </c>
      <c r="D2049" s="273">
        <f t="shared" si="454"/>
        <v>0</v>
      </c>
      <c r="E2049" s="273"/>
      <c r="F2049" s="273"/>
      <c r="G2049" s="273"/>
      <c r="H2049" s="273"/>
      <c r="I2049" s="273"/>
      <c r="J2049" s="273"/>
      <c r="K2049" s="273"/>
      <c r="L2049" s="273"/>
      <c r="M2049" s="273"/>
      <c r="N2049" s="273"/>
      <c r="O2049" s="273"/>
      <c r="P2049" s="273"/>
      <c r="Q2049" s="273">
        <v>2457.8000000000002</v>
      </c>
      <c r="R2049" s="273">
        <v>14617674</v>
      </c>
      <c r="S2049" s="273"/>
      <c r="T2049" s="273"/>
      <c r="U2049" s="273"/>
      <c r="V2049" s="273"/>
      <c r="W2049" s="273"/>
      <c r="X2049" s="119"/>
      <c r="Y2049" s="119"/>
      <c r="Z2049" s="273"/>
      <c r="AA2049" s="273"/>
      <c r="AB2049" s="261"/>
      <c r="AC2049" s="273"/>
      <c r="AD2049" s="13"/>
      <c r="AE2049" s="273"/>
      <c r="AF2049" s="261"/>
      <c r="AG2049" s="273"/>
      <c r="AH2049" s="13"/>
    </row>
    <row r="2050" spans="1:35" x14ac:dyDescent="0.3">
      <c r="A2050" s="10">
        <f t="shared" si="453"/>
        <v>1806</v>
      </c>
      <c r="B2050" s="124" t="s">
        <v>2546</v>
      </c>
      <c r="C2050" s="273">
        <f t="shared" si="451"/>
        <v>11084766</v>
      </c>
      <c r="D2050" s="273">
        <f t="shared" si="454"/>
        <v>0</v>
      </c>
      <c r="E2050" s="273"/>
      <c r="F2050" s="273"/>
      <c r="G2050" s="273"/>
      <c r="H2050" s="273"/>
      <c r="I2050" s="273"/>
      <c r="J2050" s="273"/>
      <c r="K2050" s="273"/>
      <c r="L2050" s="273"/>
      <c r="M2050" s="273"/>
      <c r="N2050" s="273"/>
      <c r="O2050" s="273"/>
      <c r="P2050" s="273"/>
      <c r="Q2050" s="273">
        <f>1993.9</f>
        <v>1993.9</v>
      </c>
      <c r="R2050" s="273">
        <v>11084766</v>
      </c>
      <c r="S2050" s="273"/>
      <c r="T2050" s="273"/>
      <c r="U2050" s="273"/>
      <c r="V2050" s="273"/>
      <c r="W2050" s="273"/>
      <c r="X2050" s="119"/>
      <c r="Y2050" s="119"/>
      <c r="Z2050" s="273"/>
      <c r="AA2050" s="273"/>
      <c r="AB2050" s="261"/>
      <c r="AC2050" s="273"/>
      <c r="AD2050" s="13"/>
      <c r="AE2050" s="273"/>
      <c r="AF2050" s="261"/>
      <c r="AG2050" s="273"/>
      <c r="AH2050" s="13"/>
    </row>
    <row r="2051" spans="1:35" x14ac:dyDescent="0.3">
      <c r="A2051" s="10">
        <f t="shared" si="453"/>
        <v>1807</v>
      </c>
      <c r="B2051" s="124" t="s">
        <v>2547</v>
      </c>
      <c r="C2051" s="273">
        <f t="shared" si="451"/>
        <v>14909371.199999999</v>
      </c>
      <c r="D2051" s="273">
        <f t="shared" si="454"/>
        <v>0</v>
      </c>
      <c r="E2051" s="273"/>
      <c r="F2051" s="273"/>
      <c r="G2051" s="273"/>
      <c r="H2051" s="273"/>
      <c r="I2051" s="273"/>
      <c r="J2051" s="273"/>
      <c r="K2051" s="273"/>
      <c r="L2051" s="273"/>
      <c r="M2051" s="273">
        <f>671.6</f>
        <v>671.6</v>
      </c>
      <c r="N2051" s="273">
        <v>2451657.6</v>
      </c>
      <c r="O2051" s="273"/>
      <c r="P2051" s="273"/>
      <c r="Q2051" s="273">
        <v>2194.5</v>
      </c>
      <c r="R2051" s="273">
        <v>12457713.6</v>
      </c>
      <c r="S2051" s="273"/>
      <c r="T2051" s="273"/>
      <c r="U2051" s="273"/>
      <c r="V2051" s="273"/>
      <c r="W2051" s="273"/>
      <c r="X2051" s="119"/>
      <c r="Y2051" s="119"/>
      <c r="Z2051" s="273"/>
      <c r="AA2051" s="273"/>
      <c r="AB2051" s="261"/>
      <c r="AC2051" s="273"/>
      <c r="AD2051" s="13"/>
      <c r="AE2051" s="273"/>
      <c r="AF2051" s="261"/>
      <c r="AG2051" s="273"/>
      <c r="AH2051" s="13"/>
    </row>
    <row r="2052" spans="1:35" x14ac:dyDescent="0.3">
      <c r="A2052" s="10">
        <f t="shared" si="453"/>
        <v>1808</v>
      </c>
      <c r="B2052" s="124" t="s">
        <v>2548</v>
      </c>
      <c r="C2052" s="273">
        <f t="shared" si="451"/>
        <v>12947301.6</v>
      </c>
      <c r="D2052" s="273">
        <f t="shared" si="454"/>
        <v>0</v>
      </c>
      <c r="E2052" s="273"/>
      <c r="F2052" s="273"/>
      <c r="G2052" s="273"/>
      <c r="H2052" s="273"/>
      <c r="I2052" s="273"/>
      <c r="J2052" s="273"/>
      <c r="K2052" s="273"/>
      <c r="L2052" s="273"/>
      <c r="M2052" s="273"/>
      <c r="N2052" s="273"/>
      <c r="O2052" s="273"/>
      <c r="P2052" s="273"/>
      <c r="Q2052" s="273">
        <v>2359.5</v>
      </c>
      <c r="R2052" s="273">
        <v>12947301.6</v>
      </c>
      <c r="S2052" s="273"/>
      <c r="T2052" s="273"/>
      <c r="U2052" s="273"/>
      <c r="V2052" s="273"/>
      <c r="W2052" s="273"/>
      <c r="X2052" s="119"/>
      <c r="Y2052" s="119"/>
      <c r="Z2052" s="273"/>
      <c r="AA2052" s="273"/>
      <c r="AB2052" s="261"/>
      <c r="AC2052" s="273"/>
      <c r="AD2052" s="13"/>
      <c r="AE2052" s="273"/>
      <c r="AF2052" s="261"/>
      <c r="AG2052" s="273"/>
      <c r="AH2052" s="13"/>
    </row>
    <row r="2053" spans="1:35" x14ac:dyDescent="0.3">
      <c r="A2053" s="10">
        <f t="shared" si="453"/>
        <v>1809</v>
      </c>
      <c r="B2053" s="124" t="s">
        <v>2551</v>
      </c>
      <c r="C2053" s="273">
        <f t="shared" si="451"/>
        <v>10248648</v>
      </c>
      <c r="D2053" s="273">
        <f t="shared" si="454"/>
        <v>0</v>
      </c>
      <c r="E2053" s="273"/>
      <c r="F2053" s="273"/>
      <c r="G2053" s="273"/>
      <c r="H2053" s="273"/>
      <c r="I2053" s="273"/>
      <c r="J2053" s="273"/>
      <c r="K2053" s="273"/>
      <c r="L2053" s="273"/>
      <c r="M2053" s="273"/>
      <c r="N2053" s="273"/>
      <c r="O2053" s="273"/>
      <c r="P2053" s="273"/>
      <c r="Q2053" s="273">
        <v>1944.5</v>
      </c>
      <c r="R2053" s="273">
        <v>10248648</v>
      </c>
      <c r="S2053" s="273"/>
      <c r="T2053" s="273"/>
      <c r="U2053" s="273"/>
      <c r="V2053" s="273"/>
      <c r="W2053" s="273"/>
      <c r="X2053" s="119"/>
      <c r="Y2053" s="119"/>
      <c r="Z2053" s="273"/>
      <c r="AA2053" s="273"/>
      <c r="AB2053" s="261"/>
      <c r="AC2053" s="273"/>
      <c r="AD2053" s="13"/>
      <c r="AE2053" s="273"/>
      <c r="AF2053" s="261"/>
      <c r="AG2053" s="273"/>
      <c r="AH2053" s="13"/>
    </row>
    <row r="2054" spans="1:35" x14ac:dyDescent="0.3">
      <c r="A2054" s="10">
        <f t="shared" si="453"/>
        <v>1810</v>
      </c>
      <c r="B2054" s="124" t="s">
        <v>2552</v>
      </c>
      <c r="C2054" s="273">
        <f t="shared" si="451"/>
        <v>1220877.6000000001</v>
      </c>
      <c r="D2054" s="273">
        <f t="shared" si="454"/>
        <v>1220877.6000000001</v>
      </c>
      <c r="E2054" s="273">
        <v>1220877.6000000001</v>
      </c>
      <c r="F2054" s="273"/>
      <c r="G2054" s="273"/>
      <c r="H2054" s="273"/>
      <c r="I2054" s="273"/>
      <c r="J2054" s="273"/>
      <c r="K2054" s="273"/>
      <c r="L2054" s="273"/>
      <c r="M2054" s="273"/>
      <c r="N2054" s="273"/>
      <c r="O2054" s="273"/>
      <c r="P2054" s="273"/>
      <c r="Q2054" s="273"/>
      <c r="R2054" s="273"/>
      <c r="S2054" s="273"/>
      <c r="T2054" s="273"/>
      <c r="U2054" s="273"/>
      <c r="V2054" s="273"/>
      <c r="W2054" s="273"/>
    </row>
    <row r="2055" spans="1:35" x14ac:dyDescent="0.3">
      <c r="A2055" s="10">
        <f t="shared" si="453"/>
        <v>1811</v>
      </c>
      <c r="B2055" s="124" t="s">
        <v>2553</v>
      </c>
      <c r="C2055" s="273">
        <f t="shared" si="451"/>
        <v>751590</v>
      </c>
      <c r="D2055" s="273">
        <f t="shared" si="454"/>
        <v>751590</v>
      </c>
      <c r="E2055" s="273">
        <f>13*2688+358323*2</f>
        <v>751590</v>
      </c>
      <c r="F2055" s="273"/>
      <c r="G2055" s="273"/>
      <c r="H2055" s="273"/>
      <c r="I2055" s="273"/>
      <c r="J2055" s="273"/>
      <c r="K2055" s="273"/>
      <c r="L2055" s="273"/>
      <c r="M2055" s="273"/>
      <c r="N2055" s="273"/>
      <c r="O2055" s="273"/>
      <c r="P2055" s="273"/>
      <c r="Q2055" s="22"/>
      <c r="R2055" s="273"/>
      <c r="S2055" s="273"/>
      <c r="T2055" s="273"/>
      <c r="U2055" s="273"/>
      <c r="V2055" s="273"/>
      <c r="W2055" s="273"/>
    </row>
    <row r="2056" spans="1:35" x14ac:dyDescent="0.3">
      <c r="A2056" s="10">
        <f t="shared" si="453"/>
        <v>1812</v>
      </c>
      <c r="B2056" s="124" t="s">
        <v>2558</v>
      </c>
      <c r="C2056" s="273">
        <f t="shared" si="451"/>
        <v>87651828</v>
      </c>
      <c r="D2056" s="273">
        <f t="shared" si="454"/>
        <v>0</v>
      </c>
      <c r="E2056" s="273"/>
      <c r="F2056" s="273"/>
      <c r="G2056" s="273"/>
      <c r="H2056" s="273"/>
      <c r="I2056" s="273"/>
      <c r="J2056" s="273"/>
      <c r="K2056" s="273"/>
      <c r="L2056" s="273"/>
      <c r="M2056" s="273"/>
      <c r="N2056" s="273"/>
      <c r="O2056" s="273" t="s">
        <v>3519</v>
      </c>
      <c r="P2056" s="273">
        <f>O2056*26433</f>
        <v>87651828</v>
      </c>
      <c r="Q2056" s="273"/>
      <c r="R2056" s="273"/>
      <c r="S2056" s="273"/>
      <c r="T2056" s="273"/>
      <c r="U2056" s="273"/>
      <c r="V2056" s="273"/>
      <c r="W2056" s="273"/>
    </row>
    <row r="2057" spans="1:35" x14ac:dyDescent="0.3">
      <c r="A2057" s="10">
        <f t="shared" si="453"/>
        <v>1813</v>
      </c>
      <c r="B2057" s="124" t="s">
        <v>2580</v>
      </c>
      <c r="C2057" s="273">
        <f t="shared" si="451"/>
        <v>13620390.84</v>
      </c>
      <c r="D2057" s="273">
        <f t="shared" si="454"/>
        <v>0</v>
      </c>
      <c r="E2057" s="273"/>
      <c r="F2057" s="273"/>
      <c r="G2057" s="273"/>
      <c r="H2057" s="273"/>
      <c r="I2057" s="273"/>
      <c r="J2057" s="273"/>
      <c r="K2057" s="273"/>
      <c r="L2057" s="273"/>
      <c r="M2057" s="273"/>
      <c r="N2057" s="273"/>
      <c r="O2057" s="273"/>
      <c r="P2057" s="273"/>
      <c r="Q2057" s="273">
        <f>2076.4</f>
        <v>2076.4</v>
      </c>
      <c r="R2057" s="273">
        <v>13620390.84</v>
      </c>
      <c r="S2057" s="273"/>
      <c r="T2057" s="273"/>
      <c r="U2057" s="273"/>
      <c r="V2057" s="273"/>
      <c r="W2057" s="273"/>
      <c r="X2057" s="119"/>
      <c r="Y2057" s="119"/>
      <c r="Z2057" s="273"/>
      <c r="AA2057" s="273"/>
      <c r="AB2057" s="261"/>
      <c r="AC2057" s="273"/>
      <c r="AD2057" s="13"/>
      <c r="AE2057" s="273"/>
      <c r="AF2057" s="261"/>
      <c r="AG2057" s="273"/>
      <c r="AH2057" s="13"/>
    </row>
    <row r="2058" spans="1:35" x14ac:dyDescent="0.3">
      <c r="A2058" s="10">
        <f t="shared" si="453"/>
        <v>1814</v>
      </c>
      <c r="B2058" s="124" t="s">
        <v>2593</v>
      </c>
      <c r="C2058" s="273">
        <f t="shared" si="451"/>
        <v>19169011.199999999</v>
      </c>
      <c r="D2058" s="273">
        <f t="shared" si="454"/>
        <v>0</v>
      </c>
      <c r="E2058" s="273"/>
      <c r="F2058" s="273"/>
      <c r="G2058" s="273"/>
      <c r="H2058" s="273"/>
      <c r="I2058" s="273"/>
      <c r="J2058" s="273"/>
      <c r="K2058" s="273"/>
      <c r="L2058" s="273"/>
      <c r="M2058" s="273"/>
      <c r="N2058" s="273"/>
      <c r="O2058" s="273"/>
      <c r="P2058" s="273"/>
      <c r="Q2058" s="273">
        <f>3159.6</f>
        <v>3159.6</v>
      </c>
      <c r="R2058" s="273">
        <v>19169011.199999999</v>
      </c>
      <c r="S2058" s="273"/>
      <c r="T2058" s="273"/>
      <c r="U2058" s="273"/>
      <c r="V2058" s="273"/>
      <c r="W2058" s="273"/>
      <c r="X2058" s="119"/>
      <c r="Y2058" s="119"/>
      <c r="Z2058" s="273"/>
      <c r="AA2058" s="273"/>
      <c r="AB2058" s="261"/>
      <c r="AC2058" s="273"/>
      <c r="AD2058" s="13"/>
      <c r="AE2058" s="273"/>
      <c r="AF2058" s="261"/>
      <c r="AG2058" s="273"/>
      <c r="AH2058" s="13"/>
    </row>
    <row r="2059" spans="1:35" x14ac:dyDescent="0.3">
      <c r="A2059" s="10">
        <f t="shared" si="453"/>
        <v>1815</v>
      </c>
      <c r="B2059" s="124" t="s">
        <v>2594</v>
      </c>
      <c r="C2059" s="273">
        <f t="shared" si="451"/>
        <v>20048709.600000001</v>
      </c>
      <c r="D2059" s="273">
        <f t="shared" si="454"/>
        <v>0</v>
      </c>
      <c r="E2059" s="273"/>
      <c r="F2059" s="273"/>
      <c r="G2059" s="273"/>
      <c r="H2059" s="273"/>
      <c r="I2059" s="273"/>
      <c r="J2059" s="273"/>
      <c r="K2059" s="273"/>
      <c r="L2059" s="273"/>
      <c r="M2059" s="273"/>
      <c r="N2059" s="273"/>
      <c r="O2059" s="273"/>
      <c r="P2059" s="273"/>
      <c r="Q2059" s="273">
        <v>3153.3</v>
      </c>
      <c r="R2059" s="273">
        <v>20048709.600000001</v>
      </c>
      <c r="S2059" s="273"/>
      <c r="T2059" s="273"/>
      <c r="U2059" s="273"/>
      <c r="V2059" s="273"/>
      <c r="W2059" s="273"/>
      <c r="X2059" s="119"/>
      <c r="Y2059" s="119"/>
      <c r="Z2059" s="273"/>
      <c r="AA2059" s="273"/>
      <c r="AB2059" s="261"/>
      <c r="AC2059" s="273"/>
      <c r="AD2059" s="13"/>
      <c r="AE2059" s="273"/>
      <c r="AF2059" s="261"/>
      <c r="AG2059" s="273"/>
      <c r="AH2059" s="13"/>
    </row>
    <row r="2060" spans="1:35" x14ac:dyDescent="0.3">
      <c r="A2060" s="10">
        <f t="shared" si="453"/>
        <v>1816</v>
      </c>
      <c r="B2060" s="124" t="s">
        <v>2597</v>
      </c>
      <c r="C2060" s="273">
        <f t="shared" si="451"/>
        <v>16615316.4</v>
      </c>
      <c r="D2060" s="273">
        <f t="shared" si="454"/>
        <v>1510858.8</v>
      </c>
      <c r="E2060" s="273">
        <v>1510858.8</v>
      </c>
      <c r="F2060" s="273"/>
      <c r="G2060" s="273"/>
      <c r="H2060" s="273"/>
      <c r="I2060" s="273"/>
      <c r="J2060" s="273"/>
      <c r="K2060" s="273"/>
      <c r="L2060" s="273"/>
      <c r="M2060" s="273"/>
      <c r="N2060" s="273"/>
      <c r="O2060" s="273"/>
      <c r="P2060" s="273"/>
      <c r="Q2060" s="273">
        <v>3478.3</v>
      </c>
      <c r="R2060" s="273">
        <v>15104457.6</v>
      </c>
      <c r="S2060" s="273"/>
      <c r="T2060" s="273"/>
      <c r="U2060" s="273"/>
      <c r="V2060" s="273"/>
      <c r="W2060" s="273"/>
      <c r="X2060" s="119"/>
      <c r="Y2060" s="119"/>
      <c r="Z2060" s="273"/>
      <c r="AA2060" s="273"/>
      <c r="AB2060" s="261"/>
      <c r="AC2060" s="273"/>
      <c r="AD2060" s="13"/>
      <c r="AE2060" s="273"/>
      <c r="AF2060" s="261"/>
      <c r="AG2060" s="273"/>
      <c r="AH2060" s="13"/>
    </row>
    <row r="2061" spans="1:35" x14ac:dyDescent="0.3">
      <c r="A2061" s="10">
        <f t="shared" si="453"/>
        <v>1817</v>
      </c>
      <c r="B2061" s="124" t="s">
        <v>2598</v>
      </c>
      <c r="C2061" s="273">
        <f t="shared" si="451"/>
        <v>6007328.4000000004</v>
      </c>
      <c r="D2061" s="273">
        <f t="shared" si="454"/>
        <v>0</v>
      </c>
      <c r="E2061" s="273"/>
      <c r="F2061" s="273"/>
      <c r="G2061" s="273"/>
      <c r="H2061" s="273"/>
      <c r="I2061" s="273"/>
      <c r="J2061" s="273"/>
      <c r="K2061" s="273"/>
      <c r="L2061" s="273"/>
      <c r="M2061" s="273"/>
      <c r="N2061" s="273"/>
      <c r="O2061" s="273"/>
      <c r="P2061" s="273"/>
      <c r="Q2061" s="273">
        <v>3890</v>
      </c>
      <c r="R2061" s="273">
        <v>6007328.4000000004</v>
      </c>
      <c r="S2061" s="273"/>
      <c r="T2061" s="273"/>
      <c r="U2061" s="273"/>
      <c r="V2061" s="273"/>
      <c r="W2061" s="273"/>
      <c r="X2061" s="119"/>
      <c r="Y2061" s="119"/>
      <c r="Z2061" s="273"/>
      <c r="AA2061" s="273"/>
      <c r="AB2061" s="261"/>
      <c r="AC2061" s="273"/>
      <c r="AD2061" s="13"/>
      <c r="AE2061" s="273"/>
      <c r="AF2061" s="261"/>
      <c r="AG2061" s="273"/>
      <c r="AH2061" s="13"/>
    </row>
    <row r="2062" spans="1:35" x14ac:dyDescent="0.3">
      <c r="A2062" s="10">
        <f t="shared" si="453"/>
        <v>1818</v>
      </c>
      <c r="B2062" s="124" t="s">
        <v>2614</v>
      </c>
      <c r="C2062" s="273">
        <f t="shared" si="451"/>
        <v>26576047.440000001</v>
      </c>
      <c r="D2062" s="273">
        <f t="shared" si="454"/>
        <v>0</v>
      </c>
      <c r="E2062" s="273"/>
      <c r="F2062" s="273"/>
      <c r="G2062" s="273"/>
      <c r="H2062" s="273"/>
      <c r="I2062" s="273"/>
      <c r="J2062" s="273"/>
      <c r="K2062" s="273"/>
      <c r="L2062" s="273"/>
      <c r="M2062" s="273">
        <v>13</v>
      </c>
      <c r="N2062" s="273">
        <v>8643672</v>
      </c>
      <c r="O2062" s="273"/>
      <c r="P2062" s="273"/>
      <c r="Q2062" s="273">
        <v>3718.4</v>
      </c>
      <c r="R2062" s="273">
        <v>17932375.440000001</v>
      </c>
      <c r="S2062" s="273"/>
      <c r="T2062" s="273"/>
      <c r="U2062" s="273"/>
      <c r="V2062" s="273"/>
      <c r="W2062" s="273"/>
      <c r="X2062" s="119"/>
      <c r="Y2062" s="119"/>
      <c r="Z2062" s="273"/>
      <c r="AA2062" s="273"/>
      <c r="AB2062" s="261"/>
      <c r="AC2062" s="273"/>
      <c r="AD2062" s="13"/>
      <c r="AE2062" s="273"/>
      <c r="AF2062" s="261"/>
      <c r="AG2062" s="273"/>
      <c r="AH2062" s="13"/>
    </row>
    <row r="2063" spans="1:35" x14ac:dyDescent="0.3">
      <c r="A2063" s="131" t="s">
        <v>2615</v>
      </c>
      <c r="B2063" s="111"/>
      <c r="C2063" s="251">
        <f t="shared" ref="C2063:W2063" si="455">SUM(C2030:C2062)</f>
        <v>543609795.01999998</v>
      </c>
      <c r="D2063" s="251">
        <f t="shared" si="455"/>
        <v>5952224.6000000006</v>
      </c>
      <c r="E2063" s="251">
        <f t="shared" si="455"/>
        <v>5239575.5999999996</v>
      </c>
      <c r="F2063" s="251">
        <f t="shared" si="455"/>
        <v>647792</v>
      </c>
      <c r="G2063" s="251">
        <f t="shared" si="455"/>
        <v>50830</v>
      </c>
      <c r="H2063" s="251">
        <f t="shared" si="455"/>
        <v>14027</v>
      </c>
      <c r="I2063" s="251">
        <f t="shared" si="455"/>
        <v>0</v>
      </c>
      <c r="J2063" s="251">
        <f t="shared" si="455"/>
        <v>0</v>
      </c>
      <c r="K2063" s="251">
        <f t="shared" si="455"/>
        <v>0</v>
      </c>
      <c r="L2063" s="251">
        <f t="shared" si="455"/>
        <v>0</v>
      </c>
      <c r="M2063" s="251">
        <f t="shared" si="455"/>
        <v>697.6</v>
      </c>
      <c r="N2063" s="251">
        <f t="shared" si="455"/>
        <v>19002768</v>
      </c>
      <c r="O2063" s="251">
        <f t="shared" si="455"/>
        <v>0</v>
      </c>
      <c r="P2063" s="251">
        <f t="shared" si="455"/>
        <v>87651828</v>
      </c>
      <c r="Q2063" s="251">
        <f t="shared" si="455"/>
        <v>74709.079999999987</v>
      </c>
      <c r="R2063" s="251">
        <f t="shared" si="455"/>
        <v>429414482.20000005</v>
      </c>
      <c r="S2063" s="251">
        <f t="shared" si="455"/>
        <v>0</v>
      </c>
      <c r="T2063" s="251">
        <f t="shared" si="455"/>
        <v>0</v>
      </c>
      <c r="U2063" s="251">
        <f t="shared" si="455"/>
        <v>0</v>
      </c>
      <c r="V2063" s="251">
        <f t="shared" si="455"/>
        <v>0</v>
      </c>
      <c r="W2063" s="251">
        <f t="shared" si="455"/>
        <v>1588492.22</v>
      </c>
      <c r="X2063" s="273"/>
      <c r="Y2063" s="273"/>
      <c r="Z2063" s="273"/>
      <c r="AA2063" s="273"/>
      <c r="AB2063" s="14"/>
      <c r="AC2063" s="259"/>
      <c r="AD2063" s="13"/>
      <c r="AE2063" s="273"/>
      <c r="AF2063" s="14"/>
      <c r="AG2063" s="259"/>
      <c r="AH2063" s="13"/>
    </row>
    <row r="2064" spans="1:35" x14ac:dyDescent="0.3">
      <c r="A2064" s="410" t="s">
        <v>2616</v>
      </c>
      <c r="B2064" s="411"/>
      <c r="C2064" s="411"/>
      <c r="D2064" s="411"/>
      <c r="E2064" s="411"/>
      <c r="F2064" s="411"/>
      <c r="G2064" s="411"/>
      <c r="H2064" s="411"/>
      <c r="I2064" s="411"/>
      <c r="J2064" s="411"/>
      <c r="K2064" s="411"/>
      <c r="L2064" s="411"/>
      <c r="M2064" s="411"/>
      <c r="N2064" s="411"/>
      <c r="O2064" s="411"/>
      <c r="P2064" s="411"/>
      <c r="Q2064" s="411"/>
      <c r="R2064" s="411"/>
      <c r="S2064" s="411"/>
      <c r="T2064" s="411"/>
      <c r="U2064" s="411"/>
      <c r="V2064" s="411"/>
      <c r="W2064" s="412"/>
      <c r="X2064" s="269"/>
      <c r="Y2064" s="269"/>
      <c r="Z2064" s="269"/>
      <c r="AA2064" s="269"/>
      <c r="AB2064" s="269"/>
      <c r="AC2064" s="269"/>
      <c r="AD2064" s="269"/>
      <c r="AE2064" s="7"/>
      <c r="AF2064" s="13"/>
      <c r="AG2064" s="13"/>
      <c r="AH2064" s="13"/>
      <c r="AI2064" s="13"/>
    </row>
    <row r="2065" spans="1:35" x14ac:dyDescent="0.3">
      <c r="A2065" s="131" t="s">
        <v>144</v>
      </c>
      <c r="B2065" s="111"/>
      <c r="C2065" s="251"/>
      <c r="D2065" s="251"/>
      <c r="E2065" s="251"/>
      <c r="F2065" s="251"/>
      <c r="G2065" s="251"/>
      <c r="H2065" s="251"/>
      <c r="I2065" s="251"/>
      <c r="J2065" s="251"/>
      <c r="K2065" s="251"/>
      <c r="L2065" s="251"/>
      <c r="M2065" s="251"/>
      <c r="N2065" s="251"/>
      <c r="O2065" s="251"/>
      <c r="P2065" s="251"/>
      <c r="Q2065" s="251"/>
      <c r="R2065" s="251"/>
      <c r="S2065" s="251"/>
      <c r="T2065" s="251"/>
      <c r="U2065" s="251"/>
      <c r="V2065" s="251"/>
      <c r="W2065" s="251"/>
      <c r="X2065" s="269"/>
      <c r="Y2065" s="269"/>
      <c r="Z2065" s="269"/>
      <c r="AA2065" s="269"/>
      <c r="AB2065" s="269"/>
      <c r="AC2065" s="269"/>
      <c r="AD2065" s="269"/>
      <c r="AE2065" s="7"/>
      <c r="AF2065" s="13"/>
      <c r="AG2065" s="13"/>
      <c r="AH2065" s="13"/>
      <c r="AI2065" s="13"/>
    </row>
    <row r="2066" spans="1:35" x14ac:dyDescent="0.3">
      <c r="A2066" s="10">
        <f>A2062+1</f>
        <v>1819</v>
      </c>
      <c r="B2066" s="124" t="s">
        <v>2617</v>
      </c>
      <c r="C2066" s="273">
        <f>D2066+K2066+L2066+N2066+P2066+R2066+S2066+U2066+V2066+W2066</f>
        <v>467222.32999999996</v>
      </c>
      <c r="D2066" s="273">
        <f>E2066+F2066+G2066+H2066</f>
        <v>0</v>
      </c>
      <c r="E2066" s="273"/>
      <c r="F2066" s="273"/>
      <c r="G2066" s="273"/>
      <c r="H2066" s="273"/>
      <c r="I2066" s="273"/>
      <c r="J2066" s="273"/>
      <c r="K2066" s="273"/>
      <c r="L2066" s="273"/>
      <c r="M2066" s="273"/>
      <c r="N2066" s="273"/>
      <c r="O2066" s="273"/>
      <c r="P2066" s="273"/>
      <c r="Q2066" s="273"/>
      <c r="R2066" s="273"/>
      <c r="S2066" s="273"/>
      <c r="T2066" s="273"/>
      <c r="U2066" s="273"/>
      <c r="V2066" s="273"/>
      <c r="W2066" s="273">
        <f>SUM(X2066:AI2066)</f>
        <v>467222.32999999996</v>
      </c>
      <c r="X2066" s="269">
        <v>92983.26</v>
      </c>
      <c r="Y2066" s="269">
        <v>114002.58</v>
      </c>
      <c r="Z2066" s="269">
        <v>101082.9</v>
      </c>
      <c r="AA2066" s="269"/>
      <c r="AB2066" s="269"/>
      <c r="AC2066" s="269"/>
      <c r="AE2066" s="269">
        <v>159153.59</v>
      </c>
      <c r="AF2066" s="13"/>
      <c r="AG2066" s="13"/>
      <c r="AH2066" s="13"/>
      <c r="AI2066" s="13"/>
    </row>
    <row r="2067" spans="1:35" x14ac:dyDescent="0.3">
      <c r="A2067" s="10">
        <f>A2066+1</f>
        <v>1820</v>
      </c>
      <c r="B2067" s="124" t="s">
        <v>2618</v>
      </c>
      <c r="C2067" s="273">
        <f>D2067+K2067+L2067+N2067+P2067+R2067+S2067+U2067+V2067+W2067</f>
        <v>516129.01</v>
      </c>
      <c r="D2067" s="273">
        <f>E2067+F2067+G2067+H2067</f>
        <v>0</v>
      </c>
      <c r="E2067" s="273"/>
      <c r="F2067" s="273"/>
      <c r="G2067" s="273"/>
      <c r="H2067" s="273"/>
      <c r="I2067" s="273"/>
      <c r="J2067" s="273"/>
      <c r="K2067" s="273"/>
      <c r="L2067" s="273"/>
      <c r="M2067" s="273"/>
      <c r="N2067" s="273"/>
      <c r="O2067" s="273"/>
      <c r="P2067" s="273"/>
      <c r="Q2067" s="273"/>
      <c r="R2067" s="273"/>
      <c r="S2067" s="273"/>
      <c r="T2067" s="273"/>
      <c r="U2067" s="273"/>
      <c r="V2067" s="273"/>
      <c r="W2067" s="273">
        <f>SUM(X2067:AI2067)</f>
        <v>516129.01</v>
      </c>
      <c r="X2067" s="269">
        <v>103821.6</v>
      </c>
      <c r="Y2067" s="269">
        <v>125417.81</v>
      </c>
      <c r="Z2067" s="269">
        <v>110649.74</v>
      </c>
      <c r="AA2067" s="269"/>
      <c r="AB2067" s="269"/>
      <c r="AC2067" s="269"/>
      <c r="AE2067" s="269">
        <v>176239.86</v>
      </c>
      <c r="AF2067" s="13"/>
      <c r="AG2067" s="13"/>
      <c r="AH2067" s="13"/>
      <c r="AI2067" s="13"/>
    </row>
    <row r="2068" spans="1:35" x14ac:dyDescent="0.3">
      <c r="A2068" s="133" t="s">
        <v>208</v>
      </c>
      <c r="B2068" s="122"/>
      <c r="C2068" s="273">
        <f t="shared" ref="C2068:W2068" si="456">SUBTOTAL(9,C2066:C2067)</f>
        <v>983351.34</v>
      </c>
      <c r="D2068" s="273">
        <f t="shared" si="456"/>
        <v>0</v>
      </c>
      <c r="E2068" s="273">
        <f t="shared" si="456"/>
        <v>0</v>
      </c>
      <c r="F2068" s="273">
        <f t="shared" si="456"/>
        <v>0</v>
      </c>
      <c r="G2068" s="273">
        <f t="shared" si="456"/>
        <v>0</v>
      </c>
      <c r="H2068" s="273">
        <f t="shared" si="456"/>
        <v>0</v>
      </c>
      <c r="I2068" s="273">
        <f t="shared" si="456"/>
        <v>0</v>
      </c>
      <c r="J2068" s="273">
        <f t="shared" si="456"/>
        <v>0</v>
      </c>
      <c r="K2068" s="273">
        <f t="shared" si="456"/>
        <v>0</v>
      </c>
      <c r="L2068" s="273">
        <f t="shared" si="456"/>
        <v>0</v>
      </c>
      <c r="M2068" s="273">
        <f t="shared" si="456"/>
        <v>0</v>
      </c>
      <c r="N2068" s="273">
        <f t="shared" si="456"/>
        <v>0</v>
      </c>
      <c r="O2068" s="273">
        <f t="shared" si="456"/>
        <v>0</v>
      </c>
      <c r="P2068" s="273">
        <f t="shared" si="456"/>
        <v>0</v>
      </c>
      <c r="Q2068" s="273">
        <f t="shared" si="456"/>
        <v>0</v>
      </c>
      <c r="R2068" s="273">
        <f t="shared" si="456"/>
        <v>0</v>
      </c>
      <c r="S2068" s="273">
        <f t="shared" si="456"/>
        <v>0</v>
      </c>
      <c r="T2068" s="273">
        <f t="shared" si="456"/>
        <v>0</v>
      </c>
      <c r="U2068" s="273">
        <f t="shared" si="456"/>
        <v>0</v>
      </c>
      <c r="V2068" s="273">
        <f t="shared" si="456"/>
        <v>0</v>
      </c>
      <c r="W2068" s="273">
        <f t="shared" si="456"/>
        <v>983351.34</v>
      </c>
      <c r="X2068" s="269"/>
      <c r="Y2068" s="269"/>
      <c r="Z2068" s="269"/>
      <c r="AA2068" s="269"/>
      <c r="AB2068" s="269"/>
      <c r="AC2068" s="269"/>
      <c r="AD2068" s="269"/>
      <c r="AE2068" s="7"/>
      <c r="AF2068" s="13"/>
      <c r="AG2068" s="13"/>
      <c r="AH2068" s="13"/>
      <c r="AI2068" s="13"/>
    </row>
    <row r="2069" spans="1:35" x14ac:dyDescent="0.3">
      <c r="A2069" s="131" t="s">
        <v>2622</v>
      </c>
      <c r="B2069" s="111"/>
      <c r="C2069" s="273"/>
      <c r="D2069" s="273"/>
      <c r="E2069" s="273"/>
      <c r="F2069" s="273"/>
      <c r="G2069" s="273"/>
      <c r="H2069" s="273"/>
      <c r="I2069" s="273"/>
      <c r="J2069" s="273"/>
      <c r="K2069" s="273"/>
      <c r="L2069" s="273"/>
      <c r="M2069" s="273"/>
      <c r="N2069" s="273"/>
      <c r="O2069" s="273"/>
      <c r="P2069" s="273"/>
      <c r="Q2069" s="273"/>
      <c r="R2069" s="273"/>
      <c r="S2069" s="273"/>
      <c r="T2069" s="273"/>
      <c r="U2069" s="273"/>
      <c r="V2069" s="273"/>
      <c r="W2069" s="273"/>
      <c r="X2069" s="269"/>
      <c r="Y2069" s="269"/>
      <c r="Z2069" s="269"/>
      <c r="AA2069" s="269"/>
      <c r="AB2069" s="269"/>
      <c r="AC2069" s="269"/>
      <c r="AD2069" s="269"/>
      <c r="AE2069" s="7"/>
      <c r="AF2069" s="13"/>
      <c r="AG2069" s="13"/>
      <c r="AH2069" s="13"/>
      <c r="AI2069" s="13"/>
    </row>
    <row r="2070" spans="1:35" x14ac:dyDescent="0.3">
      <c r="A2070" s="10">
        <f>A2067+1</f>
        <v>1821</v>
      </c>
      <c r="B2070" s="124" t="s">
        <v>2623</v>
      </c>
      <c r="C2070" s="273">
        <f t="shared" ref="C2070:C2077" si="457">D2070+K2070+L2070+N2070+P2070+R2070+S2070+U2070+V2070+W2070</f>
        <v>130000</v>
      </c>
      <c r="D2070" s="273">
        <f t="shared" ref="D2070:D2077" si="458">E2070+F2070+G2070+H2070</f>
        <v>0</v>
      </c>
      <c r="E2070" s="273"/>
      <c r="F2070" s="273"/>
      <c r="G2070" s="273"/>
      <c r="H2070" s="273"/>
      <c r="I2070" s="273"/>
      <c r="J2070" s="273"/>
      <c r="K2070" s="273"/>
      <c r="L2070" s="273"/>
      <c r="M2070" s="273"/>
      <c r="N2070" s="273"/>
      <c r="O2070" s="273"/>
      <c r="P2070" s="273"/>
      <c r="Q2070" s="273"/>
      <c r="R2070" s="273"/>
      <c r="S2070" s="273"/>
      <c r="T2070" s="273"/>
      <c r="U2070" s="273"/>
      <c r="V2070" s="273"/>
      <c r="W2070" s="273">
        <v>130000</v>
      </c>
      <c r="X2070" s="269"/>
      <c r="Y2070" s="269"/>
      <c r="Z2070" s="269"/>
      <c r="AA2070" s="269"/>
      <c r="AB2070" s="269"/>
      <c r="AC2070" s="269"/>
      <c r="AD2070" s="269"/>
      <c r="AE2070" s="7"/>
      <c r="AF2070" s="13"/>
      <c r="AG2070" s="13"/>
      <c r="AH2070" s="13"/>
      <c r="AI2070" s="13"/>
    </row>
    <row r="2071" spans="1:35" x14ac:dyDescent="0.3">
      <c r="A2071" s="10">
        <f t="shared" ref="A2071:A2077" si="459">A2070+1</f>
        <v>1822</v>
      </c>
      <c r="B2071" s="124" t="s">
        <v>2624</v>
      </c>
      <c r="C2071" s="273">
        <f t="shared" si="457"/>
        <v>130000</v>
      </c>
      <c r="D2071" s="273">
        <f t="shared" si="458"/>
        <v>0</v>
      </c>
      <c r="E2071" s="273"/>
      <c r="F2071" s="273"/>
      <c r="G2071" s="273"/>
      <c r="H2071" s="273"/>
      <c r="I2071" s="273"/>
      <c r="J2071" s="273"/>
      <c r="K2071" s="273"/>
      <c r="L2071" s="273"/>
      <c r="M2071" s="273"/>
      <c r="N2071" s="273"/>
      <c r="O2071" s="273"/>
      <c r="P2071" s="273"/>
      <c r="Q2071" s="273"/>
      <c r="R2071" s="273"/>
      <c r="S2071" s="273"/>
      <c r="T2071" s="273"/>
      <c r="U2071" s="273"/>
      <c r="V2071" s="273"/>
      <c r="W2071" s="273">
        <v>130000</v>
      </c>
      <c r="X2071" s="269"/>
      <c r="Y2071" s="269"/>
      <c r="Z2071" s="269"/>
      <c r="AA2071" s="269"/>
      <c r="AB2071" s="269"/>
      <c r="AC2071" s="269"/>
      <c r="AD2071" s="269"/>
      <c r="AE2071" s="7"/>
      <c r="AF2071" s="13"/>
      <c r="AG2071" s="13"/>
      <c r="AH2071" s="13"/>
      <c r="AI2071" s="13"/>
    </row>
    <row r="2072" spans="1:35" x14ac:dyDescent="0.3">
      <c r="A2072" s="10">
        <f t="shared" si="459"/>
        <v>1823</v>
      </c>
      <c r="B2072" s="124" t="s">
        <v>2625</v>
      </c>
      <c r="C2072" s="273">
        <f t="shared" si="457"/>
        <v>96677.3</v>
      </c>
      <c r="D2072" s="273">
        <f t="shared" si="458"/>
        <v>0</v>
      </c>
      <c r="E2072" s="273"/>
      <c r="F2072" s="273"/>
      <c r="G2072" s="273"/>
      <c r="H2072" s="273"/>
      <c r="I2072" s="273"/>
      <c r="J2072" s="273"/>
      <c r="K2072" s="273"/>
      <c r="L2072" s="273"/>
      <c r="M2072" s="273"/>
      <c r="N2072" s="273"/>
      <c r="O2072" s="273"/>
      <c r="P2072" s="273"/>
      <c r="Q2072" s="273"/>
      <c r="R2072" s="273"/>
      <c r="S2072" s="273"/>
      <c r="T2072" s="273"/>
      <c r="U2072" s="273"/>
      <c r="V2072" s="273"/>
      <c r="W2072" s="273">
        <f t="shared" ref="W2072:W2077" si="460">SUM(Y2072:AJ2072)</f>
        <v>96677.3</v>
      </c>
      <c r="Y2072" s="269"/>
      <c r="Z2072" s="269"/>
      <c r="AA2072" s="269"/>
      <c r="AB2072" s="269"/>
      <c r="AC2072" s="269">
        <v>96677.3</v>
      </c>
      <c r="AD2072" s="269"/>
      <c r="AE2072" s="7"/>
      <c r="AF2072" s="13"/>
      <c r="AG2072" s="13"/>
      <c r="AH2072" s="13"/>
      <c r="AI2072" s="13"/>
    </row>
    <row r="2073" spans="1:35" x14ac:dyDescent="0.3">
      <c r="A2073" s="10">
        <f t="shared" si="459"/>
        <v>1824</v>
      </c>
      <c r="B2073" s="124" t="s">
        <v>2626</v>
      </c>
      <c r="C2073" s="273">
        <f t="shared" si="457"/>
        <v>169070.9</v>
      </c>
      <c r="D2073" s="273">
        <f t="shared" si="458"/>
        <v>0</v>
      </c>
      <c r="E2073" s="273"/>
      <c r="F2073" s="273"/>
      <c r="G2073" s="273"/>
      <c r="H2073" s="273"/>
      <c r="I2073" s="273"/>
      <c r="J2073" s="273"/>
      <c r="K2073" s="273"/>
      <c r="L2073" s="273"/>
      <c r="M2073" s="273"/>
      <c r="N2073" s="273"/>
      <c r="O2073" s="273"/>
      <c r="P2073" s="273"/>
      <c r="Q2073" s="273"/>
      <c r="R2073" s="273"/>
      <c r="S2073" s="273"/>
      <c r="T2073" s="273"/>
      <c r="U2073" s="273"/>
      <c r="V2073" s="273"/>
      <c r="W2073" s="273">
        <f t="shared" si="460"/>
        <v>169070.9</v>
      </c>
      <c r="Y2073" s="269"/>
      <c r="Z2073" s="269"/>
      <c r="AA2073" s="269"/>
      <c r="AB2073" s="269"/>
      <c r="AC2073" s="269"/>
      <c r="AD2073" s="269"/>
      <c r="AE2073" s="7"/>
      <c r="AF2073" s="13"/>
      <c r="AG2073" s="13">
        <v>169070.9</v>
      </c>
      <c r="AH2073" s="13"/>
      <c r="AI2073" s="13"/>
    </row>
    <row r="2074" spans="1:35" x14ac:dyDescent="0.3">
      <c r="A2074" s="10">
        <f t="shared" si="459"/>
        <v>1825</v>
      </c>
      <c r="B2074" s="124" t="s">
        <v>2627</v>
      </c>
      <c r="C2074" s="273">
        <f t="shared" si="457"/>
        <v>216178.5</v>
      </c>
      <c r="D2074" s="273">
        <f t="shared" si="458"/>
        <v>0</v>
      </c>
      <c r="E2074" s="273"/>
      <c r="F2074" s="273"/>
      <c r="G2074" s="273"/>
      <c r="H2074" s="273"/>
      <c r="I2074" s="273"/>
      <c r="J2074" s="273"/>
      <c r="K2074" s="273"/>
      <c r="L2074" s="273"/>
      <c r="M2074" s="273"/>
      <c r="N2074" s="273"/>
      <c r="O2074" s="273"/>
      <c r="P2074" s="273"/>
      <c r="Q2074" s="273"/>
      <c r="R2074" s="273"/>
      <c r="S2074" s="273"/>
      <c r="T2074" s="273"/>
      <c r="U2074" s="273"/>
      <c r="V2074" s="273"/>
      <c r="W2074" s="273">
        <f t="shared" si="460"/>
        <v>216178.5</v>
      </c>
      <c r="Y2074" s="269"/>
      <c r="Z2074" s="269"/>
      <c r="AA2074" s="269"/>
      <c r="AB2074" s="269"/>
      <c r="AC2074" s="269">
        <v>116794.9</v>
      </c>
      <c r="AD2074" s="269"/>
      <c r="AF2074" s="7">
        <v>99383.6</v>
      </c>
      <c r="AG2074" s="13"/>
      <c r="AH2074" s="13"/>
      <c r="AI2074" s="13"/>
    </row>
    <row r="2075" spans="1:35" x14ac:dyDescent="0.3">
      <c r="A2075" s="10">
        <f t="shared" si="459"/>
        <v>1826</v>
      </c>
      <c r="B2075" s="124" t="s">
        <v>2628</v>
      </c>
      <c r="C2075" s="273">
        <f t="shared" si="457"/>
        <v>216178.5</v>
      </c>
      <c r="D2075" s="273">
        <f t="shared" si="458"/>
        <v>0</v>
      </c>
      <c r="E2075" s="273"/>
      <c r="F2075" s="273"/>
      <c r="G2075" s="273"/>
      <c r="H2075" s="273"/>
      <c r="I2075" s="273"/>
      <c r="J2075" s="273"/>
      <c r="K2075" s="273"/>
      <c r="L2075" s="273"/>
      <c r="M2075" s="273"/>
      <c r="N2075" s="273"/>
      <c r="O2075" s="273"/>
      <c r="P2075" s="273"/>
      <c r="Q2075" s="273"/>
      <c r="R2075" s="273"/>
      <c r="S2075" s="273"/>
      <c r="T2075" s="273"/>
      <c r="U2075" s="273"/>
      <c r="V2075" s="273"/>
      <c r="W2075" s="273">
        <f t="shared" si="460"/>
        <v>216178.5</v>
      </c>
      <c r="Y2075" s="269"/>
      <c r="Z2075" s="269"/>
      <c r="AA2075" s="269"/>
      <c r="AB2075" s="269"/>
      <c r="AC2075" s="269">
        <v>116794.9</v>
      </c>
      <c r="AD2075" s="269"/>
      <c r="AF2075" s="7">
        <v>99383.6</v>
      </c>
      <c r="AG2075" s="13"/>
      <c r="AH2075" s="13"/>
      <c r="AI2075" s="13"/>
    </row>
    <row r="2076" spans="1:35" x14ac:dyDescent="0.3">
      <c r="A2076" s="10">
        <f t="shared" si="459"/>
        <v>1827</v>
      </c>
      <c r="B2076" s="124" t="s">
        <v>2629</v>
      </c>
      <c r="C2076" s="273">
        <f t="shared" si="457"/>
        <v>99507.53</v>
      </c>
      <c r="D2076" s="273">
        <f t="shared" si="458"/>
        <v>0</v>
      </c>
      <c r="E2076" s="273"/>
      <c r="F2076" s="273"/>
      <c r="G2076" s="273"/>
      <c r="H2076" s="273"/>
      <c r="I2076" s="273"/>
      <c r="J2076" s="273"/>
      <c r="K2076" s="273"/>
      <c r="L2076" s="273"/>
      <c r="M2076" s="273"/>
      <c r="N2076" s="273"/>
      <c r="O2076" s="273"/>
      <c r="P2076" s="273"/>
      <c r="Q2076" s="273"/>
      <c r="R2076" s="273"/>
      <c r="S2076" s="273"/>
      <c r="T2076" s="273"/>
      <c r="U2076" s="273"/>
      <c r="V2076" s="273"/>
      <c r="W2076" s="273">
        <f t="shared" si="460"/>
        <v>99507.53</v>
      </c>
      <c r="Y2076" s="269"/>
      <c r="Z2076" s="269"/>
      <c r="AA2076" s="269"/>
      <c r="AB2076" s="269"/>
      <c r="AC2076" s="269"/>
      <c r="AD2076" s="269"/>
      <c r="AF2076" s="7">
        <v>99507.53</v>
      </c>
      <c r="AG2076" s="13"/>
      <c r="AH2076" s="13"/>
      <c r="AI2076" s="13"/>
    </row>
    <row r="2077" spans="1:35" x14ac:dyDescent="0.3">
      <c r="A2077" s="10">
        <f t="shared" si="459"/>
        <v>1828</v>
      </c>
      <c r="B2077" s="124" t="s">
        <v>2630</v>
      </c>
      <c r="C2077" s="273">
        <f t="shared" si="457"/>
        <v>117119.54</v>
      </c>
      <c r="D2077" s="273">
        <f t="shared" si="458"/>
        <v>0</v>
      </c>
      <c r="E2077" s="273"/>
      <c r="F2077" s="273"/>
      <c r="G2077" s="273"/>
      <c r="H2077" s="273"/>
      <c r="I2077" s="273"/>
      <c r="J2077" s="273"/>
      <c r="K2077" s="273"/>
      <c r="L2077" s="273"/>
      <c r="M2077" s="273"/>
      <c r="N2077" s="273"/>
      <c r="O2077" s="273"/>
      <c r="P2077" s="273"/>
      <c r="Q2077" s="273"/>
      <c r="R2077" s="273"/>
      <c r="S2077" s="273"/>
      <c r="T2077" s="273"/>
      <c r="U2077" s="273"/>
      <c r="V2077" s="273"/>
      <c r="W2077" s="273">
        <f t="shared" si="460"/>
        <v>117119.54</v>
      </c>
      <c r="Y2077" s="269"/>
      <c r="Z2077" s="269"/>
      <c r="AA2077" s="269"/>
      <c r="AB2077" s="269"/>
      <c r="AC2077" s="269">
        <v>117119.54</v>
      </c>
      <c r="AD2077" s="269"/>
      <c r="AE2077" s="7"/>
      <c r="AF2077" s="13"/>
      <c r="AG2077" s="13"/>
      <c r="AH2077" s="13"/>
      <c r="AI2077" s="13"/>
    </row>
    <row r="2078" spans="1:35" x14ac:dyDescent="0.3">
      <c r="A2078" s="133" t="s">
        <v>208</v>
      </c>
      <c r="B2078" s="122"/>
      <c r="C2078" s="273">
        <f t="shared" ref="C2078:W2078" si="461">SUBTOTAL(9,C2070:C2077)</f>
        <v>1174732.27</v>
      </c>
      <c r="D2078" s="273">
        <f t="shared" si="461"/>
        <v>0</v>
      </c>
      <c r="E2078" s="273">
        <f t="shared" si="461"/>
        <v>0</v>
      </c>
      <c r="F2078" s="273">
        <f t="shared" si="461"/>
        <v>0</v>
      </c>
      <c r="G2078" s="273">
        <f t="shared" si="461"/>
        <v>0</v>
      </c>
      <c r="H2078" s="273">
        <f t="shared" si="461"/>
        <v>0</v>
      </c>
      <c r="I2078" s="273">
        <f t="shared" si="461"/>
        <v>0</v>
      </c>
      <c r="J2078" s="273">
        <f t="shared" si="461"/>
        <v>0</v>
      </c>
      <c r="K2078" s="273">
        <f t="shared" si="461"/>
        <v>0</v>
      </c>
      <c r="L2078" s="273">
        <f t="shared" si="461"/>
        <v>0</v>
      </c>
      <c r="M2078" s="273">
        <f t="shared" si="461"/>
        <v>0</v>
      </c>
      <c r="N2078" s="273">
        <f t="shared" si="461"/>
        <v>0</v>
      </c>
      <c r="O2078" s="273">
        <f t="shared" si="461"/>
        <v>0</v>
      </c>
      <c r="P2078" s="273">
        <f t="shared" si="461"/>
        <v>0</v>
      </c>
      <c r="Q2078" s="273">
        <f t="shared" si="461"/>
        <v>0</v>
      </c>
      <c r="R2078" s="273">
        <f t="shared" si="461"/>
        <v>0</v>
      </c>
      <c r="S2078" s="273">
        <f t="shared" si="461"/>
        <v>0</v>
      </c>
      <c r="T2078" s="273">
        <f t="shared" si="461"/>
        <v>0</v>
      </c>
      <c r="U2078" s="273">
        <f t="shared" si="461"/>
        <v>0</v>
      </c>
      <c r="V2078" s="273">
        <f t="shared" si="461"/>
        <v>0</v>
      </c>
      <c r="W2078" s="273">
        <f t="shared" si="461"/>
        <v>1174732.27</v>
      </c>
      <c r="X2078" s="269"/>
      <c r="Y2078" s="269"/>
      <c r="Z2078" s="269"/>
      <c r="AA2078" s="269"/>
      <c r="AB2078" s="269"/>
      <c r="AC2078" s="269"/>
      <c r="AD2078" s="269"/>
      <c r="AE2078" s="7"/>
      <c r="AF2078" s="13"/>
      <c r="AG2078" s="13"/>
      <c r="AH2078" s="13"/>
      <c r="AI2078" s="13"/>
    </row>
    <row r="2079" spans="1:35" x14ac:dyDescent="0.3">
      <c r="A2079" s="131" t="s">
        <v>2631</v>
      </c>
      <c r="B2079" s="111"/>
      <c r="C2079" s="273"/>
      <c r="D2079" s="273"/>
      <c r="E2079" s="273"/>
      <c r="F2079" s="273"/>
      <c r="G2079" s="273"/>
      <c r="H2079" s="273"/>
      <c r="I2079" s="273"/>
      <c r="J2079" s="273"/>
      <c r="K2079" s="273"/>
      <c r="L2079" s="273"/>
      <c r="M2079" s="273"/>
      <c r="N2079" s="273"/>
      <c r="O2079" s="273"/>
      <c r="P2079" s="273"/>
      <c r="Q2079" s="273"/>
      <c r="R2079" s="273"/>
      <c r="S2079" s="273"/>
      <c r="T2079" s="273"/>
      <c r="U2079" s="273"/>
      <c r="V2079" s="273"/>
      <c r="W2079" s="273"/>
      <c r="X2079" s="269"/>
      <c r="Y2079" s="269"/>
      <c r="Z2079" s="269"/>
      <c r="AA2079" s="269"/>
      <c r="AB2079" s="269"/>
      <c r="AC2079" s="269"/>
      <c r="AD2079" s="269"/>
      <c r="AE2079" s="7"/>
      <c r="AF2079" s="13"/>
      <c r="AG2079" s="13"/>
      <c r="AH2079" s="13"/>
      <c r="AI2079" s="13"/>
    </row>
    <row r="2080" spans="1:35" x14ac:dyDescent="0.3">
      <c r="A2080" s="10">
        <f>A2077+1</f>
        <v>1829</v>
      </c>
      <c r="B2080" s="124" t="s">
        <v>2649</v>
      </c>
      <c r="C2080" s="273">
        <f t="shared" ref="C2080:C2111" si="462">D2080+K2080+L2080+N2080+P2080+R2080+S2080+U2080+V2080+W2080</f>
        <v>2239692</v>
      </c>
      <c r="D2080" s="273">
        <f t="shared" ref="D2080:D2111" si="463">E2080+F2080+G2080+H2080</f>
        <v>2239692</v>
      </c>
      <c r="E2080" s="273">
        <f>300*2688+4*358323</f>
        <v>2239692</v>
      </c>
      <c r="F2080" s="273"/>
      <c r="G2080" s="273"/>
      <c r="H2080" s="273"/>
      <c r="I2080" s="273"/>
      <c r="J2080" s="273"/>
      <c r="K2080" s="273"/>
      <c r="L2080" s="273"/>
      <c r="M2080" s="273"/>
      <c r="N2080" s="273"/>
      <c r="O2080" s="273"/>
      <c r="P2080" s="273"/>
      <c r="Q2080" s="273"/>
      <c r="R2080" s="273"/>
      <c r="S2080" s="273"/>
      <c r="T2080" s="273"/>
      <c r="U2080" s="273"/>
      <c r="V2080" s="273"/>
      <c r="W2080" s="273"/>
      <c r="X2080" s="269"/>
      <c r="Y2080" s="269"/>
      <c r="Z2080" s="269"/>
      <c r="AA2080" s="269"/>
      <c r="AB2080" s="269"/>
      <c r="AC2080" s="269"/>
      <c r="AD2080" s="269"/>
      <c r="AE2080" s="269"/>
      <c r="AF2080" s="7"/>
      <c r="AG2080" s="13"/>
      <c r="AH2080" s="13"/>
      <c r="AI2080" s="13"/>
    </row>
    <row r="2081" spans="1:35" x14ac:dyDescent="0.3">
      <c r="A2081" s="10">
        <f t="shared" ref="A2081:A2112" si="464">A2080+1</f>
        <v>1830</v>
      </c>
      <c r="B2081" s="124" t="s">
        <v>2660</v>
      </c>
      <c r="C2081" s="273">
        <f t="shared" si="462"/>
        <v>2956338</v>
      </c>
      <c r="D2081" s="273">
        <f t="shared" si="463"/>
        <v>2956338</v>
      </c>
      <c r="E2081" s="273">
        <f>300*2688+6*358323</f>
        <v>2956338</v>
      </c>
      <c r="F2081" s="273"/>
      <c r="G2081" s="273"/>
      <c r="H2081" s="273"/>
      <c r="I2081" s="273"/>
      <c r="J2081" s="273"/>
      <c r="K2081" s="273"/>
      <c r="L2081" s="273"/>
      <c r="M2081" s="273"/>
      <c r="N2081" s="273"/>
      <c r="O2081" s="273"/>
      <c r="P2081" s="273"/>
      <c r="Q2081" s="273"/>
      <c r="R2081" s="273"/>
      <c r="S2081" s="273"/>
      <c r="T2081" s="273"/>
      <c r="U2081" s="273"/>
      <c r="V2081" s="273"/>
      <c r="W2081" s="273"/>
      <c r="Y2081" s="269"/>
      <c r="Z2081" s="269"/>
      <c r="AA2081" s="269"/>
      <c r="AB2081" s="269"/>
      <c r="AC2081" s="269"/>
      <c r="AD2081" s="269"/>
      <c r="AE2081" s="269"/>
      <c r="AF2081" s="7"/>
      <c r="AG2081" s="13"/>
      <c r="AH2081" s="13"/>
      <c r="AI2081" s="13"/>
    </row>
    <row r="2082" spans="1:35" x14ac:dyDescent="0.3">
      <c r="A2082" s="10">
        <f t="shared" si="464"/>
        <v>1831</v>
      </c>
      <c r="B2082" s="124" t="s">
        <v>2632</v>
      </c>
      <c r="C2082" s="273">
        <f t="shared" si="462"/>
        <v>2239692</v>
      </c>
      <c r="D2082" s="273">
        <f t="shared" si="463"/>
        <v>2239692</v>
      </c>
      <c r="E2082" s="273">
        <f>300*2688+4*358323</f>
        <v>2239692</v>
      </c>
      <c r="F2082" s="273"/>
      <c r="G2082" s="273"/>
      <c r="H2082" s="273"/>
      <c r="I2082" s="273"/>
      <c r="J2082" s="273"/>
      <c r="K2082" s="273"/>
      <c r="L2082" s="273"/>
      <c r="M2082" s="273"/>
      <c r="N2082" s="273"/>
      <c r="O2082" s="273"/>
      <c r="P2082" s="273"/>
      <c r="Q2082" s="273"/>
      <c r="R2082" s="273"/>
      <c r="S2082" s="273"/>
      <c r="T2082" s="273"/>
      <c r="U2082" s="273"/>
      <c r="V2082" s="273"/>
      <c r="W2082" s="273"/>
      <c r="Y2082" s="269"/>
      <c r="Z2082" s="269"/>
      <c r="AA2082" s="269"/>
      <c r="AB2082" s="269"/>
      <c r="AC2082" s="269"/>
      <c r="AD2082" s="269"/>
      <c r="AE2082" s="7"/>
      <c r="AF2082" s="13"/>
      <c r="AG2082" s="13"/>
      <c r="AH2082" s="13"/>
      <c r="AI2082" s="13"/>
    </row>
    <row r="2083" spans="1:35" x14ac:dyDescent="0.3">
      <c r="A2083" s="10">
        <f t="shared" si="464"/>
        <v>1832</v>
      </c>
      <c r="B2083" s="124" t="s">
        <v>2635</v>
      </c>
      <c r="C2083" s="273">
        <f t="shared" si="462"/>
        <v>130000</v>
      </c>
      <c r="D2083" s="273">
        <f t="shared" si="463"/>
        <v>0</v>
      </c>
      <c r="E2083" s="273"/>
      <c r="F2083" s="273"/>
      <c r="G2083" s="273"/>
      <c r="H2083" s="273"/>
      <c r="I2083" s="273"/>
      <c r="J2083" s="273"/>
      <c r="K2083" s="273"/>
      <c r="L2083" s="273"/>
      <c r="M2083" s="273"/>
      <c r="N2083" s="273"/>
      <c r="O2083" s="273"/>
      <c r="P2083" s="273"/>
      <c r="Q2083" s="273"/>
      <c r="R2083" s="273"/>
      <c r="S2083" s="273"/>
      <c r="T2083" s="273"/>
      <c r="U2083" s="273"/>
      <c r="V2083" s="273"/>
      <c r="W2083" s="273">
        <v>130000</v>
      </c>
      <c r="Y2083" s="269"/>
      <c r="Z2083" s="269"/>
      <c r="AA2083" s="269"/>
      <c r="AB2083" s="269"/>
      <c r="AC2083" s="269">
        <v>130000</v>
      </c>
      <c r="AD2083" s="269"/>
      <c r="AE2083" s="7"/>
      <c r="AF2083" s="13"/>
      <c r="AG2083" s="13"/>
      <c r="AH2083" s="13"/>
      <c r="AI2083" s="13"/>
    </row>
    <row r="2084" spans="1:35" x14ac:dyDescent="0.3">
      <c r="A2084" s="10">
        <f t="shared" si="464"/>
        <v>1833</v>
      </c>
      <c r="B2084" s="124" t="s">
        <v>2636</v>
      </c>
      <c r="C2084" s="273">
        <f t="shared" si="462"/>
        <v>130000</v>
      </c>
      <c r="D2084" s="273">
        <f t="shared" si="463"/>
        <v>0</v>
      </c>
      <c r="E2084" s="273"/>
      <c r="F2084" s="273"/>
      <c r="G2084" s="273"/>
      <c r="H2084" s="273"/>
      <c r="I2084" s="273"/>
      <c r="J2084" s="273"/>
      <c r="K2084" s="273"/>
      <c r="L2084" s="273"/>
      <c r="M2084" s="273"/>
      <c r="N2084" s="273"/>
      <c r="O2084" s="273"/>
      <c r="P2084" s="273"/>
      <c r="Q2084" s="273"/>
      <c r="R2084" s="273"/>
      <c r="S2084" s="273"/>
      <c r="T2084" s="273"/>
      <c r="U2084" s="273"/>
      <c r="V2084" s="273"/>
      <c r="W2084" s="273">
        <v>130000</v>
      </c>
      <c r="Y2084" s="269"/>
      <c r="Z2084" s="269"/>
      <c r="AA2084" s="269"/>
      <c r="AB2084" s="269"/>
      <c r="AC2084" s="269">
        <v>130000</v>
      </c>
      <c r="AD2084" s="269"/>
      <c r="AE2084" s="7"/>
      <c r="AF2084" s="13"/>
      <c r="AG2084" s="13"/>
      <c r="AH2084" s="13"/>
      <c r="AI2084" s="13"/>
    </row>
    <row r="2085" spans="1:35" x14ac:dyDescent="0.3">
      <c r="A2085" s="10">
        <f t="shared" si="464"/>
        <v>1834</v>
      </c>
      <c r="B2085" s="124" t="s">
        <v>2637</v>
      </c>
      <c r="C2085" s="273">
        <f t="shared" si="462"/>
        <v>130000</v>
      </c>
      <c r="D2085" s="273">
        <f t="shared" si="463"/>
        <v>0</v>
      </c>
      <c r="E2085" s="273"/>
      <c r="F2085" s="273"/>
      <c r="G2085" s="273"/>
      <c r="H2085" s="273"/>
      <c r="I2085" s="273"/>
      <c r="J2085" s="273"/>
      <c r="K2085" s="273"/>
      <c r="L2085" s="273"/>
      <c r="M2085" s="273"/>
      <c r="N2085" s="273"/>
      <c r="O2085" s="273"/>
      <c r="P2085" s="273"/>
      <c r="Q2085" s="273"/>
      <c r="R2085" s="273"/>
      <c r="S2085" s="273"/>
      <c r="T2085" s="273"/>
      <c r="U2085" s="273"/>
      <c r="V2085" s="273"/>
      <c r="W2085" s="273">
        <v>130000</v>
      </c>
      <c r="Y2085" s="269"/>
      <c r="Z2085" s="269"/>
      <c r="AA2085" s="269"/>
      <c r="AB2085" s="269"/>
      <c r="AC2085" s="269">
        <v>130000</v>
      </c>
      <c r="AD2085" s="269"/>
      <c r="AE2085" s="7"/>
      <c r="AF2085" s="13"/>
      <c r="AG2085" s="13"/>
      <c r="AH2085" s="13"/>
      <c r="AI2085" s="13"/>
    </row>
    <row r="2086" spans="1:35" x14ac:dyDescent="0.3">
      <c r="A2086" s="10">
        <f t="shared" si="464"/>
        <v>1835</v>
      </c>
      <c r="B2086" s="124" t="s">
        <v>2638</v>
      </c>
      <c r="C2086" s="273">
        <f t="shared" si="462"/>
        <v>130000</v>
      </c>
      <c r="D2086" s="273">
        <f t="shared" si="463"/>
        <v>0</v>
      </c>
      <c r="E2086" s="273"/>
      <c r="F2086" s="273"/>
      <c r="G2086" s="273"/>
      <c r="H2086" s="273"/>
      <c r="I2086" s="273"/>
      <c r="J2086" s="273"/>
      <c r="K2086" s="273"/>
      <c r="L2086" s="273"/>
      <c r="M2086" s="273"/>
      <c r="N2086" s="273"/>
      <c r="O2086" s="273"/>
      <c r="P2086" s="273"/>
      <c r="Q2086" s="273"/>
      <c r="R2086" s="273"/>
      <c r="S2086" s="273"/>
      <c r="T2086" s="273"/>
      <c r="U2086" s="273"/>
      <c r="V2086" s="273"/>
      <c r="W2086" s="273">
        <v>130000</v>
      </c>
      <c r="Y2086" s="269"/>
      <c r="Z2086" s="269"/>
      <c r="AA2086" s="269"/>
      <c r="AB2086" s="269"/>
      <c r="AC2086" s="269">
        <v>130000</v>
      </c>
      <c r="AD2086" s="269"/>
      <c r="AE2086" s="7"/>
      <c r="AF2086" s="13"/>
      <c r="AG2086" s="13"/>
      <c r="AH2086" s="13"/>
      <c r="AI2086" s="13"/>
    </row>
    <row r="2087" spans="1:35" x14ac:dyDescent="0.3">
      <c r="A2087" s="10">
        <f t="shared" si="464"/>
        <v>1836</v>
      </c>
      <c r="B2087" s="124" t="s">
        <v>2639</v>
      </c>
      <c r="C2087" s="273">
        <f t="shared" si="462"/>
        <v>130000</v>
      </c>
      <c r="D2087" s="273">
        <f t="shared" si="463"/>
        <v>0</v>
      </c>
      <c r="E2087" s="273"/>
      <c r="F2087" s="273"/>
      <c r="G2087" s="273"/>
      <c r="H2087" s="273"/>
      <c r="I2087" s="273"/>
      <c r="J2087" s="273"/>
      <c r="K2087" s="273"/>
      <c r="L2087" s="273"/>
      <c r="M2087" s="273"/>
      <c r="N2087" s="273"/>
      <c r="O2087" s="273"/>
      <c r="P2087" s="273"/>
      <c r="Q2087" s="273"/>
      <c r="R2087" s="273"/>
      <c r="S2087" s="273"/>
      <c r="T2087" s="273"/>
      <c r="U2087" s="273"/>
      <c r="V2087" s="273"/>
      <c r="W2087" s="273">
        <v>130000</v>
      </c>
      <c r="Y2087" s="269"/>
      <c r="Z2087" s="269"/>
      <c r="AA2087" s="269"/>
      <c r="AB2087" s="269"/>
      <c r="AC2087" s="269">
        <v>130000</v>
      </c>
      <c r="AD2087" s="269"/>
      <c r="AE2087" s="7"/>
      <c r="AF2087" s="13"/>
      <c r="AG2087" s="13"/>
      <c r="AH2087" s="13"/>
      <c r="AI2087" s="13"/>
    </row>
    <row r="2088" spans="1:35" x14ac:dyDescent="0.3">
      <c r="A2088" s="10">
        <f t="shared" si="464"/>
        <v>1837</v>
      </c>
      <c r="B2088" s="124" t="s">
        <v>2640</v>
      </c>
      <c r="C2088" s="273">
        <f t="shared" si="462"/>
        <v>130000</v>
      </c>
      <c r="D2088" s="273">
        <f t="shared" si="463"/>
        <v>0</v>
      </c>
      <c r="E2088" s="273"/>
      <c r="F2088" s="273"/>
      <c r="G2088" s="273"/>
      <c r="H2088" s="273"/>
      <c r="I2088" s="273"/>
      <c r="J2088" s="273"/>
      <c r="K2088" s="273"/>
      <c r="L2088" s="273"/>
      <c r="M2088" s="273"/>
      <c r="N2088" s="273"/>
      <c r="O2088" s="273"/>
      <c r="P2088" s="273"/>
      <c r="Q2088" s="273"/>
      <c r="R2088" s="273"/>
      <c r="S2088" s="273"/>
      <c r="T2088" s="273"/>
      <c r="U2088" s="273"/>
      <c r="V2088" s="273"/>
      <c r="W2088" s="273">
        <v>130000</v>
      </c>
      <c r="Y2088" s="269"/>
      <c r="Z2088" s="269"/>
      <c r="AA2088" s="269"/>
      <c r="AB2088" s="269"/>
      <c r="AC2088" s="269">
        <v>130000</v>
      </c>
      <c r="AD2088" s="269"/>
      <c r="AE2088" s="7"/>
      <c r="AF2088" s="13"/>
      <c r="AG2088" s="13"/>
      <c r="AH2088" s="13"/>
      <c r="AI2088" s="13"/>
    </row>
    <row r="2089" spans="1:35" x14ac:dyDescent="0.3">
      <c r="A2089" s="10">
        <f t="shared" si="464"/>
        <v>1838</v>
      </c>
      <c r="B2089" s="124" t="s">
        <v>2641</v>
      </c>
      <c r="C2089" s="273">
        <f t="shared" si="462"/>
        <v>130000</v>
      </c>
      <c r="D2089" s="273">
        <f t="shared" si="463"/>
        <v>0</v>
      </c>
      <c r="E2089" s="273"/>
      <c r="F2089" s="273"/>
      <c r="G2089" s="273"/>
      <c r="H2089" s="273"/>
      <c r="I2089" s="273"/>
      <c r="J2089" s="273"/>
      <c r="K2089" s="273"/>
      <c r="L2089" s="273"/>
      <c r="M2089" s="273"/>
      <c r="N2089" s="273"/>
      <c r="O2089" s="273"/>
      <c r="P2089" s="273"/>
      <c r="Q2089" s="273"/>
      <c r="R2089" s="273"/>
      <c r="S2089" s="273"/>
      <c r="T2089" s="273"/>
      <c r="U2089" s="273"/>
      <c r="V2089" s="273"/>
      <c r="W2089" s="273">
        <v>130000</v>
      </c>
      <c r="Y2089" s="269"/>
      <c r="Z2089" s="269"/>
      <c r="AA2089" s="269"/>
      <c r="AB2089" s="269"/>
      <c r="AC2089" s="269">
        <v>130000</v>
      </c>
      <c r="AD2089" s="269"/>
      <c r="AE2089" s="7"/>
      <c r="AF2089" s="13"/>
      <c r="AG2089" s="13"/>
      <c r="AH2089" s="13"/>
      <c r="AI2089" s="13"/>
    </row>
    <row r="2090" spans="1:35" x14ac:dyDescent="0.3">
      <c r="A2090" s="10">
        <f t="shared" si="464"/>
        <v>1839</v>
      </c>
      <c r="B2090" s="124" t="s">
        <v>2642</v>
      </c>
      <c r="C2090" s="273">
        <f t="shared" si="462"/>
        <v>130000</v>
      </c>
      <c r="D2090" s="273">
        <f t="shared" si="463"/>
        <v>0</v>
      </c>
      <c r="E2090" s="273"/>
      <c r="F2090" s="273"/>
      <c r="G2090" s="273"/>
      <c r="H2090" s="273"/>
      <c r="I2090" s="273"/>
      <c r="J2090" s="273"/>
      <c r="K2090" s="273"/>
      <c r="L2090" s="273"/>
      <c r="M2090" s="273"/>
      <c r="N2090" s="273"/>
      <c r="O2090" s="273"/>
      <c r="P2090" s="273"/>
      <c r="Q2090" s="273"/>
      <c r="R2090" s="273"/>
      <c r="S2090" s="273"/>
      <c r="T2090" s="273"/>
      <c r="U2090" s="273"/>
      <c r="V2090" s="273"/>
      <c r="W2090" s="273">
        <v>130000</v>
      </c>
      <c r="Y2090" s="269"/>
      <c r="Z2090" s="269"/>
      <c r="AA2090" s="269"/>
      <c r="AB2090" s="269"/>
      <c r="AC2090" s="269">
        <v>130000</v>
      </c>
      <c r="AD2090" s="269"/>
      <c r="AE2090" s="7"/>
      <c r="AF2090" s="13"/>
      <c r="AG2090" s="13"/>
      <c r="AH2090" s="13"/>
      <c r="AI2090" s="13"/>
    </row>
    <row r="2091" spans="1:35" x14ac:dyDescent="0.3">
      <c r="A2091" s="10">
        <f t="shared" si="464"/>
        <v>1840</v>
      </c>
      <c r="B2091" s="124" t="s">
        <v>2643</v>
      </c>
      <c r="C2091" s="273">
        <f t="shared" si="462"/>
        <v>130000</v>
      </c>
      <c r="D2091" s="273">
        <f t="shared" si="463"/>
        <v>0</v>
      </c>
      <c r="E2091" s="273"/>
      <c r="F2091" s="273"/>
      <c r="G2091" s="273"/>
      <c r="H2091" s="273"/>
      <c r="I2091" s="273"/>
      <c r="J2091" s="273"/>
      <c r="K2091" s="273"/>
      <c r="L2091" s="273"/>
      <c r="M2091" s="273"/>
      <c r="N2091" s="273"/>
      <c r="O2091" s="273"/>
      <c r="P2091" s="273"/>
      <c r="Q2091" s="273"/>
      <c r="R2091" s="273"/>
      <c r="S2091" s="273"/>
      <c r="T2091" s="273"/>
      <c r="U2091" s="273"/>
      <c r="V2091" s="273"/>
      <c r="W2091" s="273">
        <v>130000</v>
      </c>
      <c r="Y2091" s="269"/>
      <c r="Z2091" s="269"/>
      <c r="AA2091" s="269"/>
      <c r="AB2091" s="269"/>
      <c r="AC2091" s="269">
        <v>130000</v>
      </c>
      <c r="AD2091" s="269"/>
      <c r="AE2091" s="7"/>
      <c r="AF2091" s="13"/>
      <c r="AG2091" s="13"/>
      <c r="AH2091" s="13"/>
      <c r="AI2091" s="13"/>
    </row>
    <row r="2092" spans="1:35" x14ac:dyDescent="0.3">
      <c r="A2092" s="10">
        <f t="shared" si="464"/>
        <v>1841</v>
      </c>
      <c r="B2092" s="124" t="s">
        <v>2644</v>
      </c>
      <c r="C2092" s="273">
        <f t="shared" si="462"/>
        <v>130000</v>
      </c>
      <c r="D2092" s="273">
        <f t="shared" si="463"/>
        <v>0</v>
      </c>
      <c r="E2092" s="273"/>
      <c r="F2092" s="273"/>
      <c r="G2092" s="273"/>
      <c r="H2092" s="273"/>
      <c r="I2092" s="273"/>
      <c r="J2092" s="273"/>
      <c r="K2092" s="273"/>
      <c r="L2092" s="273"/>
      <c r="M2092" s="273"/>
      <c r="N2092" s="273"/>
      <c r="O2092" s="273"/>
      <c r="P2092" s="273"/>
      <c r="Q2092" s="273"/>
      <c r="R2092" s="273"/>
      <c r="S2092" s="273"/>
      <c r="T2092" s="273"/>
      <c r="U2092" s="273"/>
      <c r="V2092" s="273"/>
      <c r="W2092" s="273">
        <v>130000</v>
      </c>
      <c r="Y2092" s="269"/>
      <c r="Z2092" s="269"/>
      <c r="AA2092" s="269"/>
      <c r="AB2092" s="269"/>
      <c r="AC2092" s="269">
        <v>130000</v>
      </c>
      <c r="AD2092" s="269"/>
      <c r="AE2092" s="7"/>
      <c r="AF2092" s="13"/>
      <c r="AG2092" s="13"/>
      <c r="AH2092" s="13"/>
      <c r="AI2092" s="13"/>
    </row>
    <row r="2093" spans="1:35" x14ac:dyDescent="0.3">
      <c r="A2093" s="10">
        <f t="shared" si="464"/>
        <v>1842</v>
      </c>
      <c r="B2093" s="124" t="s">
        <v>2656</v>
      </c>
      <c r="C2093" s="273">
        <f t="shared" si="462"/>
        <v>188149.94</v>
      </c>
      <c r="D2093" s="273">
        <f t="shared" si="463"/>
        <v>0</v>
      </c>
      <c r="E2093" s="273"/>
      <c r="F2093" s="273"/>
      <c r="G2093" s="273"/>
      <c r="H2093" s="273"/>
      <c r="I2093" s="273"/>
      <c r="J2093" s="273"/>
      <c r="K2093" s="273"/>
      <c r="L2093" s="273"/>
      <c r="M2093" s="273"/>
      <c r="N2093" s="273"/>
      <c r="O2093" s="273"/>
      <c r="P2093" s="273"/>
      <c r="Q2093" s="273"/>
      <c r="R2093" s="273"/>
      <c r="S2093" s="273"/>
      <c r="T2093" s="273"/>
      <c r="U2093" s="273"/>
      <c r="V2093" s="273"/>
      <c r="W2093" s="273">
        <f t="shared" ref="W2093:W2127" si="465">SUM(Y2093:AJ2093)</f>
        <v>188149.94</v>
      </c>
      <c r="Y2093" s="269"/>
      <c r="Z2093" s="269"/>
      <c r="AA2093" s="269"/>
      <c r="AB2093" s="269"/>
      <c r="AC2093" s="269">
        <v>188149.94</v>
      </c>
      <c r="AE2093" s="269"/>
      <c r="AF2093" s="7"/>
      <c r="AG2093" s="13"/>
      <c r="AH2093" s="13"/>
      <c r="AI2093" s="13"/>
    </row>
    <row r="2094" spans="1:35" x14ac:dyDescent="0.3">
      <c r="A2094" s="10">
        <f t="shared" si="464"/>
        <v>1843</v>
      </c>
      <c r="B2094" s="124" t="s">
        <v>2657</v>
      </c>
      <c r="C2094" s="273">
        <f t="shared" si="462"/>
        <v>200727.23</v>
      </c>
      <c r="D2094" s="273">
        <f t="shared" si="463"/>
        <v>0</v>
      </c>
      <c r="E2094" s="273"/>
      <c r="F2094" s="273"/>
      <c r="G2094" s="273"/>
      <c r="H2094" s="273"/>
      <c r="I2094" s="273"/>
      <c r="J2094" s="273"/>
      <c r="K2094" s="273"/>
      <c r="L2094" s="273"/>
      <c r="M2094" s="273"/>
      <c r="N2094" s="273"/>
      <c r="O2094" s="273"/>
      <c r="P2094" s="273"/>
      <c r="Q2094" s="273"/>
      <c r="R2094" s="273"/>
      <c r="S2094" s="273"/>
      <c r="T2094" s="273"/>
      <c r="U2094" s="273"/>
      <c r="V2094" s="273"/>
      <c r="W2094" s="273">
        <f t="shared" si="465"/>
        <v>200727.23</v>
      </c>
      <c r="Y2094" s="269"/>
      <c r="Z2094" s="269"/>
      <c r="AA2094" s="269"/>
      <c r="AB2094" s="269"/>
      <c r="AC2094" s="269">
        <v>200727.23</v>
      </c>
      <c r="AE2094" s="269"/>
      <c r="AF2094" s="7"/>
      <c r="AG2094" s="13"/>
      <c r="AH2094" s="13"/>
      <c r="AI2094" s="13"/>
    </row>
    <row r="2095" spans="1:35" x14ac:dyDescent="0.3">
      <c r="A2095" s="10">
        <f t="shared" si="464"/>
        <v>1844</v>
      </c>
      <c r="B2095" s="124" t="s">
        <v>2658</v>
      </c>
      <c r="C2095" s="273">
        <f t="shared" si="462"/>
        <v>186126.59</v>
      </c>
      <c r="D2095" s="273">
        <f t="shared" si="463"/>
        <v>0</v>
      </c>
      <c r="E2095" s="273"/>
      <c r="F2095" s="273"/>
      <c r="G2095" s="273"/>
      <c r="H2095" s="273"/>
      <c r="I2095" s="273"/>
      <c r="J2095" s="273"/>
      <c r="K2095" s="273"/>
      <c r="L2095" s="273"/>
      <c r="M2095" s="273"/>
      <c r="N2095" s="273"/>
      <c r="O2095" s="273"/>
      <c r="P2095" s="273"/>
      <c r="Q2095" s="273"/>
      <c r="R2095" s="273"/>
      <c r="S2095" s="273"/>
      <c r="T2095" s="273"/>
      <c r="U2095" s="273"/>
      <c r="V2095" s="273"/>
      <c r="W2095" s="273">
        <f t="shared" si="465"/>
        <v>186126.59</v>
      </c>
      <c r="Y2095" s="269"/>
      <c r="Z2095" s="269"/>
      <c r="AA2095" s="269"/>
      <c r="AB2095" s="269"/>
      <c r="AC2095" s="269">
        <v>186126.59</v>
      </c>
      <c r="AE2095" s="269"/>
      <c r="AF2095" s="7"/>
      <c r="AG2095" s="13"/>
      <c r="AH2095" s="13"/>
      <c r="AI2095" s="13"/>
    </row>
    <row r="2096" spans="1:35" x14ac:dyDescent="0.3">
      <c r="A2096" s="10">
        <f t="shared" si="464"/>
        <v>1845</v>
      </c>
      <c r="B2096" s="124" t="s">
        <v>2659</v>
      </c>
      <c r="C2096" s="273">
        <f t="shared" si="462"/>
        <v>731078.87</v>
      </c>
      <c r="D2096" s="273">
        <f t="shared" si="463"/>
        <v>0</v>
      </c>
      <c r="E2096" s="273"/>
      <c r="F2096" s="273"/>
      <c r="G2096" s="273"/>
      <c r="H2096" s="273"/>
      <c r="I2096" s="273"/>
      <c r="J2096" s="273"/>
      <c r="K2096" s="273"/>
      <c r="L2096" s="273"/>
      <c r="M2096" s="273"/>
      <c r="N2096" s="273"/>
      <c r="O2096" s="273"/>
      <c r="P2096" s="273"/>
      <c r="Q2096" s="273"/>
      <c r="R2096" s="273"/>
      <c r="S2096" s="273"/>
      <c r="T2096" s="273"/>
      <c r="U2096" s="273"/>
      <c r="V2096" s="273"/>
      <c r="W2096" s="273">
        <f t="shared" si="465"/>
        <v>731078.87</v>
      </c>
      <c r="Y2096" s="269"/>
      <c r="Z2096" s="269"/>
      <c r="AA2096" s="269"/>
      <c r="AB2096" s="269"/>
      <c r="AC2096" s="269"/>
      <c r="AE2096" s="269">
        <v>731078.87</v>
      </c>
      <c r="AF2096" s="7"/>
      <c r="AG2096" s="13"/>
      <c r="AH2096" s="13"/>
      <c r="AI2096" s="13"/>
    </row>
    <row r="2097" spans="1:35" x14ac:dyDescent="0.3">
      <c r="A2097" s="10">
        <f t="shared" si="464"/>
        <v>1846</v>
      </c>
      <c r="B2097" s="124" t="s">
        <v>2661</v>
      </c>
      <c r="C2097" s="273">
        <f t="shared" si="462"/>
        <v>225325.14</v>
      </c>
      <c r="D2097" s="273">
        <f t="shared" si="463"/>
        <v>0</v>
      </c>
      <c r="E2097" s="273"/>
      <c r="F2097" s="273"/>
      <c r="G2097" s="273"/>
      <c r="H2097" s="273"/>
      <c r="I2097" s="273"/>
      <c r="J2097" s="273"/>
      <c r="K2097" s="273"/>
      <c r="L2097" s="273"/>
      <c r="M2097" s="273"/>
      <c r="N2097" s="273"/>
      <c r="O2097" s="273"/>
      <c r="P2097" s="273"/>
      <c r="Q2097" s="273"/>
      <c r="R2097" s="273"/>
      <c r="S2097" s="273"/>
      <c r="T2097" s="273"/>
      <c r="U2097" s="273"/>
      <c r="V2097" s="273"/>
      <c r="W2097" s="273">
        <f t="shared" si="465"/>
        <v>225325.14</v>
      </c>
      <c r="Y2097" s="269"/>
      <c r="Z2097" s="269"/>
      <c r="AA2097" s="269"/>
      <c r="AB2097" s="269"/>
      <c r="AC2097" s="269">
        <v>225325.14</v>
      </c>
      <c r="AE2097" s="269"/>
      <c r="AF2097" s="7"/>
      <c r="AG2097" s="13"/>
      <c r="AH2097" s="13"/>
      <c r="AI2097" s="13"/>
    </row>
    <row r="2098" spans="1:35" x14ac:dyDescent="0.3">
      <c r="A2098" s="10">
        <f t="shared" si="464"/>
        <v>1847</v>
      </c>
      <c r="B2098" s="124" t="s">
        <v>2662</v>
      </c>
      <c r="C2098" s="273">
        <f t="shared" si="462"/>
        <v>399923.27</v>
      </c>
      <c r="D2098" s="273">
        <f t="shared" si="463"/>
        <v>0</v>
      </c>
      <c r="E2098" s="273"/>
      <c r="F2098" s="273"/>
      <c r="G2098" s="273"/>
      <c r="H2098" s="273"/>
      <c r="I2098" s="273"/>
      <c r="J2098" s="273"/>
      <c r="K2098" s="273"/>
      <c r="L2098" s="273"/>
      <c r="M2098" s="273"/>
      <c r="N2098" s="273"/>
      <c r="O2098" s="273"/>
      <c r="P2098" s="273"/>
      <c r="Q2098" s="273"/>
      <c r="R2098" s="273"/>
      <c r="S2098" s="273"/>
      <c r="T2098" s="273"/>
      <c r="U2098" s="273"/>
      <c r="V2098" s="273"/>
      <c r="W2098" s="273">
        <f t="shared" si="465"/>
        <v>399923.27</v>
      </c>
      <c r="Y2098" s="269"/>
      <c r="Z2098" s="269"/>
      <c r="AA2098" s="269"/>
      <c r="AB2098" s="269"/>
      <c r="AC2098" s="269"/>
      <c r="AE2098" s="269">
        <v>399923.27</v>
      </c>
      <c r="AF2098" s="7"/>
      <c r="AG2098" s="13"/>
      <c r="AH2098" s="13"/>
      <c r="AI2098" s="13"/>
    </row>
    <row r="2099" spans="1:35" x14ac:dyDescent="0.3">
      <c r="A2099" s="10">
        <f t="shared" si="464"/>
        <v>1848</v>
      </c>
      <c r="B2099" s="124" t="s">
        <v>2663</v>
      </c>
      <c r="C2099" s="273">
        <f t="shared" si="462"/>
        <v>141164.03</v>
      </c>
      <c r="D2099" s="273">
        <f t="shared" si="463"/>
        <v>0</v>
      </c>
      <c r="E2099" s="273"/>
      <c r="F2099" s="273"/>
      <c r="G2099" s="273"/>
      <c r="H2099" s="273"/>
      <c r="I2099" s="273"/>
      <c r="J2099" s="273"/>
      <c r="K2099" s="273"/>
      <c r="L2099" s="273"/>
      <c r="M2099" s="273"/>
      <c r="N2099" s="273"/>
      <c r="O2099" s="273"/>
      <c r="P2099" s="273"/>
      <c r="Q2099" s="273"/>
      <c r="R2099" s="273"/>
      <c r="S2099" s="273"/>
      <c r="T2099" s="273"/>
      <c r="U2099" s="273"/>
      <c r="V2099" s="273"/>
      <c r="W2099" s="273">
        <f t="shared" si="465"/>
        <v>141164.03</v>
      </c>
      <c r="Y2099" s="269"/>
      <c r="Z2099" s="269"/>
      <c r="AA2099" s="269"/>
      <c r="AB2099" s="269"/>
      <c r="AC2099" s="269"/>
      <c r="AE2099" s="269"/>
      <c r="AF2099" s="7">
        <v>141164.03</v>
      </c>
      <c r="AG2099" s="13"/>
      <c r="AH2099" s="13"/>
      <c r="AI2099" s="13"/>
    </row>
    <row r="2100" spans="1:35" x14ac:dyDescent="0.3">
      <c r="A2100" s="10">
        <f t="shared" si="464"/>
        <v>1849</v>
      </c>
      <c r="B2100" s="124" t="s">
        <v>2664</v>
      </c>
      <c r="C2100" s="273">
        <f t="shared" si="462"/>
        <v>277355.93</v>
      </c>
      <c r="D2100" s="273">
        <f t="shared" si="463"/>
        <v>0</v>
      </c>
      <c r="E2100" s="273"/>
      <c r="F2100" s="273"/>
      <c r="G2100" s="273"/>
      <c r="H2100" s="273"/>
      <c r="I2100" s="273"/>
      <c r="J2100" s="273"/>
      <c r="K2100" s="273"/>
      <c r="L2100" s="273"/>
      <c r="M2100" s="273"/>
      <c r="N2100" s="273"/>
      <c r="O2100" s="273"/>
      <c r="P2100" s="273"/>
      <c r="Q2100" s="273"/>
      <c r="R2100" s="273"/>
      <c r="S2100" s="273"/>
      <c r="T2100" s="273"/>
      <c r="U2100" s="273"/>
      <c r="V2100" s="273"/>
      <c r="W2100" s="273">
        <f t="shared" si="465"/>
        <v>277355.93</v>
      </c>
      <c r="Y2100" s="269"/>
      <c r="Z2100" s="269"/>
      <c r="AA2100" s="269"/>
      <c r="AB2100" s="269"/>
      <c r="AC2100" s="269"/>
      <c r="AE2100" s="269">
        <v>277355.93</v>
      </c>
      <c r="AF2100" s="7"/>
      <c r="AG2100" s="13"/>
      <c r="AH2100" s="13"/>
      <c r="AI2100" s="13"/>
    </row>
    <row r="2101" spans="1:35" x14ac:dyDescent="0.3">
      <c r="A2101" s="10">
        <f t="shared" si="464"/>
        <v>1850</v>
      </c>
      <c r="B2101" s="124" t="s">
        <v>2665</v>
      </c>
      <c r="C2101" s="273">
        <f t="shared" si="462"/>
        <v>391938.72</v>
      </c>
      <c r="D2101" s="273">
        <f t="shared" si="463"/>
        <v>0</v>
      </c>
      <c r="E2101" s="273"/>
      <c r="F2101" s="273"/>
      <c r="G2101" s="273"/>
      <c r="H2101" s="273"/>
      <c r="I2101" s="273"/>
      <c r="J2101" s="273"/>
      <c r="K2101" s="273"/>
      <c r="L2101" s="273"/>
      <c r="M2101" s="273"/>
      <c r="N2101" s="273"/>
      <c r="O2101" s="273"/>
      <c r="P2101" s="273"/>
      <c r="Q2101" s="273"/>
      <c r="R2101" s="273"/>
      <c r="S2101" s="273"/>
      <c r="T2101" s="273"/>
      <c r="U2101" s="273"/>
      <c r="V2101" s="273"/>
      <c r="W2101" s="273">
        <f t="shared" si="465"/>
        <v>391938.72</v>
      </c>
      <c r="Y2101" s="269"/>
      <c r="Z2101" s="269"/>
      <c r="AA2101" s="269"/>
      <c r="AB2101" s="269"/>
      <c r="AC2101" s="269"/>
      <c r="AE2101" s="269">
        <v>391938.72</v>
      </c>
      <c r="AF2101" s="7"/>
      <c r="AG2101" s="13"/>
      <c r="AH2101" s="13"/>
      <c r="AI2101" s="13"/>
    </row>
    <row r="2102" spans="1:35" x14ac:dyDescent="0.3">
      <c r="A2102" s="10">
        <f t="shared" si="464"/>
        <v>1851</v>
      </c>
      <c r="B2102" s="124" t="s">
        <v>2666</v>
      </c>
      <c r="C2102" s="273">
        <f t="shared" si="462"/>
        <v>272479.33</v>
      </c>
      <c r="D2102" s="273">
        <f t="shared" si="463"/>
        <v>0</v>
      </c>
      <c r="E2102" s="273"/>
      <c r="F2102" s="273"/>
      <c r="G2102" s="273"/>
      <c r="H2102" s="273"/>
      <c r="I2102" s="273"/>
      <c r="J2102" s="273"/>
      <c r="K2102" s="273"/>
      <c r="L2102" s="273"/>
      <c r="M2102" s="273"/>
      <c r="N2102" s="273"/>
      <c r="O2102" s="273"/>
      <c r="P2102" s="273"/>
      <c r="Q2102" s="273"/>
      <c r="R2102" s="273"/>
      <c r="S2102" s="273"/>
      <c r="T2102" s="273"/>
      <c r="U2102" s="273"/>
      <c r="V2102" s="273"/>
      <c r="W2102" s="273">
        <f t="shared" si="465"/>
        <v>272479.33</v>
      </c>
      <c r="Y2102" s="269"/>
      <c r="Z2102" s="269"/>
      <c r="AA2102" s="269"/>
      <c r="AB2102" s="269"/>
      <c r="AC2102" s="269"/>
      <c r="AE2102" s="269">
        <v>272479.33</v>
      </c>
      <c r="AF2102" s="7"/>
      <c r="AG2102" s="13"/>
      <c r="AH2102" s="13"/>
      <c r="AI2102" s="13"/>
    </row>
    <row r="2103" spans="1:35" x14ac:dyDescent="0.3">
      <c r="A2103" s="10">
        <f t="shared" si="464"/>
        <v>1852</v>
      </c>
      <c r="B2103" s="124" t="s">
        <v>2667</v>
      </c>
      <c r="C2103" s="273">
        <f t="shared" si="462"/>
        <v>334491.89</v>
      </c>
      <c r="D2103" s="273">
        <f t="shared" si="463"/>
        <v>0</v>
      </c>
      <c r="E2103" s="273"/>
      <c r="F2103" s="273"/>
      <c r="G2103" s="273"/>
      <c r="H2103" s="273"/>
      <c r="I2103" s="273"/>
      <c r="J2103" s="273"/>
      <c r="K2103" s="273"/>
      <c r="L2103" s="273"/>
      <c r="M2103" s="273"/>
      <c r="N2103" s="273"/>
      <c r="O2103" s="273"/>
      <c r="P2103" s="273"/>
      <c r="Q2103" s="273"/>
      <c r="R2103" s="273"/>
      <c r="S2103" s="273"/>
      <c r="T2103" s="273"/>
      <c r="U2103" s="273"/>
      <c r="V2103" s="273"/>
      <c r="W2103" s="273">
        <f t="shared" si="465"/>
        <v>334491.89</v>
      </c>
      <c r="Y2103" s="269"/>
      <c r="Z2103" s="269"/>
      <c r="AA2103" s="269"/>
      <c r="AB2103" s="269"/>
      <c r="AC2103" s="269"/>
      <c r="AE2103" s="269">
        <v>334491.89</v>
      </c>
      <c r="AF2103" s="7"/>
      <c r="AG2103" s="13"/>
      <c r="AH2103" s="13"/>
      <c r="AI2103" s="13"/>
    </row>
    <row r="2104" spans="1:35" x14ac:dyDescent="0.3">
      <c r="A2104" s="10">
        <f t="shared" si="464"/>
        <v>1853</v>
      </c>
      <c r="B2104" s="124" t="s">
        <v>2668</v>
      </c>
      <c r="C2104" s="273">
        <f t="shared" si="462"/>
        <v>334491.89</v>
      </c>
      <c r="D2104" s="273">
        <f t="shared" si="463"/>
        <v>0</v>
      </c>
      <c r="E2104" s="273"/>
      <c r="F2104" s="273"/>
      <c r="G2104" s="273"/>
      <c r="H2104" s="273"/>
      <c r="I2104" s="273"/>
      <c r="J2104" s="273"/>
      <c r="K2104" s="273"/>
      <c r="L2104" s="273"/>
      <c r="M2104" s="273"/>
      <c r="N2104" s="273"/>
      <c r="O2104" s="273"/>
      <c r="P2104" s="273"/>
      <c r="Q2104" s="273"/>
      <c r="R2104" s="273"/>
      <c r="S2104" s="273"/>
      <c r="T2104" s="273"/>
      <c r="U2104" s="273"/>
      <c r="V2104" s="273"/>
      <c r="W2104" s="273">
        <f t="shared" si="465"/>
        <v>334491.89</v>
      </c>
      <c r="Y2104" s="269"/>
      <c r="Z2104" s="269"/>
      <c r="AA2104" s="269"/>
      <c r="AB2104" s="269"/>
      <c r="AC2104" s="269"/>
      <c r="AE2104" s="269">
        <v>334491.89</v>
      </c>
      <c r="AF2104" s="7"/>
      <c r="AG2104" s="13"/>
      <c r="AH2104" s="13"/>
      <c r="AI2104" s="13"/>
    </row>
    <row r="2105" spans="1:35" x14ac:dyDescent="0.3">
      <c r="A2105" s="10">
        <f t="shared" si="464"/>
        <v>1854</v>
      </c>
      <c r="B2105" s="124" t="s">
        <v>2669</v>
      </c>
      <c r="C2105" s="273">
        <f t="shared" si="462"/>
        <v>198793.44</v>
      </c>
      <c r="D2105" s="273">
        <f t="shared" si="463"/>
        <v>0</v>
      </c>
      <c r="E2105" s="273"/>
      <c r="F2105" s="273"/>
      <c r="G2105" s="273"/>
      <c r="H2105" s="273"/>
      <c r="I2105" s="273"/>
      <c r="J2105" s="273"/>
      <c r="K2105" s="273"/>
      <c r="L2105" s="273"/>
      <c r="M2105" s="273"/>
      <c r="N2105" s="273"/>
      <c r="O2105" s="273"/>
      <c r="P2105" s="273"/>
      <c r="Q2105" s="273"/>
      <c r="R2105" s="273"/>
      <c r="S2105" s="273"/>
      <c r="T2105" s="273"/>
      <c r="U2105" s="273"/>
      <c r="V2105" s="273"/>
      <c r="W2105" s="273">
        <f t="shared" si="465"/>
        <v>198793.44</v>
      </c>
      <c r="Y2105" s="269"/>
      <c r="Z2105" s="269"/>
      <c r="AA2105" s="269"/>
      <c r="AB2105" s="269"/>
      <c r="AC2105" s="269"/>
      <c r="AE2105" s="269"/>
      <c r="AF2105" s="7">
        <v>198793.44</v>
      </c>
      <c r="AG2105" s="13"/>
      <c r="AH2105" s="13"/>
      <c r="AI2105" s="13"/>
    </row>
    <row r="2106" spans="1:35" x14ac:dyDescent="0.3">
      <c r="A2106" s="10">
        <f t="shared" si="464"/>
        <v>1855</v>
      </c>
      <c r="B2106" s="124" t="s">
        <v>2670</v>
      </c>
      <c r="C2106" s="273">
        <f t="shared" si="462"/>
        <v>438197.66</v>
      </c>
      <c r="D2106" s="273">
        <f t="shared" si="463"/>
        <v>0</v>
      </c>
      <c r="E2106" s="273"/>
      <c r="F2106" s="273"/>
      <c r="G2106" s="273"/>
      <c r="H2106" s="273"/>
      <c r="I2106" s="273"/>
      <c r="J2106" s="273"/>
      <c r="K2106" s="273"/>
      <c r="L2106" s="273"/>
      <c r="M2106" s="273"/>
      <c r="N2106" s="273"/>
      <c r="O2106" s="273"/>
      <c r="P2106" s="273"/>
      <c r="Q2106" s="273"/>
      <c r="R2106" s="273"/>
      <c r="S2106" s="273"/>
      <c r="T2106" s="273"/>
      <c r="U2106" s="273"/>
      <c r="V2106" s="273"/>
      <c r="W2106" s="273">
        <f t="shared" si="465"/>
        <v>438197.66</v>
      </c>
      <c r="Y2106" s="269"/>
      <c r="Z2106" s="269"/>
      <c r="AA2106" s="269"/>
      <c r="AB2106" s="269"/>
      <c r="AC2106" s="269"/>
      <c r="AE2106" s="269">
        <v>438197.66</v>
      </c>
      <c r="AF2106" s="7"/>
      <c r="AG2106" s="13"/>
      <c r="AH2106" s="13"/>
      <c r="AI2106" s="13"/>
    </row>
    <row r="2107" spans="1:35" x14ac:dyDescent="0.3">
      <c r="A2107" s="10">
        <f t="shared" si="464"/>
        <v>1856</v>
      </c>
      <c r="B2107" s="124" t="s">
        <v>2671</v>
      </c>
      <c r="C2107" s="273">
        <f t="shared" si="462"/>
        <v>140491.1</v>
      </c>
      <c r="D2107" s="273">
        <f t="shared" si="463"/>
        <v>0</v>
      </c>
      <c r="E2107" s="273"/>
      <c r="F2107" s="273"/>
      <c r="G2107" s="273"/>
      <c r="H2107" s="273"/>
      <c r="I2107" s="273"/>
      <c r="J2107" s="273"/>
      <c r="K2107" s="273"/>
      <c r="L2107" s="273"/>
      <c r="M2107" s="273"/>
      <c r="N2107" s="273"/>
      <c r="O2107" s="273"/>
      <c r="P2107" s="273"/>
      <c r="Q2107" s="273"/>
      <c r="R2107" s="273"/>
      <c r="S2107" s="273"/>
      <c r="T2107" s="273"/>
      <c r="U2107" s="273"/>
      <c r="V2107" s="273"/>
      <c r="W2107" s="273">
        <f t="shared" si="465"/>
        <v>140491.1</v>
      </c>
      <c r="Y2107" s="269"/>
      <c r="Z2107" s="269"/>
      <c r="AA2107" s="269"/>
      <c r="AB2107" s="269"/>
      <c r="AC2107" s="269"/>
      <c r="AE2107" s="269"/>
      <c r="AF2107" s="7">
        <v>140491.1</v>
      </c>
      <c r="AG2107" s="13"/>
      <c r="AH2107" s="13"/>
      <c r="AI2107" s="13"/>
    </row>
    <row r="2108" spans="1:35" x14ac:dyDescent="0.3">
      <c r="A2108" s="10">
        <f t="shared" si="464"/>
        <v>1857</v>
      </c>
      <c r="B2108" s="124" t="s">
        <v>2672</v>
      </c>
      <c r="C2108" s="273">
        <f t="shared" si="462"/>
        <v>140491.1</v>
      </c>
      <c r="D2108" s="273">
        <f t="shared" si="463"/>
        <v>0</v>
      </c>
      <c r="E2108" s="273"/>
      <c r="F2108" s="273"/>
      <c r="G2108" s="273"/>
      <c r="H2108" s="273"/>
      <c r="I2108" s="273"/>
      <c r="J2108" s="273"/>
      <c r="K2108" s="273"/>
      <c r="L2108" s="273"/>
      <c r="M2108" s="273"/>
      <c r="N2108" s="273"/>
      <c r="O2108" s="273"/>
      <c r="P2108" s="273"/>
      <c r="Q2108" s="273"/>
      <c r="R2108" s="273"/>
      <c r="S2108" s="273"/>
      <c r="T2108" s="273"/>
      <c r="U2108" s="273"/>
      <c r="V2108" s="273"/>
      <c r="W2108" s="273">
        <f t="shared" si="465"/>
        <v>140491.1</v>
      </c>
      <c r="Y2108" s="269"/>
      <c r="Z2108" s="269"/>
      <c r="AA2108" s="269"/>
      <c r="AB2108" s="269"/>
      <c r="AC2108" s="269"/>
      <c r="AE2108" s="269"/>
      <c r="AF2108" s="7">
        <v>140491.1</v>
      </c>
      <c r="AG2108" s="13"/>
      <c r="AH2108" s="13"/>
      <c r="AI2108" s="13"/>
    </row>
    <row r="2109" spans="1:35" x14ac:dyDescent="0.3">
      <c r="A2109" s="10">
        <f t="shared" si="464"/>
        <v>1858</v>
      </c>
      <c r="B2109" s="124" t="s">
        <v>2673</v>
      </c>
      <c r="C2109" s="273">
        <f t="shared" si="462"/>
        <v>335085.18</v>
      </c>
      <c r="D2109" s="273">
        <f t="shared" si="463"/>
        <v>0</v>
      </c>
      <c r="E2109" s="273"/>
      <c r="F2109" s="273"/>
      <c r="G2109" s="273"/>
      <c r="H2109" s="273"/>
      <c r="I2109" s="273"/>
      <c r="J2109" s="273"/>
      <c r="K2109" s="273"/>
      <c r="L2109" s="273"/>
      <c r="M2109" s="273"/>
      <c r="N2109" s="273"/>
      <c r="O2109" s="273"/>
      <c r="P2109" s="273"/>
      <c r="Q2109" s="273"/>
      <c r="R2109" s="273"/>
      <c r="S2109" s="273"/>
      <c r="T2109" s="273"/>
      <c r="U2109" s="273"/>
      <c r="V2109" s="273"/>
      <c r="W2109" s="273">
        <f t="shared" si="465"/>
        <v>335085.18</v>
      </c>
      <c r="Y2109" s="269"/>
      <c r="Z2109" s="269"/>
      <c r="AA2109" s="269"/>
      <c r="AB2109" s="269"/>
      <c r="AC2109" s="269"/>
      <c r="AE2109" s="269">
        <v>335085.18</v>
      </c>
      <c r="AF2109" s="7"/>
      <c r="AG2109" s="13"/>
      <c r="AH2109" s="13"/>
      <c r="AI2109" s="13"/>
    </row>
    <row r="2110" spans="1:35" x14ac:dyDescent="0.3">
      <c r="A2110" s="10">
        <f t="shared" si="464"/>
        <v>1859</v>
      </c>
      <c r="B2110" s="124" t="s">
        <v>2674</v>
      </c>
      <c r="C2110" s="273">
        <f t="shared" si="462"/>
        <v>141164.03</v>
      </c>
      <c r="D2110" s="273">
        <f t="shared" si="463"/>
        <v>0</v>
      </c>
      <c r="E2110" s="273"/>
      <c r="F2110" s="273"/>
      <c r="G2110" s="273"/>
      <c r="H2110" s="273"/>
      <c r="I2110" s="273"/>
      <c r="J2110" s="273"/>
      <c r="K2110" s="273"/>
      <c r="L2110" s="273"/>
      <c r="M2110" s="273"/>
      <c r="N2110" s="273"/>
      <c r="O2110" s="273"/>
      <c r="P2110" s="273"/>
      <c r="Q2110" s="273"/>
      <c r="R2110" s="273"/>
      <c r="S2110" s="273"/>
      <c r="T2110" s="273"/>
      <c r="U2110" s="273"/>
      <c r="V2110" s="273"/>
      <c r="W2110" s="273">
        <f t="shared" si="465"/>
        <v>141164.03</v>
      </c>
      <c r="Y2110" s="269"/>
      <c r="Z2110" s="269"/>
      <c r="AA2110" s="269"/>
      <c r="AB2110" s="269"/>
      <c r="AC2110" s="269"/>
      <c r="AE2110" s="269"/>
      <c r="AF2110" s="7">
        <v>141164.03</v>
      </c>
      <c r="AG2110" s="13"/>
      <c r="AH2110" s="13"/>
      <c r="AI2110" s="13"/>
    </row>
    <row r="2111" spans="1:35" x14ac:dyDescent="0.3">
      <c r="A2111" s="10">
        <f t="shared" si="464"/>
        <v>1860</v>
      </c>
      <c r="B2111" s="124" t="s">
        <v>2675</v>
      </c>
      <c r="C2111" s="273">
        <f t="shared" si="462"/>
        <v>415463.49</v>
      </c>
      <c r="D2111" s="273">
        <f t="shared" si="463"/>
        <v>0</v>
      </c>
      <c r="E2111" s="273"/>
      <c r="F2111" s="273"/>
      <c r="G2111" s="273"/>
      <c r="H2111" s="273"/>
      <c r="I2111" s="273"/>
      <c r="J2111" s="273"/>
      <c r="K2111" s="273"/>
      <c r="L2111" s="273"/>
      <c r="M2111" s="273"/>
      <c r="N2111" s="273"/>
      <c r="O2111" s="273"/>
      <c r="P2111" s="273"/>
      <c r="Q2111" s="273"/>
      <c r="R2111" s="273"/>
      <c r="S2111" s="273"/>
      <c r="T2111" s="273"/>
      <c r="U2111" s="273"/>
      <c r="V2111" s="273"/>
      <c r="W2111" s="273">
        <f t="shared" si="465"/>
        <v>415463.49</v>
      </c>
      <c r="Y2111" s="269"/>
      <c r="Z2111" s="269"/>
      <c r="AA2111" s="269"/>
      <c r="AB2111" s="269"/>
      <c r="AC2111" s="269"/>
      <c r="AE2111" s="269">
        <v>274299.46000000002</v>
      </c>
      <c r="AF2111" s="7">
        <v>141164.03</v>
      </c>
      <c r="AG2111" s="13"/>
      <c r="AH2111" s="13"/>
      <c r="AI2111" s="13"/>
    </row>
    <row r="2112" spans="1:35" x14ac:dyDescent="0.3">
      <c r="A2112" s="10">
        <f t="shared" si="464"/>
        <v>1861</v>
      </c>
      <c r="B2112" s="124" t="s">
        <v>2676</v>
      </c>
      <c r="C2112" s="273">
        <f t="shared" ref="C2112:C2143" si="466">D2112+K2112+L2112+N2112+P2112+R2112+S2112+U2112+V2112+W2112</f>
        <v>507511.69000000006</v>
      </c>
      <c r="D2112" s="273">
        <f t="shared" ref="D2112:D2133" si="467">E2112+F2112+G2112+H2112</f>
        <v>0</v>
      </c>
      <c r="E2112" s="273"/>
      <c r="F2112" s="273"/>
      <c r="G2112" s="273"/>
      <c r="H2112" s="273"/>
      <c r="I2112" s="273"/>
      <c r="J2112" s="273"/>
      <c r="K2112" s="273"/>
      <c r="L2112" s="273"/>
      <c r="M2112" s="273"/>
      <c r="N2112" s="273"/>
      <c r="O2112" s="273"/>
      <c r="P2112" s="273"/>
      <c r="Q2112" s="273"/>
      <c r="R2112" s="273"/>
      <c r="S2112" s="273"/>
      <c r="T2112" s="273"/>
      <c r="U2112" s="273"/>
      <c r="V2112" s="273"/>
      <c r="W2112" s="273">
        <f t="shared" si="465"/>
        <v>507511.69000000006</v>
      </c>
      <c r="Y2112" s="269"/>
      <c r="Z2112" s="269"/>
      <c r="AA2112" s="269"/>
      <c r="AB2112" s="269"/>
      <c r="AC2112" s="269"/>
      <c r="AE2112" s="269">
        <v>335565.96</v>
      </c>
      <c r="AF2112" s="7">
        <v>171945.73</v>
      </c>
      <c r="AG2112" s="13"/>
      <c r="AH2112" s="13"/>
      <c r="AI2112" s="13"/>
    </row>
    <row r="2113" spans="1:35" x14ac:dyDescent="0.3">
      <c r="A2113" s="10">
        <f t="shared" ref="A2113:A2144" si="468">A2112+1</f>
        <v>1862</v>
      </c>
      <c r="B2113" s="124" t="s">
        <v>2677</v>
      </c>
      <c r="C2113" s="273">
        <f t="shared" si="466"/>
        <v>416830.8</v>
      </c>
      <c r="D2113" s="273">
        <f t="shared" si="467"/>
        <v>0</v>
      </c>
      <c r="E2113" s="273"/>
      <c r="F2113" s="273"/>
      <c r="G2113" s="273"/>
      <c r="H2113" s="273"/>
      <c r="I2113" s="273"/>
      <c r="J2113" s="273"/>
      <c r="K2113" s="273"/>
      <c r="L2113" s="273"/>
      <c r="M2113" s="273"/>
      <c r="N2113" s="273"/>
      <c r="O2113" s="273"/>
      <c r="P2113" s="273"/>
      <c r="Q2113" s="273"/>
      <c r="R2113" s="273"/>
      <c r="S2113" s="273"/>
      <c r="T2113" s="273"/>
      <c r="U2113" s="273"/>
      <c r="V2113" s="273"/>
      <c r="W2113" s="273">
        <f t="shared" si="465"/>
        <v>416830.8</v>
      </c>
      <c r="Y2113" s="269"/>
      <c r="Z2113" s="269"/>
      <c r="AA2113" s="269"/>
      <c r="AB2113" s="269"/>
      <c r="AC2113" s="269"/>
      <c r="AE2113" s="269">
        <v>275209.53999999998</v>
      </c>
      <c r="AF2113" s="7">
        <v>141621.26</v>
      </c>
      <c r="AG2113" s="13"/>
      <c r="AH2113" s="13"/>
      <c r="AI2113" s="13"/>
    </row>
    <row r="2114" spans="1:35" x14ac:dyDescent="0.3">
      <c r="A2114" s="10">
        <f t="shared" si="468"/>
        <v>1863</v>
      </c>
      <c r="B2114" s="124" t="s">
        <v>2679</v>
      </c>
      <c r="C2114" s="273">
        <f t="shared" si="466"/>
        <v>415216.26</v>
      </c>
      <c r="D2114" s="273">
        <f t="shared" si="467"/>
        <v>0</v>
      </c>
      <c r="E2114" s="273"/>
      <c r="F2114" s="273"/>
      <c r="G2114" s="273"/>
      <c r="H2114" s="273"/>
      <c r="I2114" s="273"/>
      <c r="J2114" s="273"/>
      <c r="K2114" s="273"/>
      <c r="L2114" s="273"/>
      <c r="M2114" s="273"/>
      <c r="N2114" s="273"/>
      <c r="O2114" s="273"/>
      <c r="P2114" s="273"/>
      <c r="Q2114" s="273"/>
      <c r="R2114" s="273"/>
      <c r="S2114" s="273"/>
      <c r="T2114" s="273"/>
      <c r="U2114" s="273"/>
      <c r="V2114" s="273"/>
      <c r="W2114" s="273">
        <f t="shared" si="465"/>
        <v>415216.26</v>
      </c>
      <c r="Y2114" s="269"/>
      <c r="Z2114" s="269"/>
      <c r="AA2114" s="269"/>
      <c r="AB2114" s="269"/>
      <c r="AC2114" s="269">
        <v>142582.39000000001</v>
      </c>
      <c r="AE2114" s="269">
        <v>272633.87</v>
      </c>
      <c r="AF2114" s="7"/>
      <c r="AG2114" s="82"/>
      <c r="AH2114" s="13"/>
      <c r="AI2114" s="13"/>
    </row>
    <row r="2115" spans="1:35" x14ac:dyDescent="0.3">
      <c r="A2115" s="10">
        <f t="shared" si="468"/>
        <v>1864</v>
      </c>
      <c r="B2115" s="124" t="s">
        <v>2680</v>
      </c>
      <c r="C2115" s="273">
        <f t="shared" si="466"/>
        <v>6406120.1600000001</v>
      </c>
      <c r="D2115" s="273">
        <f t="shared" si="467"/>
        <v>0</v>
      </c>
      <c r="E2115" s="273"/>
      <c r="F2115" s="273"/>
      <c r="G2115" s="273"/>
      <c r="H2115" s="273"/>
      <c r="I2115" s="273"/>
      <c r="J2115" s="273"/>
      <c r="K2115" s="273"/>
      <c r="L2115" s="273"/>
      <c r="M2115" s="273"/>
      <c r="N2115" s="273">
        <f>992*6243</f>
        <v>6193056</v>
      </c>
      <c r="O2115" s="273"/>
      <c r="P2115" s="273"/>
      <c r="Q2115" s="273"/>
      <c r="R2115" s="273"/>
      <c r="S2115" s="273"/>
      <c r="T2115" s="273"/>
      <c r="U2115" s="273"/>
      <c r="V2115" s="273"/>
      <c r="W2115" s="273">
        <f t="shared" si="465"/>
        <v>213064.16</v>
      </c>
      <c r="Y2115" s="269"/>
      <c r="Z2115" s="269"/>
      <c r="AA2115" s="269"/>
      <c r="AB2115" s="269"/>
      <c r="AC2115" s="269">
        <v>213064.16</v>
      </c>
      <c r="AE2115" s="269"/>
      <c r="AF2115" s="7"/>
      <c r="AG2115" s="13"/>
      <c r="AH2115" s="13"/>
      <c r="AI2115" s="13"/>
    </row>
    <row r="2116" spans="1:35" x14ac:dyDescent="0.3">
      <c r="A2116" s="10">
        <f t="shared" si="468"/>
        <v>1865</v>
      </c>
      <c r="B2116" s="124" t="s">
        <v>2681</v>
      </c>
      <c r="C2116" s="273">
        <f t="shared" si="466"/>
        <v>6718270.1600000001</v>
      </c>
      <c r="D2116" s="273">
        <f t="shared" si="467"/>
        <v>0</v>
      </c>
      <c r="E2116" s="273"/>
      <c r="F2116" s="273"/>
      <c r="G2116" s="273"/>
      <c r="H2116" s="273"/>
      <c r="I2116" s="273"/>
      <c r="J2116" s="273"/>
      <c r="K2116" s="273"/>
      <c r="L2116" s="273"/>
      <c r="M2116" s="273"/>
      <c r="N2116" s="273">
        <f>1042*6243</f>
        <v>6505206</v>
      </c>
      <c r="O2116" s="273"/>
      <c r="P2116" s="273"/>
      <c r="Q2116" s="273"/>
      <c r="R2116" s="273"/>
      <c r="S2116" s="273"/>
      <c r="T2116" s="273"/>
      <c r="U2116" s="273"/>
      <c r="V2116" s="273"/>
      <c r="W2116" s="273">
        <f t="shared" si="465"/>
        <v>213064.16</v>
      </c>
      <c r="Y2116" s="269"/>
      <c r="Z2116" s="269"/>
      <c r="AA2116" s="269"/>
      <c r="AB2116" s="269"/>
      <c r="AC2116" s="269">
        <v>213064.16</v>
      </c>
      <c r="AE2116" s="269"/>
      <c r="AF2116" s="7"/>
      <c r="AG2116" s="13"/>
      <c r="AH2116" s="13"/>
      <c r="AI2116" s="13"/>
    </row>
    <row r="2117" spans="1:35" x14ac:dyDescent="0.3">
      <c r="A2117" s="10">
        <f t="shared" si="468"/>
        <v>1866</v>
      </c>
      <c r="B2117" s="124" t="s">
        <v>2682</v>
      </c>
      <c r="C2117" s="273">
        <f t="shared" si="466"/>
        <v>179719.93</v>
      </c>
      <c r="D2117" s="273">
        <f t="shared" si="467"/>
        <v>0</v>
      </c>
      <c r="E2117" s="273"/>
      <c r="F2117" s="273"/>
      <c r="G2117" s="273"/>
      <c r="H2117" s="273"/>
      <c r="I2117" s="273"/>
      <c r="J2117" s="273"/>
      <c r="K2117" s="273"/>
      <c r="L2117" s="273"/>
      <c r="M2117" s="273"/>
      <c r="N2117" s="273"/>
      <c r="O2117" s="273"/>
      <c r="P2117" s="273"/>
      <c r="Q2117" s="273"/>
      <c r="R2117" s="273"/>
      <c r="S2117" s="273"/>
      <c r="T2117" s="273"/>
      <c r="U2117" s="273"/>
      <c r="V2117" s="273"/>
      <c r="W2117" s="273">
        <f t="shared" si="465"/>
        <v>179719.93</v>
      </c>
      <c r="Y2117" s="269"/>
      <c r="Z2117" s="269"/>
      <c r="AA2117" s="269"/>
      <c r="AB2117" s="269"/>
      <c r="AC2117" s="269">
        <v>179719.93</v>
      </c>
      <c r="AE2117" s="269"/>
      <c r="AF2117" s="7"/>
      <c r="AG2117" s="13"/>
      <c r="AH2117" s="13"/>
      <c r="AI2117" s="13"/>
    </row>
    <row r="2118" spans="1:35" x14ac:dyDescent="0.3">
      <c r="A2118" s="10">
        <f t="shared" si="468"/>
        <v>1867</v>
      </c>
      <c r="B2118" s="124" t="s">
        <v>2683</v>
      </c>
      <c r="C2118" s="273">
        <f t="shared" si="466"/>
        <v>215414.95</v>
      </c>
      <c r="D2118" s="273">
        <f t="shared" si="467"/>
        <v>0</v>
      </c>
      <c r="E2118" s="273"/>
      <c r="F2118" s="273"/>
      <c r="G2118" s="273"/>
      <c r="H2118" s="273"/>
      <c r="I2118" s="273"/>
      <c r="J2118" s="273"/>
      <c r="K2118" s="273"/>
      <c r="L2118" s="273"/>
      <c r="M2118" s="273"/>
      <c r="N2118" s="273"/>
      <c r="O2118" s="273"/>
      <c r="P2118" s="273"/>
      <c r="Q2118" s="273"/>
      <c r="R2118" s="273"/>
      <c r="S2118" s="273"/>
      <c r="T2118" s="273"/>
      <c r="U2118" s="273"/>
      <c r="V2118" s="273"/>
      <c r="W2118" s="273">
        <f t="shared" si="465"/>
        <v>215414.95</v>
      </c>
      <c r="Y2118" s="269"/>
      <c r="Z2118" s="269"/>
      <c r="AA2118" s="269"/>
      <c r="AB2118" s="269"/>
      <c r="AC2118" s="269"/>
      <c r="AE2118" s="269"/>
      <c r="AF2118" s="7">
        <v>215414.95</v>
      </c>
      <c r="AG2118" s="13"/>
      <c r="AH2118" s="13"/>
      <c r="AI2118" s="13"/>
    </row>
    <row r="2119" spans="1:35" x14ac:dyDescent="0.3">
      <c r="A2119" s="10">
        <f t="shared" si="468"/>
        <v>1868</v>
      </c>
      <c r="B2119" s="124" t="s">
        <v>2684</v>
      </c>
      <c r="C2119" s="273">
        <f t="shared" si="466"/>
        <v>157176.64000000001</v>
      </c>
      <c r="D2119" s="273">
        <f t="shared" si="467"/>
        <v>0</v>
      </c>
      <c r="E2119" s="273"/>
      <c r="F2119" s="273"/>
      <c r="G2119" s="273"/>
      <c r="H2119" s="273"/>
      <c r="I2119" s="273"/>
      <c r="J2119" s="273"/>
      <c r="K2119" s="273"/>
      <c r="L2119" s="273"/>
      <c r="M2119" s="273"/>
      <c r="N2119" s="273"/>
      <c r="O2119" s="273"/>
      <c r="P2119" s="273"/>
      <c r="Q2119" s="273"/>
      <c r="R2119" s="273"/>
      <c r="S2119" s="273"/>
      <c r="T2119" s="273"/>
      <c r="U2119" s="273"/>
      <c r="V2119" s="273"/>
      <c r="W2119" s="273">
        <f t="shared" si="465"/>
        <v>157176.64000000001</v>
      </c>
      <c r="Y2119" s="269"/>
      <c r="Z2119" s="269"/>
      <c r="AA2119" s="269"/>
      <c r="AB2119" s="269"/>
      <c r="AC2119" s="269"/>
      <c r="AE2119" s="269"/>
      <c r="AF2119" s="7">
        <v>157176.64000000001</v>
      </c>
      <c r="AG2119" s="13"/>
      <c r="AH2119" s="13"/>
      <c r="AI2119" s="13"/>
    </row>
    <row r="2120" spans="1:35" x14ac:dyDescent="0.3">
      <c r="A2120" s="10">
        <f t="shared" si="468"/>
        <v>1869</v>
      </c>
      <c r="B2120" s="124" t="s">
        <v>2685</v>
      </c>
      <c r="C2120" s="273">
        <f t="shared" si="466"/>
        <v>187330.75</v>
      </c>
      <c r="D2120" s="273">
        <f t="shared" si="467"/>
        <v>0</v>
      </c>
      <c r="E2120" s="273"/>
      <c r="F2120" s="273"/>
      <c r="G2120" s="273"/>
      <c r="H2120" s="273"/>
      <c r="I2120" s="273"/>
      <c r="J2120" s="273"/>
      <c r="K2120" s="273"/>
      <c r="L2120" s="273"/>
      <c r="M2120" s="273"/>
      <c r="N2120" s="273"/>
      <c r="O2120" s="273"/>
      <c r="P2120" s="273"/>
      <c r="Q2120" s="273"/>
      <c r="R2120" s="273"/>
      <c r="S2120" s="273"/>
      <c r="T2120" s="273"/>
      <c r="U2120" s="273"/>
      <c r="V2120" s="273"/>
      <c r="W2120" s="273">
        <f t="shared" si="465"/>
        <v>187330.75</v>
      </c>
      <c r="Y2120" s="269"/>
      <c r="Z2120" s="269"/>
      <c r="AA2120" s="269"/>
      <c r="AB2120" s="269"/>
      <c r="AC2120" s="269"/>
      <c r="AE2120" s="269"/>
      <c r="AF2120" s="7">
        <v>187330.75</v>
      </c>
      <c r="AG2120" s="13"/>
      <c r="AH2120" s="13"/>
      <c r="AI2120" s="13"/>
    </row>
    <row r="2121" spans="1:35" x14ac:dyDescent="0.3">
      <c r="A2121" s="10">
        <f t="shared" si="468"/>
        <v>1870</v>
      </c>
      <c r="B2121" s="124" t="s">
        <v>2686</v>
      </c>
      <c r="C2121" s="273">
        <f t="shared" si="466"/>
        <v>212440.93</v>
      </c>
      <c r="D2121" s="273">
        <f t="shared" si="467"/>
        <v>0</v>
      </c>
      <c r="E2121" s="273"/>
      <c r="F2121" s="273"/>
      <c r="G2121" s="273"/>
      <c r="H2121" s="273"/>
      <c r="I2121" s="273"/>
      <c r="J2121" s="273"/>
      <c r="K2121" s="273"/>
      <c r="L2121" s="273"/>
      <c r="M2121" s="273"/>
      <c r="N2121" s="273"/>
      <c r="O2121" s="273"/>
      <c r="P2121" s="273"/>
      <c r="Q2121" s="273"/>
      <c r="R2121" s="273"/>
      <c r="S2121" s="273"/>
      <c r="T2121" s="273"/>
      <c r="U2121" s="273"/>
      <c r="V2121" s="273"/>
      <c r="W2121" s="273">
        <f t="shared" si="465"/>
        <v>212440.93</v>
      </c>
      <c r="Y2121" s="269"/>
      <c r="Z2121" s="269"/>
      <c r="AA2121" s="269"/>
      <c r="AB2121" s="269"/>
      <c r="AC2121" s="269">
        <v>212440.93</v>
      </c>
      <c r="AE2121" s="269"/>
      <c r="AF2121" s="7"/>
      <c r="AG2121" s="13"/>
      <c r="AH2121" s="13"/>
      <c r="AI2121" s="13"/>
    </row>
    <row r="2122" spans="1:35" x14ac:dyDescent="0.3">
      <c r="A2122" s="10">
        <f t="shared" si="468"/>
        <v>1871</v>
      </c>
      <c r="B2122" s="124" t="s">
        <v>2689</v>
      </c>
      <c r="C2122" s="273">
        <f t="shared" si="466"/>
        <v>155825.68</v>
      </c>
      <c r="D2122" s="273">
        <f t="shared" si="467"/>
        <v>0</v>
      </c>
      <c r="E2122" s="273"/>
      <c r="F2122" s="273"/>
      <c r="G2122" s="273"/>
      <c r="H2122" s="273"/>
      <c r="I2122" s="273"/>
      <c r="J2122" s="273"/>
      <c r="K2122" s="273"/>
      <c r="L2122" s="273"/>
      <c r="M2122" s="273"/>
      <c r="N2122" s="273"/>
      <c r="O2122" s="273"/>
      <c r="P2122" s="273"/>
      <c r="Q2122" s="273"/>
      <c r="R2122" s="273"/>
      <c r="S2122" s="273"/>
      <c r="T2122" s="273"/>
      <c r="U2122" s="273"/>
      <c r="V2122" s="273"/>
      <c r="W2122" s="273">
        <f t="shared" si="465"/>
        <v>155825.68</v>
      </c>
      <c r="Y2122" s="269"/>
      <c r="Z2122" s="269"/>
      <c r="AA2122" s="269"/>
      <c r="AB2122" s="269"/>
      <c r="AC2122" s="269"/>
      <c r="AE2122" s="269"/>
      <c r="AF2122" s="7">
        <v>155825.68</v>
      </c>
      <c r="AG2122" s="13"/>
      <c r="AH2122" s="13"/>
      <c r="AI2122" s="13"/>
    </row>
    <row r="2123" spans="1:35" x14ac:dyDescent="0.3">
      <c r="A2123" s="10">
        <f t="shared" si="468"/>
        <v>1872</v>
      </c>
      <c r="B2123" s="124" t="s">
        <v>2690</v>
      </c>
      <c r="C2123" s="273">
        <f t="shared" si="466"/>
        <v>123743.54</v>
      </c>
      <c r="D2123" s="273">
        <f t="shared" si="467"/>
        <v>0</v>
      </c>
      <c r="E2123" s="273"/>
      <c r="F2123" s="273"/>
      <c r="G2123" s="273"/>
      <c r="H2123" s="273"/>
      <c r="I2123" s="273"/>
      <c r="J2123" s="273"/>
      <c r="K2123" s="273"/>
      <c r="L2123" s="273"/>
      <c r="M2123" s="273"/>
      <c r="N2123" s="273"/>
      <c r="O2123" s="273"/>
      <c r="P2123" s="273"/>
      <c r="Q2123" s="273"/>
      <c r="R2123" s="273"/>
      <c r="S2123" s="273"/>
      <c r="T2123" s="273"/>
      <c r="U2123" s="273"/>
      <c r="V2123" s="273"/>
      <c r="W2123" s="273">
        <f t="shared" si="465"/>
        <v>123743.54</v>
      </c>
      <c r="Y2123" s="269"/>
      <c r="Z2123" s="269"/>
      <c r="AA2123" s="269"/>
      <c r="AB2123" s="269"/>
      <c r="AC2123" s="269"/>
      <c r="AE2123" s="269"/>
      <c r="AF2123" s="7">
        <v>123743.54</v>
      </c>
      <c r="AG2123" s="13"/>
      <c r="AH2123" s="13"/>
      <c r="AI2123" s="13"/>
    </row>
    <row r="2124" spans="1:35" x14ac:dyDescent="0.3">
      <c r="A2124" s="10">
        <f t="shared" si="468"/>
        <v>1873</v>
      </c>
      <c r="B2124" s="124" t="s">
        <v>2691</v>
      </c>
      <c r="C2124" s="273">
        <f t="shared" si="466"/>
        <v>452140.61</v>
      </c>
      <c r="D2124" s="273">
        <f t="shared" si="467"/>
        <v>0</v>
      </c>
      <c r="E2124" s="273"/>
      <c r="F2124" s="273"/>
      <c r="G2124" s="273"/>
      <c r="H2124" s="273"/>
      <c r="I2124" s="273"/>
      <c r="J2124" s="273"/>
      <c r="K2124" s="273"/>
      <c r="L2124" s="273"/>
      <c r="M2124" s="273"/>
      <c r="N2124" s="273"/>
      <c r="O2124" s="273"/>
      <c r="P2124" s="273"/>
      <c r="Q2124" s="273"/>
      <c r="R2124" s="273"/>
      <c r="S2124" s="273"/>
      <c r="T2124" s="273"/>
      <c r="U2124" s="273"/>
      <c r="V2124" s="273"/>
      <c r="W2124" s="273">
        <f t="shared" si="465"/>
        <v>452140.61</v>
      </c>
      <c r="Y2124" s="269"/>
      <c r="Z2124" s="269"/>
      <c r="AA2124" s="269"/>
      <c r="AB2124" s="269"/>
      <c r="AC2124" s="269"/>
      <c r="AE2124" s="269">
        <v>452140.61</v>
      </c>
      <c r="AF2124" s="7"/>
      <c r="AG2124" s="13"/>
      <c r="AH2124" s="13"/>
      <c r="AI2124" s="13"/>
    </row>
    <row r="2125" spans="1:35" x14ac:dyDescent="0.3">
      <c r="A2125" s="10">
        <f t="shared" si="468"/>
        <v>1874</v>
      </c>
      <c r="B2125" s="124" t="s">
        <v>2692</v>
      </c>
      <c r="C2125" s="273">
        <f t="shared" si="466"/>
        <v>79675.03</v>
      </c>
      <c r="D2125" s="273">
        <f t="shared" si="467"/>
        <v>0</v>
      </c>
      <c r="E2125" s="273"/>
      <c r="F2125" s="273"/>
      <c r="G2125" s="273"/>
      <c r="H2125" s="273"/>
      <c r="I2125" s="273"/>
      <c r="J2125" s="273"/>
      <c r="K2125" s="273"/>
      <c r="L2125" s="273"/>
      <c r="M2125" s="273"/>
      <c r="N2125" s="273"/>
      <c r="O2125" s="273"/>
      <c r="P2125" s="273"/>
      <c r="Q2125" s="273"/>
      <c r="R2125" s="273"/>
      <c r="S2125" s="273"/>
      <c r="T2125" s="273"/>
      <c r="U2125" s="273"/>
      <c r="V2125" s="273"/>
      <c r="W2125" s="273">
        <f t="shared" si="465"/>
        <v>79675.03</v>
      </c>
      <c r="Y2125" s="269"/>
      <c r="Z2125" s="269"/>
      <c r="AA2125" s="269"/>
      <c r="AB2125" s="269"/>
      <c r="AC2125" s="269"/>
      <c r="AE2125" s="269"/>
      <c r="AF2125" s="7">
        <v>79675.03</v>
      </c>
      <c r="AG2125" s="13"/>
      <c r="AH2125" s="13"/>
      <c r="AI2125" s="13"/>
    </row>
    <row r="2126" spans="1:35" x14ac:dyDescent="0.3">
      <c r="A2126" s="10">
        <f t="shared" si="468"/>
        <v>1875</v>
      </c>
      <c r="B2126" s="124" t="s">
        <v>2693</v>
      </c>
      <c r="C2126" s="273">
        <f t="shared" si="466"/>
        <v>193444.61</v>
      </c>
      <c r="D2126" s="273">
        <f t="shared" si="467"/>
        <v>0</v>
      </c>
      <c r="E2126" s="273"/>
      <c r="F2126" s="273"/>
      <c r="G2126" s="273"/>
      <c r="H2126" s="273"/>
      <c r="I2126" s="273"/>
      <c r="J2126" s="273"/>
      <c r="K2126" s="273"/>
      <c r="L2126" s="273"/>
      <c r="M2126" s="273"/>
      <c r="N2126" s="273"/>
      <c r="O2126" s="273"/>
      <c r="P2126" s="273"/>
      <c r="Q2126" s="273"/>
      <c r="R2126" s="273"/>
      <c r="S2126" s="273"/>
      <c r="T2126" s="273"/>
      <c r="U2126" s="273"/>
      <c r="V2126" s="273"/>
      <c r="W2126" s="273">
        <f t="shared" si="465"/>
        <v>193444.61</v>
      </c>
      <c r="Y2126" s="269"/>
      <c r="Z2126" s="269"/>
      <c r="AA2126" s="269"/>
      <c r="AB2126" s="269"/>
      <c r="AC2126" s="269"/>
      <c r="AE2126" s="269"/>
      <c r="AF2126" s="7">
        <v>193444.61</v>
      </c>
      <c r="AG2126" s="13"/>
      <c r="AH2126" s="13"/>
      <c r="AI2126" s="13"/>
    </row>
    <row r="2127" spans="1:35" x14ac:dyDescent="0.3">
      <c r="A2127" s="10">
        <f t="shared" si="468"/>
        <v>1876</v>
      </c>
      <c r="B2127" s="124" t="s">
        <v>2694</v>
      </c>
      <c r="C2127" s="273">
        <f t="shared" si="466"/>
        <v>317628.28999999998</v>
      </c>
      <c r="D2127" s="273">
        <f t="shared" si="467"/>
        <v>0</v>
      </c>
      <c r="E2127" s="273"/>
      <c r="F2127" s="273"/>
      <c r="G2127" s="273"/>
      <c r="H2127" s="273"/>
      <c r="I2127" s="273"/>
      <c r="J2127" s="273"/>
      <c r="K2127" s="273"/>
      <c r="L2127" s="273"/>
      <c r="M2127" s="273"/>
      <c r="N2127" s="273"/>
      <c r="O2127" s="273"/>
      <c r="P2127" s="273"/>
      <c r="Q2127" s="273"/>
      <c r="R2127" s="273"/>
      <c r="S2127" s="273"/>
      <c r="T2127" s="273"/>
      <c r="U2127" s="273"/>
      <c r="V2127" s="273"/>
      <c r="W2127" s="273">
        <f t="shared" si="465"/>
        <v>317628.28999999998</v>
      </c>
      <c r="Y2127" s="269"/>
      <c r="Z2127" s="269"/>
      <c r="AA2127" s="269"/>
      <c r="AB2127" s="269"/>
      <c r="AC2127" s="269"/>
      <c r="AE2127" s="269">
        <v>317628.28999999998</v>
      </c>
      <c r="AF2127" s="7"/>
      <c r="AG2127" s="13"/>
      <c r="AH2127" s="13"/>
      <c r="AI2127" s="13"/>
    </row>
    <row r="2128" spans="1:35" x14ac:dyDescent="0.3">
      <c r="A2128" s="10">
        <f t="shared" si="468"/>
        <v>1877</v>
      </c>
      <c r="B2128" s="124" t="s">
        <v>2697</v>
      </c>
      <c r="C2128" s="273">
        <f t="shared" si="466"/>
        <v>130000</v>
      </c>
      <c r="D2128" s="273">
        <f t="shared" si="467"/>
        <v>0</v>
      </c>
      <c r="E2128" s="273"/>
      <c r="F2128" s="273"/>
      <c r="G2128" s="273"/>
      <c r="H2128" s="273"/>
      <c r="I2128" s="273"/>
      <c r="J2128" s="273"/>
      <c r="K2128" s="273"/>
      <c r="L2128" s="273"/>
      <c r="M2128" s="273"/>
      <c r="N2128" s="273"/>
      <c r="O2128" s="273"/>
      <c r="P2128" s="273"/>
      <c r="Q2128" s="273"/>
      <c r="R2128" s="273"/>
      <c r="S2128" s="273"/>
      <c r="T2128" s="273"/>
      <c r="U2128" s="273"/>
      <c r="V2128" s="273"/>
      <c r="W2128" s="273">
        <v>130000</v>
      </c>
      <c r="Y2128" s="269"/>
      <c r="Z2128" s="269"/>
      <c r="AA2128" s="269"/>
      <c r="AB2128" s="269"/>
      <c r="AC2128" s="269"/>
      <c r="AE2128" s="269"/>
      <c r="AF2128" s="7"/>
      <c r="AG2128" s="13"/>
      <c r="AH2128" s="13"/>
      <c r="AI2128" s="13"/>
    </row>
    <row r="2129" spans="1:35" x14ac:dyDescent="0.3">
      <c r="A2129" s="10">
        <f t="shared" si="468"/>
        <v>1878</v>
      </c>
      <c r="B2129" s="124" t="s">
        <v>2698</v>
      </c>
      <c r="C2129" s="273">
        <f t="shared" si="466"/>
        <v>6738147.6799999997</v>
      </c>
      <c r="D2129" s="273">
        <f t="shared" si="467"/>
        <v>6738147.6799999997</v>
      </c>
      <c r="E2129" s="273">
        <f>150*2688+2*358323</f>
        <v>1119846</v>
      </c>
      <c r="F2129" s="273">
        <v>5441187.6799999997</v>
      </c>
      <c r="G2129" s="273">
        <v>177114</v>
      </c>
      <c r="H2129" s="273"/>
      <c r="I2129" s="273"/>
      <c r="J2129" s="273"/>
      <c r="K2129" s="273"/>
      <c r="L2129" s="273"/>
      <c r="M2129" s="273"/>
      <c r="N2129" s="273"/>
      <c r="O2129" s="273"/>
      <c r="P2129" s="273"/>
      <c r="Q2129" s="273"/>
      <c r="R2129" s="273"/>
      <c r="S2129" s="273"/>
      <c r="T2129" s="273"/>
      <c r="U2129" s="273"/>
      <c r="V2129" s="273"/>
      <c r="W2129" s="273"/>
      <c r="Y2129" s="269"/>
      <c r="Z2129" s="269"/>
      <c r="AA2129" s="269"/>
      <c r="AB2129" s="269"/>
      <c r="AC2129" s="269"/>
      <c r="AE2129" s="269"/>
      <c r="AF2129" s="7"/>
      <c r="AG2129" s="13"/>
      <c r="AH2129" s="13"/>
      <c r="AI2129" s="13"/>
    </row>
    <row r="2130" spans="1:35" x14ac:dyDescent="0.3">
      <c r="A2130" s="10">
        <f t="shared" si="468"/>
        <v>1879</v>
      </c>
      <c r="B2130" s="124" t="s">
        <v>2699</v>
      </c>
      <c r="C2130" s="273">
        <f t="shared" si="466"/>
        <v>274505.51</v>
      </c>
      <c r="D2130" s="273">
        <f t="shared" si="467"/>
        <v>0</v>
      </c>
      <c r="E2130" s="273"/>
      <c r="F2130" s="273"/>
      <c r="G2130" s="273"/>
      <c r="H2130" s="273"/>
      <c r="I2130" s="273"/>
      <c r="J2130" s="273"/>
      <c r="K2130" s="273"/>
      <c r="L2130" s="273"/>
      <c r="M2130" s="273"/>
      <c r="N2130" s="273"/>
      <c r="O2130" s="273"/>
      <c r="P2130" s="273"/>
      <c r="Q2130" s="273"/>
      <c r="R2130" s="273"/>
      <c r="S2130" s="273"/>
      <c r="T2130" s="273"/>
      <c r="U2130" s="273"/>
      <c r="V2130" s="273"/>
      <c r="W2130" s="273">
        <f>SUM(Y2130:AJ2130)</f>
        <v>274505.51</v>
      </c>
      <c r="Y2130" s="269"/>
      <c r="Z2130" s="269"/>
      <c r="AA2130" s="269"/>
      <c r="AB2130" s="269"/>
      <c r="AC2130" s="269"/>
      <c r="AE2130" s="269">
        <v>274505.51</v>
      </c>
      <c r="AF2130" s="7"/>
      <c r="AG2130" s="13"/>
      <c r="AH2130" s="13"/>
      <c r="AI2130" s="13"/>
    </row>
    <row r="2131" spans="1:35" x14ac:dyDescent="0.3">
      <c r="A2131" s="10">
        <f t="shared" si="468"/>
        <v>1880</v>
      </c>
      <c r="B2131" s="124" t="s">
        <v>2700</v>
      </c>
      <c r="C2131" s="273">
        <f t="shared" si="466"/>
        <v>346366.6</v>
      </c>
      <c r="D2131" s="273">
        <f t="shared" si="467"/>
        <v>0</v>
      </c>
      <c r="E2131" s="273"/>
      <c r="F2131" s="273"/>
      <c r="G2131" s="273"/>
      <c r="H2131" s="273"/>
      <c r="I2131" s="273"/>
      <c r="J2131" s="273"/>
      <c r="K2131" s="273"/>
      <c r="L2131" s="273"/>
      <c r="M2131" s="273"/>
      <c r="N2131" s="273"/>
      <c r="O2131" s="273"/>
      <c r="P2131" s="273"/>
      <c r="Q2131" s="273"/>
      <c r="R2131" s="273"/>
      <c r="S2131" s="273"/>
      <c r="T2131" s="273"/>
      <c r="U2131" s="273"/>
      <c r="V2131" s="273"/>
      <c r="W2131" s="273">
        <f>SUM(Y2131:AJ2131)</f>
        <v>346366.6</v>
      </c>
      <c r="Y2131" s="269"/>
      <c r="Z2131" s="269"/>
      <c r="AA2131" s="269"/>
      <c r="AB2131" s="269"/>
      <c r="AC2131" s="269"/>
      <c r="AE2131" s="269">
        <v>346366.6</v>
      </c>
      <c r="AF2131" s="7"/>
      <c r="AG2131" s="13"/>
      <c r="AH2131" s="13"/>
      <c r="AI2131" s="13"/>
    </row>
    <row r="2132" spans="1:35" x14ac:dyDescent="0.3">
      <c r="A2132" s="10">
        <f t="shared" si="468"/>
        <v>1881</v>
      </c>
      <c r="B2132" s="124" t="s">
        <v>2701</v>
      </c>
      <c r="C2132" s="273">
        <f t="shared" si="466"/>
        <v>177001.25</v>
      </c>
      <c r="D2132" s="273">
        <f t="shared" si="467"/>
        <v>0</v>
      </c>
      <c r="E2132" s="273"/>
      <c r="F2132" s="273"/>
      <c r="G2132" s="273"/>
      <c r="H2132" s="273"/>
      <c r="I2132" s="273"/>
      <c r="J2132" s="273"/>
      <c r="K2132" s="273"/>
      <c r="L2132" s="273"/>
      <c r="M2132" s="273"/>
      <c r="N2132" s="273"/>
      <c r="O2132" s="273"/>
      <c r="P2132" s="273"/>
      <c r="Q2132" s="273"/>
      <c r="R2132" s="273"/>
      <c r="S2132" s="273"/>
      <c r="T2132" s="273"/>
      <c r="U2132" s="273"/>
      <c r="V2132" s="273"/>
      <c r="W2132" s="273">
        <f>SUM(Y2132:AJ2132)</f>
        <v>177001.25</v>
      </c>
      <c r="Y2132" s="269"/>
      <c r="Z2132" s="269"/>
      <c r="AA2132" s="269"/>
      <c r="AB2132" s="269"/>
      <c r="AC2132" s="269"/>
      <c r="AE2132" s="269"/>
      <c r="AF2132" s="7">
        <v>177001.25</v>
      </c>
      <c r="AG2132" s="13"/>
      <c r="AH2132" s="13"/>
      <c r="AI2132" s="13"/>
    </row>
    <row r="2133" spans="1:35" x14ac:dyDescent="0.3">
      <c r="A2133" s="10">
        <f t="shared" si="468"/>
        <v>1882</v>
      </c>
      <c r="B2133" s="124" t="s">
        <v>2705</v>
      </c>
      <c r="C2133" s="273">
        <f t="shared" si="466"/>
        <v>81159</v>
      </c>
      <c r="D2133" s="273">
        <f t="shared" si="467"/>
        <v>0</v>
      </c>
      <c r="E2133" s="273"/>
      <c r="F2133" s="273"/>
      <c r="G2133" s="273"/>
      <c r="H2133" s="273"/>
      <c r="I2133" s="273"/>
      <c r="J2133" s="273"/>
      <c r="K2133" s="273"/>
      <c r="L2133" s="273"/>
      <c r="M2133" s="273"/>
      <c r="N2133" s="273">
        <f>13*6243</f>
        <v>81159</v>
      </c>
      <c r="O2133" s="273"/>
      <c r="P2133" s="273"/>
      <c r="Q2133" s="273"/>
      <c r="R2133" s="273"/>
      <c r="S2133" s="273"/>
      <c r="T2133" s="273"/>
      <c r="U2133" s="273"/>
      <c r="V2133" s="273"/>
      <c r="W2133" s="273">
        <f>SUM(Y2133:AJ2133)</f>
        <v>0</v>
      </c>
      <c r="Y2133" s="269"/>
      <c r="Z2133" s="269"/>
      <c r="AA2133" s="269"/>
      <c r="AB2133" s="269"/>
      <c r="AC2133" s="269"/>
      <c r="AE2133" s="269"/>
      <c r="AF2133" s="7"/>
      <c r="AG2133" s="13"/>
      <c r="AH2133" s="13"/>
      <c r="AI2133" s="13"/>
    </row>
    <row r="2134" spans="1:35" x14ac:dyDescent="0.3">
      <c r="A2134" s="10">
        <f t="shared" si="468"/>
        <v>1883</v>
      </c>
      <c r="B2134" s="124" t="s">
        <v>2706</v>
      </c>
      <c r="C2134" s="273">
        <f t="shared" si="466"/>
        <v>1746969</v>
      </c>
      <c r="D2134" s="273">
        <f>E2134+F2134+G2134+H2134+I2134</f>
        <v>1746969</v>
      </c>
      <c r="E2134" s="273">
        <f>250*2688+3*358323</f>
        <v>1746969</v>
      </c>
      <c r="F2134" s="273"/>
      <c r="G2134" s="273"/>
      <c r="H2134" s="273"/>
      <c r="I2134" s="273"/>
      <c r="J2134" s="273"/>
      <c r="K2134" s="273"/>
      <c r="L2134" s="273"/>
      <c r="M2134" s="273"/>
      <c r="N2134" s="273"/>
      <c r="O2134" s="273"/>
      <c r="P2134" s="273"/>
      <c r="Q2134" s="273"/>
      <c r="R2134" s="273"/>
      <c r="S2134" s="273"/>
      <c r="T2134" s="273"/>
      <c r="U2134" s="273"/>
      <c r="V2134" s="273"/>
      <c r="W2134" s="273"/>
      <c r="Y2134" s="269"/>
      <c r="Z2134" s="269"/>
      <c r="AA2134" s="269"/>
      <c r="AB2134" s="269"/>
      <c r="AC2134" s="269"/>
      <c r="AE2134" s="269"/>
      <c r="AF2134" s="269"/>
      <c r="AG2134" s="7"/>
      <c r="AH2134" s="13"/>
      <c r="AI2134" s="13"/>
    </row>
    <row r="2135" spans="1:35" x14ac:dyDescent="0.3">
      <c r="A2135" s="10">
        <f t="shared" si="468"/>
        <v>1884</v>
      </c>
      <c r="B2135" s="124" t="s">
        <v>2708</v>
      </c>
      <c r="C2135" s="273">
        <f t="shared" si="466"/>
        <v>175872.95</v>
      </c>
      <c r="D2135" s="273">
        <f t="shared" ref="D2135:D2169" si="469">E2135+F2135+G2135+H2135</f>
        <v>0</v>
      </c>
      <c r="E2135" s="273"/>
      <c r="F2135" s="273"/>
      <c r="G2135" s="273"/>
      <c r="H2135" s="273"/>
      <c r="I2135" s="273"/>
      <c r="J2135" s="273"/>
      <c r="K2135" s="273"/>
      <c r="L2135" s="273"/>
      <c r="M2135" s="273"/>
      <c r="N2135" s="273"/>
      <c r="O2135" s="273"/>
      <c r="P2135" s="273"/>
      <c r="Q2135" s="273"/>
      <c r="R2135" s="273"/>
      <c r="S2135" s="273"/>
      <c r="T2135" s="273"/>
      <c r="U2135" s="273"/>
      <c r="V2135" s="273"/>
      <c r="W2135" s="273">
        <f t="shared" ref="W2135:W2166" si="470">SUM(Y2135:AJ2135)</f>
        <v>175872.95</v>
      </c>
      <c r="Y2135" s="269"/>
      <c r="Z2135" s="269"/>
      <c r="AA2135" s="269"/>
      <c r="AB2135" s="269"/>
      <c r="AC2135" s="269">
        <v>175872.95</v>
      </c>
      <c r="AE2135" s="269"/>
      <c r="AF2135" s="7"/>
      <c r="AG2135" s="13"/>
      <c r="AH2135" s="13"/>
      <c r="AI2135" s="13"/>
    </row>
    <row r="2136" spans="1:35" x14ac:dyDescent="0.3">
      <c r="A2136" s="10">
        <f t="shared" si="468"/>
        <v>1885</v>
      </c>
      <c r="B2136" s="124" t="s">
        <v>2710</v>
      </c>
      <c r="C2136" s="273">
        <f t="shared" si="466"/>
        <v>75745.440000000002</v>
      </c>
      <c r="D2136" s="273">
        <f t="shared" si="469"/>
        <v>0</v>
      </c>
      <c r="E2136" s="273"/>
      <c r="F2136" s="273"/>
      <c r="G2136" s="273"/>
      <c r="H2136" s="273"/>
      <c r="I2136" s="273"/>
      <c r="J2136" s="273"/>
      <c r="K2136" s="273"/>
      <c r="L2136" s="273"/>
      <c r="M2136" s="273"/>
      <c r="N2136" s="273"/>
      <c r="O2136" s="273"/>
      <c r="P2136" s="273"/>
      <c r="Q2136" s="273"/>
      <c r="R2136" s="273"/>
      <c r="S2136" s="273"/>
      <c r="T2136" s="273"/>
      <c r="U2136" s="273"/>
      <c r="V2136" s="273"/>
      <c r="W2136" s="273">
        <f t="shared" si="470"/>
        <v>75745.440000000002</v>
      </c>
      <c r="Y2136" s="269"/>
      <c r="Z2136" s="269"/>
      <c r="AA2136" s="269"/>
      <c r="AB2136" s="269"/>
      <c r="AC2136" s="269"/>
      <c r="AE2136" s="269"/>
      <c r="AF2136" s="7">
        <v>75745.440000000002</v>
      </c>
      <c r="AG2136" s="13"/>
      <c r="AH2136" s="13"/>
      <c r="AI2136" s="13"/>
    </row>
    <row r="2137" spans="1:35" x14ac:dyDescent="0.3">
      <c r="A2137" s="10">
        <f t="shared" si="468"/>
        <v>1886</v>
      </c>
      <c r="B2137" s="124" t="s">
        <v>2711</v>
      </c>
      <c r="C2137" s="273">
        <f t="shared" si="466"/>
        <v>76271.759999999995</v>
      </c>
      <c r="D2137" s="273">
        <f t="shared" si="469"/>
        <v>0</v>
      </c>
      <c r="E2137" s="273"/>
      <c r="F2137" s="273"/>
      <c r="G2137" s="273"/>
      <c r="H2137" s="273"/>
      <c r="I2137" s="273"/>
      <c r="J2137" s="273"/>
      <c r="K2137" s="273"/>
      <c r="L2137" s="273"/>
      <c r="M2137" s="273"/>
      <c r="N2137" s="273"/>
      <c r="O2137" s="273"/>
      <c r="P2137" s="273"/>
      <c r="Q2137" s="273"/>
      <c r="R2137" s="273"/>
      <c r="S2137" s="273"/>
      <c r="T2137" s="273"/>
      <c r="U2137" s="273"/>
      <c r="V2137" s="273"/>
      <c r="W2137" s="273">
        <f t="shared" si="470"/>
        <v>76271.759999999995</v>
      </c>
      <c r="Y2137" s="269"/>
      <c r="Z2137" s="269"/>
      <c r="AA2137" s="269"/>
      <c r="AB2137" s="269"/>
      <c r="AC2137" s="269"/>
      <c r="AE2137" s="269"/>
      <c r="AF2137" s="7">
        <v>76271.759999999995</v>
      </c>
      <c r="AG2137" s="13"/>
      <c r="AH2137" s="13"/>
      <c r="AI2137" s="13"/>
    </row>
    <row r="2138" spans="1:35" x14ac:dyDescent="0.3">
      <c r="A2138" s="10">
        <f t="shared" si="468"/>
        <v>1887</v>
      </c>
      <c r="B2138" s="124" t="s">
        <v>2713</v>
      </c>
      <c r="C2138" s="273">
        <f t="shared" si="466"/>
        <v>287086.57</v>
      </c>
      <c r="D2138" s="273">
        <f t="shared" si="469"/>
        <v>0</v>
      </c>
      <c r="E2138" s="273"/>
      <c r="F2138" s="273"/>
      <c r="G2138" s="273"/>
      <c r="H2138" s="273"/>
      <c r="I2138" s="273"/>
      <c r="J2138" s="273"/>
      <c r="K2138" s="273"/>
      <c r="L2138" s="273"/>
      <c r="M2138" s="273"/>
      <c r="N2138" s="273"/>
      <c r="O2138" s="273"/>
      <c r="P2138" s="273"/>
      <c r="Q2138" s="273"/>
      <c r="R2138" s="273"/>
      <c r="S2138" s="273"/>
      <c r="T2138" s="273"/>
      <c r="U2138" s="273"/>
      <c r="V2138" s="273"/>
      <c r="W2138" s="273">
        <f t="shared" si="470"/>
        <v>287086.57</v>
      </c>
      <c r="Y2138" s="269"/>
      <c r="Z2138" s="269"/>
      <c r="AA2138" s="269"/>
      <c r="AB2138" s="269"/>
      <c r="AC2138" s="269"/>
      <c r="AE2138" s="269"/>
      <c r="AF2138" s="7">
        <v>287086.57</v>
      </c>
      <c r="AG2138" s="13"/>
      <c r="AH2138" s="13"/>
      <c r="AI2138" s="13"/>
    </row>
    <row r="2139" spans="1:35" x14ac:dyDescent="0.3">
      <c r="A2139" s="10">
        <f t="shared" si="468"/>
        <v>1888</v>
      </c>
      <c r="B2139" s="124" t="s">
        <v>2714</v>
      </c>
      <c r="C2139" s="273">
        <f t="shared" si="466"/>
        <v>319284.74</v>
      </c>
      <c r="D2139" s="273">
        <f t="shared" si="469"/>
        <v>0</v>
      </c>
      <c r="E2139" s="273"/>
      <c r="F2139" s="273"/>
      <c r="G2139" s="273"/>
      <c r="H2139" s="273"/>
      <c r="I2139" s="273"/>
      <c r="J2139" s="273"/>
      <c r="K2139" s="273"/>
      <c r="L2139" s="273"/>
      <c r="M2139" s="273"/>
      <c r="N2139" s="273"/>
      <c r="O2139" s="273"/>
      <c r="P2139" s="273"/>
      <c r="Q2139" s="273"/>
      <c r="R2139" s="273"/>
      <c r="S2139" s="273"/>
      <c r="T2139" s="273"/>
      <c r="U2139" s="273"/>
      <c r="V2139" s="273"/>
      <c r="W2139" s="273">
        <f t="shared" si="470"/>
        <v>319284.74</v>
      </c>
      <c r="Y2139" s="269"/>
      <c r="Z2139" s="269"/>
      <c r="AA2139" s="269"/>
      <c r="AB2139" s="269"/>
      <c r="AC2139" s="269"/>
      <c r="AE2139" s="269"/>
      <c r="AF2139" s="7">
        <v>319284.74</v>
      </c>
      <c r="AG2139" s="13"/>
      <c r="AH2139" s="13"/>
      <c r="AI2139" s="13"/>
    </row>
    <row r="2140" spans="1:35" x14ac:dyDescent="0.3">
      <c r="A2140" s="10">
        <f t="shared" si="468"/>
        <v>1889</v>
      </c>
      <c r="B2140" s="124" t="s">
        <v>2715</v>
      </c>
      <c r="C2140" s="273">
        <f t="shared" si="466"/>
        <v>199027.1</v>
      </c>
      <c r="D2140" s="273">
        <f t="shared" si="469"/>
        <v>0</v>
      </c>
      <c r="E2140" s="273"/>
      <c r="F2140" s="273"/>
      <c r="G2140" s="273"/>
      <c r="H2140" s="273"/>
      <c r="I2140" s="273"/>
      <c r="J2140" s="273"/>
      <c r="K2140" s="273"/>
      <c r="L2140" s="273"/>
      <c r="M2140" s="273"/>
      <c r="N2140" s="273"/>
      <c r="O2140" s="273"/>
      <c r="P2140" s="273"/>
      <c r="Q2140" s="273"/>
      <c r="R2140" s="273"/>
      <c r="S2140" s="273"/>
      <c r="T2140" s="273"/>
      <c r="U2140" s="273"/>
      <c r="V2140" s="273"/>
      <c r="W2140" s="273">
        <f t="shared" si="470"/>
        <v>199027.1</v>
      </c>
      <c r="Y2140" s="269"/>
      <c r="Z2140" s="269"/>
      <c r="AA2140" s="269"/>
      <c r="AB2140" s="269"/>
      <c r="AC2140" s="269"/>
      <c r="AE2140" s="269"/>
      <c r="AF2140" s="7">
        <v>199027.1</v>
      </c>
      <c r="AG2140" s="13"/>
      <c r="AH2140" s="13"/>
      <c r="AI2140" s="13"/>
    </row>
    <row r="2141" spans="1:35" x14ac:dyDescent="0.3">
      <c r="A2141" s="10">
        <f t="shared" si="468"/>
        <v>1890</v>
      </c>
      <c r="B2141" s="124" t="s">
        <v>2716</v>
      </c>
      <c r="C2141" s="273">
        <f t="shared" si="466"/>
        <v>182650.8</v>
      </c>
      <c r="D2141" s="273">
        <f t="shared" si="469"/>
        <v>0</v>
      </c>
      <c r="E2141" s="273"/>
      <c r="F2141" s="273"/>
      <c r="G2141" s="273"/>
      <c r="H2141" s="273"/>
      <c r="I2141" s="273"/>
      <c r="J2141" s="273"/>
      <c r="K2141" s="273"/>
      <c r="L2141" s="273"/>
      <c r="M2141" s="273"/>
      <c r="N2141" s="273"/>
      <c r="O2141" s="273"/>
      <c r="P2141" s="273"/>
      <c r="Q2141" s="273"/>
      <c r="R2141" s="273"/>
      <c r="S2141" s="273"/>
      <c r="T2141" s="273"/>
      <c r="U2141" s="273"/>
      <c r="V2141" s="273"/>
      <c r="W2141" s="273">
        <f t="shared" si="470"/>
        <v>182650.8</v>
      </c>
      <c r="Y2141" s="269"/>
      <c r="Z2141" s="269"/>
      <c r="AA2141" s="269"/>
      <c r="AB2141" s="269"/>
      <c r="AC2141" s="269"/>
      <c r="AE2141" s="269"/>
      <c r="AF2141" s="7">
        <v>182650.8</v>
      </c>
      <c r="AG2141" s="13"/>
      <c r="AH2141" s="13"/>
      <c r="AI2141" s="13"/>
    </row>
    <row r="2142" spans="1:35" x14ac:dyDescent="0.3">
      <c r="A2142" s="10">
        <f t="shared" si="468"/>
        <v>1891</v>
      </c>
      <c r="B2142" s="124" t="s">
        <v>2717</v>
      </c>
      <c r="C2142" s="273">
        <f t="shared" si="466"/>
        <v>211086.95</v>
      </c>
      <c r="D2142" s="273">
        <f t="shared" si="469"/>
        <v>0</v>
      </c>
      <c r="E2142" s="273"/>
      <c r="F2142" s="273"/>
      <c r="G2142" s="273"/>
      <c r="H2142" s="273"/>
      <c r="I2142" s="273"/>
      <c r="J2142" s="273"/>
      <c r="K2142" s="273"/>
      <c r="L2142" s="273"/>
      <c r="M2142" s="273"/>
      <c r="N2142" s="273"/>
      <c r="O2142" s="273"/>
      <c r="P2142" s="273"/>
      <c r="Q2142" s="273"/>
      <c r="R2142" s="273"/>
      <c r="S2142" s="273"/>
      <c r="T2142" s="273"/>
      <c r="U2142" s="273"/>
      <c r="V2142" s="273"/>
      <c r="W2142" s="273">
        <f t="shared" si="470"/>
        <v>211086.95</v>
      </c>
      <c r="Y2142" s="269"/>
      <c r="Z2142" s="269"/>
      <c r="AA2142" s="269"/>
      <c r="AB2142" s="269"/>
      <c r="AC2142" s="269">
        <v>211086.95</v>
      </c>
      <c r="AE2142" s="269"/>
      <c r="AF2142" s="7"/>
      <c r="AG2142" s="13"/>
      <c r="AH2142" s="13"/>
      <c r="AI2142" s="13"/>
    </row>
    <row r="2143" spans="1:35" x14ac:dyDescent="0.3">
      <c r="A2143" s="10">
        <f t="shared" si="468"/>
        <v>1892</v>
      </c>
      <c r="B2143" s="124" t="s">
        <v>2718</v>
      </c>
      <c r="C2143" s="273">
        <f t="shared" si="466"/>
        <v>259199.51</v>
      </c>
      <c r="D2143" s="273">
        <f t="shared" si="469"/>
        <v>0</v>
      </c>
      <c r="E2143" s="273"/>
      <c r="F2143" s="273"/>
      <c r="G2143" s="273"/>
      <c r="H2143" s="273"/>
      <c r="I2143" s="273"/>
      <c r="J2143" s="273"/>
      <c r="K2143" s="273"/>
      <c r="L2143" s="273"/>
      <c r="M2143" s="273"/>
      <c r="N2143" s="273"/>
      <c r="O2143" s="273"/>
      <c r="P2143" s="273"/>
      <c r="Q2143" s="273"/>
      <c r="R2143" s="273"/>
      <c r="S2143" s="273"/>
      <c r="T2143" s="273"/>
      <c r="U2143" s="273"/>
      <c r="V2143" s="273"/>
      <c r="W2143" s="273">
        <f t="shared" si="470"/>
        <v>259199.51</v>
      </c>
      <c r="Y2143" s="269"/>
      <c r="Z2143" s="269"/>
      <c r="AA2143" s="269"/>
      <c r="AB2143" s="269"/>
      <c r="AC2143" s="269"/>
      <c r="AE2143" s="269"/>
      <c r="AF2143" s="7">
        <v>259199.51</v>
      </c>
      <c r="AG2143" s="13"/>
      <c r="AH2143" s="13"/>
      <c r="AI2143" s="13"/>
    </row>
    <row r="2144" spans="1:35" x14ac:dyDescent="0.3">
      <c r="A2144" s="10">
        <f t="shared" si="468"/>
        <v>1893</v>
      </c>
      <c r="B2144" s="124" t="s">
        <v>2719</v>
      </c>
      <c r="C2144" s="273">
        <f t="shared" ref="C2144:C2175" si="471">D2144+K2144+L2144+N2144+P2144+R2144+S2144+U2144+V2144+W2144</f>
        <v>451247.72</v>
      </c>
      <c r="D2144" s="273">
        <f t="shared" si="469"/>
        <v>0</v>
      </c>
      <c r="E2144" s="273"/>
      <c r="F2144" s="273"/>
      <c r="G2144" s="273"/>
      <c r="H2144" s="273"/>
      <c r="I2144" s="273"/>
      <c r="J2144" s="273"/>
      <c r="K2144" s="273"/>
      <c r="L2144" s="273"/>
      <c r="M2144" s="273"/>
      <c r="N2144" s="273"/>
      <c r="O2144" s="273"/>
      <c r="P2144" s="273"/>
      <c r="Q2144" s="273"/>
      <c r="R2144" s="273"/>
      <c r="S2144" s="273"/>
      <c r="T2144" s="273"/>
      <c r="U2144" s="273"/>
      <c r="V2144" s="273"/>
      <c r="W2144" s="273">
        <f t="shared" si="470"/>
        <v>451247.72</v>
      </c>
      <c r="Y2144" s="269"/>
      <c r="Z2144" s="269"/>
      <c r="AA2144" s="269"/>
      <c r="AB2144" s="269"/>
      <c r="AC2144" s="269"/>
      <c r="AE2144" s="269">
        <v>451247.72</v>
      </c>
      <c r="AF2144" s="7"/>
      <c r="AG2144" s="13"/>
      <c r="AH2144" s="13"/>
      <c r="AI2144" s="13"/>
    </row>
    <row r="2145" spans="1:35" x14ac:dyDescent="0.3">
      <c r="A2145" s="10">
        <f t="shared" ref="A2145:A2176" si="472">A2144+1</f>
        <v>1894</v>
      </c>
      <c r="B2145" s="124" t="s">
        <v>2720</v>
      </c>
      <c r="C2145" s="273">
        <f t="shared" si="471"/>
        <v>11328733.32</v>
      </c>
      <c r="D2145" s="273">
        <f t="shared" si="469"/>
        <v>0</v>
      </c>
      <c r="E2145" s="273"/>
      <c r="F2145" s="273"/>
      <c r="G2145" s="273"/>
      <c r="H2145" s="273"/>
      <c r="I2145" s="273"/>
      <c r="J2145" s="273"/>
      <c r="K2145" s="273"/>
      <c r="L2145" s="273"/>
      <c r="M2145" s="273"/>
      <c r="N2145" s="273">
        <f>1749*6243</f>
        <v>10919007</v>
      </c>
      <c r="O2145" s="273"/>
      <c r="P2145" s="273"/>
      <c r="Q2145" s="273"/>
      <c r="R2145" s="273"/>
      <c r="S2145" s="273"/>
      <c r="T2145" s="273"/>
      <c r="U2145" s="273"/>
      <c r="V2145" s="273"/>
      <c r="W2145" s="273">
        <f t="shared" si="470"/>
        <v>409726.32</v>
      </c>
      <c r="Y2145" s="269"/>
      <c r="Z2145" s="269"/>
      <c r="AA2145" s="269"/>
      <c r="AB2145" s="269"/>
      <c r="AC2145" s="269">
        <v>409726.32</v>
      </c>
      <c r="AE2145" s="269"/>
      <c r="AF2145" s="7"/>
      <c r="AG2145" s="13"/>
      <c r="AH2145" s="13"/>
      <c r="AI2145" s="13"/>
    </row>
    <row r="2146" spans="1:35" x14ac:dyDescent="0.3">
      <c r="A2146" s="10">
        <f t="shared" si="472"/>
        <v>1895</v>
      </c>
      <c r="B2146" s="124" t="s">
        <v>2721</v>
      </c>
      <c r="C2146" s="273">
        <f t="shared" si="471"/>
        <v>397614.37</v>
      </c>
      <c r="D2146" s="273">
        <f t="shared" si="469"/>
        <v>0</v>
      </c>
      <c r="E2146" s="273"/>
      <c r="F2146" s="273"/>
      <c r="G2146" s="273"/>
      <c r="H2146" s="273"/>
      <c r="I2146" s="273"/>
      <c r="J2146" s="273"/>
      <c r="K2146" s="273"/>
      <c r="L2146" s="273"/>
      <c r="M2146" s="273"/>
      <c r="N2146" s="273"/>
      <c r="O2146" s="273"/>
      <c r="P2146" s="273"/>
      <c r="Q2146" s="273"/>
      <c r="R2146" s="273"/>
      <c r="S2146" s="273"/>
      <c r="T2146" s="273"/>
      <c r="U2146" s="273"/>
      <c r="V2146" s="273"/>
      <c r="W2146" s="273">
        <f t="shared" si="470"/>
        <v>397614.37</v>
      </c>
      <c r="Y2146" s="269"/>
      <c r="Z2146" s="269"/>
      <c r="AA2146" s="269"/>
      <c r="AB2146" s="269"/>
      <c r="AC2146" s="269">
        <v>397614.37</v>
      </c>
      <c r="AE2146" s="269"/>
      <c r="AF2146" s="7"/>
      <c r="AG2146" s="13"/>
      <c r="AH2146" s="13"/>
      <c r="AI2146" s="13"/>
    </row>
    <row r="2147" spans="1:35" x14ac:dyDescent="0.3">
      <c r="A2147" s="10">
        <f t="shared" si="472"/>
        <v>1896</v>
      </c>
      <c r="B2147" s="124" t="s">
        <v>2722</v>
      </c>
      <c r="C2147" s="273">
        <f t="shared" si="471"/>
        <v>554133.29</v>
      </c>
      <c r="D2147" s="273">
        <f t="shared" si="469"/>
        <v>0</v>
      </c>
      <c r="E2147" s="273"/>
      <c r="F2147" s="273"/>
      <c r="G2147" s="273"/>
      <c r="H2147" s="273"/>
      <c r="I2147" s="273"/>
      <c r="J2147" s="273"/>
      <c r="K2147" s="273"/>
      <c r="L2147" s="273"/>
      <c r="M2147" s="273"/>
      <c r="N2147" s="273"/>
      <c r="O2147" s="273"/>
      <c r="P2147" s="273"/>
      <c r="Q2147" s="273"/>
      <c r="R2147" s="273"/>
      <c r="S2147" s="273"/>
      <c r="T2147" s="273"/>
      <c r="U2147" s="273"/>
      <c r="V2147" s="273"/>
      <c r="W2147" s="273">
        <f t="shared" si="470"/>
        <v>554133.29</v>
      </c>
      <c r="Y2147" s="269"/>
      <c r="Z2147" s="269"/>
      <c r="AA2147" s="269"/>
      <c r="AB2147" s="269"/>
      <c r="AC2147" s="269">
        <v>207594.6</v>
      </c>
      <c r="AE2147" s="269"/>
      <c r="AF2147" s="7">
        <v>346538.69</v>
      </c>
      <c r="AG2147" s="13"/>
      <c r="AH2147" s="13"/>
      <c r="AI2147" s="13"/>
    </row>
    <row r="2148" spans="1:35" x14ac:dyDescent="0.3">
      <c r="A2148" s="10">
        <f t="shared" si="472"/>
        <v>1897</v>
      </c>
      <c r="B2148" s="124" t="s">
        <v>3583</v>
      </c>
      <c r="C2148" s="273">
        <f t="shared" si="471"/>
        <v>6800180.7599999998</v>
      </c>
      <c r="D2148" s="273">
        <f t="shared" si="469"/>
        <v>0</v>
      </c>
      <c r="E2148" s="273"/>
      <c r="F2148" s="273"/>
      <c r="G2148" s="273"/>
      <c r="H2148" s="273"/>
      <c r="I2148" s="273"/>
      <c r="J2148" s="273"/>
      <c r="K2148" s="273"/>
      <c r="L2148" s="273"/>
      <c r="M2148" s="273"/>
      <c r="N2148" s="273">
        <f>1027*6243</f>
        <v>6411561</v>
      </c>
      <c r="O2148" s="273"/>
      <c r="P2148" s="273"/>
      <c r="Q2148" s="273"/>
      <c r="R2148" s="273"/>
      <c r="S2148" s="273"/>
      <c r="T2148" s="273"/>
      <c r="U2148" s="273"/>
      <c r="V2148" s="273"/>
      <c r="W2148" s="273">
        <f t="shared" si="470"/>
        <v>388619.76</v>
      </c>
      <c r="Y2148" s="269"/>
      <c r="Z2148" s="269"/>
      <c r="AA2148" s="269"/>
      <c r="AB2148" s="269"/>
      <c r="AC2148" s="269"/>
      <c r="AE2148" s="269">
        <v>388619.76</v>
      </c>
      <c r="AF2148" s="7"/>
      <c r="AG2148" s="13"/>
      <c r="AH2148" s="13"/>
      <c r="AI2148" s="13"/>
    </row>
    <row r="2149" spans="1:35" x14ac:dyDescent="0.3">
      <c r="A2149" s="10">
        <f t="shared" si="472"/>
        <v>1898</v>
      </c>
      <c r="B2149" s="124" t="s">
        <v>2723</v>
      </c>
      <c r="C2149" s="273">
        <f t="shared" si="471"/>
        <v>334844.78000000003</v>
      </c>
      <c r="D2149" s="273">
        <f t="shared" si="469"/>
        <v>0</v>
      </c>
      <c r="E2149" s="273"/>
      <c r="F2149" s="273"/>
      <c r="G2149" s="273"/>
      <c r="H2149" s="273"/>
      <c r="I2149" s="273"/>
      <c r="J2149" s="273"/>
      <c r="K2149" s="273"/>
      <c r="L2149" s="273"/>
      <c r="M2149" s="273"/>
      <c r="N2149" s="273"/>
      <c r="O2149" s="273"/>
      <c r="P2149" s="273"/>
      <c r="Q2149" s="273"/>
      <c r="R2149" s="273"/>
      <c r="S2149" s="273"/>
      <c r="T2149" s="273"/>
      <c r="U2149" s="273"/>
      <c r="V2149" s="273"/>
      <c r="W2149" s="273">
        <f t="shared" si="470"/>
        <v>334844.78000000003</v>
      </c>
      <c r="Y2149" s="269"/>
      <c r="Z2149" s="269"/>
      <c r="AA2149" s="269"/>
      <c r="AB2149" s="269"/>
      <c r="AC2149" s="269"/>
      <c r="AE2149" s="269">
        <v>334844.78000000003</v>
      </c>
      <c r="AF2149" s="7"/>
      <c r="AG2149" s="13"/>
      <c r="AH2149" s="13"/>
      <c r="AI2149" s="13"/>
    </row>
    <row r="2150" spans="1:35" x14ac:dyDescent="0.3">
      <c r="A2150" s="10">
        <f t="shared" si="472"/>
        <v>1899</v>
      </c>
      <c r="B2150" s="124" t="s">
        <v>2726</v>
      </c>
      <c r="C2150" s="273">
        <f t="shared" si="471"/>
        <v>205284.23</v>
      </c>
      <c r="D2150" s="273">
        <f t="shared" si="469"/>
        <v>0</v>
      </c>
      <c r="E2150" s="273"/>
      <c r="F2150" s="273"/>
      <c r="G2150" s="273"/>
      <c r="H2150" s="273"/>
      <c r="I2150" s="273"/>
      <c r="J2150" s="273"/>
      <c r="K2150" s="273"/>
      <c r="L2150" s="273"/>
      <c r="M2150" s="273"/>
      <c r="N2150" s="273"/>
      <c r="O2150" s="273"/>
      <c r="P2150" s="273"/>
      <c r="Q2150" s="273"/>
      <c r="R2150" s="273"/>
      <c r="S2150" s="273"/>
      <c r="T2150" s="273"/>
      <c r="U2150" s="273"/>
      <c r="V2150" s="273"/>
      <c r="W2150" s="273">
        <f t="shared" si="470"/>
        <v>205284.23</v>
      </c>
      <c r="Y2150" s="269"/>
      <c r="Z2150" s="269"/>
      <c r="AA2150" s="269"/>
      <c r="AB2150" s="269"/>
      <c r="AC2150" s="269">
        <v>205284.23</v>
      </c>
      <c r="AE2150" s="269"/>
      <c r="AF2150" s="7"/>
      <c r="AG2150" s="13"/>
      <c r="AH2150" s="13"/>
      <c r="AI2150" s="13"/>
    </row>
    <row r="2151" spans="1:35" x14ac:dyDescent="0.3">
      <c r="A2151" s="10">
        <f t="shared" si="472"/>
        <v>1900</v>
      </c>
      <c r="B2151" s="124" t="s">
        <v>2727</v>
      </c>
      <c r="C2151" s="273">
        <f t="shared" si="471"/>
        <v>123739.86</v>
      </c>
      <c r="D2151" s="273">
        <f t="shared" si="469"/>
        <v>0</v>
      </c>
      <c r="E2151" s="273"/>
      <c r="F2151" s="273"/>
      <c r="G2151" s="273"/>
      <c r="H2151" s="273"/>
      <c r="I2151" s="273"/>
      <c r="J2151" s="273"/>
      <c r="K2151" s="273"/>
      <c r="L2151" s="273"/>
      <c r="M2151" s="273"/>
      <c r="N2151" s="273"/>
      <c r="O2151" s="273"/>
      <c r="P2151" s="273"/>
      <c r="Q2151" s="273"/>
      <c r="R2151" s="273"/>
      <c r="S2151" s="273"/>
      <c r="T2151" s="273"/>
      <c r="U2151" s="273"/>
      <c r="V2151" s="273"/>
      <c r="W2151" s="273">
        <f t="shared" si="470"/>
        <v>123739.86</v>
      </c>
      <c r="Y2151" s="269"/>
      <c r="Z2151" s="269"/>
      <c r="AA2151" s="269"/>
      <c r="AB2151" s="269"/>
      <c r="AC2151" s="269"/>
      <c r="AE2151" s="269"/>
      <c r="AF2151" s="7">
        <v>123739.86</v>
      </c>
      <c r="AG2151" s="13"/>
      <c r="AH2151" s="13"/>
      <c r="AI2151" s="13"/>
    </row>
    <row r="2152" spans="1:35" x14ac:dyDescent="0.3">
      <c r="A2152" s="10">
        <f t="shared" si="472"/>
        <v>1901</v>
      </c>
      <c r="B2152" s="124" t="s">
        <v>2728</v>
      </c>
      <c r="C2152" s="273">
        <f t="shared" si="471"/>
        <v>210495.92</v>
      </c>
      <c r="D2152" s="273">
        <f t="shared" si="469"/>
        <v>0</v>
      </c>
      <c r="E2152" s="273"/>
      <c r="F2152" s="273"/>
      <c r="G2152" s="273"/>
      <c r="H2152" s="273"/>
      <c r="I2152" s="273"/>
      <c r="J2152" s="273"/>
      <c r="K2152" s="273"/>
      <c r="L2152" s="273"/>
      <c r="M2152" s="273"/>
      <c r="N2152" s="273"/>
      <c r="O2152" s="273"/>
      <c r="P2152" s="273"/>
      <c r="Q2152" s="273"/>
      <c r="R2152" s="273"/>
      <c r="S2152" s="273"/>
      <c r="T2152" s="273"/>
      <c r="U2152" s="273"/>
      <c r="V2152" s="273"/>
      <c r="W2152" s="273">
        <f t="shared" si="470"/>
        <v>210495.92</v>
      </c>
      <c r="Y2152" s="269"/>
      <c r="Z2152" s="269"/>
      <c r="AA2152" s="269"/>
      <c r="AB2152" s="269"/>
      <c r="AC2152" s="269">
        <v>210495.92</v>
      </c>
      <c r="AE2152" s="269"/>
      <c r="AF2152" s="7"/>
      <c r="AG2152" s="13"/>
      <c r="AH2152" s="13"/>
      <c r="AI2152" s="13"/>
    </row>
    <row r="2153" spans="1:35" x14ac:dyDescent="0.3">
      <c r="A2153" s="10">
        <f t="shared" si="472"/>
        <v>1902</v>
      </c>
      <c r="B2153" s="124" t="s">
        <v>2729</v>
      </c>
      <c r="C2153" s="273">
        <f t="shared" si="471"/>
        <v>250335.31</v>
      </c>
      <c r="D2153" s="273">
        <f t="shared" si="469"/>
        <v>0</v>
      </c>
      <c r="E2153" s="273"/>
      <c r="F2153" s="273"/>
      <c r="G2153" s="273"/>
      <c r="H2153" s="273"/>
      <c r="I2153" s="273"/>
      <c r="J2153" s="273"/>
      <c r="K2153" s="273"/>
      <c r="L2153" s="273"/>
      <c r="M2153" s="273"/>
      <c r="N2153" s="273"/>
      <c r="O2153" s="273"/>
      <c r="P2153" s="273"/>
      <c r="Q2153" s="273"/>
      <c r="R2153" s="273"/>
      <c r="S2153" s="273"/>
      <c r="T2153" s="273"/>
      <c r="U2153" s="273"/>
      <c r="V2153" s="273"/>
      <c r="W2153" s="273">
        <f t="shared" si="470"/>
        <v>250335.31</v>
      </c>
      <c r="Y2153" s="269"/>
      <c r="Z2153" s="269"/>
      <c r="AA2153" s="269"/>
      <c r="AB2153" s="269"/>
      <c r="AC2153" s="269"/>
      <c r="AE2153" s="269"/>
      <c r="AF2153" s="7">
        <v>250335.31</v>
      </c>
      <c r="AG2153" s="13"/>
      <c r="AH2153" s="13"/>
      <c r="AI2153" s="13"/>
    </row>
    <row r="2154" spans="1:35" x14ac:dyDescent="0.3">
      <c r="A2154" s="10">
        <f t="shared" si="472"/>
        <v>1903</v>
      </c>
      <c r="B2154" s="124" t="s">
        <v>2730</v>
      </c>
      <c r="C2154" s="273">
        <f t="shared" si="471"/>
        <v>320781.64</v>
      </c>
      <c r="D2154" s="273">
        <f t="shared" si="469"/>
        <v>0</v>
      </c>
      <c r="E2154" s="273"/>
      <c r="F2154" s="273"/>
      <c r="G2154" s="273"/>
      <c r="H2154" s="273"/>
      <c r="I2154" s="273"/>
      <c r="J2154" s="273"/>
      <c r="K2154" s="273"/>
      <c r="L2154" s="273"/>
      <c r="M2154" s="273"/>
      <c r="N2154" s="273"/>
      <c r="O2154" s="273"/>
      <c r="P2154" s="273"/>
      <c r="Q2154" s="273"/>
      <c r="R2154" s="273"/>
      <c r="S2154" s="273"/>
      <c r="T2154" s="273"/>
      <c r="U2154" s="273"/>
      <c r="V2154" s="273"/>
      <c r="W2154" s="273">
        <f t="shared" si="470"/>
        <v>320781.64</v>
      </c>
      <c r="Y2154" s="269"/>
      <c r="Z2154" s="269"/>
      <c r="AA2154" s="269"/>
      <c r="AB2154" s="269"/>
      <c r="AC2154" s="269"/>
      <c r="AE2154" s="269">
        <v>320781.64</v>
      </c>
      <c r="AF2154" s="7"/>
      <c r="AG2154" s="13"/>
      <c r="AH2154" s="13"/>
      <c r="AI2154" s="13"/>
    </row>
    <row r="2155" spans="1:35" x14ac:dyDescent="0.3">
      <c r="A2155" s="10">
        <f t="shared" si="472"/>
        <v>1904</v>
      </c>
      <c r="B2155" s="124" t="s">
        <v>2731</v>
      </c>
      <c r="C2155" s="273">
        <f t="shared" si="471"/>
        <v>217024.57</v>
      </c>
      <c r="D2155" s="273">
        <f t="shared" si="469"/>
        <v>0</v>
      </c>
      <c r="E2155" s="273"/>
      <c r="F2155" s="273"/>
      <c r="G2155" s="273"/>
      <c r="H2155" s="273"/>
      <c r="I2155" s="273"/>
      <c r="J2155" s="273"/>
      <c r="K2155" s="273"/>
      <c r="L2155" s="273"/>
      <c r="M2155" s="273"/>
      <c r="N2155" s="273"/>
      <c r="O2155" s="273"/>
      <c r="P2155" s="273"/>
      <c r="Q2155" s="273"/>
      <c r="R2155" s="273"/>
      <c r="S2155" s="273"/>
      <c r="T2155" s="273"/>
      <c r="U2155" s="273"/>
      <c r="V2155" s="273"/>
      <c r="W2155" s="273">
        <f t="shared" si="470"/>
        <v>217024.57</v>
      </c>
      <c r="Y2155" s="269"/>
      <c r="Z2155" s="269"/>
      <c r="AA2155" s="269"/>
      <c r="AB2155" s="269"/>
      <c r="AC2155" s="269"/>
      <c r="AE2155" s="269"/>
      <c r="AF2155" s="7">
        <v>217024.57</v>
      </c>
      <c r="AG2155" s="13"/>
      <c r="AH2155" s="13"/>
      <c r="AI2155" s="13"/>
    </row>
    <row r="2156" spans="1:35" x14ac:dyDescent="0.3">
      <c r="A2156" s="10">
        <f t="shared" si="472"/>
        <v>1905</v>
      </c>
      <c r="B2156" s="124" t="s">
        <v>2732</v>
      </c>
      <c r="C2156" s="273">
        <f t="shared" si="471"/>
        <v>173502.96</v>
      </c>
      <c r="D2156" s="273">
        <f t="shared" si="469"/>
        <v>0</v>
      </c>
      <c r="E2156" s="273"/>
      <c r="F2156" s="273"/>
      <c r="G2156" s="273"/>
      <c r="H2156" s="273"/>
      <c r="I2156" s="273"/>
      <c r="J2156" s="273"/>
      <c r="K2156" s="273"/>
      <c r="L2156" s="273"/>
      <c r="M2156" s="273"/>
      <c r="N2156" s="273"/>
      <c r="O2156" s="273"/>
      <c r="P2156" s="273"/>
      <c r="Q2156" s="273"/>
      <c r="R2156" s="273"/>
      <c r="S2156" s="273"/>
      <c r="T2156" s="273"/>
      <c r="U2156" s="273"/>
      <c r="V2156" s="273"/>
      <c r="W2156" s="273">
        <f t="shared" si="470"/>
        <v>173502.96</v>
      </c>
      <c r="Y2156" s="269"/>
      <c r="Z2156" s="269"/>
      <c r="AA2156" s="269"/>
      <c r="AB2156" s="269"/>
      <c r="AC2156" s="269"/>
      <c r="AE2156" s="269"/>
      <c r="AF2156" s="7">
        <v>173502.96</v>
      </c>
      <c r="AG2156" s="13"/>
      <c r="AH2156" s="13"/>
      <c r="AI2156" s="13"/>
    </row>
    <row r="2157" spans="1:35" x14ac:dyDescent="0.3">
      <c r="A2157" s="10">
        <f t="shared" si="472"/>
        <v>1906</v>
      </c>
      <c r="B2157" s="124" t="s">
        <v>2733</v>
      </c>
      <c r="C2157" s="273">
        <f t="shared" si="471"/>
        <v>146564.63</v>
      </c>
      <c r="D2157" s="273">
        <f t="shared" si="469"/>
        <v>0</v>
      </c>
      <c r="E2157" s="273"/>
      <c r="F2157" s="273"/>
      <c r="G2157" s="273"/>
      <c r="H2157" s="273"/>
      <c r="I2157" s="273"/>
      <c r="J2157" s="273"/>
      <c r="K2157" s="273"/>
      <c r="L2157" s="273"/>
      <c r="M2157" s="273"/>
      <c r="N2157" s="273"/>
      <c r="O2157" s="273"/>
      <c r="P2157" s="273"/>
      <c r="Q2157" s="273"/>
      <c r="R2157" s="273"/>
      <c r="S2157" s="273"/>
      <c r="T2157" s="273"/>
      <c r="U2157" s="273"/>
      <c r="V2157" s="273"/>
      <c r="W2157" s="273">
        <f t="shared" si="470"/>
        <v>146564.63</v>
      </c>
      <c r="Y2157" s="269"/>
      <c r="Z2157" s="269"/>
      <c r="AA2157" s="269"/>
      <c r="AB2157" s="269"/>
      <c r="AC2157" s="269"/>
      <c r="AE2157" s="269"/>
      <c r="AF2157" s="7">
        <v>146564.63</v>
      </c>
      <c r="AG2157" s="13"/>
      <c r="AH2157" s="13"/>
      <c r="AI2157" s="13"/>
    </row>
    <row r="2158" spans="1:35" x14ac:dyDescent="0.3">
      <c r="A2158" s="10">
        <f t="shared" si="472"/>
        <v>1907</v>
      </c>
      <c r="B2158" s="124" t="s">
        <v>2734</v>
      </c>
      <c r="C2158" s="273">
        <f t="shared" si="471"/>
        <v>146012.48000000001</v>
      </c>
      <c r="D2158" s="273">
        <f t="shared" si="469"/>
        <v>0</v>
      </c>
      <c r="E2158" s="273"/>
      <c r="F2158" s="273"/>
      <c r="G2158" s="273"/>
      <c r="H2158" s="273"/>
      <c r="I2158" s="273"/>
      <c r="J2158" s="273"/>
      <c r="K2158" s="273"/>
      <c r="L2158" s="273"/>
      <c r="M2158" s="273"/>
      <c r="N2158" s="273"/>
      <c r="O2158" s="273"/>
      <c r="P2158" s="273"/>
      <c r="Q2158" s="273"/>
      <c r="R2158" s="273"/>
      <c r="S2158" s="273"/>
      <c r="T2158" s="273"/>
      <c r="U2158" s="273"/>
      <c r="V2158" s="273"/>
      <c r="W2158" s="273">
        <f t="shared" si="470"/>
        <v>146012.48000000001</v>
      </c>
      <c r="Y2158" s="269"/>
      <c r="Z2158" s="269"/>
      <c r="AA2158" s="269"/>
      <c r="AB2158" s="269"/>
      <c r="AC2158" s="269"/>
      <c r="AE2158" s="269"/>
      <c r="AF2158" s="7">
        <v>146012.48000000001</v>
      </c>
      <c r="AG2158" s="13"/>
      <c r="AH2158" s="13"/>
      <c r="AI2158" s="13"/>
    </row>
    <row r="2159" spans="1:35" x14ac:dyDescent="0.3">
      <c r="A2159" s="10">
        <f t="shared" si="472"/>
        <v>1908</v>
      </c>
      <c r="B2159" s="124" t="s">
        <v>2735</v>
      </c>
      <c r="C2159" s="273">
        <f t="shared" si="471"/>
        <v>173084.51</v>
      </c>
      <c r="D2159" s="273">
        <f t="shared" si="469"/>
        <v>0</v>
      </c>
      <c r="E2159" s="273"/>
      <c r="F2159" s="273"/>
      <c r="G2159" s="273"/>
      <c r="H2159" s="273"/>
      <c r="I2159" s="273"/>
      <c r="J2159" s="273"/>
      <c r="K2159" s="273"/>
      <c r="L2159" s="273"/>
      <c r="M2159" s="273"/>
      <c r="N2159" s="273"/>
      <c r="O2159" s="273"/>
      <c r="P2159" s="273"/>
      <c r="Q2159" s="273"/>
      <c r="R2159" s="273"/>
      <c r="S2159" s="273"/>
      <c r="T2159" s="273"/>
      <c r="U2159" s="273"/>
      <c r="V2159" s="273"/>
      <c r="W2159" s="273">
        <f t="shared" si="470"/>
        <v>173084.51</v>
      </c>
      <c r="Y2159" s="269"/>
      <c r="Z2159" s="269"/>
      <c r="AA2159" s="269"/>
      <c r="AB2159" s="269"/>
      <c r="AC2159" s="269"/>
      <c r="AE2159" s="269"/>
      <c r="AF2159" s="7">
        <v>173084.51</v>
      </c>
      <c r="AG2159" s="13"/>
      <c r="AH2159" s="13"/>
      <c r="AI2159" s="13"/>
    </row>
    <row r="2160" spans="1:35" x14ac:dyDescent="0.3">
      <c r="A2160" s="10">
        <f t="shared" si="472"/>
        <v>1909</v>
      </c>
      <c r="B2160" s="124" t="s">
        <v>2736</v>
      </c>
      <c r="C2160" s="273">
        <f t="shared" si="471"/>
        <v>173084.51</v>
      </c>
      <c r="D2160" s="273">
        <f t="shared" si="469"/>
        <v>0</v>
      </c>
      <c r="E2160" s="273"/>
      <c r="F2160" s="273"/>
      <c r="G2160" s="273"/>
      <c r="H2160" s="273"/>
      <c r="I2160" s="273"/>
      <c r="J2160" s="273"/>
      <c r="K2160" s="273"/>
      <c r="L2160" s="273"/>
      <c r="M2160" s="273"/>
      <c r="N2160" s="273"/>
      <c r="O2160" s="273"/>
      <c r="P2160" s="273"/>
      <c r="Q2160" s="273"/>
      <c r="R2160" s="273"/>
      <c r="S2160" s="273"/>
      <c r="T2160" s="273"/>
      <c r="U2160" s="273"/>
      <c r="V2160" s="273"/>
      <c r="W2160" s="273">
        <f t="shared" si="470"/>
        <v>173084.51</v>
      </c>
      <c r="Y2160" s="269"/>
      <c r="Z2160" s="269"/>
      <c r="AA2160" s="269"/>
      <c r="AB2160" s="269"/>
      <c r="AC2160" s="269"/>
      <c r="AE2160" s="269"/>
      <c r="AF2160" s="7">
        <v>173084.51</v>
      </c>
      <c r="AG2160" s="13"/>
      <c r="AH2160" s="13"/>
      <c r="AI2160" s="13"/>
    </row>
    <row r="2161" spans="1:35" x14ac:dyDescent="0.3">
      <c r="A2161" s="10">
        <f t="shared" si="472"/>
        <v>1910</v>
      </c>
      <c r="B2161" s="124" t="s">
        <v>2737</v>
      </c>
      <c r="C2161" s="273">
        <f t="shared" si="471"/>
        <v>468985.46</v>
      </c>
      <c r="D2161" s="273">
        <f t="shared" si="469"/>
        <v>0</v>
      </c>
      <c r="E2161" s="273"/>
      <c r="F2161" s="273"/>
      <c r="G2161" s="273"/>
      <c r="H2161" s="273"/>
      <c r="I2161" s="273"/>
      <c r="J2161" s="273"/>
      <c r="K2161" s="273"/>
      <c r="L2161" s="273"/>
      <c r="M2161" s="273"/>
      <c r="N2161" s="273"/>
      <c r="O2161" s="273"/>
      <c r="P2161" s="273"/>
      <c r="Q2161" s="273"/>
      <c r="R2161" s="273"/>
      <c r="S2161" s="273"/>
      <c r="T2161" s="273"/>
      <c r="U2161" s="273"/>
      <c r="V2161" s="273"/>
      <c r="W2161" s="273">
        <f t="shared" si="470"/>
        <v>468985.46</v>
      </c>
      <c r="Y2161" s="269"/>
      <c r="Z2161" s="269"/>
      <c r="AA2161" s="269"/>
      <c r="AB2161" s="269"/>
      <c r="AC2161" s="269"/>
      <c r="AE2161" s="269">
        <v>468985.46</v>
      </c>
      <c r="AF2161" s="7"/>
      <c r="AG2161" s="13"/>
      <c r="AH2161" s="13"/>
      <c r="AI2161" s="13"/>
    </row>
    <row r="2162" spans="1:35" x14ac:dyDescent="0.3">
      <c r="A2162" s="10">
        <f t="shared" si="472"/>
        <v>1911</v>
      </c>
      <c r="B2162" s="124" t="s">
        <v>2738</v>
      </c>
      <c r="C2162" s="273">
        <f t="shared" si="471"/>
        <v>196162.45</v>
      </c>
      <c r="D2162" s="273">
        <f t="shared" si="469"/>
        <v>0</v>
      </c>
      <c r="E2162" s="273"/>
      <c r="F2162" s="273"/>
      <c r="G2162" s="273"/>
      <c r="H2162" s="273"/>
      <c r="I2162" s="273"/>
      <c r="J2162" s="273"/>
      <c r="K2162" s="273"/>
      <c r="L2162" s="273"/>
      <c r="M2162" s="273"/>
      <c r="N2162" s="273"/>
      <c r="O2162" s="273"/>
      <c r="P2162" s="273"/>
      <c r="Q2162" s="273"/>
      <c r="R2162" s="273"/>
      <c r="S2162" s="273"/>
      <c r="T2162" s="273"/>
      <c r="U2162" s="273"/>
      <c r="V2162" s="273"/>
      <c r="W2162" s="273">
        <f t="shared" si="470"/>
        <v>196162.45</v>
      </c>
      <c r="Y2162" s="269"/>
      <c r="Z2162" s="269"/>
      <c r="AA2162" s="269"/>
      <c r="AB2162" s="269"/>
      <c r="AC2162" s="269"/>
      <c r="AE2162" s="269"/>
      <c r="AF2162" s="7">
        <v>196162.45</v>
      </c>
      <c r="AG2162" s="13"/>
      <c r="AH2162" s="13"/>
      <c r="AI2162" s="13"/>
    </row>
    <row r="2163" spans="1:35" x14ac:dyDescent="0.3">
      <c r="A2163" s="10">
        <f t="shared" si="472"/>
        <v>1912</v>
      </c>
      <c r="B2163" s="124" t="s">
        <v>2739</v>
      </c>
      <c r="C2163" s="273">
        <f t="shared" si="471"/>
        <v>161956.56</v>
      </c>
      <c r="D2163" s="273">
        <f t="shared" si="469"/>
        <v>0</v>
      </c>
      <c r="E2163" s="273"/>
      <c r="F2163" s="273"/>
      <c r="G2163" s="273"/>
      <c r="H2163" s="273"/>
      <c r="I2163" s="273"/>
      <c r="J2163" s="273"/>
      <c r="K2163" s="273"/>
      <c r="L2163" s="273"/>
      <c r="M2163" s="273"/>
      <c r="N2163" s="273"/>
      <c r="O2163" s="273"/>
      <c r="P2163" s="273"/>
      <c r="Q2163" s="273"/>
      <c r="R2163" s="273"/>
      <c r="S2163" s="273"/>
      <c r="T2163" s="273"/>
      <c r="U2163" s="273"/>
      <c r="V2163" s="273"/>
      <c r="W2163" s="273">
        <f t="shared" si="470"/>
        <v>161956.56</v>
      </c>
      <c r="Y2163" s="269"/>
      <c r="Z2163" s="269"/>
      <c r="AA2163" s="269"/>
      <c r="AB2163" s="269"/>
      <c r="AC2163" s="269"/>
      <c r="AE2163" s="269"/>
      <c r="AF2163" s="7">
        <v>161956.56</v>
      </c>
      <c r="AG2163" s="13"/>
      <c r="AH2163" s="13"/>
      <c r="AI2163" s="13"/>
    </row>
    <row r="2164" spans="1:35" x14ac:dyDescent="0.3">
      <c r="A2164" s="10">
        <f t="shared" si="472"/>
        <v>1913</v>
      </c>
      <c r="B2164" s="124" t="s">
        <v>2740</v>
      </c>
      <c r="C2164" s="273">
        <f t="shared" si="471"/>
        <v>155097.51999999999</v>
      </c>
      <c r="D2164" s="273">
        <f t="shared" si="469"/>
        <v>0</v>
      </c>
      <c r="E2164" s="273"/>
      <c r="F2164" s="273"/>
      <c r="G2164" s="273"/>
      <c r="H2164" s="273"/>
      <c r="I2164" s="273"/>
      <c r="J2164" s="273"/>
      <c r="K2164" s="273"/>
      <c r="L2164" s="273"/>
      <c r="M2164" s="273"/>
      <c r="N2164" s="273"/>
      <c r="O2164" s="273"/>
      <c r="P2164" s="273"/>
      <c r="Q2164" s="273"/>
      <c r="R2164" s="273"/>
      <c r="S2164" s="273"/>
      <c r="T2164" s="273"/>
      <c r="U2164" s="273"/>
      <c r="V2164" s="273"/>
      <c r="W2164" s="273">
        <f t="shared" si="470"/>
        <v>155097.51999999999</v>
      </c>
      <c r="Y2164" s="269"/>
      <c r="Z2164" s="269"/>
      <c r="AA2164" s="269"/>
      <c r="AB2164" s="269"/>
      <c r="AC2164" s="269"/>
      <c r="AE2164" s="269"/>
      <c r="AF2164" s="7">
        <v>155097.51999999999</v>
      </c>
      <c r="AG2164" s="13"/>
      <c r="AH2164" s="13"/>
      <c r="AI2164" s="13"/>
    </row>
    <row r="2165" spans="1:35" x14ac:dyDescent="0.3">
      <c r="A2165" s="10">
        <f t="shared" si="472"/>
        <v>1914</v>
      </c>
      <c r="B2165" s="124" t="s">
        <v>2741</v>
      </c>
      <c r="C2165" s="273">
        <f t="shared" si="471"/>
        <v>275810.52</v>
      </c>
      <c r="D2165" s="273">
        <f t="shared" si="469"/>
        <v>0</v>
      </c>
      <c r="E2165" s="273"/>
      <c r="F2165" s="273"/>
      <c r="G2165" s="273"/>
      <c r="H2165" s="273"/>
      <c r="I2165" s="273"/>
      <c r="J2165" s="273"/>
      <c r="K2165" s="273"/>
      <c r="L2165" s="273"/>
      <c r="M2165" s="273"/>
      <c r="N2165" s="273"/>
      <c r="O2165" s="273"/>
      <c r="P2165" s="273"/>
      <c r="Q2165" s="273"/>
      <c r="R2165" s="273"/>
      <c r="S2165" s="273"/>
      <c r="T2165" s="273"/>
      <c r="U2165" s="273"/>
      <c r="V2165" s="273"/>
      <c r="W2165" s="273">
        <f t="shared" si="470"/>
        <v>275810.52</v>
      </c>
      <c r="Y2165" s="269"/>
      <c r="Z2165" s="269"/>
      <c r="AA2165" s="269"/>
      <c r="AB2165" s="269"/>
      <c r="AC2165" s="269"/>
      <c r="AE2165" s="269">
        <v>275810.52</v>
      </c>
      <c r="AF2165" s="7"/>
      <c r="AG2165" s="13"/>
      <c r="AH2165" s="13"/>
      <c r="AI2165" s="13"/>
    </row>
    <row r="2166" spans="1:35" x14ac:dyDescent="0.3">
      <c r="A2166" s="10">
        <f t="shared" si="472"/>
        <v>1915</v>
      </c>
      <c r="B2166" s="124" t="s">
        <v>2742</v>
      </c>
      <c r="C2166" s="273">
        <f t="shared" si="471"/>
        <v>275810.52</v>
      </c>
      <c r="D2166" s="273">
        <f t="shared" si="469"/>
        <v>0</v>
      </c>
      <c r="E2166" s="273"/>
      <c r="F2166" s="273"/>
      <c r="G2166" s="273"/>
      <c r="H2166" s="273"/>
      <c r="I2166" s="273"/>
      <c r="J2166" s="273"/>
      <c r="K2166" s="273"/>
      <c r="L2166" s="273"/>
      <c r="M2166" s="273"/>
      <c r="N2166" s="273"/>
      <c r="O2166" s="273"/>
      <c r="P2166" s="273"/>
      <c r="Q2166" s="273"/>
      <c r="R2166" s="273"/>
      <c r="S2166" s="273"/>
      <c r="T2166" s="273"/>
      <c r="U2166" s="273"/>
      <c r="V2166" s="273"/>
      <c r="W2166" s="273">
        <f t="shared" si="470"/>
        <v>275810.52</v>
      </c>
      <c r="Y2166" s="269"/>
      <c r="Z2166" s="269"/>
      <c r="AA2166" s="269"/>
      <c r="AB2166" s="269"/>
      <c r="AC2166" s="269"/>
      <c r="AE2166" s="269">
        <v>275810.52</v>
      </c>
      <c r="AF2166" s="7"/>
      <c r="AG2166" s="13"/>
      <c r="AH2166" s="13"/>
      <c r="AI2166" s="13"/>
    </row>
    <row r="2167" spans="1:35" x14ac:dyDescent="0.3">
      <c r="A2167" s="10">
        <f t="shared" si="472"/>
        <v>1916</v>
      </c>
      <c r="B2167" s="124" t="s">
        <v>2744</v>
      </c>
      <c r="C2167" s="273">
        <f t="shared" si="471"/>
        <v>3695856</v>
      </c>
      <c r="D2167" s="273">
        <f t="shared" si="469"/>
        <v>0</v>
      </c>
      <c r="E2167" s="273"/>
      <c r="F2167" s="273"/>
      <c r="G2167" s="273"/>
      <c r="H2167" s="273"/>
      <c r="I2167" s="273"/>
      <c r="J2167" s="273"/>
      <c r="K2167" s="273"/>
      <c r="L2167" s="273"/>
      <c r="M2167" s="273"/>
      <c r="N2167" s="273">
        <f>592*6243</f>
        <v>3695856</v>
      </c>
      <c r="O2167" s="273"/>
      <c r="P2167" s="273"/>
      <c r="Q2167" s="273"/>
      <c r="R2167" s="273"/>
      <c r="S2167" s="273"/>
      <c r="T2167" s="273"/>
      <c r="U2167" s="273"/>
      <c r="V2167" s="273"/>
      <c r="W2167" s="273"/>
      <c r="Y2167" s="269"/>
      <c r="Z2167" s="269"/>
      <c r="AA2167" s="269"/>
      <c r="AB2167" s="269"/>
      <c r="AC2167" s="269"/>
      <c r="AE2167" s="269"/>
      <c r="AF2167" s="7"/>
      <c r="AG2167" s="13"/>
      <c r="AH2167" s="13"/>
      <c r="AI2167" s="13"/>
    </row>
    <row r="2168" spans="1:35" x14ac:dyDescent="0.3">
      <c r="A2168" s="10">
        <f t="shared" si="472"/>
        <v>1917</v>
      </c>
      <c r="B2168" s="124" t="s">
        <v>2745</v>
      </c>
      <c r="C2168" s="273">
        <f t="shared" si="471"/>
        <v>3695856</v>
      </c>
      <c r="D2168" s="273">
        <f t="shared" si="469"/>
        <v>0</v>
      </c>
      <c r="E2168" s="273"/>
      <c r="F2168" s="273"/>
      <c r="G2168" s="273"/>
      <c r="H2168" s="273"/>
      <c r="I2168" s="273"/>
      <c r="J2168" s="273"/>
      <c r="K2168" s="273"/>
      <c r="L2168" s="273"/>
      <c r="M2168" s="273"/>
      <c r="N2168" s="273">
        <f>592*6243</f>
        <v>3695856</v>
      </c>
      <c r="O2168" s="273"/>
      <c r="P2168" s="273"/>
      <c r="Q2168" s="273"/>
      <c r="R2168" s="273"/>
      <c r="S2168" s="273"/>
      <c r="T2168" s="273"/>
      <c r="U2168" s="273"/>
      <c r="V2168" s="273"/>
      <c r="W2168" s="273"/>
      <c r="Y2168" s="269"/>
      <c r="Z2168" s="269"/>
      <c r="AA2168" s="269"/>
      <c r="AB2168" s="269"/>
      <c r="AC2168" s="269"/>
      <c r="AE2168" s="269"/>
      <c r="AF2168" s="7"/>
      <c r="AG2168" s="13"/>
      <c r="AH2168" s="13"/>
      <c r="AI2168" s="13"/>
    </row>
    <row r="2169" spans="1:35" x14ac:dyDescent="0.3">
      <c r="A2169" s="10">
        <f t="shared" si="472"/>
        <v>1918</v>
      </c>
      <c r="B2169" s="124" t="s">
        <v>2746</v>
      </c>
      <c r="C2169" s="273">
        <f t="shared" si="471"/>
        <v>351792.66</v>
      </c>
      <c r="D2169" s="273">
        <f t="shared" si="469"/>
        <v>0</v>
      </c>
      <c r="E2169" s="273"/>
      <c r="F2169" s="273"/>
      <c r="G2169" s="273"/>
      <c r="H2169" s="273"/>
      <c r="I2169" s="273"/>
      <c r="J2169" s="273"/>
      <c r="K2169" s="273"/>
      <c r="L2169" s="273"/>
      <c r="M2169" s="273"/>
      <c r="N2169" s="273"/>
      <c r="O2169" s="273"/>
      <c r="P2169" s="273"/>
      <c r="Q2169" s="273"/>
      <c r="R2169" s="273"/>
      <c r="S2169" s="273"/>
      <c r="T2169" s="273"/>
      <c r="U2169" s="273"/>
      <c r="V2169" s="273"/>
      <c r="W2169" s="273">
        <f>SUM(Y2169:AJ2169)</f>
        <v>351792.66</v>
      </c>
      <c r="Y2169" s="269"/>
      <c r="Z2169" s="269"/>
      <c r="AA2169" s="269"/>
      <c r="AB2169" s="269"/>
      <c r="AC2169" s="269"/>
      <c r="AE2169" s="269">
        <v>351792.66</v>
      </c>
      <c r="AF2169" s="7"/>
      <c r="AG2169" s="13"/>
      <c r="AH2169" s="13"/>
      <c r="AI2169" s="13"/>
    </row>
    <row r="2170" spans="1:35" x14ac:dyDescent="0.3">
      <c r="A2170" s="10">
        <f t="shared" si="472"/>
        <v>1919</v>
      </c>
      <c r="B2170" s="124" t="s">
        <v>2748</v>
      </c>
      <c r="C2170" s="273">
        <f t="shared" si="471"/>
        <v>130000</v>
      </c>
      <c r="D2170" s="273"/>
      <c r="E2170" s="273"/>
      <c r="F2170" s="273"/>
      <c r="G2170" s="273"/>
      <c r="H2170" s="273"/>
      <c r="I2170" s="273"/>
      <c r="J2170" s="273"/>
      <c r="K2170" s="273"/>
      <c r="L2170" s="273"/>
      <c r="M2170" s="273"/>
      <c r="N2170" s="273"/>
      <c r="O2170" s="273"/>
      <c r="P2170" s="273"/>
      <c r="Q2170" s="273"/>
      <c r="R2170" s="273"/>
      <c r="S2170" s="273"/>
      <c r="T2170" s="273"/>
      <c r="U2170" s="273"/>
      <c r="V2170" s="273"/>
      <c r="W2170" s="273">
        <v>130000</v>
      </c>
      <c r="Y2170" s="269"/>
      <c r="Z2170" s="269"/>
      <c r="AA2170" s="269"/>
      <c r="AB2170" s="269"/>
      <c r="AC2170" s="269"/>
      <c r="AE2170" s="269"/>
      <c r="AF2170" s="7"/>
      <c r="AG2170" s="13"/>
      <c r="AH2170" s="13"/>
      <c r="AI2170" s="13"/>
    </row>
    <row r="2171" spans="1:35" x14ac:dyDescent="0.3">
      <c r="A2171" s="10">
        <f t="shared" si="472"/>
        <v>1920</v>
      </c>
      <c r="B2171" s="124" t="s">
        <v>2749</v>
      </c>
      <c r="C2171" s="273">
        <f t="shared" si="471"/>
        <v>341146.58</v>
      </c>
      <c r="D2171" s="273">
        <f t="shared" ref="D2171:D2201" si="473">E2171+F2171+G2171+H2171</f>
        <v>0</v>
      </c>
      <c r="E2171" s="273"/>
      <c r="F2171" s="273"/>
      <c r="G2171" s="273"/>
      <c r="H2171" s="273"/>
      <c r="I2171" s="273"/>
      <c r="J2171" s="273"/>
      <c r="K2171" s="273"/>
      <c r="L2171" s="273"/>
      <c r="M2171" s="273"/>
      <c r="N2171" s="273"/>
      <c r="O2171" s="273"/>
      <c r="P2171" s="273"/>
      <c r="Q2171" s="273"/>
      <c r="R2171" s="273"/>
      <c r="S2171" s="273"/>
      <c r="T2171" s="273"/>
      <c r="U2171" s="273"/>
      <c r="V2171" s="273"/>
      <c r="W2171" s="273">
        <f t="shared" ref="W2171:W2181" si="474">SUM(Y2171:AJ2171)</f>
        <v>341146.58</v>
      </c>
      <c r="Y2171" s="269"/>
      <c r="Z2171" s="269"/>
      <c r="AA2171" s="269"/>
      <c r="AB2171" s="269"/>
      <c r="AC2171" s="269"/>
      <c r="AE2171" s="269">
        <v>341146.58</v>
      </c>
      <c r="AF2171" s="7"/>
      <c r="AG2171" s="13"/>
      <c r="AH2171" s="13"/>
      <c r="AI2171" s="13"/>
    </row>
    <row r="2172" spans="1:35" x14ac:dyDescent="0.3">
      <c r="A2172" s="10">
        <f t="shared" si="472"/>
        <v>1921</v>
      </c>
      <c r="B2172" s="124" t="s">
        <v>2750</v>
      </c>
      <c r="C2172" s="273">
        <f t="shared" si="471"/>
        <v>722052.31</v>
      </c>
      <c r="D2172" s="273">
        <f t="shared" si="473"/>
        <v>0</v>
      </c>
      <c r="E2172" s="273"/>
      <c r="F2172" s="273"/>
      <c r="G2172" s="273"/>
      <c r="H2172" s="273"/>
      <c r="I2172" s="273"/>
      <c r="J2172" s="273"/>
      <c r="K2172" s="273"/>
      <c r="L2172" s="273"/>
      <c r="M2172" s="273"/>
      <c r="N2172" s="273"/>
      <c r="O2172" s="273"/>
      <c r="P2172" s="273"/>
      <c r="Q2172" s="273"/>
      <c r="R2172" s="273"/>
      <c r="S2172" s="273"/>
      <c r="T2172" s="273"/>
      <c r="U2172" s="273"/>
      <c r="V2172" s="273"/>
      <c r="W2172" s="273">
        <f t="shared" si="474"/>
        <v>722052.31</v>
      </c>
      <c r="Y2172" s="269"/>
      <c r="Z2172" s="269"/>
      <c r="AA2172" s="269"/>
      <c r="AB2172" s="269"/>
      <c r="AC2172" s="269"/>
      <c r="AE2172" s="269">
        <v>722052.31</v>
      </c>
      <c r="AF2172" s="7"/>
      <c r="AG2172" s="13"/>
      <c r="AH2172" s="13"/>
      <c r="AI2172" s="13"/>
    </row>
    <row r="2173" spans="1:35" x14ac:dyDescent="0.3">
      <c r="A2173" s="10">
        <f t="shared" si="472"/>
        <v>1922</v>
      </c>
      <c r="B2173" s="124" t="s">
        <v>2751</v>
      </c>
      <c r="C2173" s="273">
        <f t="shared" si="471"/>
        <v>469071.7</v>
      </c>
      <c r="D2173" s="273">
        <f t="shared" si="473"/>
        <v>0</v>
      </c>
      <c r="E2173" s="273"/>
      <c r="F2173" s="273"/>
      <c r="G2173" s="273"/>
      <c r="H2173" s="273"/>
      <c r="I2173" s="273"/>
      <c r="J2173" s="273"/>
      <c r="K2173" s="273"/>
      <c r="L2173" s="273"/>
      <c r="M2173" s="273"/>
      <c r="N2173" s="273"/>
      <c r="O2173" s="273"/>
      <c r="P2173" s="273"/>
      <c r="Q2173" s="273"/>
      <c r="R2173" s="273"/>
      <c r="S2173" s="273"/>
      <c r="T2173" s="273"/>
      <c r="U2173" s="273"/>
      <c r="V2173" s="273"/>
      <c r="W2173" s="273">
        <f t="shared" si="474"/>
        <v>469071.7</v>
      </c>
      <c r="Y2173" s="269"/>
      <c r="Z2173" s="269"/>
      <c r="AA2173" s="269"/>
      <c r="AB2173" s="269"/>
      <c r="AC2173" s="269"/>
      <c r="AE2173" s="269">
        <v>469071.7</v>
      </c>
      <c r="AF2173" s="7"/>
      <c r="AG2173" s="13"/>
      <c r="AH2173" s="13"/>
      <c r="AI2173" s="13"/>
    </row>
    <row r="2174" spans="1:35" x14ac:dyDescent="0.3">
      <c r="A2174" s="10">
        <f t="shared" si="472"/>
        <v>1923</v>
      </c>
      <c r="B2174" s="124" t="s">
        <v>2752</v>
      </c>
      <c r="C2174" s="273">
        <f t="shared" si="471"/>
        <v>779188.84</v>
      </c>
      <c r="D2174" s="273">
        <f t="shared" si="473"/>
        <v>0</v>
      </c>
      <c r="E2174" s="273"/>
      <c r="F2174" s="273"/>
      <c r="G2174" s="273"/>
      <c r="H2174" s="273"/>
      <c r="I2174" s="273"/>
      <c r="J2174" s="273"/>
      <c r="K2174" s="273"/>
      <c r="L2174" s="273"/>
      <c r="M2174" s="273"/>
      <c r="N2174" s="273"/>
      <c r="O2174" s="273"/>
      <c r="P2174" s="273"/>
      <c r="Q2174" s="273"/>
      <c r="R2174" s="273"/>
      <c r="S2174" s="273"/>
      <c r="T2174" s="273"/>
      <c r="U2174" s="273"/>
      <c r="V2174" s="273"/>
      <c r="W2174" s="273">
        <f t="shared" si="474"/>
        <v>779188.84</v>
      </c>
      <c r="Y2174" s="269"/>
      <c r="Z2174" s="269"/>
      <c r="AA2174" s="269"/>
      <c r="AB2174" s="269"/>
      <c r="AC2174" s="269"/>
      <c r="AE2174" s="269">
        <v>779188.84</v>
      </c>
      <c r="AF2174" s="7"/>
      <c r="AG2174" s="13"/>
      <c r="AH2174" s="13"/>
      <c r="AI2174" s="13"/>
    </row>
    <row r="2175" spans="1:35" x14ac:dyDescent="0.3">
      <c r="A2175" s="10">
        <f t="shared" si="472"/>
        <v>1924</v>
      </c>
      <c r="B2175" s="124" t="s">
        <v>2753</v>
      </c>
      <c r="C2175" s="273">
        <f t="shared" si="471"/>
        <v>404747.15</v>
      </c>
      <c r="D2175" s="273">
        <f t="shared" si="473"/>
        <v>0</v>
      </c>
      <c r="E2175" s="273"/>
      <c r="F2175" s="273"/>
      <c r="G2175" s="273"/>
      <c r="H2175" s="273"/>
      <c r="I2175" s="273"/>
      <c r="J2175" s="273"/>
      <c r="K2175" s="273"/>
      <c r="L2175" s="273"/>
      <c r="M2175" s="273"/>
      <c r="N2175" s="273"/>
      <c r="O2175" s="273"/>
      <c r="P2175" s="273"/>
      <c r="Q2175" s="273"/>
      <c r="R2175" s="273"/>
      <c r="S2175" s="273"/>
      <c r="T2175" s="273"/>
      <c r="U2175" s="273"/>
      <c r="V2175" s="273"/>
      <c r="W2175" s="273">
        <f t="shared" si="474"/>
        <v>404747.15</v>
      </c>
      <c r="Y2175" s="269"/>
      <c r="Z2175" s="269"/>
      <c r="AA2175" s="269"/>
      <c r="AB2175" s="269"/>
      <c r="AC2175" s="269"/>
      <c r="AE2175" s="269">
        <v>404747.15</v>
      </c>
      <c r="AF2175" s="7"/>
      <c r="AG2175" s="13"/>
      <c r="AH2175" s="13"/>
      <c r="AI2175" s="13"/>
    </row>
    <row r="2176" spans="1:35" x14ac:dyDescent="0.3">
      <c r="A2176" s="10">
        <f t="shared" si="472"/>
        <v>1925</v>
      </c>
      <c r="B2176" s="124" t="s">
        <v>2754</v>
      </c>
      <c r="C2176" s="273">
        <f t="shared" ref="C2176:C2206" si="475">D2176+K2176+L2176+N2176+P2176+R2176+S2176+U2176+V2176+W2176</f>
        <v>338399.21</v>
      </c>
      <c r="D2176" s="273">
        <f t="shared" si="473"/>
        <v>0</v>
      </c>
      <c r="E2176" s="273"/>
      <c r="F2176" s="273"/>
      <c r="G2176" s="273"/>
      <c r="H2176" s="273"/>
      <c r="I2176" s="273"/>
      <c r="J2176" s="273"/>
      <c r="K2176" s="273"/>
      <c r="L2176" s="273"/>
      <c r="M2176" s="273"/>
      <c r="N2176" s="273"/>
      <c r="O2176" s="273"/>
      <c r="P2176" s="273"/>
      <c r="Q2176" s="273"/>
      <c r="R2176" s="273"/>
      <c r="S2176" s="273"/>
      <c r="T2176" s="273"/>
      <c r="U2176" s="273"/>
      <c r="V2176" s="273"/>
      <c r="W2176" s="273">
        <f t="shared" si="474"/>
        <v>338399.21</v>
      </c>
      <c r="Y2176" s="269"/>
      <c r="Z2176" s="269"/>
      <c r="AA2176" s="269"/>
      <c r="AB2176" s="269"/>
      <c r="AC2176" s="269"/>
      <c r="AE2176" s="269">
        <v>338399.21</v>
      </c>
      <c r="AF2176" s="7"/>
      <c r="AG2176" s="13"/>
      <c r="AH2176" s="13"/>
      <c r="AI2176" s="13"/>
    </row>
    <row r="2177" spans="1:35" x14ac:dyDescent="0.3">
      <c r="A2177" s="10">
        <f t="shared" ref="A2177:A2207" si="476">A2176+1</f>
        <v>1926</v>
      </c>
      <c r="B2177" s="124" t="s">
        <v>2755</v>
      </c>
      <c r="C2177" s="273">
        <f t="shared" si="475"/>
        <v>277596.31</v>
      </c>
      <c r="D2177" s="273">
        <f t="shared" si="473"/>
        <v>0</v>
      </c>
      <c r="E2177" s="273"/>
      <c r="F2177" s="273"/>
      <c r="G2177" s="273"/>
      <c r="H2177" s="273"/>
      <c r="I2177" s="273"/>
      <c r="J2177" s="273"/>
      <c r="K2177" s="273"/>
      <c r="L2177" s="273"/>
      <c r="M2177" s="273"/>
      <c r="N2177" s="273"/>
      <c r="O2177" s="273"/>
      <c r="P2177" s="273"/>
      <c r="Q2177" s="273"/>
      <c r="R2177" s="273"/>
      <c r="S2177" s="273"/>
      <c r="T2177" s="273"/>
      <c r="U2177" s="273"/>
      <c r="V2177" s="273"/>
      <c r="W2177" s="273">
        <f t="shared" si="474"/>
        <v>277596.31</v>
      </c>
      <c r="Y2177" s="269"/>
      <c r="Z2177" s="269"/>
      <c r="AA2177" s="269"/>
      <c r="AB2177" s="269"/>
      <c r="AC2177" s="269"/>
      <c r="AE2177" s="269">
        <v>277596.31</v>
      </c>
      <c r="AF2177" s="7"/>
      <c r="AG2177" s="13"/>
      <c r="AH2177" s="13"/>
      <c r="AI2177" s="13"/>
    </row>
    <row r="2178" spans="1:35" x14ac:dyDescent="0.3">
      <c r="A2178" s="10">
        <f t="shared" si="476"/>
        <v>1927</v>
      </c>
      <c r="B2178" s="124" t="s">
        <v>2756</v>
      </c>
      <c r="C2178" s="273">
        <f t="shared" si="475"/>
        <v>279965.94</v>
      </c>
      <c r="D2178" s="273">
        <f t="shared" si="473"/>
        <v>0</v>
      </c>
      <c r="E2178" s="273"/>
      <c r="F2178" s="273"/>
      <c r="G2178" s="273"/>
      <c r="H2178" s="273"/>
      <c r="I2178" s="273"/>
      <c r="J2178" s="273"/>
      <c r="K2178" s="273"/>
      <c r="L2178" s="273"/>
      <c r="M2178" s="273"/>
      <c r="N2178" s="273"/>
      <c r="O2178" s="273"/>
      <c r="P2178" s="273"/>
      <c r="Q2178" s="273"/>
      <c r="R2178" s="273"/>
      <c r="S2178" s="273"/>
      <c r="T2178" s="273"/>
      <c r="U2178" s="273"/>
      <c r="V2178" s="273"/>
      <c r="W2178" s="273">
        <f t="shared" si="474"/>
        <v>279965.94</v>
      </c>
      <c r="Y2178" s="269"/>
      <c r="Z2178" s="269"/>
      <c r="AA2178" s="269"/>
      <c r="AB2178" s="269"/>
      <c r="AC2178" s="269"/>
      <c r="AE2178" s="269">
        <v>279965.94</v>
      </c>
      <c r="AF2178" s="7"/>
      <c r="AG2178" s="13"/>
      <c r="AH2178" s="13"/>
      <c r="AI2178" s="13"/>
    </row>
    <row r="2179" spans="1:35" x14ac:dyDescent="0.3">
      <c r="A2179" s="10">
        <f t="shared" si="476"/>
        <v>1928</v>
      </c>
      <c r="B2179" s="124" t="s">
        <v>2757</v>
      </c>
      <c r="C2179" s="273">
        <f t="shared" si="475"/>
        <v>404747.15</v>
      </c>
      <c r="D2179" s="273">
        <f t="shared" si="473"/>
        <v>0</v>
      </c>
      <c r="E2179" s="273"/>
      <c r="F2179" s="273"/>
      <c r="G2179" s="273"/>
      <c r="H2179" s="273"/>
      <c r="I2179" s="273"/>
      <c r="J2179" s="273"/>
      <c r="K2179" s="273"/>
      <c r="L2179" s="273"/>
      <c r="M2179" s="273"/>
      <c r="N2179" s="273"/>
      <c r="O2179" s="273"/>
      <c r="P2179" s="273"/>
      <c r="Q2179" s="273"/>
      <c r="R2179" s="273"/>
      <c r="S2179" s="273"/>
      <c r="T2179" s="273"/>
      <c r="U2179" s="273"/>
      <c r="V2179" s="273"/>
      <c r="W2179" s="273">
        <f t="shared" si="474"/>
        <v>404747.15</v>
      </c>
      <c r="Y2179" s="269"/>
      <c r="Z2179" s="269"/>
      <c r="AA2179" s="269"/>
      <c r="AB2179" s="269"/>
      <c r="AC2179" s="269"/>
      <c r="AE2179" s="269">
        <v>404747.15</v>
      </c>
      <c r="AF2179" s="7"/>
      <c r="AG2179" s="13"/>
      <c r="AH2179" s="13"/>
      <c r="AI2179" s="13"/>
    </row>
    <row r="2180" spans="1:35" x14ac:dyDescent="0.3">
      <c r="A2180" s="10">
        <f t="shared" si="476"/>
        <v>1929</v>
      </c>
      <c r="B2180" s="124" t="s">
        <v>2759</v>
      </c>
      <c r="C2180" s="273">
        <f t="shared" si="475"/>
        <v>635167.32999999996</v>
      </c>
      <c r="D2180" s="273">
        <f t="shared" si="473"/>
        <v>0</v>
      </c>
      <c r="E2180" s="273"/>
      <c r="F2180" s="273"/>
      <c r="G2180" s="273"/>
      <c r="H2180" s="273"/>
      <c r="I2180" s="273"/>
      <c r="J2180" s="273"/>
      <c r="K2180" s="273"/>
      <c r="L2180" s="273"/>
      <c r="M2180" s="273"/>
      <c r="N2180" s="273"/>
      <c r="O2180" s="273"/>
      <c r="P2180" s="273"/>
      <c r="Q2180" s="273"/>
      <c r="R2180" s="273"/>
      <c r="S2180" s="273"/>
      <c r="T2180" s="273"/>
      <c r="U2180" s="273"/>
      <c r="V2180" s="273"/>
      <c r="W2180" s="273">
        <f t="shared" si="474"/>
        <v>635167.32999999996</v>
      </c>
      <c r="Y2180" s="269"/>
      <c r="Z2180" s="269"/>
      <c r="AA2180" s="269"/>
      <c r="AB2180" s="269"/>
      <c r="AC2180" s="269"/>
      <c r="AE2180" s="269">
        <v>635167.32999999996</v>
      </c>
      <c r="AF2180" s="7"/>
      <c r="AG2180" s="13"/>
      <c r="AH2180" s="13"/>
      <c r="AI2180" s="13"/>
    </row>
    <row r="2181" spans="1:35" x14ac:dyDescent="0.3">
      <c r="A2181" s="10">
        <f t="shared" si="476"/>
        <v>1930</v>
      </c>
      <c r="B2181" s="124" t="s">
        <v>2760</v>
      </c>
      <c r="C2181" s="273">
        <f t="shared" si="475"/>
        <v>559776.06999999995</v>
      </c>
      <c r="D2181" s="273">
        <f t="shared" si="473"/>
        <v>0</v>
      </c>
      <c r="E2181" s="273"/>
      <c r="F2181" s="273"/>
      <c r="G2181" s="273"/>
      <c r="H2181" s="273"/>
      <c r="I2181" s="273"/>
      <c r="J2181" s="273"/>
      <c r="K2181" s="273"/>
      <c r="L2181" s="273"/>
      <c r="M2181" s="273"/>
      <c r="N2181" s="273"/>
      <c r="O2181" s="273"/>
      <c r="P2181" s="273"/>
      <c r="Q2181" s="273"/>
      <c r="R2181" s="273"/>
      <c r="S2181" s="273"/>
      <c r="T2181" s="273"/>
      <c r="U2181" s="273"/>
      <c r="V2181" s="273"/>
      <c r="W2181" s="273">
        <f t="shared" si="474"/>
        <v>559776.06999999995</v>
      </c>
      <c r="Y2181" s="269"/>
      <c r="Z2181" s="269"/>
      <c r="AA2181" s="269"/>
      <c r="AB2181" s="269"/>
      <c r="AC2181" s="269"/>
      <c r="AE2181" s="269">
        <v>559776.06999999995</v>
      </c>
      <c r="AF2181" s="7"/>
      <c r="AG2181" s="13"/>
      <c r="AH2181" s="13"/>
      <c r="AI2181" s="13"/>
    </row>
    <row r="2182" spans="1:35" x14ac:dyDescent="0.3">
      <c r="A2182" s="10">
        <f t="shared" si="476"/>
        <v>1931</v>
      </c>
      <c r="B2182" s="124" t="s">
        <v>2761</v>
      </c>
      <c r="C2182" s="273">
        <f t="shared" si="475"/>
        <v>568648.42000000004</v>
      </c>
      <c r="D2182" s="273">
        <f t="shared" si="473"/>
        <v>0</v>
      </c>
      <c r="E2182" s="273"/>
      <c r="F2182" s="273"/>
      <c r="G2182" s="273"/>
      <c r="H2182" s="273"/>
      <c r="I2182" s="273"/>
      <c r="J2182" s="273"/>
      <c r="K2182" s="273"/>
      <c r="L2182" s="273"/>
      <c r="M2182" s="273"/>
      <c r="N2182" s="273"/>
      <c r="O2182" s="273"/>
      <c r="P2182" s="273"/>
      <c r="Q2182" s="273"/>
      <c r="R2182" s="273"/>
      <c r="S2182" s="273"/>
      <c r="T2182" s="273"/>
      <c r="U2182" s="273"/>
      <c r="V2182" s="273"/>
      <c r="W2182" s="273">
        <v>568648.42000000004</v>
      </c>
      <c r="Y2182" s="269"/>
      <c r="Z2182" s="269"/>
      <c r="AA2182" s="269"/>
      <c r="AB2182" s="269"/>
      <c r="AC2182" s="269"/>
      <c r="AE2182" s="269">
        <v>568648.42000000004</v>
      </c>
      <c r="AF2182" s="7"/>
      <c r="AG2182" s="13"/>
      <c r="AH2182" s="13"/>
      <c r="AI2182" s="13"/>
    </row>
    <row r="2183" spans="1:35" x14ac:dyDescent="0.3">
      <c r="A2183" s="10">
        <f t="shared" si="476"/>
        <v>1932</v>
      </c>
      <c r="B2183" s="124" t="s">
        <v>2762</v>
      </c>
      <c r="C2183" s="273">
        <f t="shared" si="475"/>
        <v>112023.73</v>
      </c>
      <c r="D2183" s="273">
        <f t="shared" si="473"/>
        <v>0</v>
      </c>
      <c r="E2183" s="273"/>
      <c r="F2183" s="273"/>
      <c r="G2183" s="273"/>
      <c r="H2183" s="273"/>
      <c r="I2183" s="273"/>
      <c r="J2183" s="273"/>
      <c r="K2183" s="273"/>
      <c r="L2183" s="273"/>
      <c r="M2183" s="273"/>
      <c r="N2183" s="273"/>
      <c r="O2183" s="273"/>
      <c r="P2183" s="273"/>
      <c r="Q2183" s="273"/>
      <c r="R2183" s="273"/>
      <c r="S2183" s="273"/>
      <c r="T2183" s="273"/>
      <c r="U2183" s="273"/>
      <c r="V2183" s="273"/>
      <c r="W2183" s="273">
        <f>SUM(Y2183:AJ2183)</f>
        <v>112023.73</v>
      </c>
      <c r="Y2183" s="269"/>
      <c r="Z2183" s="269"/>
      <c r="AA2183" s="269"/>
      <c r="AB2183" s="269"/>
      <c r="AC2183" s="269"/>
      <c r="AE2183" s="269"/>
      <c r="AF2183" s="7">
        <v>112023.73</v>
      </c>
      <c r="AG2183" s="13"/>
      <c r="AH2183" s="13"/>
      <c r="AI2183" s="13"/>
    </row>
    <row r="2184" spans="1:35" x14ac:dyDescent="0.3">
      <c r="A2184" s="10">
        <f t="shared" si="476"/>
        <v>1933</v>
      </c>
      <c r="B2184" s="124" t="s">
        <v>2763</v>
      </c>
      <c r="C2184" s="273">
        <f t="shared" si="475"/>
        <v>411098.93</v>
      </c>
      <c r="D2184" s="273">
        <f t="shared" si="473"/>
        <v>0</v>
      </c>
      <c r="E2184" s="273"/>
      <c r="F2184" s="273"/>
      <c r="G2184" s="273"/>
      <c r="H2184" s="273"/>
      <c r="I2184" s="273"/>
      <c r="J2184" s="273"/>
      <c r="K2184" s="273"/>
      <c r="L2184" s="273"/>
      <c r="M2184" s="273"/>
      <c r="N2184" s="273"/>
      <c r="O2184" s="273"/>
      <c r="P2184" s="273"/>
      <c r="Q2184" s="273"/>
      <c r="R2184" s="273"/>
      <c r="S2184" s="273"/>
      <c r="T2184" s="273"/>
      <c r="U2184" s="273"/>
      <c r="V2184" s="273"/>
      <c r="W2184" s="273">
        <f>SUM(Y2184:AJ2184)</f>
        <v>411098.93</v>
      </c>
      <c r="Y2184" s="269"/>
      <c r="Z2184" s="269"/>
      <c r="AA2184" s="269"/>
      <c r="AB2184" s="269"/>
      <c r="AC2184" s="269"/>
      <c r="AD2184" s="269"/>
      <c r="AE2184" s="269">
        <v>411098.93</v>
      </c>
      <c r="AF2184" s="7"/>
      <c r="AG2184" s="13"/>
      <c r="AH2184" s="13"/>
      <c r="AI2184" s="13"/>
    </row>
    <row r="2185" spans="1:35" x14ac:dyDescent="0.3">
      <c r="A2185" s="10">
        <f t="shared" si="476"/>
        <v>1934</v>
      </c>
      <c r="B2185" s="124" t="s">
        <v>2765</v>
      </c>
      <c r="C2185" s="273">
        <f t="shared" si="475"/>
        <v>646166.4</v>
      </c>
      <c r="D2185" s="273">
        <f t="shared" si="473"/>
        <v>0</v>
      </c>
      <c r="E2185" s="273"/>
      <c r="F2185" s="273"/>
      <c r="G2185" s="273"/>
      <c r="H2185" s="273"/>
      <c r="I2185" s="273"/>
      <c r="J2185" s="273"/>
      <c r="K2185" s="273"/>
      <c r="L2185" s="273"/>
      <c r="M2185" s="273"/>
      <c r="N2185" s="273"/>
      <c r="O2185" s="273"/>
      <c r="P2185" s="273"/>
      <c r="Q2185" s="273"/>
      <c r="R2185" s="273"/>
      <c r="S2185" s="273"/>
      <c r="T2185" s="273"/>
      <c r="U2185" s="273"/>
      <c r="V2185" s="273"/>
      <c r="W2185" s="273">
        <f>SUM(Y2185:AJ2185)</f>
        <v>646166.4</v>
      </c>
      <c r="Y2185" s="269">
        <v>339911.2</v>
      </c>
      <c r="Z2185" s="269">
        <v>306255.2</v>
      </c>
      <c r="AA2185" s="269"/>
      <c r="AB2185" s="269"/>
      <c r="AC2185" s="269"/>
      <c r="AD2185" s="269"/>
      <c r="AE2185" s="269"/>
      <c r="AF2185" s="7"/>
      <c r="AG2185" s="13"/>
      <c r="AH2185" s="13"/>
      <c r="AI2185" s="13"/>
    </row>
    <row r="2186" spans="1:35" x14ac:dyDescent="0.3">
      <c r="A2186" s="10">
        <f t="shared" si="476"/>
        <v>1935</v>
      </c>
      <c r="B2186" s="124" t="s">
        <v>2766</v>
      </c>
      <c r="C2186" s="273">
        <f t="shared" si="475"/>
        <v>6340282.9799999995</v>
      </c>
      <c r="D2186" s="273">
        <f t="shared" si="473"/>
        <v>0</v>
      </c>
      <c r="E2186" s="273"/>
      <c r="F2186" s="273"/>
      <c r="G2186" s="273"/>
      <c r="H2186" s="273"/>
      <c r="I2186" s="273"/>
      <c r="J2186" s="273"/>
      <c r="K2186" s="273"/>
      <c r="L2186" s="273"/>
      <c r="M2186" s="273"/>
      <c r="N2186" s="273">
        <v>5861973.5999999996</v>
      </c>
      <c r="O2186" s="273"/>
      <c r="P2186" s="273"/>
      <c r="Q2186" s="273"/>
      <c r="R2186" s="273"/>
      <c r="S2186" s="273"/>
      <c r="T2186" s="273"/>
      <c r="U2186" s="273"/>
      <c r="V2186" s="273"/>
      <c r="W2186" s="273">
        <f>SUM(Y2186:AJ2186)</f>
        <v>478309.38</v>
      </c>
      <c r="Y2186" s="269"/>
      <c r="Z2186" s="269"/>
      <c r="AA2186" s="269"/>
      <c r="AB2186" s="269"/>
      <c r="AC2186" s="269"/>
      <c r="AD2186" s="269"/>
      <c r="AE2186" s="269">
        <v>478309.38</v>
      </c>
      <c r="AF2186" s="7"/>
      <c r="AG2186" s="13"/>
      <c r="AH2186" s="13"/>
      <c r="AI2186" s="13"/>
    </row>
    <row r="2187" spans="1:35" x14ac:dyDescent="0.3">
      <c r="A2187" s="10">
        <f t="shared" si="476"/>
        <v>1936</v>
      </c>
      <c r="B2187" s="124" t="s">
        <v>2767</v>
      </c>
      <c r="C2187" s="273">
        <f t="shared" si="475"/>
        <v>238013.36</v>
      </c>
      <c r="D2187" s="273">
        <f t="shared" si="473"/>
        <v>0</v>
      </c>
      <c r="E2187" s="273"/>
      <c r="F2187" s="273"/>
      <c r="G2187" s="273"/>
      <c r="H2187" s="273"/>
      <c r="I2187" s="273"/>
      <c r="J2187" s="273"/>
      <c r="K2187" s="273"/>
      <c r="L2187" s="273"/>
      <c r="M2187" s="273"/>
      <c r="N2187" s="273"/>
      <c r="O2187" s="273"/>
      <c r="P2187" s="273"/>
      <c r="Q2187" s="273"/>
      <c r="R2187" s="273"/>
      <c r="S2187" s="273"/>
      <c r="T2187" s="273"/>
      <c r="U2187" s="273"/>
      <c r="V2187" s="273"/>
      <c r="W2187" s="273">
        <f>SUM(Y2187:AJ2187)</f>
        <v>238013.36</v>
      </c>
      <c r="Y2187" s="269">
        <v>129307.24</v>
      </c>
      <c r="Z2187" s="269"/>
      <c r="AA2187" s="269"/>
      <c r="AB2187" s="269">
        <v>108706.12</v>
      </c>
      <c r="AC2187" s="269"/>
      <c r="AD2187" s="269"/>
      <c r="AE2187" s="269"/>
      <c r="AF2187" s="7"/>
      <c r="AG2187" s="13"/>
      <c r="AH2187" s="13"/>
      <c r="AI2187" s="13"/>
    </row>
    <row r="2188" spans="1:35" x14ac:dyDescent="0.3">
      <c r="A2188" s="10">
        <f t="shared" si="476"/>
        <v>1937</v>
      </c>
      <c r="B2188" s="124" t="s">
        <v>2768</v>
      </c>
      <c r="C2188" s="273">
        <f t="shared" si="475"/>
        <v>130000</v>
      </c>
      <c r="D2188" s="273">
        <f t="shared" si="473"/>
        <v>0</v>
      </c>
      <c r="E2188" s="273"/>
      <c r="F2188" s="273"/>
      <c r="G2188" s="273"/>
      <c r="H2188" s="273"/>
      <c r="I2188" s="273"/>
      <c r="J2188" s="273"/>
      <c r="K2188" s="273"/>
      <c r="L2188" s="273"/>
      <c r="M2188" s="273"/>
      <c r="N2188" s="273"/>
      <c r="O2188" s="273"/>
      <c r="P2188" s="273"/>
      <c r="Q2188" s="273"/>
      <c r="R2188" s="273"/>
      <c r="S2188" s="273"/>
      <c r="T2188" s="273"/>
      <c r="U2188" s="273"/>
      <c r="V2188" s="273"/>
      <c r="W2188" s="273">
        <v>130000</v>
      </c>
      <c r="Y2188" s="269"/>
      <c r="Z2188" s="269"/>
      <c r="AA2188" s="269"/>
      <c r="AB2188" s="269"/>
      <c r="AC2188" s="269"/>
      <c r="AD2188" s="269"/>
      <c r="AE2188" s="269"/>
      <c r="AF2188" s="7"/>
      <c r="AG2188" s="13"/>
      <c r="AH2188" s="13"/>
      <c r="AI2188" s="13"/>
    </row>
    <row r="2189" spans="1:35" x14ac:dyDescent="0.3">
      <c r="A2189" s="10">
        <f t="shared" si="476"/>
        <v>1938</v>
      </c>
      <c r="B2189" s="124" t="s">
        <v>2772</v>
      </c>
      <c r="C2189" s="273">
        <f t="shared" si="475"/>
        <v>516650.71</v>
      </c>
      <c r="D2189" s="273">
        <f t="shared" si="473"/>
        <v>0</v>
      </c>
      <c r="E2189" s="273"/>
      <c r="F2189" s="273"/>
      <c r="G2189" s="273"/>
      <c r="H2189" s="273"/>
      <c r="I2189" s="273"/>
      <c r="J2189" s="273"/>
      <c r="K2189" s="273"/>
      <c r="L2189" s="273"/>
      <c r="M2189" s="273"/>
      <c r="N2189" s="273"/>
      <c r="O2189" s="273"/>
      <c r="P2189" s="273"/>
      <c r="Q2189" s="273"/>
      <c r="R2189" s="273"/>
      <c r="S2189" s="273"/>
      <c r="T2189" s="273"/>
      <c r="U2189" s="273"/>
      <c r="V2189" s="273"/>
      <c r="W2189" s="273">
        <f t="shared" ref="W2189:W2198" si="477">SUM(Y2189:AJ2189)</f>
        <v>516650.71</v>
      </c>
      <c r="Y2189" s="269"/>
      <c r="Z2189" s="269"/>
      <c r="AA2189" s="269"/>
      <c r="AB2189" s="269"/>
      <c r="AC2189" s="269"/>
      <c r="AD2189" s="269"/>
      <c r="AE2189" s="269"/>
      <c r="AF2189" s="7"/>
      <c r="AG2189" s="13">
        <v>516650.71</v>
      </c>
      <c r="AH2189" s="13"/>
      <c r="AI2189" s="13"/>
    </row>
    <row r="2190" spans="1:35" x14ac:dyDescent="0.3">
      <c r="A2190" s="10">
        <f t="shared" si="476"/>
        <v>1939</v>
      </c>
      <c r="B2190" s="124" t="s">
        <v>2773</v>
      </c>
      <c r="C2190" s="273">
        <f t="shared" si="475"/>
        <v>185015.23</v>
      </c>
      <c r="D2190" s="273">
        <f t="shared" si="473"/>
        <v>0</v>
      </c>
      <c r="E2190" s="273"/>
      <c r="F2190" s="273"/>
      <c r="G2190" s="273"/>
      <c r="H2190" s="273"/>
      <c r="I2190" s="273"/>
      <c r="J2190" s="273"/>
      <c r="K2190" s="273"/>
      <c r="L2190" s="273"/>
      <c r="M2190" s="273"/>
      <c r="N2190" s="273"/>
      <c r="O2190" s="273"/>
      <c r="P2190" s="273"/>
      <c r="Q2190" s="273"/>
      <c r="R2190" s="273"/>
      <c r="S2190" s="273"/>
      <c r="T2190" s="273"/>
      <c r="U2190" s="273"/>
      <c r="V2190" s="273"/>
      <c r="W2190" s="273">
        <f t="shared" si="477"/>
        <v>185015.23</v>
      </c>
      <c r="Y2190" s="269"/>
      <c r="Z2190" s="269"/>
      <c r="AA2190" s="269"/>
      <c r="AB2190" s="269"/>
      <c r="AC2190" s="269"/>
      <c r="AD2190" s="269"/>
      <c r="AE2190" s="269"/>
      <c r="AF2190" s="7">
        <v>185015.23</v>
      </c>
      <c r="AG2190" s="13"/>
      <c r="AH2190" s="13"/>
      <c r="AI2190" s="13"/>
    </row>
    <row r="2191" spans="1:35" x14ac:dyDescent="0.3">
      <c r="A2191" s="10">
        <f t="shared" si="476"/>
        <v>1940</v>
      </c>
      <c r="B2191" s="124" t="s">
        <v>2774</v>
      </c>
      <c r="C2191" s="273">
        <f t="shared" si="475"/>
        <v>455412.54</v>
      </c>
      <c r="D2191" s="273">
        <f t="shared" si="473"/>
        <v>0</v>
      </c>
      <c r="E2191" s="273"/>
      <c r="F2191" s="273"/>
      <c r="G2191" s="273"/>
      <c r="H2191" s="273"/>
      <c r="I2191" s="273"/>
      <c r="J2191" s="273"/>
      <c r="K2191" s="273"/>
      <c r="L2191" s="273"/>
      <c r="M2191" s="273"/>
      <c r="N2191" s="273"/>
      <c r="O2191" s="273"/>
      <c r="P2191" s="273"/>
      <c r="Q2191" s="273"/>
      <c r="R2191" s="273"/>
      <c r="S2191" s="273"/>
      <c r="T2191" s="273"/>
      <c r="U2191" s="273"/>
      <c r="V2191" s="273"/>
      <c r="W2191" s="273">
        <f t="shared" si="477"/>
        <v>455412.54</v>
      </c>
      <c r="Y2191" s="269"/>
      <c r="Z2191" s="269"/>
      <c r="AA2191" s="269"/>
      <c r="AB2191" s="269"/>
      <c r="AC2191" s="269"/>
      <c r="AD2191" s="269"/>
      <c r="AE2191" s="269"/>
      <c r="AF2191" s="7"/>
      <c r="AG2191" s="13">
        <v>455412.54</v>
      </c>
      <c r="AH2191" s="13"/>
      <c r="AI2191" s="13"/>
    </row>
    <row r="2192" spans="1:35" x14ac:dyDescent="0.3">
      <c r="A2192" s="10">
        <f t="shared" si="476"/>
        <v>1941</v>
      </c>
      <c r="B2192" s="124" t="s">
        <v>2775</v>
      </c>
      <c r="C2192" s="273">
        <f t="shared" si="475"/>
        <v>4652408.8899999997</v>
      </c>
      <c r="D2192" s="273">
        <f t="shared" si="473"/>
        <v>0</v>
      </c>
      <c r="E2192" s="273"/>
      <c r="F2192" s="273"/>
      <c r="G2192" s="273"/>
      <c r="H2192" s="273"/>
      <c r="I2192" s="273"/>
      <c r="J2192" s="273"/>
      <c r="K2192" s="273"/>
      <c r="L2192" s="273"/>
      <c r="M2192" s="273"/>
      <c r="N2192" s="273">
        <f>508.2*8094</f>
        <v>4113370.8</v>
      </c>
      <c r="O2192" s="273"/>
      <c r="P2192" s="273"/>
      <c r="Q2192" s="273"/>
      <c r="R2192" s="273"/>
      <c r="S2192" s="273"/>
      <c r="T2192" s="273"/>
      <c r="U2192" s="273"/>
      <c r="V2192" s="273"/>
      <c r="W2192" s="273">
        <f t="shared" si="477"/>
        <v>539038.09</v>
      </c>
      <c r="Y2192" s="269"/>
      <c r="Z2192" s="269"/>
      <c r="AA2192" s="269"/>
      <c r="AB2192" s="269"/>
      <c r="AC2192" s="269"/>
      <c r="AD2192" s="269"/>
      <c r="AE2192" s="269"/>
      <c r="AF2192" s="7"/>
      <c r="AG2192" s="13">
        <v>539038.09</v>
      </c>
      <c r="AH2192" s="13"/>
      <c r="AI2192" s="13"/>
    </row>
    <row r="2193" spans="1:35" x14ac:dyDescent="0.3">
      <c r="A2193" s="10">
        <f t="shared" si="476"/>
        <v>1942</v>
      </c>
      <c r="B2193" s="124" t="s">
        <v>2776</v>
      </c>
      <c r="C2193" s="273">
        <f t="shared" si="475"/>
        <v>179791.82</v>
      </c>
      <c r="D2193" s="273">
        <f t="shared" si="473"/>
        <v>0</v>
      </c>
      <c r="E2193" s="273"/>
      <c r="F2193" s="273"/>
      <c r="G2193" s="273"/>
      <c r="H2193" s="273"/>
      <c r="I2193" s="273"/>
      <c r="J2193" s="273"/>
      <c r="K2193" s="273"/>
      <c r="L2193" s="273"/>
      <c r="M2193" s="273"/>
      <c r="N2193" s="273"/>
      <c r="O2193" s="273"/>
      <c r="P2193" s="273"/>
      <c r="Q2193" s="273"/>
      <c r="R2193" s="273"/>
      <c r="S2193" s="273"/>
      <c r="T2193" s="273"/>
      <c r="U2193" s="273"/>
      <c r="V2193" s="273"/>
      <c r="W2193" s="273">
        <f t="shared" si="477"/>
        <v>179791.82</v>
      </c>
      <c r="Y2193" s="269"/>
      <c r="Z2193" s="269"/>
      <c r="AA2193" s="269"/>
      <c r="AB2193" s="269"/>
      <c r="AC2193" s="269"/>
      <c r="AD2193" s="269"/>
      <c r="AE2193" s="269">
        <v>179791.82</v>
      </c>
      <c r="AF2193" s="7"/>
      <c r="AG2193" s="13"/>
      <c r="AH2193" s="13"/>
      <c r="AI2193" s="13"/>
    </row>
    <row r="2194" spans="1:35" x14ac:dyDescent="0.3">
      <c r="A2194" s="10">
        <f t="shared" si="476"/>
        <v>1943</v>
      </c>
      <c r="B2194" s="124" t="s">
        <v>2777</v>
      </c>
      <c r="C2194" s="273">
        <f t="shared" si="475"/>
        <v>2621451.8199999998</v>
      </c>
      <c r="D2194" s="273">
        <f t="shared" si="473"/>
        <v>2392492.2999999998</v>
      </c>
      <c r="E2194" s="273">
        <f>80*2688+358323</f>
        <v>573363</v>
      </c>
      <c r="F2194" s="273">
        <v>1819129.3</v>
      </c>
      <c r="G2194" s="273"/>
      <c r="H2194" s="273"/>
      <c r="I2194" s="273"/>
      <c r="J2194" s="273"/>
      <c r="K2194" s="273"/>
      <c r="L2194" s="273"/>
      <c r="M2194" s="273"/>
      <c r="N2194" s="273"/>
      <c r="O2194" s="273"/>
      <c r="P2194" s="273"/>
      <c r="Q2194" s="273"/>
      <c r="R2194" s="273"/>
      <c r="S2194" s="273"/>
      <c r="T2194" s="273"/>
      <c r="U2194" s="273"/>
      <c r="V2194" s="273"/>
      <c r="W2194" s="273">
        <f>SUM(X2194:AJ2194)</f>
        <v>228959.52</v>
      </c>
      <c r="X2194" s="269">
        <v>114479.76</v>
      </c>
      <c r="Y2194" s="269"/>
      <c r="Z2194" s="269"/>
      <c r="AA2194" s="269"/>
      <c r="AB2194" s="269">
        <v>114479.76</v>
      </c>
      <c r="AC2194" s="269"/>
      <c r="AE2194" s="269"/>
      <c r="AF2194" s="7"/>
      <c r="AG2194" s="13"/>
      <c r="AH2194" s="13"/>
      <c r="AI2194" s="13"/>
    </row>
    <row r="2195" spans="1:35" x14ac:dyDescent="0.3">
      <c r="A2195" s="10">
        <f t="shared" si="476"/>
        <v>1944</v>
      </c>
      <c r="B2195" s="124" t="s">
        <v>2779</v>
      </c>
      <c r="C2195" s="273">
        <f t="shared" si="475"/>
        <v>215971.77999999997</v>
      </c>
      <c r="D2195" s="273">
        <f t="shared" si="473"/>
        <v>0</v>
      </c>
      <c r="E2195" s="273"/>
      <c r="F2195" s="273"/>
      <c r="G2195" s="273"/>
      <c r="H2195" s="273"/>
      <c r="I2195" s="273"/>
      <c r="J2195" s="273"/>
      <c r="K2195" s="273"/>
      <c r="L2195" s="273"/>
      <c r="M2195" s="273"/>
      <c r="N2195" s="273"/>
      <c r="O2195" s="273"/>
      <c r="P2195" s="273"/>
      <c r="Q2195" s="273"/>
      <c r="R2195" s="273"/>
      <c r="S2195" s="273"/>
      <c r="T2195" s="273"/>
      <c r="U2195" s="273"/>
      <c r="V2195" s="273"/>
      <c r="W2195" s="273">
        <f t="shared" si="477"/>
        <v>215971.77999999997</v>
      </c>
      <c r="X2195" s="269"/>
      <c r="Y2195" s="269"/>
      <c r="Z2195" s="269"/>
      <c r="AA2195" s="269"/>
      <c r="AB2195" s="269"/>
      <c r="AC2195" s="269">
        <v>73173.42</v>
      </c>
      <c r="AE2195" s="269">
        <v>142798.35999999999</v>
      </c>
      <c r="AF2195" s="7"/>
      <c r="AG2195" s="13"/>
      <c r="AH2195" s="13"/>
      <c r="AI2195" s="13"/>
    </row>
    <row r="2196" spans="1:35" x14ac:dyDescent="0.3">
      <c r="A2196" s="10">
        <f t="shared" si="476"/>
        <v>1945</v>
      </c>
      <c r="B2196" s="124" t="s">
        <v>2780</v>
      </c>
      <c r="C2196" s="273">
        <f t="shared" si="475"/>
        <v>891350.76</v>
      </c>
      <c r="D2196" s="273">
        <f t="shared" si="473"/>
        <v>707763</v>
      </c>
      <c r="E2196" s="273">
        <f>130*2688+358323</f>
        <v>707763</v>
      </c>
      <c r="F2196" s="273"/>
      <c r="G2196" s="273"/>
      <c r="H2196" s="273"/>
      <c r="I2196" s="273"/>
      <c r="J2196" s="273"/>
      <c r="K2196" s="273"/>
      <c r="L2196" s="273"/>
      <c r="M2196" s="273"/>
      <c r="N2196" s="273"/>
      <c r="O2196" s="273"/>
      <c r="P2196" s="273"/>
      <c r="Q2196" s="273"/>
      <c r="R2196" s="273"/>
      <c r="S2196" s="273"/>
      <c r="T2196" s="273"/>
      <c r="U2196" s="273"/>
      <c r="V2196" s="273"/>
      <c r="W2196" s="273">
        <f>SUM(X2196:AJ2196)</f>
        <v>183587.76</v>
      </c>
      <c r="X2196" s="269">
        <v>91793.88</v>
      </c>
      <c r="Y2196" s="269"/>
      <c r="Z2196" s="269"/>
      <c r="AA2196" s="269"/>
      <c r="AB2196" s="269">
        <v>91793.88</v>
      </c>
      <c r="AC2196" s="269"/>
      <c r="AE2196" s="269"/>
      <c r="AF2196" s="7"/>
      <c r="AG2196" s="13"/>
      <c r="AH2196" s="13"/>
      <c r="AI2196" s="13"/>
    </row>
    <row r="2197" spans="1:35" x14ac:dyDescent="0.3">
      <c r="A2197" s="10">
        <f t="shared" si="476"/>
        <v>1946</v>
      </c>
      <c r="B2197" s="124" t="s">
        <v>2784</v>
      </c>
      <c r="C2197" s="273">
        <f t="shared" si="475"/>
        <v>171519.25</v>
      </c>
      <c r="D2197" s="273">
        <f t="shared" si="473"/>
        <v>0</v>
      </c>
      <c r="E2197" s="273"/>
      <c r="F2197" s="273"/>
      <c r="G2197" s="273"/>
      <c r="H2197" s="273"/>
      <c r="I2197" s="273"/>
      <c r="J2197" s="273"/>
      <c r="K2197" s="273"/>
      <c r="L2197" s="273"/>
      <c r="M2197" s="273"/>
      <c r="N2197" s="273"/>
      <c r="O2197" s="273"/>
      <c r="P2197" s="273"/>
      <c r="Q2197" s="273"/>
      <c r="R2197" s="273"/>
      <c r="S2197" s="273"/>
      <c r="T2197" s="273"/>
      <c r="U2197" s="273"/>
      <c r="V2197" s="273"/>
      <c r="W2197" s="273">
        <f t="shared" si="477"/>
        <v>171519.25</v>
      </c>
      <c r="Y2197" s="269"/>
      <c r="Z2197" s="269"/>
      <c r="AA2197" s="269"/>
      <c r="AB2197" s="269"/>
      <c r="AC2197" s="269">
        <v>114284.77</v>
      </c>
      <c r="AD2197" s="269"/>
      <c r="AE2197" s="269"/>
      <c r="AF2197" s="7">
        <v>57234.48</v>
      </c>
      <c r="AG2197" s="13"/>
      <c r="AH2197" s="13"/>
      <c r="AI2197" s="13"/>
    </row>
    <row r="2198" spans="1:35" x14ac:dyDescent="0.3">
      <c r="A2198" s="10">
        <f t="shared" si="476"/>
        <v>1947</v>
      </c>
      <c r="B2198" s="124" t="s">
        <v>2785</v>
      </c>
      <c r="C2198" s="273">
        <f t="shared" si="475"/>
        <v>755847.34</v>
      </c>
      <c r="D2198" s="273">
        <f t="shared" si="473"/>
        <v>586803</v>
      </c>
      <c r="E2198" s="273">
        <f>85*2688+358323</f>
        <v>586803</v>
      </c>
      <c r="F2198" s="273"/>
      <c r="G2198" s="273"/>
      <c r="H2198" s="273"/>
      <c r="I2198" s="273"/>
      <c r="J2198" s="273"/>
      <c r="K2198" s="273"/>
      <c r="L2198" s="273"/>
      <c r="M2198" s="273"/>
      <c r="N2198" s="273"/>
      <c r="O2198" s="273"/>
      <c r="P2198" s="273"/>
      <c r="Q2198" s="273"/>
      <c r="R2198" s="273"/>
      <c r="S2198" s="273"/>
      <c r="T2198" s="273"/>
      <c r="U2198" s="273"/>
      <c r="V2198" s="273"/>
      <c r="W2198" s="273">
        <f t="shared" si="477"/>
        <v>169044.34</v>
      </c>
      <c r="Y2198" s="269">
        <v>94264.86</v>
      </c>
      <c r="Z2198" s="269"/>
      <c r="AA2198" s="269"/>
      <c r="AB2198" s="269">
        <v>74779.48</v>
      </c>
      <c r="AC2198" s="269"/>
      <c r="AD2198" s="269"/>
      <c r="AE2198" s="269"/>
      <c r="AF2198" s="7"/>
      <c r="AG2198" s="13"/>
      <c r="AH2198" s="13"/>
      <c r="AI2198" s="13"/>
    </row>
    <row r="2199" spans="1:35" x14ac:dyDescent="0.3">
      <c r="A2199" s="10">
        <f t="shared" si="476"/>
        <v>1948</v>
      </c>
      <c r="B2199" s="124" t="s">
        <v>2786</v>
      </c>
      <c r="C2199" s="273">
        <f t="shared" si="475"/>
        <v>2275673.94</v>
      </c>
      <c r="D2199" s="273">
        <f t="shared" si="473"/>
        <v>0</v>
      </c>
      <c r="E2199" s="273"/>
      <c r="F2199" s="273"/>
      <c r="G2199" s="273"/>
      <c r="H2199" s="273"/>
      <c r="I2199" s="273"/>
      <c r="J2199" s="273"/>
      <c r="K2199" s="273"/>
      <c r="L2199" s="273"/>
      <c r="M2199" s="273">
        <v>204</v>
      </c>
      <c r="N2199" s="273">
        <v>2031850.12</v>
      </c>
      <c r="O2199" s="273"/>
      <c r="P2199" s="273"/>
      <c r="Q2199" s="273"/>
      <c r="R2199" s="273"/>
      <c r="S2199" s="273"/>
      <c r="T2199" s="273"/>
      <c r="U2199" s="273"/>
      <c r="V2199" s="273"/>
      <c r="W2199" s="273">
        <f>SUM(X2199:AJ2199)</f>
        <v>243823.82</v>
      </c>
      <c r="X2199" s="269">
        <v>74779.48</v>
      </c>
      <c r="Y2199" s="269">
        <v>94264.86</v>
      </c>
      <c r="Z2199" s="269"/>
      <c r="AA2199" s="269"/>
      <c r="AB2199" s="269">
        <v>74779.48</v>
      </c>
      <c r="AC2199" s="269"/>
      <c r="AE2199" s="269"/>
      <c r="AF2199" s="7"/>
      <c r="AG2199" s="13"/>
      <c r="AH2199" s="13"/>
      <c r="AI2199" s="13"/>
    </row>
    <row r="2200" spans="1:35" x14ac:dyDescent="0.3">
      <c r="A2200" s="10">
        <f t="shared" si="476"/>
        <v>1949</v>
      </c>
      <c r="B2200" s="124" t="s">
        <v>2789</v>
      </c>
      <c r="C2200" s="273">
        <f t="shared" si="475"/>
        <v>130000</v>
      </c>
      <c r="D2200" s="273">
        <f t="shared" si="473"/>
        <v>0</v>
      </c>
      <c r="E2200" s="273"/>
      <c r="F2200" s="273"/>
      <c r="G2200" s="273"/>
      <c r="H2200" s="273"/>
      <c r="I2200" s="273"/>
      <c r="J2200" s="273"/>
      <c r="K2200" s="273"/>
      <c r="L2200" s="273"/>
      <c r="M2200" s="273"/>
      <c r="N2200" s="273"/>
      <c r="O2200" s="273"/>
      <c r="P2200" s="273"/>
      <c r="Q2200" s="273"/>
      <c r="R2200" s="273"/>
      <c r="S2200" s="273"/>
      <c r="T2200" s="273"/>
      <c r="U2200" s="273"/>
      <c r="V2200" s="273"/>
      <c r="W2200" s="273">
        <v>130000</v>
      </c>
      <c r="Y2200" s="269"/>
      <c r="Z2200" s="269"/>
      <c r="AA2200" s="269"/>
      <c r="AB2200" s="269"/>
      <c r="AC2200" s="269">
        <v>130000</v>
      </c>
      <c r="AD2200" s="269"/>
      <c r="AE2200" s="269"/>
      <c r="AF2200" s="7"/>
      <c r="AG2200" s="13"/>
      <c r="AH2200" s="13"/>
      <c r="AI2200" s="13"/>
    </row>
    <row r="2201" spans="1:35" x14ac:dyDescent="0.3">
      <c r="A2201" s="10">
        <f t="shared" si="476"/>
        <v>1950</v>
      </c>
      <c r="B2201" s="124" t="s">
        <v>2790</v>
      </c>
      <c r="C2201" s="273">
        <f t="shared" si="475"/>
        <v>552864.92000000004</v>
      </c>
      <c r="D2201" s="273">
        <f t="shared" si="473"/>
        <v>0</v>
      </c>
      <c r="E2201" s="273"/>
      <c r="F2201" s="273"/>
      <c r="G2201" s="273"/>
      <c r="H2201" s="273"/>
      <c r="I2201" s="273"/>
      <c r="J2201" s="273"/>
      <c r="K2201" s="273"/>
      <c r="L2201" s="273"/>
      <c r="M2201" s="273"/>
      <c r="N2201" s="273"/>
      <c r="O2201" s="273"/>
      <c r="P2201" s="273"/>
      <c r="Q2201" s="273"/>
      <c r="R2201" s="273"/>
      <c r="S2201" s="273"/>
      <c r="T2201" s="273"/>
      <c r="U2201" s="273"/>
      <c r="V2201" s="273"/>
      <c r="W2201" s="273">
        <f>SUM(Y2201:AJ2201)</f>
        <v>552864.92000000004</v>
      </c>
      <c r="Y2201" s="269"/>
      <c r="Z2201" s="269"/>
      <c r="AA2201" s="269"/>
      <c r="AB2201" s="269"/>
      <c r="AC2201" s="269"/>
      <c r="AD2201" s="269"/>
      <c r="AE2201" s="269"/>
      <c r="AF2201" s="7"/>
      <c r="AG2201" s="13">
        <v>552864.92000000004</v>
      </c>
      <c r="AH2201" s="13"/>
      <c r="AI2201" s="13"/>
    </row>
    <row r="2202" spans="1:35" x14ac:dyDescent="0.3">
      <c r="A2202" s="10">
        <f t="shared" si="476"/>
        <v>1951</v>
      </c>
      <c r="B2202" s="124" t="s">
        <v>2791</v>
      </c>
      <c r="C2202" s="273">
        <f t="shared" si="475"/>
        <v>77794.03</v>
      </c>
      <c r="D2202" s="273">
        <f t="shared" ref="D2202:D2231" si="478">E2202+F2202+G2202+H2202</f>
        <v>0</v>
      </c>
      <c r="E2202" s="273"/>
      <c r="F2202" s="273"/>
      <c r="G2202" s="273"/>
      <c r="H2202" s="273"/>
      <c r="I2202" s="273"/>
      <c r="J2202" s="273"/>
      <c r="K2202" s="273"/>
      <c r="L2202" s="273"/>
      <c r="M2202" s="273"/>
      <c r="N2202" s="273"/>
      <c r="O2202" s="273"/>
      <c r="P2202" s="273"/>
      <c r="Q2202" s="273"/>
      <c r="R2202" s="273"/>
      <c r="S2202" s="273"/>
      <c r="T2202" s="273"/>
      <c r="U2202" s="273"/>
      <c r="V2202" s="273"/>
      <c r="W2202" s="273">
        <f>SUM(X2202:AJ2202)</f>
        <v>77794.03</v>
      </c>
      <c r="X2202" s="269">
        <v>77794.03</v>
      </c>
      <c r="Y2202" s="269"/>
      <c r="Z2202" s="269"/>
      <c r="AA2202" s="269"/>
      <c r="AB2202" s="269"/>
      <c r="AC2202" s="269"/>
      <c r="AE2202" s="269"/>
      <c r="AF2202" s="7"/>
      <c r="AG2202" s="13"/>
      <c r="AH2202" s="13"/>
      <c r="AI2202" s="13"/>
    </row>
    <row r="2203" spans="1:35" x14ac:dyDescent="0.3">
      <c r="A2203" s="10">
        <f t="shared" si="476"/>
        <v>1952</v>
      </c>
      <c r="B2203" s="124" t="s">
        <v>2793</v>
      </c>
      <c r="C2203" s="273">
        <f t="shared" si="475"/>
        <v>1690205.85</v>
      </c>
      <c r="D2203" s="273">
        <f t="shared" si="478"/>
        <v>0</v>
      </c>
      <c r="E2203" s="273"/>
      <c r="F2203" s="273"/>
      <c r="G2203" s="273"/>
      <c r="H2203" s="273"/>
      <c r="I2203" s="273"/>
      <c r="J2203" s="273"/>
      <c r="K2203" s="273"/>
      <c r="L2203" s="273"/>
      <c r="M2203" s="273">
        <v>219</v>
      </c>
      <c r="N2203" s="273">
        <v>1690205.85</v>
      </c>
      <c r="O2203" s="273"/>
      <c r="P2203" s="273"/>
      <c r="Q2203" s="273"/>
      <c r="R2203" s="273"/>
      <c r="S2203" s="273"/>
      <c r="T2203" s="273"/>
      <c r="U2203" s="273"/>
      <c r="V2203" s="273"/>
      <c r="W2203" s="273"/>
      <c r="Y2203" s="269"/>
      <c r="Z2203" s="269"/>
      <c r="AA2203" s="269"/>
      <c r="AB2203" s="269"/>
      <c r="AC2203" s="269"/>
      <c r="AD2203" s="269"/>
      <c r="AE2203" s="269"/>
      <c r="AF2203" s="7"/>
      <c r="AG2203" s="13"/>
      <c r="AH2203" s="13"/>
      <c r="AI2203" s="13"/>
    </row>
    <row r="2204" spans="1:35" x14ac:dyDescent="0.3">
      <c r="A2204" s="10">
        <f t="shared" si="476"/>
        <v>1953</v>
      </c>
      <c r="B2204" s="124" t="s">
        <v>2797</v>
      </c>
      <c r="C2204" s="273">
        <f t="shared" si="475"/>
        <v>134109.74</v>
      </c>
      <c r="D2204" s="273">
        <f t="shared" si="478"/>
        <v>0</v>
      </c>
      <c r="E2204" s="273"/>
      <c r="F2204" s="273"/>
      <c r="G2204" s="273"/>
      <c r="H2204" s="273"/>
      <c r="I2204" s="273"/>
      <c r="J2204" s="273"/>
      <c r="K2204" s="273"/>
      <c r="L2204" s="273"/>
      <c r="M2204" s="273"/>
      <c r="N2204" s="273"/>
      <c r="O2204" s="273"/>
      <c r="P2204" s="273"/>
      <c r="Q2204" s="273"/>
      <c r="R2204" s="273"/>
      <c r="S2204" s="273"/>
      <c r="T2204" s="273"/>
      <c r="U2204" s="273"/>
      <c r="V2204" s="273"/>
      <c r="W2204" s="273">
        <f t="shared" ref="W2204:W2214" si="479">SUM(Y2204:AJ2204)</f>
        <v>134109.74</v>
      </c>
      <c r="Y2204" s="269">
        <v>134109.74</v>
      </c>
      <c r="Z2204" s="269"/>
      <c r="AA2204" s="269"/>
      <c r="AB2204" s="269"/>
      <c r="AC2204" s="269"/>
      <c r="AD2204" s="269"/>
      <c r="AE2204" s="269"/>
      <c r="AF2204" s="7"/>
      <c r="AG2204" s="13"/>
      <c r="AH2204" s="13"/>
      <c r="AI2204" s="13"/>
    </row>
    <row r="2205" spans="1:35" x14ac:dyDescent="0.3">
      <c r="A2205" s="10">
        <f t="shared" si="476"/>
        <v>1954</v>
      </c>
      <c r="B2205" s="124" t="s">
        <v>2799</v>
      </c>
      <c r="C2205" s="273">
        <f t="shared" si="475"/>
        <v>290247.20999999996</v>
      </c>
      <c r="D2205" s="273">
        <f t="shared" si="478"/>
        <v>0</v>
      </c>
      <c r="E2205" s="273"/>
      <c r="F2205" s="273"/>
      <c r="G2205" s="273"/>
      <c r="H2205" s="273"/>
      <c r="I2205" s="273"/>
      <c r="J2205" s="273"/>
      <c r="K2205" s="273"/>
      <c r="L2205" s="273"/>
      <c r="M2205" s="273"/>
      <c r="N2205" s="273"/>
      <c r="O2205" s="273"/>
      <c r="P2205" s="273"/>
      <c r="Q2205" s="273"/>
      <c r="R2205" s="273"/>
      <c r="S2205" s="273"/>
      <c r="T2205" s="273"/>
      <c r="U2205" s="273"/>
      <c r="V2205" s="273"/>
      <c r="W2205" s="273">
        <f t="shared" si="479"/>
        <v>290247.20999999996</v>
      </c>
      <c r="Y2205" s="269">
        <v>108345.04</v>
      </c>
      <c r="Z2205" s="269">
        <v>94410.42</v>
      </c>
      <c r="AA2205" s="269"/>
      <c r="AB2205" s="269"/>
      <c r="AC2205" s="269">
        <v>87491.75</v>
      </c>
      <c r="AD2205" s="269"/>
      <c r="AE2205" s="269"/>
      <c r="AF2205" s="7"/>
      <c r="AG2205" s="13"/>
      <c r="AH2205" s="13"/>
      <c r="AI2205" s="13"/>
    </row>
    <row r="2206" spans="1:35" x14ac:dyDescent="0.3">
      <c r="A2206" s="10">
        <f t="shared" si="476"/>
        <v>1955</v>
      </c>
      <c r="B2206" s="124" t="s">
        <v>2800</v>
      </c>
      <c r="C2206" s="273">
        <f t="shared" si="475"/>
        <v>630944.78</v>
      </c>
      <c r="D2206" s="273">
        <f t="shared" si="478"/>
        <v>573363</v>
      </c>
      <c r="E2206" s="273">
        <f>80*2688+358323</f>
        <v>573363</v>
      </c>
      <c r="F2206" s="273"/>
      <c r="G2206" s="273"/>
      <c r="H2206" s="273"/>
      <c r="I2206" s="273"/>
      <c r="J2206" s="273"/>
      <c r="K2206" s="273"/>
      <c r="L2206" s="273"/>
      <c r="M2206" s="273"/>
      <c r="N2206" s="273"/>
      <c r="O2206" s="273"/>
      <c r="P2206" s="273"/>
      <c r="Q2206" s="273"/>
      <c r="R2206" s="273"/>
      <c r="S2206" s="273"/>
      <c r="T2206" s="273"/>
      <c r="U2206" s="273"/>
      <c r="V2206" s="273"/>
      <c r="W2206" s="273">
        <f t="shared" si="479"/>
        <v>57581.78</v>
      </c>
      <c r="Y2206" s="269"/>
      <c r="Z2206" s="269"/>
      <c r="AA2206" s="269"/>
      <c r="AB2206" s="269"/>
      <c r="AC2206" s="269"/>
      <c r="AD2206" s="269"/>
      <c r="AE2206" s="269"/>
      <c r="AF2206" s="7">
        <v>57581.78</v>
      </c>
      <c r="AG2206" s="13"/>
      <c r="AH2206" s="13"/>
      <c r="AI2206" s="13"/>
    </row>
    <row r="2207" spans="1:35" x14ac:dyDescent="0.3">
      <c r="A2207" s="10">
        <f t="shared" si="476"/>
        <v>1956</v>
      </c>
      <c r="B2207" s="124" t="s">
        <v>2806</v>
      </c>
      <c r="C2207" s="273">
        <f t="shared" ref="C2207:C2236" si="480">D2207+K2207+L2207+N2207+P2207+R2207+S2207+U2207+V2207+W2207</f>
        <v>443920</v>
      </c>
      <c r="D2207" s="273">
        <f t="shared" si="478"/>
        <v>0</v>
      </c>
      <c r="E2207" s="273"/>
      <c r="F2207" s="273"/>
      <c r="G2207" s="273"/>
      <c r="H2207" s="273"/>
      <c r="I2207" s="273"/>
      <c r="J2207" s="273"/>
      <c r="K2207" s="273"/>
      <c r="L2207" s="273"/>
      <c r="M2207" s="273"/>
      <c r="N2207" s="273"/>
      <c r="O2207" s="273"/>
      <c r="P2207" s="273"/>
      <c r="Q2207" s="273"/>
      <c r="R2207" s="273"/>
      <c r="S2207" s="273"/>
      <c r="T2207" s="273"/>
      <c r="U2207" s="273"/>
      <c r="V2207" s="273"/>
      <c r="W2207" s="273">
        <f t="shared" si="479"/>
        <v>443920</v>
      </c>
      <c r="Y2207" s="269"/>
      <c r="Z2207" s="269"/>
      <c r="AA2207" s="269"/>
      <c r="AB2207" s="269"/>
      <c r="AC2207" s="269"/>
      <c r="AD2207" s="269"/>
      <c r="AE2207" s="269"/>
      <c r="AF2207" s="7"/>
      <c r="AG2207" s="13">
        <v>443920</v>
      </c>
      <c r="AH2207" s="13"/>
      <c r="AI2207" s="13"/>
    </row>
    <row r="2208" spans="1:35" x14ac:dyDescent="0.3">
      <c r="A2208" s="10">
        <f t="shared" ref="A2208:A2237" si="481">A2207+1</f>
        <v>1957</v>
      </c>
      <c r="B2208" s="124" t="s">
        <v>2807</v>
      </c>
      <c r="C2208" s="273">
        <f t="shared" si="480"/>
        <v>211653.86</v>
      </c>
      <c r="D2208" s="273">
        <f t="shared" si="478"/>
        <v>0</v>
      </c>
      <c r="E2208" s="273"/>
      <c r="F2208" s="273"/>
      <c r="G2208" s="273"/>
      <c r="H2208" s="273"/>
      <c r="I2208" s="273"/>
      <c r="J2208" s="273"/>
      <c r="K2208" s="273"/>
      <c r="L2208" s="273"/>
      <c r="M2208" s="273"/>
      <c r="N2208" s="273"/>
      <c r="O2208" s="273"/>
      <c r="P2208" s="273"/>
      <c r="Q2208" s="273"/>
      <c r="R2208" s="273"/>
      <c r="S2208" s="273"/>
      <c r="T2208" s="273"/>
      <c r="U2208" s="273"/>
      <c r="V2208" s="273"/>
      <c r="W2208" s="273">
        <f t="shared" si="479"/>
        <v>211653.86</v>
      </c>
      <c r="Y2208" s="269"/>
      <c r="Z2208" s="269"/>
      <c r="AA2208" s="269"/>
      <c r="AB2208" s="269"/>
      <c r="AC2208" s="269"/>
      <c r="AD2208" s="269"/>
      <c r="AE2208" s="269">
        <v>211653.86</v>
      </c>
      <c r="AF2208" s="7"/>
      <c r="AG2208" s="13"/>
      <c r="AH2208" s="13"/>
      <c r="AI2208" s="13"/>
    </row>
    <row r="2209" spans="1:35" x14ac:dyDescent="0.3">
      <c r="A2209" s="10">
        <f t="shared" si="481"/>
        <v>1958</v>
      </c>
      <c r="B2209" s="124" t="s">
        <v>2809</v>
      </c>
      <c r="C2209" s="273">
        <f t="shared" si="480"/>
        <v>92764.08</v>
      </c>
      <c r="D2209" s="273">
        <f t="shared" si="478"/>
        <v>0</v>
      </c>
      <c r="E2209" s="273"/>
      <c r="F2209" s="273"/>
      <c r="G2209" s="273"/>
      <c r="H2209" s="273"/>
      <c r="I2209" s="273"/>
      <c r="J2209" s="273"/>
      <c r="K2209" s="273"/>
      <c r="L2209" s="273"/>
      <c r="M2209" s="273"/>
      <c r="N2209" s="273"/>
      <c r="O2209" s="273"/>
      <c r="P2209" s="273"/>
      <c r="Q2209" s="273"/>
      <c r="R2209" s="273"/>
      <c r="S2209" s="273"/>
      <c r="T2209" s="273"/>
      <c r="U2209" s="273"/>
      <c r="V2209" s="273"/>
      <c r="W2209" s="273">
        <f t="shared" si="479"/>
        <v>92764.08</v>
      </c>
      <c r="Y2209" s="269"/>
      <c r="Z2209" s="269"/>
      <c r="AA2209" s="269"/>
      <c r="AB2209" s="269"/>
      <c r="AC2209" s="269"/>
      <c r="AD2209" s="269"/>
      <c r="AE2209" s="269">
        <v>92764.08</v>
      </c>
      <c r="AF2209" s="7"/>
      <c r="AG2209" s="13"/>
      <c r="AH2209" s="13"/>
      <c r="AI2209" s="13"/>
    </row>
    <row r="2210" spans="1:35" x14ac:dyDescent="0.3">
      <c r="A2210" s="10">
        <f t="shared" si="481"/>
        <v>1959</v>
      </c>
      <c r="B2210" s="124" t="s">
        <v>2810</v>
      </c>
      <c r="C2210" s="273">
        <f t="shared" si="480"/>
        <v>195601.95</v>
      </c>
      <c r="D2210" s="273">
        <f t="shared" si="478"/>
        <v>0</v>
      </c>
      <c r="E2210" s="273"/>
      <c r="F2210" s="273"/>
      <c r="G2210" s="273"/>
      <c r="H2210" s="273"/>
      <c r="I2210" s="273"/>
      <c r="J2210" s="273"/>
      <c r="K2210" s="273"/>
      <c r="L2210" s="273"/>
      <c r="M2210" s="273"/>
      <c r="N2210" s="273"/>
      <c r="O2210" s="273"/>
      <c r="P2210" s="273"/>
      <c r="Q2210" s="273"/>
      <c r="R2210" s="273"/>
      <c r="S2210" s="273"/>
      <c r="T2210" s="273"/>
      <c r="U2210" s="273"/>
      <c r="V2210" s="273"/>
      <c r="W2210" s="273">
        <f t="shared" si="479"/>
        <v>195601.95</v>
      </c>
      <c r="Y2210" s="269">
        <v>107312.41</v>
      </c>
      <c r="Z2210" s="269"/>
      <c r="AA2210" s="269"/>
      <c r="AB2210" s="269">
        <v>88289.54</v>
      </c>
      <c r="AC2210" s="269"/>
      <c r="AD2210" s="269"/>
      <c r="AE2210" s="269"/>
      <c r="AF2210" s="7"/>
      <c r="AG2210" s="13"/>
      <c r="AH2210" s="13"/>
      <c r="AI2210" s="13"/>
    </row>
    <row r="2211" spans="1:35" x14ac:dyDescent="0.3">
      <c r="A2211" s="10">
        <f t="shared" si="481"/>
        <v>1960</v>
      </c>
      <c r="B2211" s="124" t="s">
        <v>2811</v>
      </c>
      <c r="C2211" s="273">
        <f t="shared" si="480"/>
        <v>180113.3</v>
      </c>
      <c r="D2211" s="273">
        <f t="shared" si="478"/>
        <v>0</v>
      </c>
      <c r="E2211" s="273"/>
      <c r="F2211" s="273"/>
      <c r="G2211" s="273"/>
      <c r="H2211" s="273"/>
      <c r="I2211" s="273"/>
      <c r="J2211" s="273"/>
      <c r="K2211" s="273"/>
      <c r="L2211" s="273"/>
      <c r="M2211" s="273"/>
      <c r="N2211" s="273"/>
      <c r="O2211" s="273"/>
      <c r="P2211" s="273"/>
      <c r="Q2211" s="273"/>
      <c r="R2211" s="273"/>
      <c r="S2211" s="273"/>
      <c r="T2211" s="273"/>
      <c r="U2211" s="273"/>
      <c r="V2211" s="273"/>
      <c r="W2211" s="273">
        <f>SUM(X2211:AJ2211)</f>
        <v>180113.3</v>
      </c>
      <c r="X2211" s="269">
        <v>90056.65</v>
      </c>
      <c r="Y2211" s="269"/>
      <c r="Z2211" s="269"/>
      <c r="AA2211" s="269"/>
      <c r="AB2211" s="269">
        <v>90056.65</v>
      </c>
      <c r="AC2211" s="269"/>
      <c r="AE2211" s="269"/>
      <c r="AF2211" s="7"/>
      <c r="AG2211" s="13"/>
      <c r="AH2211" s="13"/>
      <c r="AI2211" s="13"/>
    </row>
    <row r="2212" spans="1:35" x14ac:dyDescent="0.3">
      <c r="A2212" s="10">
        <f t="shared" si="481"/>
        <v>1961</v>
      </c>
      <c r="B2212" s="124" t="s">
        <v>2812</v>
      </c>
      <c r="C2212" s="273">
        <f t="shared" si="480"/>
        <v>342269.27</v>
      </c>
      <c r="D2212" s="273">
        <f t="shared" si="478"/>
        <v>0</v>
      </c>
      <c r="E2212" s="273"/>
      <c r="F2212" s="273"/>
      <c r="G2212" s="273"/>
      <c r="H2212" s="273"/>
      <c r="I2212" s="273"/>
      <c r="J2212" s="273"/>
      <c r="K2212" s="273"/>
      <c r="L2212" s="273"/>
      <c r="M2212" s="273"/>
      <c r="N2212" s="273"/>
      <c r="O2212" s="273"/>
      <c r="P2212" s="273"/>
      <c r="Q2212" s="273"/>
      <c r="R2212" s="273"/>
      <c r="S2212" s="273"/>
      <c r="T2212" s="273"/>
      <c r="U2212" s="273"/>
      <c r="V2212" s="273"/>
      <c r="W2212" s="273">
        <f t="shared" si="479"/>
        <v>342269.27</v>
      </c>
      <c r="Y2212" s="269">
        <v>105769.74</v>
      </c>
      <c r="Z2212" s="269">
        <v>90542.86</v>
      </c>
      <c r="AA2212" s="269"/>
      <c r="AB2212" s="269"/>
      <c r="AC2212" s="269"/>
      <c r="AD2212" s="269"/>
      <c r="AE2212" s="269"/>
      <c r="AF2212" s="7">
        <v>145956.67000000001</v>
      </c>
      <c r="AG2212" s="13"/>
      <c r="AH2212" s="13"/>
      <c r="AI2212" s="13"/>
    </row>
    <row r="2213" spans="1:35" x14ac:dyDescent="0.3">
      <c r="A2213" s="10">
        <f t="shared" si="481"/>
        <v>1962</v>
      </c>
      <c r="B2213" s="124" t="s">
        <v>2814</v>
      </c>
      <c r="C2213" s="273">
        <f t="shared" si="480"/>
        <v>175531.67</v>
      </c>
      <c r="D2213" s="273">
        <f t="shared" si="478"/>
        <v>0</v>
      </c>
      <c r="E2213" s="273"/>
      <c r="F2213" s="273"/>
      <c r="G2213" s="273"/>
      <c r="H2213" s="273"/>
      <c r="I2213" s="273"/>
      <c r="J2213" s="273"/>
      <c r="K2213" s="273"/>
      <c r="L2213" s="273"/>
      <c r="M2213" s="273"/>
      <c r="N2213" s="273"/>
      <c r="O2213" s="273"/>
      <c r="P2213" s="273"/>
      <c r="Q2213" s="273"/>
      <c r="R2213" s="273"/>
      <c r="S2213" s="273"/>
      <c r="T2213" s="273"/>
      <c r="U2213" s="273"/>
      <c r="V2213" s="273"/>
      <c r="W2213" s="273">
        <f t="shared" si="479"/>
        <v>175531.67</v>
      </c>
      <c r="Y2213" s="269"/>
      <c r="Z2213" s="269"/>
      <c r="AA2213" s="269"/>
      <c r="AB2213" s="269"/>
      <c r="AC2213" s="269"/>
      <c r="AD2213" s="269"/>
      <c r="AE2213" s="269">
        <v>175531.67</v>
      </c>
      <c r="AF2213" s="7"/>
      <c r="AG2213" s="13"/>
      <c r="AH2213" s="13"/>
      <c r="AI2213" s="13"/>
    </row>
    <row r="2214" spans="1:35" x14ac:dyDescent="0.3">
      <c r="A2214" s="10">
        <f t="shared" si="481"/>
        <v>1963</v>
      </c>
      <c r="B2214" s="124" t="s">
        <v>2815</v>
      </c>
      <c r="C2214" s="273">
        <f t="shared" si="480"/>
        <v>290770.44</v>
      </c>
      <c r="D2214" s="273">
        <f t="shared" si="478"/>
        <v>0</v>
      </c>
      <c r="E2214" s="273"/>
      <c r="F2214" s="273"/>
      <c r="G2214" s="273"/>
      <c r="H2214" s="273"/>
      <c r="I2214" s="273"/>
      <c r="J2214" s="273"/>
      <c r="K2214" s="273"/>
      <c r="L2214" s="273"/>
      <c r="M2214" s="273"/>
      <c r="N2214" s="273"/>
      <c r="O2214" s="273"/>
      <c r="P2214" s="273"/>
      <c r="Q2214" s="273"/>
      <c r="R2214" s="273"/>
      <c r="S2214" s="273"/>
      <c r="T2214" s="273"/>
      <c r="U2214" s="273"/>
      <c r="V2214" s="273"/>
      <c r="W2214" s="273">
        <f t="shared" si="479"/>
        <v>290770.44</v>
      </c>
      <c r="Y2214" s="269">
        <v>290770.44</v>
      </c>
      <c r="Z2214" s="269"/>
      <c r="AA2214" s="269"/>
      <c r="AB2214" s="269"/>
      <c r="AC2214" s="269"/>
      <c r="AD2214" s="269"/>
      <c r="AE2214" s="269"/>
      <c r="AF2214" s="7"/>
      <c r="AG2214" s="13"/>
      <c r="AH2214" s="13"/>
      <c r="AI2214" s="13"/>
    </row>
    <row r="2215" spans="1:35" x14ac:dyDescent="0.3">
      <c r="A2215" s="10">
        <f t="shared" si="481"/>
        <v>1964</v>
      </c>
      <c r="B2215" s="124" t="s">
        <v>2816</v>
      </c>
      <c r="C2215" s="273">
        <f t="shared" si="480"/>
        <v>1164723</v>
      </c>
      <c r="D2215" s="273">
        <f t="shared" si="478"/>
        <v>1164723</v>
      </c>
      <c r="E2215" s="273">
        <f>300*2688+358323</f>
        <v>1164723</v>
      </c>
      <c r="F2215" s="273"/>
      <c r="G2215" s="273"/>
      <c r="H2215" s="273"/>
      <c r="I2215" s="273"/>
      <c r="J2215" s="273"/>
      <c r="K2215" s="273"/>
      <c r="L2215" s="273"/>
      <c r="M2215" s="273"/>
      <c r="N2215" s="273"/>
      <c r="O2215" s="273"/>
      <c r="P2215" s="273"/>
      <c r="Q2215" s="273"/>
      <c r="R2215" s="273"/>
      <c r="S2215" s="273"/>
      <c r="T2215" s="273"/>
      <c r="U2215" s="273"/>
      <c r="V2215" s="273"/>
      <c r="W2215" s="273"/>
      <c r="Y2215" s="269"/>
      <c r="Z2215" s="269"/>
      <c r="AA2215" s="269"/>
      <c r="AB2215" s="269"/>
      <c r="AC2215" s="269"/>
      <c r="AD2215" s="269"/>
      <c r="AE2215" s="269"/>
      <c r="AF2215" s="269"/>
      <c r="AG2215" s="7"/>
      <c r="AH2215" s="13"/>
      <c r="AI2215" s="13"/>
    </row>
    <row r="2216" spans="1:35" x14ac:dyDescent="0.3">
      <c r="A2216" s="10">
        <f t="shared" si="481"/>
        <v>1965</v>
      </c>
      <c r="B2216" s="124" t="s">
        <v>2817</v>
      </c>
      <c r="C2216" s="273">
        <f t="shared" si="480"/>
        <v>1164723</v>
      </c>
      <c r="D2216" s="273">
        <f t="shared" si="478"/>
        <v>1164723</v>
      </c>
      <c r="E2216" s="273">
        <f>300*2688+358323</f>
        <v>1164723</v>
      </c>
      <c r="F2216" s="273"/>
      <c r="G2216" s="273"/>
      <c r="H2216" s="273"/>
      <c r="I2216" s="273"/>
      <c r="J2216" s="273"/>
      <c r="K2216" s="273"/>
      <c r="L2216" s="273"/>
      <c r="M2216" s="273"/>
      <c r="N2216" s="273"/>
      <c r="O2216" s="273"/>
      <c r="P2216" s="273"/>
      <c r="Q2216" s="273"/>
      <c r="R2216" s="273"/>
      <c r="S2216" s="273"/>
      <c r="T2216" s="273"/>
      <c r="U2216" s="273"/>
      <c r="V2216" s="273"/>
      <c r="W2216" s="273"/>
      <c r="Y2216" s="269"/>
      <c r="Z2216" s="269"/>
      <c r="AA2216" s="269"/>
      <c r="AB2216" s="269"/>
      <c r="AC2216" s="269"/>
      <c r="AD2216" s="269"/>
      <c r="AE2216" s="269"/>
      <c r="AF2216" s="269"/>
      <c r="AG2216" s="7"/>
      <c r="AH2216" s="13"/>
      <c r="AI2216" s="13"/>
    </row>
    <row r="2217" spans="1:35" x14ac:dyDescent="0.3">
      <c r="A2217" s="10">
        <f t="shared" si="481"/>
        <v>1966</v>
      </c>
      <c r="B2217" s="124" t="s">
        <v>2816</v>
      </c>
      <c r="C2217" s="273">
        <f t="shared" si="480"/>
        <v>130000</v>
      </c>
      <c r="D2217" s="273">
        <f t="shared" si="478"/>
        <v>0</v>
      </c>
      <c r="E2217" s="273"/>
      <c r="F2217" s="273"/>
      <c r="G2217" s="273"/>
      <c r="H2217" s="273"/>
      <c r="I2217" s="273"/>
      <c r="J2217" s="273"/>
      <c r="K2217" s="273"/>
      <c r="L2217" s="273"/>
      <c r="M2217" s="273"/>
      <c r="N2217" s="273"/>
      <c r="O2217" s="273"/>
      <c r="P2217" s="273"/>
      <c r="Q2217" s="273"/>
      <c r="R2217" s="273"/>
      <c r="S2217" s="273"/>
      <c r="T2217" s="273"/>
      <c r="U2217" s="273"/>
      <c r="V2217" s="273"/>
      <c r="W2217" s="273">
        <v>130000</v>
      </c>
      <c r="Y2217" s="269"/>
      <c r="Z2217" s="269"/>
      <c r="AA2217" s="269"/>
      <c r="AB2217" s="269"/>
      <c r="AC2217" s="269"/>
      <c r="AD2217" s="269"/>
      <c r="AE2217" s="269"/>
      <c r="AF2217" s="7"/>
      <c r="AG2217" s="13"/>
      <c r="AH2217" s="13"/>
      <c r="AI2217" s="13"/>
    </row>
    <row r="2218" spans="1:35" x14ac:dyDescent="0.3">
      <c r="A2218" s="10">
        <f t="shared" si="481"/>
        <v>1967</v>
      </c>
      <c r="B2218" s="124" t="s">
        <v>2817</v>
      </c>
      <c r="C2218" s="273">
        <f t="shared" si="480"/>
        <v>130000</v>
      </c>
      <c r="D2218" s="273">
        <f t="shared" si="478"/>
        <v>0</v>
      </c>
      <c r="E2218" s="273"/>
      <c r="F2218" s="273"/>
      <c r="G2218" s="273"/>
      <c r="H2218" s="273"/>
      <c r="I2218" s="273"/>
      <c r="J2218" s="273"/>
      <c r="K2218" s="273"/>
      <c r="L2218" s="273"/>
      <c r="M2218" s="273"/>
      <c r="N2218" s="273"/>
      <c r="O2218" s="273"/>
      <c r="P2218" s="273"/>
      <c r="Q2218" s="273"/>
      <c r="R2218" s="273"/>
      <c r="S2218" s="273"/>
      <c r="T2218" s="273"/>
      <c r="U2218" s="273"/>
      <c r="V2218" s="273"/>
      <c r="W2218" s="273">
        <v>130000</v>
      </c>
      <c r="Y2218" s="269"/>
      <c r="Z2218" s="269"/>
      <c r="AA2218" s="269"/>
      <c r="AB2218" s="269"/>
      <c r="AC2218" s="269"/>
      <c r="AD2218" s="269"/>
      <c r="AE2218" s="269"/>
      <c r="AF2218" s="7"/>
      <c r="AG2218" s="13"/>
      <c r="AH2218" s="13"/>
      <c r="AI2218" s="13"/>
    </row>
    <row r="2219" spans="1:35" x14ac:dyDescent="0.3">
      <c r="A2219" s="10">
        <f t="shared" si="481"/>
        <v>1968</v>
      </c>
      <c r="B2219" s="124" t="s">
        <v>2819</v>
      </c>
      <c r="C2219" s="273">
        <f t="shared" si="480"/>
        <v>548296.19999999995</v>
      </c>
      <c r="D2219" s="273">
        <f t="shared" si="478"/>
        <v>0</v>
      </c>
      <c r="E2219" s="273"/>
      <c r="F2219" s="273"/>
      <c r="G2219" s="273"/>
      <c r="H2219" s="273"/>
      <c r="I2219" s="273"/>
      <c r="J2219" s="273"/>
      <c r="K2219" s="273"/>
      <c r="L2219" s="273"/>
      <c r="M2219" s="273"/>
      <c r="N2219" s="273"/>
      <c r="O2219" s="273"/>
      <c r="P2219" s="273"/>
      <c r="Q2219" s="273"/>
      <c r="R2219" s="273"/>
      <c r="S2219" s="273"/>
      <c r="T2219" s="273"/>
      <c r="U2219" s="273"/>
      <c r="V2219" s="273"/>
      <c r="W2219" s="273">
        <f t="shared" ref="W2219:W2237" si="482">SUM(Y2219:AJ2219)</f>
        <v>548296.19999999995</v>
      </c>
      <c r="Y2219" s="269"/>
      <c r="Z2219" s="269"/>
      <c r="AA2219" s="269"/>
      <c r="AB2219" s="269"/>
      <c r="AC2219" s="269">
        <v>193807.68</v>
      </c>
      <c r="AD2219" s="269"/>
      <c r="AE2219" s="269">
        <v>354488.52</v>
      </c>
      <c r="AF2219" s="7"/>
      <c r="AG2219" s="13"/>
      <c r="AH2219" s="13"/>
      <c r="AI2219" s="13"/>
    </row>
    <row r="2220" spans="1:35" x14ac:dyDescent="0.3">
      <c r="A2220" s="10">
        <f t="shared" si="481"/>
        <v>1969</v>
      </c>
      <c r="B2220" s="124" t="s">
        <v>2820</v>
      </c>
      <c r="C2220" s="273">
        <f t="shared" si="480"/>
        <v>109746.53</v>
      </c>
      <c r="D2220" s="273">
        <f t="shared" si="478"/>
        <v>0</v>
      </c>
      <c r="E2220" s="273"/>
      <c r="F2220" s="273"/>
      <c r="G2220" s="273"/>
      <c r="H2220" s="273"/>
      <c r="I2220" s="273"/>
      <c r="J2220" s="273"/>
      <c r="K2220" s="273"/>
      <c r="L2220" s="273"/>
      <c r="M2220" s="273"/>
      <c r="N2220" s="273"/>
      <c r="O2220" s="273"/>
      <c r="P2220" s="273"/>
      <c r="Q2220" s="273"/>
      <c r="R2220" s="273"/>
      <c r="S2220" s="273"/>
      <c r="T2220" s="273"/>
      <c r="U2220" s="273"/>
      <c r="V2220" s="273"/>
      <c r="W2220" s="273">
        <f t="shared" si="482"/>
        <v>109746.53</v>
      </c>
      <c r="Y2220" s="269"/>
      <c r="Z2220" s="269"/>
      <c r="AA2220" s="269"/>
      <c r="AB2220" s="269"/>
      <c r="AC2220" s="269">
        <v>109746.53</v>
      </c>
      <c r="AD2220" s="269"/>
      <c r="AE2220" s="269"/>
      <c r="AF2220" s="7"/>
      <c r="AG2220" s="13"/>
      <c r="AH2220" s="13"/>
      <c r="AI2220" s="13"/>
    </row>
    <row r="2221" spans="1:35" x14ac:dyDescent="0.3">
      <c r="A2221" s="10">
        <f t="shared" si="481"/>
        <v>1970</v>
      </c>
      <c r="B2221" s="124" t="s">
        <v>2821</v>
      </c>
      <c r="C2221" s="273">
        <f t="shared" si="480"/>
        <v>179298.78</v>
      </c>
      <c r="D2221" s="273">
        <f t="shared" si="478"/>
        <v>0</v>
      </c>
      <c r="E2221" s="273"/>
      <c r="F2221" s="273"/>
      <c r="G2221" s="273"/>
      <c r="H2221" s="273"/>
      <c r="I2221" s="273"/>
      <c r="J2221" s="273"/>
      <c r="K2221" s="273"/>
      <c r="L2221" s="273"/>
      <c r="M2221" s="273"/>
      <c r="N2221" s="273"/>
      <c r="O2221" s="273"/>
      <c r="P2221" s="273"/>
      <c r="Q2221" s="273"/>
      <c r="R2221" s="273"/>
      <c r="S2221" s="273"/>
      <c r="T2221" s="273"/>
      <c r="U2221" s="273"/>
      <c r="V2221" s="273"/>
      <c r="W2221" s="273">
        <f t="shared" si="482"/>
        <v>179298.78</v>
      </c>
      <c r="Y2221" s="269"/>
      <c r="Z2221" s="269"/>
      <c r="AA2221" s="269"/>
      <c r="AB2221" s="269"/>
      <c r="AC2221" s="269">
        <v>58765.94</v>
      </c>
      <c r="AD2221" s="269"/>
      <c r="AE2221" s="269">
        <v>120532.84</v>
      </c>
      <c r="AF2221" s="7"/>
      <c r="AG2221" s="13"/>
      <c r="AH2221" s="13"/>
      <c r="AI2221" s="13"/>
    </row>
    <row r="2222" spans="1:35" x14ac:dyDescent="0.3">
      <c r="A2222" s="10">
        <f t="shared" si="481"/>
        <v>1971</v>
      </c>
      <c r="B2222" s="124" t="s">
        <v>2822</v>
      </c>
      <c r="C2222" s="273">
        <f t="shared" si="480"/>
        <v>99955.94</v>
      </c>
      <c r="D2222" s="273">
        <f t="shared" si="478"/>
        <v>0</v>
      </c>
      <c r="E2222" s="273"/>
      <c r="F2222" s="273"/>
      <c r="G2222" s="273"/>
      <c r="H2222" s="273"/>
      <c r="I2222" s="273"/>
      <c r="J2222" s="273"/>
      <c r="K2222" s="273"/>
      <c r="L2222" s="273"/>
      <c r="M2222" s="273"/>
      <c r="N2222" s="273"/>
      <c r="O2222" s="273"/>
      <c r="P2222" s="273"/>
      <c r="Q2222" s="273"/>
      <c r="R2222" s="273"/>
      <c r="S2222" s="273"/>
      <c r="T2222" s="273"/>
      <c r="U2222" s="273"/>
      <c r="V2222" s="273"/>
      <c r="W2222" s="273">
        <f t="shared" si="482"/>
        <v>99955.94</v>
      </c>
      <c r="Y2222" s="269"/>
      <c r="Z2222" s="269"/>
      <c r="AA2222" s="269"/>
      <c r="AB2222" s="269"/>
      <c r="AC2222" s="269">
        <v>99955.94</v>
      </c>
      <c r="AD2222" s="269"/>
      <c r="AE2222" s="269"/>
      <c r="AF2222" s="7"/>
      <c r="AG2222" s="13"/>
      <c r="AH2222" s="13"/>
      <c r="AI2222" s="13"/>
    </row>
    <row r="2223" spans="1:35" x14ac:dyDescent="0.3">
      <c r="A2223" s="10">
        <f t="shared" si="481"/>
        <v>1972</v>
      </c>
      <c r="B2223" s="124" t="s">
        <v>2823</v>
      </c>
      <c r="C2223" s="273">
        <f t="shared" si="480"/>
        <v>298649.61</v>
      </c>
      <c r="D2223" s="273">
        <f t="shared" si="478"/>
        <v>0</v>
      </c>
      <c r="E2223" s="273"/>
      <c r="F2223" s="273"/>
      <c r="G2223" s="273"/>
      <c r="H2223" s="273"/>
      <c r="I2223" s="273"/>
      <c r="J2223" s="273"/>
      <c r="K2223" s="273"/>
      <c r="L2223" s="273"/>
      <c r="M2223" s="273"/>
      <c r="N2223" s="273"/>
      <c r="O2223" s="273"/>
      <c r="P2223" s="273"/>
      <c r="Q2223" s="273"/>
      <c r="R2223" s="273"/>
      <c r="S2223" s="273"/>
      <c r="T2223" s="273"/>
      <c r="U2223" s="273"/>
      <c r="V2223" s="273"/>
      <c r="W2223" s="273">
        <f t="shared" si="482"/>
        <v>298649.61</v>
      </c>
      <c r="Y2223" s="269"/>
      <c r="Z2223" s="269"/>
      <c r="AA2223" s="269">
        <v>106250.65</v>
      </c>
      <c r="AB2223" s="269"/>
      <c r="AC2223" s="269"/>
      <c r="AD2223" s="269"/>
      <c r="AE2223" s="269">
        <v>192398.96</v>
      </c>
      <c r="AF2223" s="7"/>
      <c r="AG2223" s="13"/>
      <c r="AH2223" s="13"/>
      <c r="AI2223" s="13"/>
    </row>
    <row r="2224" spans="1:35" x14ac:dyDescent="0.3">
      <c r="A2224" s="10">
        <f t="shared" si="481"/>
        <v>1973</v>
      </c>
      <c r="B2224" s="124" t="s">
        <v>2824</v>
      </c>
      <c r="C2224" s="273">
        <f t="shared" si="480"/>
        <v>249487.94</v>
      </c>
      <c r="D2224" s="273">
        <f t="shared" si="478"/>
        <v>0</v>
      </c>
      <c r="E2224" s="273"/>
      <c r="F2224" s="273"/>
      <c r="G2224" s="273"/>
      <c r="H2224" s="273"/>
      <c r="I2224" s="273"/>
      <c r="J2224" s="273"/>
      <c r="K2224" s="273"/>
      <c r="L2224" s="273"/>
      <c r="M2224" s="273"/>
      <c r="N2224" s="273"/>
      <c r="O2224" s="273"/>
      <c r="P2224" s="273"/>
      <c r="Q2224" s="273"/>
      <c r="R2224" s="273"/>
      <c r="S2224" s="273"/>
      <c r="T2224" s="273"/>
      <c r="U2224" s="273"/>
      <c r="V2224" s="273"/>
      <c r="W2224" s="273">
        <f t="shared" si="482"/>
        <v>249487.94</v>
      </c>
      <c r="Y2224" s="269"/>
      <c r="Z2224" s="269"/>
      <c r="AA2224" s="269"/>
      <c r="AB2224" s="269"/>
      <c r="AC2224" s="269"/>
      <c r="AD2224" s="269"/>
      <c r="AE2224" s="269">
        <v>249487.94</v>
      </c>
      <c r="AF2224" s="7"/>
      <c r="AG2224" s="13"/>
      <c r="AH2224" s="13"/>
      <c r="AI2224" s="13"/>
    </row>
    <row r="2225" spans="1:35" x14ac:dyDescent="0.3">
      <c r="A2225" s="10">
        <f t="shared" si="481"/>
        <v>1974</v>
      </c>
      <c r="B2225" s="124" t="s">
        <v>2825</v>
      </c>
      <c r="C2225" s="273">
        <f t="shared" si="480"/>
        <v>202300.28</v>
      </c>
      <c r="D2225" s="273">
        <f t="shared" si="478"/>
        <v>0</v>
      </c>
      <c r="E2225" s="273"/>
      <c r="F2225" s="273"/>
      <c r="G2225" s="273"/>
      <c r="H2225" s="273"/>
      <c r="I2225" s="273"/>
      <c r="J2225" s="273"/>
      <c r="K2225" s="273"/>
      <c r="L2225" s="273"/>
      <c r="M2225" s="273"/>
      <c r="N2225" s="273"/>
      <c r="O2225" s="273"/>
      <c r="P2225" s="273"/>
      <c r="Q2225" s="273"/>
      <c r="R2225" s="273"/>
      <c r="S2225" s="273"/>
      <c r="T2225" s="273"/>
      <c r="U2225" s="273"/>
      <c r="V2225" s="273"/>
      <c r="W2225" s="273">
        <f t="shared" si="482"/>
        <v>202300.28</v>
      </c>
      <c r="Y2225" s="269"/>
      <c r="Z2225" s="269"/>
      <c r="AA2225" s="269"/>
      <c r="AB2225" s="269"/>
      <c r="AC2225" s="269"/>
      <c r="AD2225" s="269"/>
      <c r="AE2225" s="269">
        <v>202300.28</v>
      </c>
      <c r="AF2225" s="7"/>
      <c r="AG2225" s="13"/>
      <c r="AH2225" s="13"/>
      <c r="AI2225" s="13"/>
    </row>
    <row r="2226" spans="1:35" x14ac:dyDescent="0.3">
      <c r="A2226" s="10">
        <f t="shared" si="481"/>
        <v>1975</v>
      </c>
      <c r="B2226" s="124" t="s">
        <v>2826</v>
      </c>
      <c r="C2226" s="273">
        <f t="shared" si="480"/>
        <v>116957.9</v>
      </c>
      <c r="D2226" s="273">
        <f t="shared" si="478"/>
        <v>0</v>
      </c>
      <c r="E2226" s="273"/>
      <c r="F2226" s="273"/>
      <c r="G2226" s="273"/>
      <c r="H2226" s="273"/>
      <c r="I2226" s="273"/>
      <c r="J2226" s="273"/>
      <c r="K2226" s="273"/>
      <c r="L2226" s="273"/>
      <c r="M2226" s="273"/>
      <c r="N2226" s="273"/>
      <c r="O2226" s="273"/>
      <c r="P2226" s="273"/>
      <c r="Q2226" s="273"/>
      <c r="R2226" s="273"/>
      <c r="S2226" s="273"/>
      <c r="T2226" s="273"/>
      <c r="U2226" s="273"/>
      <c r="V2226" s="273"/>
      <c r="W2226" s="273">
        <f t="shared" si="482"/>
        <v>116957.9</v>
      </c>
      <c r="Y2226" s="269"/>
      <c r="Z2226" s="269"/>
      <c r="AA2226" s="269"/>
      <c r="AB2226" s="269"/>
      <c r="AC2226" s="269">
        <v>116957.9</v>
      </c>
      <c r="AD2226" s="269"/>
      <c r="AE2226" s="269"/>
      <c r="AF2226" s="7"/>
      <c r="AG2226" s="13"/>
      <c r="AH2226" s="13"/>
      <c r="AI2226" s="13"/>
    </row>
    <row r="2227" spans="1:35" x14ac:dyDescent="0.3">
      <c r="A2227" s="10">
        <f t="shared" si="481"/>
        <v>1976</v>
      </c>
      <c r="B2227" s="124" t="s">
        <v>2827</v>
      </c>
      <c r="C2227" s="273">
        <f t="shared" si="480"/>
        <v>201409.33</v>
      </c>
      <c r="D2227" s="273">
        <f t="shared" si="478"/>
        <v>0</v>
      </c>
      <c r="E2227" s="273"/>
      <c r="F2227" s="273"/>
      <c r="G2227" s="273"/>
      <c r="H2227" s="273"/>
      <c r="I2227" s="273"/>
      <c r="J2227" s="273"/>
      <c r="K2227" s="273"/>
      <c r="L2227" s="273"/>
      <c r="M2227" s="273"/>
      <c r="N2227" s="273"/>
      <c r="O2227" s="273"/>
      <c r="P2227" s="273"/>
      <c r="Q2227" s="273"/>
      <c r="R2227" s="273"/>
      <c r="S2227" s="273"/>
      <c r="T2227" s="273"/>
      <c r="U2227" s="273"/>
      <c r="V2227" s="273"/>
      <c r="W2227" s="273">
        <f t="shared" si="482"/>
        <v>201409.33</v>
      </c>
      <c r="Y2227" s="269"/>
      <c r="Z2227" s="269"/>
      <c r="AA2227" s="269"/>
      <c r="AB2227" s="269"/>
      <c r="AC2227" s="269"/>
      <c r="AD2227" s="269"/>
      <c r="AE2227" s="269">
        <v>201409.33</v>
      </c>
      <c r="AF2227" s="7"/>
      <c r="AG2227" s="13"/>
      <c r="AH2227" s="13"/>
      <c r="AI2227" s="13"/>
    </row>
    <row r="2228" spans="1:35" x14ac:dyDescent="0.3">
      <c r="A2228" s="10">
        <f t="shared" si="481"/>
        <v>1977</v>
      </c>
      <c r="B2228" s="124" t="s">
        <v>2828</v>
      </c>
      <c r="C2228" s="273">
        <f t="shared" si="480"/>
        <v>3473605.1999999997</v>
      </c>
      <c r="D2228" s="273">
        <f t="shared" si="478"/>
        <v>0</v>
      </c>
      <c r="E2228" s="273"/>
      <c r="F2228" s="273"/>
      <c r="G2228" s="273"/>
      <c r="H2228" s="273"/>
      <c r="I2228" s="273"/>
      <c r="J2228" s="273"/>
      <c r="K2228" s="273"/>
      <c r="L2228" s="273"/>
      <c r="M2228" s="273">
        <v>923</v>
      </c>
      <c r="N2228" s="273">
        <f>556.4*6243</f>
        <v>3473605.1999999997</v>
      </c>
      <c r="O2228" s="273"/>
      <c r="P2228" s="273"/>
      <c r="Q2228" s="273"/>
      <c r="R2228" s="273"/>
      <c r="S2228" s="273"/>
      <c r="T2228" s="273"/>
      <c r="U2228" s="273"/>
      <c r="V2228" s="273"/>
      <c r="W2228" s="273">
        <f t="shared" si="482"/>
        <v>0</v>
      </c>
      <c r="Y2228" s="269"/>
      <c r="Z2228" s="269"/>
      <c r="AA2228" s="269"/>
      <c r="AB2228" s="269"/>
      <c r="AC2228" s="269"/>
      <c r="AD2228" s="269"/>
      <c r="AE2228" s="269"/>
      <c r="AF2228" s="7"/>
      <c r="AG2228" s="13"/>
      <c r="AH2228" s="13"/>
      <c r="AI2228" s="13"/>
    </row>
    <row r="2229" spans="1:35" x14ac:dyDescent="0.3">
      <c r="A2229" s="10">
        <f t="shared" si="481"/>
        <v>1978</v>
      </c>
      <c r="B2229" s="124" t="s">
        <v>2829</v>
      </c>
      <c r="C2229" s="273">
        <f t="shared" si="480"/>
        <v>107068.16</v>
      </c>
      <c r="D2229" s="273">
        <f t="shared" si="478"/>
        <v>0</v>
      </c>
      <c r="E2229" s="273"/>
      <c r="F2229" s="273"/>
      <c r="G2229" s="273"/>
      <c r="H2229" s="273"/>
      <c r="I2229" s="273"/>
      <c r="J2229" s="273"/>
      <c r="K2229" s="273"/>
      <c r="L2229" s="273"/>
      <c r="M2229" s="273"/>
      <c r="N2229" s="273"/>
      <c r="O2229" s="273"/>
      <c r="P2229" s="273"/>
      <c r="Q2229" s="273"/>
      <c r="R2229" s="273"/>
      <c r="S2229" s="273"/>
      <c r="T2229" s="273"/>
      <c r="U2229" s="273"/>
      <c r="V2229" s="273"/>
      <c r="W2229" s="273">
        <f t="shared" si="482"/>
        <v>107068.16</v>
      </c>
      <c r="Y2229" s="269"/>
      <c r="Z2229" s="269"/>
      <c r="AA2229" s="269">
        <v>107068.16</v>
      </c>
      <c r="AB2229" s="269"/>
      <c r="AC2229" s="269"/>
      <c r="AD2229" s="269"/>
      <c r="AE2229" s="269"/>
      <c r="AF2229" s="7"/>
      <c r="AG2229" s="13"/>
      <c r="AH2229" s="13"/>
      <c r="AI2229" s="13"/>
    </row>
    <row r="2230" spans="1:35" x14ac:dyDescent="0.3">
      <c r="A2230" s="10">
        <f t="shared" si="481"/>
        <v>1979</v>
      </c>
      <c r="B2230" s="124" t="s">
        <v>2830</v>
      </c>
      <c r="C2230" s="273">
        <f t="shared" si="480"/>
        <v>118053.46</v>
      </c>
      <c r="D2230" s="273">
        <f t="shared" si="478"/>
        <v>0</v>
      </c>
      <c r="E2230" s="273"/>
      <c r="F2230" s="273"/>
      <c r="G2230" s="273"/>
      <c r="H2230" s="273"/>
      <c r="I2230" s="273"/>
      <c r="J2230" s="273"/>
      <c r="K2230" s="273"/>
      <c r="L2230" s="273"/>
      <c r="M2230" s="273"/>
      <c r="N2230" s="273"/>
      <c r="O2230" s="273"/>
      <c r="P2230" s="273"/>
      <c r="Q2230" s="273"/>
      <c r="R2230" s="273"/>
      <c r="S2230" s="273"/>
      <c r="T2230" s="273"/>
      <c r="U2230" s="273"/>
      <c r="V2230" s="273"/>
      <c r="W2230" s="273">
        <f t="shared" si="482"/>
        <v>118053.46</v>
      </c>
      <c r="Y2230" s="269"/>
      <c r="Z2230" s="269"/>
      <c r="AA2230" s="269">
        <v>118053.46</v>
      </c>
      <c r="AB2230" s="269"/>
      <c r="AC2230" s="269"/>
      <c r="AD2230" s="269"/>
      <c r="AE2230" s="269"/>
      <c r="AF2230" s="7"/>
      <c r="AG2230" s="13"/>
      <c r="AH2230" s="13"/>
      <c r="AI2230" s="13"/>
    </row>
    <row r="2231" spans="1:35" x14ac:dyDescent="0.3">
      <c r="A2231" s="10">
        <f t="shared" si="481"/>
        <v>1980</v>
      </c>
      <c r="B2231" s="124" t="s">
        <v>2831</v>
      </c>
      <c r="C2231" s="273">
        <f t="shared" si="480"/>
        <v>103931.28</v>
      </c>
      <c r="D2231" s="273">
        <f t="shared" si="478"/>
        <v>0</v>
      </c>
      <c r="E2231" s="273"/>
      <c r="F2231" s="273"/>
      <c r="G2231" s="273"/>
      <c r="H2231" s="273"/>
      <c r="I2231" s="273"/>
      <c r="J2231" s="273"/>
      <c r="K2231" s="273"/>
      <c r="L2231" s="273"/>
      <c r="M2231" s="273"/>
      <c r="N2231" s="273"/>
      <c r="O2231" s="273"/>
      <c r="P2231" s="273"/>
      <c r="Q2231" s="273"/>
      <c r="R2231" s="273"/>
      <c r="S2231" s="273"/>
      <c r="T2231" s="273"/>
      <c r="U2231" s="273"/>
      <c r="V2231" s="273"/>
      <c r="W2231" s="273">
        <f t="shared" si="482"/>
        <v>103931.28</v>
      </c>
      <c r="X2231" s="269">
        <v>111639.3</v>
      </c>
      <c r="Y2231" s="269"/>
      <c r="Z2231" s="269"/>
      <c r="AA2231" s="269">
        <v>103931.28</v>
      </c>
      <c r="AB2231" s="269"/>
      <c r="AC2231" s="269"/>
      <c r="AE2231" s="269"/>
      <c r="AF2231" s="7"/>
      <c r="AG2231" s="13"/>
      <c r="AH2231" s="13"/>
      <c r="AI2231" s="13"/>
    </row>
    <row r="2232" spans="1:35" x14ac:dyDescent="0.3">
      <c r="A2232" s="10">
        <f t="shared" si="481"/>
        <v>1981</v>
      </c>
      <c r="B2232" s="124" t="s">
        <v>2832</v>
      </c>
      <c r="C2232" s="273">
        <f t="shared" si="480"/>
        <v>125113.61</v>
      </c>
      <c r="D2232" s="273">
        <f t="shared" ref="D2232:D2237" si="483">E2232+F2232+G2232+H2232</f>
        <v>0</v>
      </c>
      <c r="E2232" s="273"/>
      <c r="F2232" s="273"/>
      <c r="G2232" s="273"/>
      <c r="H2232" s="273"/>
      <c r="I2232" s="273"/>
      <c r="J2232" s="273"/>
      <c r="K2232" s="273"/>
      <c r="L2232" s="273"/>
      <c r="M2232" s="273"/>
      <c r="N2232" s="273"/>
      <c r="O2232" s="273"/>
      <c r="P2232" s="273"/>
      <c r="Q2232" s="273"/>
      <c r="R2232" s="273"/>
      <c r="S2232" s="273"/>
      <c r="T2232" s="273"/>
      <c r="U2232" s="273"/>
      <c r="V2232" s="273"/>
      <c r="W2232" s="273">
        <f t="shared" si="482"/>
        <v>125113.61</v>
      </c>
      <c r="Y2232" s="269"/>
      <c r="Z2232" s="269"/>
      <c r="AA2232" s="269">
        <v>125113.61</v>
      </c>
      <c r="AB2232" s="269"/>
      <c r="AC2232" s="269"/>
      <c r="AD2232" s="269"/>
      <c r="AE2232" s="269"/>
      <c r="AF2232" s="7"/>
      <c r="AG2232" s="13"/>
      <c r="AH2232" s="13"/>
      <c r="AI2232" s="13"/>
    </row>
    <row r="2233" spans="1:35" x14ac:dyDescent="0.3">
      <c r="A2233" s="10">
        <f t="shared" si="481"/>
        <v>1982</v>
      </c>
      <c r="B2233" s="124" t="s">
        <v>2833</v>
      </c>
      <c r="C2233" s="273">
        <f t="shared" si="480"/>
        <v>106046.28</v>
      </c>
      <c r="D2233" s="273">
        <f t="shared" si="483"/>
        <v>0</v>
      </c>
      <c r="E2233" s="273"/>
      <c r="F2233" s="273"/>
      <c r="G2233" s="273"/>
      <c r="H2233" s="273"/>
      <c r="I2233" s="273"/>
      <c r="J2233" s="273"/>
      <c r="K2233" s="273"/>
      <c r="L2233" s="273"/>
      <c r="M2233" s="273"/>
      <c r="N2233" s="273"/>
      <c r="O2233" s="273"/>
      <c r="P2233" s="273"/>
      <c r="Q2233" s="273"/>
      <c r="R2233" s="273"/>
      <c r="S2233" s="273"/>
      <c r="T2233" s="273"/>
      <c r="U2233" s="273"/>
      <c r="V2233" s="273"/>
      <c r="W2233" s="273">
        <f t="shared" si="482"/>
        <v>106046.28</v>
      </c>
      <c r="Y2233" s="269"/>
      <c r="Z2233" s="269"/>
      <c r="AA2233" s="269">
        <v>106046.28</v>
      </c>
      <c r="AB2233" s="269"/>
      <c r="AC2233" s="269"/>
      <c r="AD2233" s="269"/>
      <c r="AE2233" s="269"/>
      <c r="AF2233" s="7"/>
      <c r="AG2233" s="13"/>
      <c r="AH2233" s="13"/>
      <c r="AI2233" s="13"/>
    </row>
    <row r="2234" spans="1:35" x14ac:dyDescent="0.3">
      <c r="A2234" s="10">
        <f t="shared" si="481"/>
        <v>1983</v>
      </c>
      <c r="B2234" s="124" t="s">
        <v>2834</v>
      </c>
      <c r="C2234" s="273">
        <f t="shared" si="480"/>
        <v>190453.95</v>
      </c>
      <c r="D2234" s="273">
        <f t="shared" si="483"/>
        <v>0</v>
      </c>
      <c r="E2234" s="273"/>
      <c r="F2234" s="273"/>
      <c r="G2234" s="273"/>
      <c r="H2234" s="273"/>
      <c r="I2234" s="273"/>
      <c r="J2234" s="273"/>
      <c r="K2234" s="273"/>
      <c r="L2234" s="273"/>
      <c r="M2234" s="273"/>
      <c r="N2234" s="273"/>
      <c r="O2234" s="273"/>
      <c r="P2234" s="273"/>
      <c r="Q2234" s="273"/>
      <c r="R2234" s="273"/>
      <c r="S2234" s="273"/>
      <c r="T2234" s="273"/>
      <c r="U2234" s="273"/>
      <c r="V2234" s="273"/>
      <c r="W2234" s="273">
        <f t="shared" si="482"/>
        <v>190453.95</v>
      </c>
      <c r="Y2234" s="269">
        <v>94199.24</v>
      </c>
      <c r="Z2234" s="269">
        <v>96254.71</v>
      </c>
      <c r="AA2234" s="269"/>
      <c r="AB2234" s="269"/>
      <c r="AC2234" s="269"/>
      <c r="AD2234" s="269"/>
      <c r="AE2234" s="269"/>
      <c r="AF2234" s="7"/>
      <c r="AG2234" s="13"/>
      <c r="AH2234" s="13"/>
      <c r="AI2234" s="13"/>
    </row>
    <row r="2235" spans="1:35" x14ac:dyDescent="0.3">
      <c r="A2235" s="10">
        <f t="shared" si="481"/>
        <v>1984</v>
      </c>
      <c r="B2235" s="124" t="s">
        <v>2835</v>
      </c>
      <c r="C2235" s="273">
        <f t="shared" si="480"/>
        <v>131523</v>
      </c>
      <c r="D2235" s="273">
        <f t="shared" si="483"/>
        <v>0</v>
      </c>
      <c r="E2235" s="273"/>
      <c r="F2235" s="273"/>
      <c r="G2235" s="273"/>
      <c r="H2235" s="273"/>
      <c r="I2235" s="273"/>
      <c r="J2235" s="273"/>
      <c r="K2235" s="273"/>
      <c r="L2235" s="273"/>
      <c r="M2235" s="273"/>
      <c r="N2235" s="273"/>
      <c r="O2235" s="273"/>
      <c r="P2235" s="273"/>
      <c r="Q2235" s="273"/>
      <c r="R2235" s="273"/>
      <c r="S2235" s="273"/>
      <c r="T2235" s="273"/>
      <c r="U2235" s="273"/>
      <c r="V2235" s="273"/>
      <c r="W2235" s="273">
        <f t="shared" si="482"/>
        <v>131523</v>
      </c>
      <c r="Y2235" s="269"/>
      <c r="Z2235" s="269"/>
      <c r="AA2235" s="269"/>
      <c r="AB2235" s="269"/>
      <c r="AC2235" s="269"/>
      <c r="AD2235" s="269"/>
      <c r="AE2235" s="269">
        <v>131523</v>
      </c>
      <c r="AF2235" s="7"/>
      <c r="AG2235" s="13"/>
      <c r="AH2235" s="13"/>
      <c r="AI2235" s="13"/>
    </row>
    <row r="2236" spans="1:35" x14ac:dyDescent="0.3">
      <c r="A2236" s="10">
        <f t="shared" si="481"/>
        <v>1985</v>
      </c>
      <c r="B2236" s="124" t="s">
        <v>2836</v>
      </c>
      <c r="C2236" s="273">
        <f t="shared" si="480"/>
        <v>1724881.34</v>
      </c>
      <c r="D2236" s="273">
        <f t="shared" si="483"/>
        <v>1433523</v>
      </c>
      <c r="E2236" s="273">
        <f>400*2688+358323</f>
        <v>1433523</v>
      </c>
      <c r="F2236" s="273"/>
      <c r="G2236" s="273"/>
      <c r="H2236" s="273"/>
      <c r="I2236" s="273"/>
      <c r="J2236" s="273"/>
      <c r="K2236" s="273"/>
      <c r="L2236" s="273"/>
      <c r="M2236" s="273"/>
      <c r="N2236" s="273"/>
      <c r="O2236" s="273"/>
      <c r="P2236" s="273"/>
      <c r="Q2236" s="273"/>
      <c r="R2236" s="273"/>
      <c r="S2236" s="273"/>
      <c r="T2236" s="273"/>
      <c r="U2236" s="273"/>
      <c r="V2236" s="273"/>
      <c r="W2236" s="273">
        <f t="shared" si="482"/>
        <v>291358.34000000003</v>
      </c>
      <c r="Y2236" s="269"/>
      <c r="Z2236" s="269"/>
      <c r="AA2236" s="269"/>
      <c r="AB2236" s="269"/>
      <c r="AC2236" s="269"/>
      <c r="AD2236" s="269"/>
      <c r="AE2236" s="269">
        <v>291358.34000000003</v>
      </c>
      <c r="AF2236" s="7"/>
      <c r="AG2236" s="13"/>
      <c r="AH2236" s="13"/>
      <c r="AI2236" s="13"/>
    </row>
    <row r="2237" spans="1:35" x14ac:dyDescent="0.3">
      <c r="A2237" s="10">
        <f t="shared" si="481"/>
        <v>1986</v>
      </c>
      <c r="B2237" s="124" t="s">
        <v>2837</v>
      </c>
      <c r="C2237" s="273">
        <f t="shared" ref="C2237" si="484">D2237+K2237+L2237+N2237+P2237+R2237+S2237+U2237+V2237+W2237</f>
        <v>2038554.06</v>
      </c>
      <c r="D2237" s="273">
        <f t="shared" si="483"/>
        <v>1791846</v>
      </c>
      <c r="E2237" s="273">
        <f>400*2688+2*358323</f>
        <v>1791846</v>
      </c>
      <c r="F2237" s="273"/>
      <c r="G2237" s="273"/>
      <c r="H2237" s="273"/>
      <c r="I2237" s="273"/>
      <c r="J2237" s="273"/>
      <c r="K2237" s="273"/>
      <c r="L2237" s="273"/>
      <c r="M2237" s="273"/>
      <c r="N2237" s="273"/>
      <c r="O2237" s="273"/>
      <c r="P2237" s="273"/>
      <c r="Q2237" s="273"/>
      <c r="R2237" s="273"/>
      <c r="S2237" s="273"/>
      <c r="T2237" s="273"/>
      <c r="U2237" s="273"/>
      <c r="V2237" s="273"/>
      <c r="W2237" s="273">
        <f t="shared" si="482"/>
        <v>246708.06</v>
      </c>
      <c r="Y2237" s="269"/>
      <c r="Z2237" s="269"/>
      <c r="AA2237" s="269"/>
      <c r="AB2237" s="269"/>
      <c r="AC2237" s="269"/>
      <c r="AD2237" s="269"/>
      <c r="AE2237" s="269">
        <v>246708.06</v>
      </c>
      <c r="AF2237" s="7"/>
      <c r="AG2237" s="13"/>
      <c r="AH2237" s="13"/>
      <c r="AI2237" s="13"/>
    </row>
    <row r="2238" spans="1:35" x14ac:dyDescent="0.3">
      <c r="A2238" s="133" t="s">
        <v>208</v>
      </c>
      <c r="B2238" s="122"/>
      <c r="C2238" s="273">
        <f t="shared" ref="C2238:W2238" si="485">SUM(C2080:C2237)</f>
        <v>118394274.71000001</v>
      </c>
      <c r="D2238" s="273">
        <f t="shared" si="485"/>
        <v>25736074.98</v>
      </c>
      <c r="E2238" s="273">
        <f t="shared" si="485"/>
        <v>18298644</v>
      </c>
      <c r="F2238" s="273">
        <f t="shared" si="485"/>
        <v>7260316.9799999995</v>
      </c>
      <c r="G2238" s="273">
        <f t="shared" si="485"/>
        <v>177114</v>
      </c>
      <c r="H2238" s="273">
        <f t="shared" si="485"/>
        <v>0</v>
      </c>
      <c r="I2238" s="273">
        <f t="shared" si="485"/>
        <v>0</v>
      </c>
      <c r="J2238" s="273">
        <f t="shared" si="485"/>
        <v>0</v>
      </c>
      <c r="K2238" s="273">
        <f t="shared" si="485"/>
        <v>0</v>
      </c>
      <c r="L2238" s="273">
        <f t="shared" si="485"/>
        <v>0</v>
      </c>
      <c r="M2238" s="273">
        <f t="shared" si="485"/>
        <v>1346</v>
      </c>
      <c r="N2238" s="273">
        <f t="shared" si="485"/>
        <v>54672706.57</v>
      </c>
      <c r="O2238" s="273">
        <f t="shared" si="485"/>
        <v>0</v>
      </c>
      <c r="P2238" s="273">
        <f t="shared" si="485"/>
        <v>0</v>
      </c>
      <c r="Q2238" s="273">
        <f t="shared" si="485"/>
        <v>0</v>
      </c>
      <c r="R2238" s="273">
        <f t="shared" si="485"/>
        <v>0</v>
      </c>
      <c r="S2238" s="273">
        <f t="shared" si="485"/>
        <v>0</v>
      </c>
      <c r="T2238" s="273">
        <f t="shared" si="485"/>
        <v>0</v>
      </c>
      <c r="U2238" s="273">
        <f t="shared" si="485"/>
        <v>0</v>
      </c>
      <c r="V2238" s="273">
        <f t="shared" si="485"/>
        <v>0</v>
      </c>
      <c r="W2238" s="273">
        <f t="shared" si="485"/>
        <v>37985493.159999996</v>
      </c>
      <c r="X2238" s="269"/>
      <c r="Y2238" s="269"/>
      <c r="Z2238" s="269"/>
      <c r="AA2238" s="269"/>
      <c r="AB2238" s="269"/>
      <c r="AC2238" s="269"/>
      <c r="AD2238" s="269"/>
      <c r="AE2238" s="7"/>
      <c r="AF2238" s="13"/>
      <c r="AG2238" s="13"/>
      <c r="AH2238" s="13"/>
      <c r="AI2238" s="13"/>
    </row>
    <row r="2239" spans="1:35" x14ac:dyDescent="0.3">
      <c r="A2239" s="131" t="s">
        <v>2838</v>
      </c>
      <c r="B2239" s="111"/>
      <c r="C2239" s="273"/>
      <c r="D2239" s="273"/>
      <c r="E2239" s="273"/>
      <c r="F2239" s="273"/>
      <c r="G2239" s="273"/>
      <c r="H2239" s="273"/>
      <c r="I2239" s="273"/>
      <c r="J2239" s="273"/>
      <c r="K2239" s="273"/>
      <c r="L2239" s="273"/>
      <c r="M2239" s="273"/>
      <c r="N2239" s="273"/>
      <c r="O2239" s="273"/>
      <c r="P2239" s="273"/>
      <c r="Q2239" s="273"/>
      <c r="R2239" s="273"/>
      <c r="S2239" s="303"/>
      <c r="T2239" s="303"/>
      <c r="U2239" s="273"/>
      <c r="V2239" s="273"/>
      <c r="W2239" s="273"/>
      <c r="X2239" s="269"/>
      <c r="Y2239" s="269"/>
      <c r="Z2239" s="269"/>
      <c r="AA2239" s="269"/>
      <c r="AB2239" s="269"/>
      <c r="AC2239" s="269"/>
      <c r="AD2239" s="269"/>
      <c r="AE2239" s="7"/>
      <c r="AF2239" s="13"/>
      <c r="AG2239" s="13"/>
      <c r="AH2239" s="13"/>
      <c r="AI2239" s="13"/>
    </row>
    <row r="2240" spans="1:35" x14ac:dyDescent="0.3">
      <c r="A2240" s="10">
        <f>A2237+1</f>
        <v>1987</v>
      </c>
      <c r="B2240" s="124" t="s">
        <v>2862</v>
      </c>
      <c r="C2240" s="273">
        <f>D2240+K2240+L2240+N2240+P2240+R2240+S2240+U2240+V2240+W2240</f>
        <v>41522</v>
      </c>
      <c r="D2240" s="273">
        <f>E2240+F2240+G2240+H2240+I2240</f>
        <v>41522</v>
      </c>
      <c r="E2240" s="273"/>
      <c r="F2240" s="273"/>
      <c r="G2240" s="273"/>
      <c r="H2240" s="273"/>
      <c r="I2240" s="273">
        <f>13*3194</f>
        <v>41522</v>
      </c>
      <c r="J2240" s="273"/>
      <c r="K2240" s="273"/>
      <c r="L2240" s="273"/>
      <c r="M2240" s="273"/>
      <c r="N2240" s="273"/>
      <c r="O2240" s="273"/>
      <c r="P2240" s="273"/>
      <c r="Q2240" s="273"/>
      <c r="R2240" s="273"/>
      <c r="S2240" s="273"/>
      <c r="T2240" s="273"/>
      <c r="U2240" s="273"/>
      <c r="V2240" s="273"/>
      <c r="W2240" s="273">
        <f>SUM(X2240:AJ2240)</f>
        <v>0</v>
      </c>
      <c r="X2240" s="269"/>
      <c r="Y2240" s="269"/>
      <c r="Z2240" s="269"/>
      <c r="AA2240" s="269"/>
      <c r="AB2240" s="269"/>
      <c r="AC2240" s="269"/>
      <c r="AD2240" s="269"/>
      <c r="AE2240" s="269"/>
      <c r="AF2240" s="7"/>
      <c r="AG2240" s="13"/>
      <c r="AH2240" s="13"/>
      <c r="AI2240" s="13"/>
    </row>
    <row r="2241" spans="1:35" x14ac:dyDescent="0.3">
      <c r="A2241" s="10">
        <f>A2240+1</f>
        <v>1988</v>
      </c>
      <c r="B2241" s="124" t="s">
        <v>2844</v>
      </c>
      <c r="C2241" s="273">
        <f>D2241+K2241+L2241+N2241+P2241+R2241+S2241+U2241+V2241+W2241</f>
        <v>720409</v>
      </c>
      <c r="D2241" s="273">
        <f>E2241+F2241+G2241+H2241+I2241</f>
        <v>720409</v>
      </c>
      <c r="E2241" s="273"/>
      <c r="F2241" s="273">
        <f>13*5502+607361</f>
        <v>678887</v>
      </c>
      <c r="G2241" s="273"/>
      <c r="H2241" s="273"/>
      <c r="I2241" s="273">
        <f>13*3194</f>
        <v>41522</v>
      </c>
      <c r="J2241" s="273"/>
      <c r="K2241" s="273"/>
      <c r="L2241" s="273"/>
      <c r="M2241" s="273"/>
      <c r="N2241" s="273"/>
      <c r="O2241" s="273"/>
      <c r="P2241" s="273"/>
      <c r="Q2241" s="273"/>
      <c r="R2241" s="273"/>
      <c r="S2241" s="273"/>
      <c r="T2241" s="273"/>
      <c r="U2241" s="273"/>
      <c r="V2241" s="273"/>
      <c r="W2241" s="273">
        <f>SUM(X2241:AI2241)</f>
        <v>0</v>
      </c>
      <c r="X2241" s="269"/>
      <c r="Y2241" s="269"/>
      <c r="Z2241" s="269"/>
      <c r="AA2241" s="269"/>
      <c r="AB2241" s="269"/>
      <c r="AC2241" s="269"/>
      <c r="AD2241" s="269"/>
      <c r="AE2241" s="7"/>
      <c r="AF2241" s="13"/>
      <c r="AG2241" s="13"/>
      <c r="AH2241" s="13"/>
      <c r="AI2241" s="13"/>
    </row>
    <row r="2242" spans="1:35" x14ac:dyDescent="0.3">
      <c r="A2242" s="10">
        <f>A2241+1</f>
        <v>1989</v>
      </c>
      <c r="B2242" s="124" t="s">
        <v>2853</v>
      </c>
      <c r="C2242" s="273">
        <f>D2242+K2242+L2242+N2242+P2242+R2242+S2242+U2242+V2242+W2242</f>
        <v>41522</v>
      </c>
      <c r="D2242" s="273">
        <f>E2242+F2242+G2242+H2242+I2242</f>
        <v>41522</v>
      </c>
      <c r="E2242" s="273"/>
      <c r="F2242" s="273"/>
      <c r="G2242" s="273"/>
      <c r="H2242" s="273"/>
      <c r="I2242" s="273">
        <f>13*3194</f>
        <v>41522</v>
      </c>
      <c r="J2242" s="273"/>
      <c r="K2242" s="273"/>
      <c r="L2242" s="273"/>
      <c r="M2242" s="273"/>
      <c r="N2242" s="273"/>
      <c r="O2242" s="273"/>
      <c r="P2242" s="273"/>
      <c r="Q2242" s="273"/>
      <c r="R2242" s="273"/>
      <c r="S2242" s="273"/>
      <c r="T2242" s="273"/>
      <c r="U2242" s="273"/>
      <c r="V2242" s="273"/>
      <c r="W2242" s="273">
        <f>SUM(X2242:AI2242)</f>
        <v>0</v>
      </c>
      <c r="X2242" s="269"/>
      <c r="Y2242" s="269"/>
      <c r="Z2242" s="269"/>
      <c r="AA2242" s="269"/>
      <c r="AB2242" s="269"/>
      <c r="AC2242" s="269"/>
      <c r="AD2242" s="269"/>
      <c r="AE2242" s="7"/>
      <c r="AF2242" s="13"/>
      <c r="AG2242" s="13"/>
      <c r="AH2242" s="13"/>
      <c r="AI2242" s="13"/>
    </row>
    <row r="2243" spans="1:35" x14ac:dyDescent="0.3">
      <c r="A2243" s="10">
        <f>A2242+1</f>
        <v>1990</v>
      </c>
      <c r="B2243" s="124" t="s">
        <v>2856</v>
      </c>
      <c r="C2243" s="273">
        <f>D2243+K2243+L2243+N2243+P2243+R2243+S2243+U2243+V2243+W2243</f>
        <v>41522</v>
      </c>
      <c r="D2243" s="273">
        <f>E2243+F2243+G2243+H2243+I2243</f>
        <v>41522</v>
      </c>
      <c r="E2243" s="273"/>
      <c r="F2243" s="273"/>
      <c r="G2243" s="273"/>
      <c r="H2243" s="273"/>
      <c r="I2243" s="273">
        <f>13*3194</f>
        <v>41522</v>
      </c>
      <c r="J2243" s="273"/>
      <c r="K2243" s="273"/>
      <c r="L2243" s="273"/>
      <c r="M2243" s="273"/>
      <c r="N2243" s="273"/>
      <c r="O2243" s="273"/>
      <c r="P2243" s="273"/>
      <c r="Q2243" s="273"/>
      <c r="R2243" s="273"/>
      <c r="S2243" s="273"/>
      <c r="T2243" s="273"/>
      <c r="U2243" s="273"/>
      <c r="V2243" s="273"/>
      <c r="W2243" s="273">
        <f>SUM(X2243:AJ2243)</f>
        <v>0</v>
      </c>
      <c r="X2243" s="269"/>
      <c r="Y2243" s="269"/>
      <c r="Z2243" s="269"/>
      <c r="AA2243" s="269"/>
      <c r="AB2243" s="269"/>
      <c r="AC2243" s="269"/>
      <c r="AD2243" s="269"/>
      <c r="AE2243" s="269"/>
      <c r="AF2243" s="7"/>
      <c r="AG2243" s="13"/>
      <c r="AH2243" s="13"/>
      <c r="AI2243" s="13"/>
    </row>
    <row r="2244" spans="1:35" x14ac:dyDescent="0.3">
      <c r="A2244" s="10">
        <f>A2243+1</f>
        <v>1991</v>
      </c>
      <c r="B2244" s="124" t="s">
        <v>2859</v>
      </c>
      <c r="C2244" s="273">
        <f>D2244+K2244+L2244+N2244+P2244+R2244+S2244+U2244+V2244+W2244</f>
        <v>41522</v>
      </c>
      <c r="D2244" s="273">
        <f>E2244+F2244+G2244+H2244+I2244</f>
        <v>41522</v>
      </c>
      <c r="E2244" s="273"/>
      <c r="F2244" s="273"/>
      <c r="G2244" s="273"/>
      <c r="H2244" s="273"/>
      <c r="I2244" s="273">
        <f>13*3194</f>
        <v>41522</v>
      </c>
      <c r="J2244" s="273"/>
      <c r="K2244" s="273"/>
      <c r="L2244" s="273"/>
      <c r="M2244" s="273"/>
      <c r="N2244" s="273"/>
      <c r="O2244" s="273"/>
      <c r="P2244" s="273"/>
      <c r="Q2244" s="273"/>
      <c r="R2244" s="273"/>
      <c r="S2244" s="273"/>
      <c r="T2244" s="273"/>
      <c r="U2244" s="273"/>
      <c r="V2244" s="273"/>
      <c r="W2244" s="273">
        <f>SUM(X2244:AI2244)</f>
        <v>0</v>
      </c>
      <c r="X2244" s="269"/>
      <c r="Y2244" s="269"/>
      <c r="Z2244" s="269"/>
      <c r="AA2244" s="269"/>
      <c r="AB2244" s="269"/>
      <c r="AC2244" s="269"/>
      <c r="AD2244" s="269"/>
      <c r="AE2244" s="7"/>
      <c r="AF2244" s="13"/>
      <c r="AG2244" s="13"/>
      <c r="AH2244" s="13"/>
      <c r="AI2244" s="13"/>
    </row>
    <row r="2245" spans="1:35" x14ac:dyDescent="0.3">
      <c r="A2245" s="133" t="s">
        <v>208</v>
      </c>
      <c r="B2245" s="122"/>
      <c r="C2245" s="273">
        <f t="shared" ref="C2245:W2245" si="486">SUBTOTAL(9,C2240:C2244)</f>
        <v>886497</v>
      </c>
      <c r="D2245" s="273">
        <f t="shared" si="486"/>
        <v>886497</v>
      </c>
      <c r="E2245" s="273">
        <f t="shared" si="486"/>
        <v>0</v>
      </c>
      <c r="F2245" s="273">
        <f t="shared" si="486"/>
        <v>678887</v>
      </c>
      <c r="G2245" s="273">
        <f t="shared" si="486"/>
        <v>0</v>
      </c>
      <c r="H2245" s="273">
        <f t="shared" si="486"/>
        <v>0</v>
      </c>
      <c r="I2245" s="273">
        <f t="shared" si="486"/>
        <v>207610</v>
      </c>
      <c r="J2245" s="273">
        <f t="shared" si="486"/>
        <v>0</v>
      </c>
      <c r="K2245" s="273">
        <f t="shared" si="486"/>
        <v>0</v>
      </c>
      <c r="L2245" s="273">
        <f t="shared" si="486"/>
        <v>0</v>
      </c>
      <c r="M2245" s="273">
        <f t="shared" si="486"/>
        <v>0</v>
      </c>
      <c r="N2245" s="273">
        <f t="shared" si="486"/>
        <v>0</v>
      </c>
      <c r="O2245" s="273">
        <f t="shared" si="486"/>
        <v>0</v>
      </c>
      <c r="P2245" s="273">
        <f t="shared" si="486"/>
        <v>0</v>
      </c>
      <c r="Q2245" s="273">
        <f t="shared" si="486"/>
        <v>0</v>
      </c>
      <c r="R2245" s="273">
        <f t="shared" si="486"/>
        <v>0</v>
      </c>
      <c r="S2245" s="273">
        <f t="shared" si="486"/>
        <v>0</v>
      </c>
      <c r="T2245" s="273">
        <f t="shared" si="486"/>
        <v>0</v>
      </c>
      <c r="U2245" s="273">
        <f t="shared" si="486"/>
        <v>0</v>
      </c>
      <c r="V2245" s="273">
        <f t="shared" si="486"/>
        <v>0</v>
      </c>
      <c r="W2245" s="273">
        <f t="shared" si="486"/>
        <v>0</v>
      </c>
      <c r="X2245" s="269"/>
      <c r="Y2245" s="269"/>
      <c r="Z2245" s="269"/>
      <c r="AA2245" s="269"/>
      <c r="AB2245" s="269"/>
      <c r="AC2245" s="269"/>
      <c r="AD2245" s="269"/>
      <c r="AE2245" s="7"/>
      <c r="AF2245" s="13"/>
      <c r="AG2245" s="13"/>
      <c r="AH2245" s="13"/>
      <c r="AI2245" s="13"/>
    </row>
    <row r="2246" spans="1:35" x14ac:dyDescent="0.3">
      <c r="A2246" s="131" t="s">
        <v>2864</v>
      </c>
      <c r="B2246" s="111"/>
      <c r="C2246" s="251">
        <f t="shared" ref="C2246:W2246" si="487">C2068+C2078+C2238+C2245</f>
        <v>121438855.32000001</v>
      </c>
      <c r="D2246" s="251">
        <f t="shared" si="487"/>
        <v>26622571.98</v>
      </c>
      <c r="E2246" s="251">
        <f t="shared" si="487"/>
        <v>18298644</v>
      </c>
      <c r="F2246" s="251">
        <f t="shared" si="487"/>
        <v>7939203.9799999995</v>
      </c>
      <c r="G2246" s="251">
        <f t="shared" si="487"/>
        <v>177114</v>
      </c>
      <c r="H2246" s="251">
        <f t="shared" si="487"/>
        <v>0</v>
      </c>
      <c r="I2246" s="251">
        <f t="shared" si="487"/>
        <v>207610</v>
      </c>
      <c r="J2246" s="251">
        <f t="shared" si="487"/>
        <v>0</v>
      </c>
      <c r="K2246" s="251">
        <f t="shared" si="487"/>
        <v>0</v>
      </c>
      <c r="L2246" s="251">
        <f t="shared" si="487"/>
        <v>0</v>
      </c>
      <c r="M2246" s="251">
        <f t="shared" si="487"/>
        <v>1346</v>
      </c>
      <c r="N2246" s="251">
        <f t="shared" si="487"/>
        <v>54672706.57</v>
      </c>
      <c r="O2246" s="251">
        <f t="shared" si="487"/>
        <v>0</v>
      </c>
      <c r="P2246" s="251">
        <f t="shared" si="487"/>
        <v>0</v>
      </c>
      <c r="Q2246" s="251">
        <f t="shared" si="487"/>
        <v>0</v>
      </c>
      <c r="R2246" s="251">
        <f t="shared" si="487"/>
        <v>0</v>
      </c>
      <c r="S2246" s="251">
        <f t="shared" si="487"/>
        <v>0</v>
      </c>
      <c r="T2246" s="251">
        <f t="shared" si="487"/>
        <v>0</v>
      </c>
      <c r="U2246" s="251">
        <f t="shared" si="487"/>
        <v>0</v>
      </c>
      <c r="V2246" s="251">
        <f t="shared" si="487"/>
        <v>0</v>
      </c>
      <c r="W2246" s="251">
        <f t="shared" si="487"/>
        <v>40143576.769999996</v>
      </c>
      <c r="X2246" s="269"/>
      <c r="Y2246" s="269"/>
      <c r="Z2246" s="269"/>
      <c r="AA2246" s="269"/>
      <c r="AB2246" s="269"/>
      <c r="AC2246" s="269"/>
      <c r="AD2246" s="269"/>
      <c r="AE2246" s="7"/>
      <c r="AF2246" s="13"/>
      <c r="AG2246" s="13"/>
      <c r="AH2246" s="13"/>
      <c r="AI2246" s="13"/>
    </row>
    <row r="2247" spans="1:35" ht="15" customHeight="1" x14ac:dyDescent="0.3">
      <c r="A2247" s="387" t="s">
        <v>2865</v>
      </c>
      <c r="B2247" s="388"/>
      <c r="C2247" s="388"/>
      <c r="D2247" s="388"/>
      <c r="E2247" s="388"/>
      <c r="F2247" s="388"/>
      <c r="G2247" s="388"/>
      <c r="H2247" s="388"/>
      <c r="I2247" s="388"/>
      <c r="J2247" s="388"/>
      <c r="K2247" s="388"/>
      <c r="L2247" s="388"/>
      <c r="M2247" s="388"/>
      <c r="N2247" s="388"/>
      <c r="O2247" s="388"/>
      <c r="P2247" s="388"/>
      <c r="Q2247" s="388"/>
      <c r="R2247" s="388"/>
      <c r="S2247" s="388"/>
      <c r="T2247" s="388"/>
      <c r="U2247" s="388"/>
      <c r="V2247" s="388"/>
      <c r="W2247" s="389"/>
      <c r="X2247" s="277"/>
      <c r="Y2247" s="277"/>
      <c r="Z2247" s="277"/>
      <c r="AA2247" s="277"/>
      <c r="AB2247" s="277"/>
      <c r="AC2247" s="277"/>
      <c r="AD2247" s="277"/>
      <c r="AE2247" s="277"/>
      <c r="AF2247" s="16"/>
      <c r="AG2247" s="17"/>
      <c r="AH2247" s="17"/>
      <c r="AI2247" s="13"/>
    </row>
    <row r="2248" spans="1:35" ht="15" customHeight="1" x14ac:dyDescent="0.3">
      <c r="A2248" s="264" t="s">
        <v>2866</v>
      </c>
      <c r="B2248" s="124"/>
      <c r="C2248" s="273"/>
      <c r="D2248" s="273"/>
      <c r="E2248" s="273"/>
      <c r="F2248" s="273"/>
      <c r="G2248" s="273"/>
      <c r="H2248" s="273"/>
      <c r="I2248" s="273"/>
      <c r="J2248" s="273"/>
      <c r="K2248" s="273"/>
      <c r="L2248" s="273"/>
      <c r="M2248" s="273"/>
      <c r="N2248" s="273"/>
      <c r="O2248" s="273"/>
      <c r="P2248" s="273"/>
      <c r="Q2248" s="273"/>
      <c r="R2248" s="273"/>
      <c r="S2248" s="273"/>
      <c r="T2248" s="273"/>
      <c r="U2248" s="273"/>
      <c r="V2248" s="273"/>
      <c r="W2248" s="273"/>
      <c r="X2248" s="273"/>
      <c r="Y2248" s="273"/>
      <c r="Z2248" s="273"/>
      <c r="AA2248" s="273"/>
      <c r="AB2248" s="273"/>
      <c r="AC2248" s="273"/>
      <c r="AD2248" s="273"/>
      <c r="AE2248" s="273"/>
      <c r="AF2248" s="16"/>
      <c r="AG2248" s="17"/>
      <c r="AH2248" s="15"/>
      <c r="AI2248" s="13"/>
    </row>
    <row r="2249" spans="1:35" x14ac:dyDescent="0.3">
      <c r="A2249" s="10">
        <f>A2244+1</f>
        <v>1992</v>
      </c>
      <c r="B2249" s="124" t="s">
        <v>2867</v>
      </c>
      <c r="C2249" s="273">
        <f t="shared" ref="C2249:C2296" si="488">D2249+K2249+L2249+N2249+P2249+R2249+S2249+U2249+V2249+W2249</f>
        <v>113641.48</v>
      </c>
      <c r="D2249" s="273">
        <f t="shared" ref="D2249:D2296" si="489">E2249+F2249+G2249+H2249+I2249</f>
        <v>0</v>
      </c>
      <c r="E2249" s="273"/>
      <c r="F2249" s="273"/>
      <c r="G2249" s="273"/>
      <c r="H2249" s="273"/>
      <c r="I2249" s="273"/>
      <c r="J2249" s="273"/>
      <c r="K2249" s="273"/>
      <c r="L2249" s="273"/>
      <c r="M2249" s="273"/>
      <c r="N2249" s="273"/>
      <c r="O2249" s="273"/>
      <c r="P2249" s="273"/>
      <c r="Q2249" s="273"/>
      <c r="R2249" s="273"/>
      <c r="S2249" s="273"/>
      <c r="T2249" s="273"/>
      <c r="U2249" s="273"/>
      <c r="V2249" s="273"/>
      <c r="W2249" s="273">
        <f t="shared" ref="W2249:W2296" si="490">SUM(X2249:AH2249)</f>
        <v>113641.48</v>
      </c>
      <c r="X2249" s="273"/>
      <c r="Y2249" s="273"/>
      <c r="AA2249" s="273"/>
      <c r="AB2249" s="273"/>
      <c r="AC2249" s="273">
        <v>113641.48</v>
      </c>
      <c r="AD2249" s="273"/>
      <c r="AE2249" s="273"/>
      <c r="AF2249" s="16"/>
      <c r="AG2249" s="17"/>
      <c r="AH2249" s="15"/>
      <c r="AI2249" s="13"/>
    </row>
    <row r="2250" spans="1:35" x14ac:dyDescent="0.3">
      <c r="A2250" s="10">
        <f t="shared" ref="A2250:A2296" si="491">A2249+1</f>
        <v>1993</v>
      </c>
      <c r="B2250" s="124" t="s">
        <v>2868</v>
      </c>
      <c r="C2250" s="273">
        <f t="shared" si="488"/>
        <v>114256.81</v>
      </c>
      <c r="D2250" s="273">
        <f t="shared" si="489"/>
        <v>0</v>
      </c>
      <c r="E2250" s="273"/>
      <c r="F2250" s="273"/>
      <c r="G2250" s="273"/>
      <c r="H2250" s="273"/>
      <c r="I2250" s="273"/>
      <c r="J2250" s="273"/>
      <c r="K2250" s="273"/>
      <c r="L2250" s="273"/>
      <c r="M2250" s="273"/>
      <c r="N2250" s="273"/>
      <c r="O2250" s="273"/>
      <c r="P2250" s="273"/>
      <c r="Q2250" s="273"/>
      <c r="R2250" s="273"/>
      <c r="S2250" s="273"/>
      <c r="T2250" s="273"/>
      <c r="U2250" s="273"/>
      <c r="V2250" s="273"/>
      <c r="W2250" s="273">
        <f t="shared" si="490"/>
        <v>114256.81</v>
      </c>
      <c r="X2250" s="273"/>
      <c r="Y2250" s="273"/>
      <c r="AA2250" s="273"/>
      <c r="AB2250" s="273"/>
      <c r="AC2250" s="273">
        <v>114256.81</v>
      </c>
      <c r="AE2250" s="273"/>
      <c r="AF2250" s="16"/>
      <c r="AG2250" s="17"/>
      <c r="AH2250" s="15"/>
      <c r="AI2250" s="13"/>
    </row>
    <row r="2251" spans="1:35" x14ac:dyDescent="0.3">
      <c r="A2251" s="10">
        <f t="shared" si="491"/>
        <v>1994</v>
      </c>
      <c r="B2251" s="124" t="s">
        <v>2869</v>
      </c>
      <c r="C2251" s="273">
        <f t="shared" si="488"/>
        <v>115466.98</v>
      </c>
      <c r="D2251" s="273">
        <f t="shared" si="489"/>
        <v>0</v>
      </c>
      <c r="E2251" s="273"/>
      <c r="F2251" s="273"/>
      <c r="G2251" s="273"/>
      <c r="H2251" s="273"/>
      <c r="I2251" s="273"/>
      <c r="J2251" s="273"/>
      <c r="K2251" s="273"/>
      <c r="L2251" s="273"/>
      <c r="M2251" s="273"/>
      <c r="N2251" s="273"/>
      <c r="O2251" s="273"/>
      <c r="P2251" s="273"/>
      <c r="Q2251" s="273"/>
      <c r="R2251" s="273"/>
      <c r="S2251" s="273"/>
      <c r="T2251" s="273"/>
      <c r="U2251" s="273"/>
      <c r="V2251" s="273"/>
      <c r="W2251" s="273">
        <f t="shared" si="490"/>
        <v>115466.98</v>
      </c>
      <c r="X2251" s="273"/>
      <c r="Y2251" s="273"/>
      <c r="AA2251" s="273"/>
      <c r="AB2251" s="273"/>
      <c r="AC2251" s="273">
        <v>115466.98</v>
      </c>
      <c r="AE2251" s="273"/>
      <c r="AF2251" s="16"/>
      <c r="AG2251" s="17"/>
      <c r="AH2251" s="15"/>
      <c r="AI2251" s="13"/>
    </row>
    <row r="2252" spans="1:35" x14ac:dyDescent="0.3">
      <c r="A2252" s="10">
        <f t="shared" si="491"/>
        <v>1995</v>
      </c>
      <c r="B2252" s="124" t="s">
        <v>2870</v>
      </c>
      <c r="C2252" s="273">
        <f t="shared" si="488"/>
        <v>241669.34</v>
      </c>
      <c r="D2252" s="273">
        <f t="shared" si="489"/>
        <v>0</v>
      </c>
      <c r="E2252" s="273"/>
      <c r="F2252" s="273"/>
      <c r="G2252" s="273"/>
      <c r="H2252" s="273"/>
      <c r="I2252" s="273"/>
      <c r="J2252" s="273"/>
      <c r="K2252" s="273"/>
      <c r="L2252" s="273"/>
      <c r="M2252" s="273"/>
      <c r="N2252" s="273"/>
      <c r="O2252" s="273"/>
      <c r="P2252" s="273"/>
      <c r="Q2252" s="273"/>
      <c r="R2252" s="273"/>
      <c r="S2252" s="273"/>
      <c r="T2252" s="273"/>
      <c r="U2252" s="273"/>
      <c r="V2252" s="273"/>
      <c r="W2252" s="273">
        <f t="shared" si="490"/>
        <v>241669.34</v>
      </c>
      <c r="X2252" s="273"/>
      <c r="Y2252" s="273"/>
      <c r="AA2252" s="273"/>
      <c r="AB2252" s="273"/>
      <c r="AC2252" s="273">
        <v>88745.5</v>
      </c>
      <c r="AE2252" s="273">
        <v>152923.84</v>
      </c>
      <c r="AF2252" s="16"/>
      <c r="AG2252" s="17"/>
      <c r="AH2252" s="15"/>
      <c r="AI2252" s="13"/>
    </row>
    <row r="2253" spans="1:35" x14ac:dyDescent="0.3">
      <c r="A2253" s="10">
        <f t="shared" si="491"/>
        <v>1996</v>
      </c>
      <c r="B2253" s="124" t="s">
        <v>2871</v>
      </c>
      <c r="C2253" s="273">
        <f t="shared" si="488"/>
        <v>260885.02000000002</v>
      </c>
      <c r="D2253" s="273">
        <f t="shared" si="489"/>
        <v>0</v>
      </c>
      <c r="E2253" s="273"/>
      <c r="F2253" s="273"/>
      <c r="G2253" s="273"/>
      <c r="H2253" s="273"/>
      <c r="I2253" s="273"/>
      <c r="J2253" s="273"/>
      <c r="K2253" s="273"/>
      <c r="L2253" s="273"/>
      <c r="M2253" s="273"/>
      <c r="N2253" s="273"/>
      <c r="O2253" s="273"/>
      <c r="P2253" s="273"/>
      <c r="Q2253" s="273"/>
      <c r="R2253" s="273"/>
      <c r="S2253" s="273"/>
      <c r="T2253" s="273"/>
      <c r="U2253" s="273"/>
      <c r="V2253" s="273"/>
      <c r="W2253" s="273">
        <f t="shared" si="490"/>
        <v>260885.02000000002</v>
      </c>
      <c r="X2253" s="273"/>
      <c r="Y2253" s="273"/>
      <c r="AA2253" s="273"/>
      <c r="AB2253" s="273"/>
      <c r="AC2253" s="273">
        <v>88969.79</v>
      </c>
      <c r="AE2253" s="273">
        <v>171915.23</v>
      </c>
      <c r="AF2253" s="16"/>
      <c r="AG2253" s="17"/>
      <c r="AH2253" s="15"/>
      <c r="AI2253" s="13"/>
    </row>
    <row r="2254" spans="1:35" x14ac:dyDescent="0.3">
      <c r="A2254" s="10">
        <f t="shared" si="491"/>
        <v>1997</v>
      </c>
      <c r="B2254" s="124" t="s">
        <v>2872</v>
      </c>
      <c r="C2254" s="273">
        <f t="shared" si="488"/>
        <v>175070.56</v>
      </c>
      <c r="D2254" s="273">
        <f t="shared" si="489"/>
        <v>0</v>
      </c>
      <c r="E2254" s="273"/>
      <c r="F2254" s="273"/>
      <c r="G2254" s="273"/>
      <c r="H2254" s="273"/>
      <c r="I2254" s="273"/>
      <c r="J2254" s="273"/>
      <c r="K2254" s="273"/>
      <c r="L2254" s="273"/>
      <c r="M2254" s="273"/>
      <c r="N2254" s="273"/>
      <c r="O2254" s="273"/>
      <c r="P2254" s="273"/>
      <c r="Q2254" s="273"/>
      <c r="R2254" s="273"/>
      <c r="S2254" s="273"/>
      <c r="T2254" s="273"/>
      <c r="U2254" s="273"/>
      <c r="V2254" s="273"/>
      <c r="W2254" s="273">
        <f t="shared" si="490"/>
        <v>175070.56</v>
      </c>
      <c r="X2254" s="273"/>
      <c r="Y2254" s="273"/>
      <c r="AA2254" s="273"/>
      <c r="AB2254" s="273"/>
      <c r="AC2254" s="273"/>
      <c r="AE2254" s="273">
        <v>175070.56</v>
      </c>
      <c r="AF2254" s="16"/>
      <c r="AG2254" s="17"/>
      <c r="AH2254" s="15"/>
      <c r="AI2254" s="13"/>
    </row>
    <row r="2255" spans="1:35" x14ac:dyDescent="0.3">
      <c r="A2255" s="10">
        <f t="shared" si="491"/>
        <v>1998</v>
      </c>
      <c r="B2255" s="124" t="s">
        <v>2873</v>
      </c>
      <c r="C2255" s="273">
        <f t="shared" si="488"/>
        <v>259603.24</v>
      </c>
      <c r="D2255" s="273">
        <f t="shared" si="489"/>
        <v>0</v>
      </c>
      <c r="E2255" s="273"/>
      <c r="F2255" s="273"/>
      <c r="G2255" s="273"/>
      <c r="H2255" s="273"/>
      <c r="I2255" s="273"/>
      <c r="J2255" s="273"/>
      <c r="K2255" s="273"/>
      <c r="L2255" s="273"/>
      <c r="M2255" s="273"/>
      <c r="N2255" s="273"/>
      <c r="O2255" s="273"/>
      <c r="P2255" s="273"/>
      <c r="Q2255" s="273"/>
      <c r="R2255" s="273"/>
      <c r="S2255" s="273"/>
      <c r="T2255" s="273"/>
      <c r="U2255" s="273"/>
      <c r="V2255" s="273"/>
      <c r="W2255" s="273">
        <f t="shared" si="490"/>
        <v>259603.24</v>
      </c>
      <c r="X2255" s="273"/>
      <c r="Y2255" s="273"/>
      <c r="AA2255" s="273"/>
      <c r="AB2255" s="273"/>
      <c r="AC2255" s="273">
        <v>88476.84</v>
      </c>
      <c r="AE2255" s="273">
        <v>171126.39999999999</v>
      </c>
      <c r="AF2255" s="16"/>
      <c r="AG2255" s="17"/>
      <c r="AH2255" s="15"/>
      <c r="AI2255" s="13"/>
    </row>
    <row r="2256" spans="1:35" x14ac:dyDescent="0.3">
      <c r="A2256" s="10">
        <f t="shared" si="491"/>
        <v>1999</v>
      </c>
      <c r="B2256" s="124" t="s">
        <v>2874</v>
      </c>
      <c r="C2256" s="273">
        <f t="shared" si="488"/>
        <v>259349.34000000003</v>
      </c>
      <c r="D2256" s="273">
        <f t="shared" si="489"/>
        <v>0</v>
      </c>
      <c r="E2256" s="273"/>
      <c r="F2256" s="273"/>
      <c r="G2256" s="273"/>
      <c r="H2256" s="273"/>
      <c r="I2256" s="273"/>
      <c r="J2256" s="273"/>
      <c r="K2256" s="273"/>
      <c r="L2256" s="273"/>
      <c r="M2256" s="273"/>
      <c r="N2256" s="273"/>
      <c r="O2256" s="273"/>
      <c r="P2256" s="273"/>
      <c r="Q2256" s="273"/>
      <c r="R2256" s="273"/>
      <c r="S2256" s="273"/>
      <c r="T2256" s="273"/>
      <c r="U2256" s="273"/>
      <c r="V2256" s="273"/>
      <c r="W2256" s="273">
        <f t="shared" si="490"/>
        <v>259349.34000000003</v>
      </c>
      <c r="X2256" s="273"/>
      <c r="Y2256" s="273"/>
      <c r="AA2256" s="273"/>
      <c r="AB2256" s="273"/>
      <c r="AC2256" s="273">
        <v>88380.71</v>
      </c>
      <c r="AE2256" s="273">
        <v>170968.63</v>
      </c>
      <c r="AF2256" s="16"/>
      <c r="AG2256" s="17"/>
      <c r="AH2256" s="15"/>
      <c r="AI2256" s="13"/>
    </row>
    <row r="2257" spans="1:35" x14ac:dyDescent="0.3">
      <c r="A2257" s="10">
        <f t="shared" si="491"/>
        <v>2000</v>
      </c>
      <c r="B2257" s="124" t="s">
        <v>2875</v>
      </c>
      <c r="C2257" s="273">
        <f t="shared" si="488"/>
        <v>87707.38</v>
      </c>
      <c r="D2257" s="273">
        <f t="shared" si="489"/>
        <v>0</v>
      </c>
      <c r="E2257" s="273"/>
      <c r="F2257" s="273"/>
      <c r="G2257" s="273"/>
      <c r="H2257" s="273"/>
      <c r="I2257" s="273"/>
      <c r="J2257" s="273"/>
      <c r="K2257" s="273"/>
      <c r="L2257" s="273"/>
      <c r="M2257" s="273"/>
      <c r="N2257" s="273"/>
      <c r="O2257" s="273"/>
      <c r="P2257" s="273"/>
      <c r="Q2257" s="273"/>
      <c r="R2257" s="273"/>
      <c r="S2257" s="273"/>
      <c r="T2257" s="273"/>
      <c r="U2257" s="273"/>
      <c r="V2257" s="273"/>
      <c r="W2257" s="273">
        <f t="shared" si="490"/>
        <v>87707.38</v>
      </c>
      <c r="X2257" s="273">
        <v>87707.38</v>
      </c>
      <c r="Y2257" s="273"/>
      <c r="AA2257" s="273"/>
      <c r="AB2257" s="273"/>
      <c r="AC2257" s="273"/>
      <c r="AE2257" s="273"/>
      <c r="AF2257" s="16"/>
      <c r="AG2257" s="17"/>
      <c r="AH2257" s="15"/>
      <c r="AI2257" s="13"/>
    </row>
    <row r="2258" spans="1:35" x14ac:dyDescent="0.3">
      <c r="A2258" s="10">
        <f t="shared" si="491"/>
        <v>2001</v>
      </c>
      <c r="B2258" s="124" t="s">
        <v>2876</v>
      </c>
      <c r="C2258" s="273">
        <f t="shared" si="488"/>
        <v>173414.78</v>
      </c>
      <c r="D2258" s="273">
        <f t="shared" si="489"/>
        <v>0</v>
      </c>
      <c r="E2258" s="273"/>
      <c r="F2258" s="273"/>
      <c r="G2258" s="273"/>
      <c r="H2258" s="273"/>
      <c r="I2258" s="273"/>
      <c r="J2258" s="273"/>
      <c r="K2258" s="273"/>
      <c r="L2258" s="273"/>
      <c r="M2258" s="273"/>
      <c r="N2258" s="273"/>
      <c r="O2258" s="273"/>
      <c r="P2258" s="273"/>
      <c r="Q2258" s="273"/>
      <c r="R2258" s="273"/>
      <c r="S2258" s="273"/>
      <c r="T2258" s="273"/>
      <c r="U2258" s="273"/>
      <c r="V2258" s="273"/>
      <c r="W2258" s="273">
        <f t="shared" si="490"/>
        <v>173414.78</v>
      </c>
      <c r="X2258" s="273"/>
      <c r="Y2258" s="273"/>
      <c r="AA2258" s="273"/>
      <c r="AB2258" s="273"/>
      <c r="AC2258" s="273"/>
      <c r="AE2258" s="273"/>
      <c r="AF2258" s="16"/>
      <c r="AG2258" s="17"/>
      <c r="AH2258" s="15">
        <v>173414.78</v>
      </c>
      <c r="AI2258" s="13"/>
    </row>
    <row r="2259" spans="1:35" x14ac:dyDescent="0.3">
      <c r="A2259" s="10">
        <f t="shared" si="491"/>
        <v>2002</v>
      </c>
      <c r="B2259" s="124" t="s">
        <v>2877</v>
      </c>
      <c r="C2259" s="273">
        <f t="shared" si="488"/>
        <v>207728.14</v>
      </c>
      <c r="D2259" s="273">
        <f t="shared" si="489"/>
        <v>0</v>
      </c>
      <c r="E2259" s="273"/>
      <c r="F2259" s="273"/>
      <c r="G2259" s="273"/>
      <c r="H2259" s="273"/>
      <c r="I2259" s="273"/>
      <c r="J2259" s="273"/>
      <c r="K2259" s="273"/>
      <c r="L2259" s="273"/>
      <c r="M2259" s="273"/>
      <c r="N2259" s="273"/>
      <c r="O2259" s="273"/>
      <c r="P2259" s="273"/>
      <c r="Q2259" s="273"/>
      <c r="R2259" s="273"/>
      <c r="S2259" s="273"/>
      <c r="T2259" s="273"/>
      <c r="U2259" s="273"/>
      <c r="V2259" s="273"/>
      <c r="W2259" s="273">
        <f t="shared" si="490"/>
        <v>207728.14</v>
      </c>
      <c r="X2259" s="273"/>
      <c r="Y2259" s="273"/>
      <c r="AA2259" s="273"/>
      <c r="AB2259" s="273"/>
      <c r="AC2259" s="273"/>
      <c r="AE2259" s="273">
        <v>207728.14</v>
      </c>
      <c r="AF2259" s="16"/>
      <c r="AG2259" s="17"/>
      <c r="AH2259" s="15"/>
      <c r="AI2259" s="13"/>
    </row>
    <row r="2260" spans="1:35" x14ac:dyDescent="0.3">
      <c r="A2260" s="10">
        <f t="shared" si="491"/>
        <v>2003</v>
      </c>
      <c r="B2260" s="124" t="s">
        <v>2878</v>
      </c>
      <c r="C2260" s="273">
        <f t="shared" si="488"/>
        <v>204613.01</v>
      </c>
      <c r="D2260" s="273">
        <f t="shared" si="489"/>
        <v>0</v>
      </c>
      <c r="E2260" s="273"/>
      <c r="F2260" s="273"/>
      <c r="G2260" s="273"/>
      <c r="H2260" s="273"/>
      <c r="I2260" s="273"/>
      <c r="J2260" s="273"/>
      <c r="K2260" s="273"/>
      <c r="L2260" s="273"/>
      <c r="M2260" s="273"/>
      <c r="N2260" s="273"/>
      <c r="O2260" s="273"/>
      <c r="P2260" s="273"/>
      <c r="Q2260" s="273"/>
      <c r="R2260" s="273"/>
      <c r="S2260" s="273"/>
      <c r="T2260" s="273"/>
      <c r="U2260" s="273"/>
      <c r="V2260" s="273"/>
      <c r="W2260" s="273">
        <f t="shared" si="490"/>
        <v>204613.01</v>
      </c>
      <c r="X2260" s="273"/>
      <c r="Y2260" s="273"/>
      <c r="AA2260" s="273"/>
      <c r="AB2260" s="273"/>
      <c r="AC2260" s="273">
        <v>204613.01</v>
      </c>
      <c r="AE2260" s="273"/>
      <c r="AF2260" s="16"/>
      <c r="AG2260" s="17"/>
      <c r="AH2260" s="15"/>
      <c r="AI2260" s="13"/>
    </row>
    <row r="2261" spans="1:35" x14ac:dyDescent="0.3">
      <c r="A2261" s="10">
        <f t="shared" si="491"/>
        <v>2004</v>
      </c>
      <c r="B2261" s="124" t="s">
        <v>2879</v>
      </c>
      <c r="C2261" s="273">
        <f t="shared" si="488"/>
        <v>283997</v>
      </c>
      <c r="D2261" s="273">
        <f t="shared" si="489"/>
        <v>0</v>
      </c>
      <c r="E2261" s="273"/>
      <c r="F2261" s="273"/>
      <c r="G2261" s="273"/>
      <c r="H2261" s="273"/>
      <c r="I2261" s="273"/>
      <c r="J2261" s="273"/>
      <c r="K2261" s="273"/>
      <c r="L2261" s="273"/>
      <c r="M2261" s="273"/>
      <c r="N2261" s="273"/>
      <c r="O2261" s="273"/>
      <c r="P2261" s="273"/>
      <c r="Q2261" s="273"/>
      <c r="R2261" s="273"/>
      <c r="S2261" s="273"/>
      <c r="T2261" s="273"/>
      <c r="U2261" s="273"/>
      <c r="V2261" s="273"/>
      <c r="W2261" s="273">
        <f t="shared" si="490"/>
        <v>283997</v>
      </c>
      <c r="X2261" s="273"/>
      <c r="Y2261" s="273"/>
      <c r="AA2261" s="273"/>
      <c r="AB2261" s="273"/>
      <c r="AC2261" s="273">
        <v>98543.679999999993</v>
      </c>
      <c r="AE2261" s="273">
        <v>185453.32</v>
      </c>
      <c r="AF2261" s="16"/>
      <c r="AG2261" s="17"/>
      <c r="AH2261" s="15"/>
      <c r="AI2261" s="13"/>
    </row>
    <row r="2262" spans="1:35" x14ac:dyDescent="0.3">
      <c r="A2262" s="10">
        <f t="shared" si="491"/>
        <v>2005</v>
      </c>
      <c r="B2262" s="124" t="s">
        <v>2880</v>
      </c>
      <c r="C2262" s="273">
        <f t="shared" si="488"/>
        <v>200819.39</v>
      </c>
      <c r="D2262" s="273">
        <f t="shared" si="489"/>
        <v>0</v>
      </c>
      <c r="E2262" s="273"/>
      <c r="F2262" s="273"/>
      <c r="G2262" s="273"/>
      <c r="H2262" s="273"/>
      <c r="I2262" s="273"/>
      <c r="J2262" s="273"/>
      <c r="K2262" s="273"/>
      <c r="L2262" s="273"/>
      <c r="M2262" s="273"/>
      <c r="N2262" s="273"/>
      <c r="O2262" s="273"/>
      <c r="P2262" s="273"/>
      <c r="Q2262" s="273"/>
      <c r="R2262" s="273"/>
      <c r="S2262" s="273"/>
      <c r="T2262" s="273"/>
      <c r="U2262" s="273"/>
      <c r="V2262" s="273"/>
      <c r="W2262" s="273">
        <f t="shared" si="490"/>
        <v>200819.39</v>
      </c>
      <c r="X2262" s="273"/>
      <c r="Y2262" s="273"/>
      <c r="AA2262" s="273"/>
      <c r="AB2262" s="273"/>
      <c r="AC2262" s="273">
        <v>200819.39</v>
      </c>
      <c r="AE2262" s="273"/>
      <c r="AF2262" s="16"/>
      <c r="AG2262" s="17"/>
      <c r="AH2262" s="15"/>
      <c r="AI2262" s="13"/>
    </row>
    <row r="2263" spans="1:35" x14ac:dyDescent="0.3">
      <c r="A2263" s="10">
        <f t="shared" si="491"/>
        <v>2006</v>
      </c>
      <c r="B2263" s="124" t="s">
        <v>2881</v>
      </c>
      <c r="C2263" s="273">
        <f t="shared" si="488"/>
        <v>349457.41</v>
      </c>
      <c r="D2263" s="273">
        <f t="shared" si="489"/>
        <v>0</v>
      </c>
      <c r="E2263" s="273"/>
      <c r="F2263" s="273"/>
      <c r="G2263" s="273"/>
      <c r="H2263" s="273"/>
      <c r="I2263" s="273"/>
      <c r="J2263" s="273"/>
      <c r="K2263" s="273"/>
      <c r="L2263" s="273"/>
      <c r="M2263" s="273"/>
      <c r="N2263" s="273"/>
      <c r="O2263" s="273"/>
      <c r="P2263" s="273"/>
      <c r="Q2263" s="273"/>
      <c r="R2263" s="273"/>
      <c r="S2263" s="273"/>
      <c r="T2263" s="273"/>
      <c r="U2263" s="273"/>
      <c r="V2263" s="273"/>
      <c r="W2263" s="273">
        <f t="shared" si="490"/>
        <v>349457.41</v>
      </c>
      <c r="X2263" s="273"/>
      <c r="Y2263" s="273"/>
      <c r="AA2263" s="273"/>
      <c r="AB2263" s="273"/>
      <c r="AC2263" s="273"/>
      <c r="AE2263" s="273">
        <v>349457.41</v>
      </c>
      <c r="AF2263" s="16"/>
      <c r="AG2263" s="17"/>
      <c r="AH2263" s="15"/>
      <c r="AI2263" s="13"/>
    </row>
    <row r="2264" spans="1:35" x14ac:dyDescent="0.3">
      <c r="A2264" s="10">
        <f t="shared" si="491"/>
        <v>2007</v>
      </c>
      <c r="B2264" s="124" t="s">
        <v>2882</v>
      </c>
      <c r="C2264" s="273">
        <f t="shared" si="488"/>
        <v>189194.17</v>
      </c>
      <c r="D2264" s="273">
        <f t="shared" si="489"/>
        <v>0</v>
      </c>
      <c r="E2264" s="273"/>
      <c r="F2264" s="273"/>
      <c r="G2264" s="273"/>
      <c r="H2264" s="273"/>
      <c r="I2264" s="273"/>
      <c r="J2264" s="273"/>
      <c r="K2264" s="273"/>
      <c r="L2264" s="273"/>
      <c r="M2264" s="273"/>
      <c r="N2264" s="273"/>
      <c r="O2264" s="273"/>
      <c r="P2264" s="273"/>
      <c r="Q2264" s="273"/>
      <c r="R2264" s="273"/>
      <c r="S2264" s="273"/>
      <c r="T2264" s="273"/>
      <c r="U2264" s="273"/>
      <c r="V2264" s="273"/>
      <c r="W2264" s="273">
        <f t="shared" si="490"/>
        <v>189194.17</v>
      </c>
      <c r="X2264" s="273"/>
      <c r="Y2264" s="273"/>
      <c r="AA2264" s="273"/>
      <c r="AB2264" s="273"/>
      <c r="AC2264" s="273"/>
      <c r="AE2264" s="273">
        <v>189194.17</v>
      </c>
      <c r="AF2264" s="16"/>
      <c r="AG2264" s="17"/>
      <c r="AH2264" s="15"/>
      <c r="AI2264" s="13"/>
    </row>
    <row r="2265" spans="1:35" x14ac:dyDescent="0.3">
      <c r="A2265" s="10">
        <f t="shared" si="491"/>
        <v>2008</v>
      </c>
      <c r="B2265" s="124" t="s">
        <v>2883</v>
      </c>
      <c r="C2265" s="273">
        <f t="shared" si="488"/>
        <v>410603.72</v>
      </c>
      <c r="D2265" s="273">
        <f t="shared" si="489"/>
        <v>0</v>
      </c>
      <c r="E2265" s="273"/>
      <c r="F2265" s="273"/>
      <c r="G2265" s="273"/>
      <c r="H2265" s="273"/>
      <c r="I2265" s="273"/>
      <c r="J2265" s="273"/>
      <c r="K2265" s="273"/>
      <c r="L2265" s="273"/>
      <c r="M2265" s="273"/>
      <c r="N2265" s="273"/>
      <c r="O2265" s="273"/>
      <c r="P2265" s="273"/>
      <c r="Q2265" s="273"/>
      <c r="R2265" s="273"/>
      <c r="S2265" s="273"/>
      <c r="T2265" s="273"/>
      <c r="U2265" s="273"/>
      <c r="V2265" s="273"/>
      <c r="W2265" s="273">
        <f t="shared" si="490"/>
        <v>410603.72</v>
      </c>
      <c r="X2265" s="273"/>
      <c r="Y2265" s="273"/>
      <c r="AA2265" s="273"/>
      <c r="AB2265" s="273"/>
      <c r="AC2265" s="273"/>
      <c r="AE2265" s="273">
        <v>410603.72</v>
      </c>
      <c r="AF2265" s="16"/>
      <c r="AG2265" s="17"/>
      <c r="AH2265" s="15"/>
      <c r="AI2265" s="13"/>
    </row>
    <row r="2266" spans="1:35" x14ac:dyDescent="0.3">
      <c r="A2266" s="10">
        <f t="shared" si="491"/>
        <v>2009</v>
      </c>
      <c r="B2266" s="124" t="s">
        <v>2884</v>
      </c>
      <c r="C2266" s="273">
        <f t="shared" si="488"/>
        <v>192855.46</v>
      </c>
      <c r="D2266" s="273">
        <f t="shared" si="489"/>
        <v>0</v>
      </c>
      <c r="E2266" s="273"/>
      <c r="F2266" s="273"/>
      <c r="G2266" s="273"/>
      <c r="H2266" s="273"/>
      <c r="I2266" s="273"/>
      <c r="J2266" s="273"/>
      <c r="K2266" s="273"/>
      <c r="L2266" s="273"/>
      <c r="M2266" s="273"/>
      <c r="N2266" s="273"/>
      <c r="O2266" s="273"/>
      <c r="P2266" s="273"/>
      <c r="Q2266" s="273"/>
      <c r="R2266" s="273"/>
      <c r="S2266" s="273"/>
      <c r="T2266" s="273"/>
      <c r="U2266" s="273"/>
      <c r="V2266" s="273"/>
      <c r="W2266" s="273">
        <f t="shared" si="490"/>
        <v>192855.46</v>
      </c>
      <c r="X2266" s="273"/>
      <c r="Y2266" s="273"/>
      <c r="AA2266" s="273"/>
      <c r="AB2266" s="273"/>
      <c r="AC2266" s="273"/>
      <c r="AE2266" s="273">
        <v>192855.46</v>
      </c>
      <c r="AF2266" s="16"/>
      <c r="AG2266" s="17"/>
      <c r="AH2266" s="15"/>
      <c r="AI2266" s="13"/>
    </row>
    <row r="2267" spans="1:35" x14ac:dyDescent="0.3">
      <c r="A2267" s="10">
        <f t="shared" si="491"/>
        <v>2010</v>
      </c>
      <c r="B2267" s="124" t="s">
        <v>2885</v>
      </c>
      <c r="C2267" s="273">
        <f t="shared" si="488"/>
        <v>184736.99</v>
      </c>
      <c r="D2267" s="273">
        <f t="shared" si="489"/>
        <v>0</v>
      </c>
      <c r="E2267" s="273"/>
      <c r="F2267" s="273"/>
      <c r="G2267" s="273"/>
      <c r="H2267" s="273"/>
      <c r="I2267" s="273"/>
      <c r="J2267" s="273"/>
      <c r="K2267" s="273"/>
      <c r="L2267" s="273"/>
      <c r="M2267" s="273"/>
      <c r="N2267" s="273"/>
      <c r="O2267" s="273"/>
      <c r="P2267" s="273"/>
      <c r="Q2267" s="273"/>
      <c r="R2267" s="273"/>
      <c r="S2267" s="273"/>
      <c r="T2267" s="273"/>
      <c r="U2267" s="273"/>
      <c r="V2267" s="273"/>
      <c r="W2267" s="273">
        <f t="shared" si="490"/>
        <v>184736.99</v>
      </c>
      <c r="X2267" s="273"/>
      <c r="Y2267" s="273"/>
      <c r="AA2267" s="273"/>
      <c r="AB2267" s="273"/>
      <c r="AC2267" s="273"/>
      <c r="AE2267" s="273">
        <v>184736.99</v>
      </c>
      <c r="AF2267" s="16"/>
      <c r="AG2267" s="17"/>
      <c r="AH2267" s="15"/>
      <c r="AI2267" s="13"/>
    </row>
    <row r="2268" spans="1:35" x14ac:dyDescent="0.3">
      <c r="A2268" s="10">
        <f t="shared" si="491"/>
        <v>2011</v>
      </c>
      <c r="B2268" s="124" t="s">
        <v>2886</v>
      </c>
      <c r="C2268" s="273">
        <f t="shared" si="488"/>
        <v>188239.07</v>
      </c>
      <c r="D2268" s="273">
        <f t="shared" si="489"/>
        <v>0</v>
      </c>
      <c r="E2268" s="273"/>
      <c r="F2268" s="273"/>
      <c r="G2268" s="273"/>
      <c r="H2268" s="273"/>
      <c r="I2268" s="273"/>
      <c r="J2268" s="273"/>
      <c r="K2268" s="273"/>
      <c r="L2268" s="273"/>
      <c r="M2268" s="273"/>
      <c r="N2268" s="273"/>
      <c r="O2268" s="273"/>
      <c r="P2268" s="273"/>
      <c r="Q2268" s="273"/>
      <c r="R2268" s="273"/>
      <c r="S2268" s="273"/>
      <c r="T2268" s="273"/>
      <c r="U2268" s="273"/>
      <c r="V2268" s="273"/>
      <c r="W2268" s="273">
        <f t="shared" si="490"/>
        <v>188239.07</v>
      </c>
      <c r="X2268" s="273"/>
      <c r="Y2268" s="273"/>
      <c r="AA2268" s="273"/>
      <c r="AB2268" s="273"/>
      <c r="AC2268" s="273"/>
      <c r="AE2268" s="273">
        <v>188239.07</v>
      </c>
      <c r="AF2268" s="16"/>
      <c r="AG2268" s="17"/>
      <c r="AH2268" s="15"/>
      <c r="AI2268" s="13"/>
    </row>
    <row r="2269" spans="1:35" x14ac:dyDescent="0.3">
      <c r="A2269" s="10">
        <f t="shared" si="491"/>
        <v>2012</v>
      </c>
      <c r="B2269" s="124" t="s">
        <v>2887</v>
      </c>
      <c r="C2269" s="273">
        <f t="shared" si="488"/>
        <v>204362.47</v>
      </c>
      <c r="D2269" s="273">
        <f t="shared" si="489"/>
        <v>0</v>
      </c>
      <c r="E2269" s="273"/>
      <c r="F2269" s="273"/>
      <c r="G2269" s="273"/>
      <c r="H2269" s="273"/>
      <c r="I2269" s="273"/>
      <c r="J2269" s="273"/>
      <c r="K2269" s="273"/>
      <c r="L2269" s="273"/>
      <c r="M2269" s="273"/>
      <c r="N2269" s="273"/>
      <c r="O2269" s="273"/>
      <c r="P2269" s="273"/>
      <c r="Q2269" s="273"/>
      <c r="R2269" s="273"/>
      <c r="S2269" s="273"/>
      <c r="T2269" s="273"/>
      <c r="U2269" s="273"/>
      <c r="V2269" s="273"/>
      <c r="W2269" s="273">
        <f t="shared" si="490"/>
        <v>204362.47</v>
      </c>
      <c r="X2269" s="273"/>
      <c r="Y2269" s="273"/>
      <c r="AA2269" s="273"/>
      <c r="AB2269" s="273"/>
      <c r="AC2269" s="273"/>
      <c r="AE2269" s="273">
        <v>204362.47</v>
      </c>
      <c r="AF2269" s="16"/>
      <c r="AG2269" s="17"/>
      <c r="AH2269" s="15"/>
      <c r="AI2269" s="13"/>
    </row>
    <row r="2270" spans="1:35" x14ac:dyDescent="0.3">
      <c r="A2270" s="10">
        <f t="shared" si="491"/>
        <v>2013</v>
      </c>
      <c r="B2270" s="124" t="s">
        <v>2888</v>
      </c>
      <c r="C2270" s="273">
        <f t="shared" si="488"/>
        <v>347345.35</v>
      </c>
      <c r="D2270" s="273">
        <f t="shared" si="489"/>
        <v>0</v>
      </c>
      <c r="E2270" s="273"/>
      <c r="F2270" s="273"/>
      <c r="G2270" s="273"/>
      <c r="H2270" s="273"/>
      <c r="I2270" s="273"/>
      <c r="J2270" s="273"/>
      <c r="K2270" s="273"/>
      <c r="L2270" s="273"/>
      <c r="M2270" s="273"/>
      <c r="N2270" s="273"/>
      <c r="O2270" s="273"/>
      <c r="P2270" s="273"/>
      <c r="Q2270" s="273"/>
      <c r="R2270" s="273"/>
      <c r="S2270" s="273"/>
      <c r="T2270" s="273"/>
      <c r="U2270" s="273"/>
      <c r="V2270" s="273"/>
      <c r="W2270" s="273">
        <f t="shared" si="490"/>
        <v>347345.35</v>
      </c>
      <c r="X2270" s="273"/>
      <c r="Y2270" s="273"/>
      <c r="AA2270" s="273"/>
      <c r="AB2270" s="273"/>
      <c r="AC2270" s="273"/>
      <c r="AE2270" s="273">
        <v>347345.35</v>
      </c>
      <c r="AF2270" s="16"/>
      <c r="AG2270" s="17"/>
      <c r="AH2270" s="15"/>
      <c r="AI2270" s="13"/>
    </row>
    <row r="2271" spans="1:35" x14ac:dyDescent="0.3">
      <c r="A2271" s="10">
        <f t="shared" si="491"/>
        <v>2014</v>
      </c>
      <c r="B2271" s="124" t="s">
        <v>2889</v>
      </c>
      <c r="C2271" s="273">
        <f t="shared" si="488"/>
        <v>578808.31999999995</v>
      </c>
      <c r="D2271" s="273">
        <f t="shared" si="489"/>
        <v>0</v>
      </c>
      <c r="E2271" s="273"/>
      <c r="F2271" s="273"/>
      <c r="G2271" s="273"/>
      <c r="H2271" s="273"/>
      <c r="I2271" s="273"/>
      <c r="J2271" s="273"/>
      <c r="K2271" s="273"/>
      <c r="L2271" s="273"/>
      <c r="M2271" s="273"/>
      <c r="N2271" s="273"/>
      <c r="O2271" s="273"/>
      <c r="P2271" s="273"/>
      <c r="Q2271" s="273"/>
      <c r="R2271" s="273"/>
      <c r="S2271" s="273"/>
      <c r="T2271" s="273"/>
      <c r="U2271" s="273"/>
      <c r="V2271" s="273"/>
      <c r="W2271" s="273">
        <f t="shared" si="490"/>
        <v>578808.31999999995</v>
      </c>
      <c r="X2271" s="273"/>
      <c r="Y2271" s="273"/>
      <c r="AA2271" s="273"/>
      <c r="AB2271" s="273"/>
      <c r="AC2271" s="273"/>
      <c r="AE2271" s="273"/>
      <c r="AF2271" s="16"/>
      <c r="AG2271" s="17">
        <v>578808.31999999995</v>
      </c>
      <c r="AH2271" s="15"/>
      <c r="AI2271" s="13"/>
    </row>
    <row r="2272" spans="1:35" x14ac:dyDescent="0.3">
      <c r="A2272" s="10">
        <f t="shared" si="491"/>
        <v>2015</v>
      </c>
      <c r="B2272" s="124" t="s">
        <v>2890</v>
      </c>
      <c r="C2272" s="273">
        <f t="shared" si="488"/>
        <v>195322.84</v>
      </c>
      <c r="D2272" s="273">
        <f t="shared" si="489"/>
        <v>0</v>
      </c>
      <c r="E2272" s="273"/>
      <c r="F2272" s="273"/>
      <c r="G2272" s="273"/>
      <c r="H2272" s="273"/>
      <c r="I2272" s="273"/>
      <c r="J2272" s="273"/>
      <c r="K2272" s="273"/>
      <c r="L2272" s="273"/>
      <c r="M2272" s="273"/>
      <c r="N2272" s="273"/>
      <c r="O2272" s="273"/>
      <c r="P2272" s="273"/>
      <c r="Q2272" s="273"/>
      <c r="R2272" s="273"/>
      <c r="S2272" s="273"/>
      <c r="T2272" s="273"/>
      <c r="U2272" s="273"/>
      <c r="V2272" s="273"/>
      <c r="W2272" s="273">
        <f t="shared" si="490"/>
        <v>195322.84</v>
      </c>
      <c r="X2272" s="273"/>
      <c r="Y2272" s="273"/>
      <c r="AA2272" s="273"/>
      <c r="AB2272" s="273"/>
      <c r="AC2272" s="273"/>
      <c r="AE2272" s="273">
        <v>195322.84</v>
      </c>
      <c r="AF2272" s="16"/>
      <c r="AG2272" s="17"/>
      <c r="AH2272" s="15"/>
      <c r="AI2272" s="13"/>
    </row>
    <row r="2273" spans="1:35" x14ac:dyDescent="0.3">
      <c r="A2273" s="10">
        <f t="shared" si="491"/>
        <v>2016</v>
      </c>
      <c r="B2273" s="124" t="s">
        <v>2891</v>
      </c>
      <c r="C2273" s="273">
        <f t="shared" si="488"/>
        <v>286335.7</v>
      </c>
      <c r="D2273" s="273">
        <f t="shared" si="489"/>
        <v>0</v>
      </c>
      <c r="E2273" s="273"/>
      <c r="F2273" s="273"/>
      <c r="G2273" s="273"/>
      <c r="H2273" s="273"/>
      <c r="I2273" s="273"/>
      <c r="J2273" s="273"/>
      <c r="K2273" s="273"/>
      <c r="L2273" s="273"/>
      <c r="M2273" s="273"/>
      <c r="N2273" s="273"/>
      <c r="O2273" s="273"/>
      <c r="P2273" s="273"/>
      <c r="Q2273" s="273"/>
      <c r="R2273" s="273"/>
      <c r="S2273" s="273"/>
      <c r="T2273" s="273"/>
      <c r="U2273" s="273"/>
      <c r="V2273" s="273"/>
      <c r="W2273" s="273">
        <f t="shared" si="490"/>
        <v>286335.7</v>
      </c>
      <c r="X2273" s="273"/>
      <c r="Y2273" s="273"/>
      <c r="AA2273" s="273"/>
      <c r="AB2273" s="273"/>
      <c r="AC2273" s="273">
        <v>99449.72</v>
      </c>
      <c r="AE2273" s="273">
        <v>186885.98</v>
      </c>
      <c r="AF2273" s="16"/>
      <c r="AG2273" s="17"/>
      <c r="AH2273" s="15"/>
      <c r="AI2273" s="13"/>
    </row>
    <row r="2274" spans="1:35" x14ac:dyDescent="0.3">
      <c r="A2274" s="10">
        <f t="shared" si="491"/>
        <v>2017</v>
      </c>
      <c r="B2274" s="124" t="s">
        <v>2892</v>
      </c>
      <c r="C2274" s="273">
        <f t="shared" si="488"/>
        <v>297429.07999999996</v>
      </c>
      <c r="D2274" s="273">
        <f t="shared" si="489"/>
        <v>0</v>
      </c>
      <c r="E2274" s="273"/>
      <c r="F2274" s="273"/>
      <c r="G2274" s="273"/>
      <c r="H2274" s="273"/>
      <c r="I2274" s="273"/>
      <c r="J2274" s="273"/>
      <c r="K2274" s="273"/>
      <c r="L2274" s="273"/>
      <c r="M2274" s="273"/>
      <c r="N2274" s="273"/>
      <c r="O2274" s="273"/>
      <c r="P2274" s="273"/>
      <c r="Q2274" s="273"/>
      <c r="R2274" s="273"/>
      <c r="S2274" s="273"/>
      <c r="T2274" s="273"/>
      <c r="U2274" s="273"/>
      <c r="V2274" s="273"/>
      <c r="W2274" s="273">
        <f t="shared" si="490"/>
        <v>297429.07999999996</v>
      </c>
      <c r="X2274" s="273"/>
      <c r="Y2274" s="273"/>
      <c r="AA2274" s="273"/>
      <c r="AB2274" s="273"/>
      <c r="AC2274" s="273">
        <v>143012.26999999999</v>
      </c>
      <c r="AE2274" s="273"/>
      <c r="AF2274" s="16">
        <v>154416.81</v>
      </c>
      <c r="AG2274" s="17"/>
      <c r="AH2274" s="15"/>
      <c r="AI2274" s="13"/>
    </row>
    <row r="2275" spans="1:35" x14ac:dyDescent="0.3">
      <c r="A2275" s="10">
        <f t="shared" si="491"/>
        <v>2018</v>
      </c>
      <c r="B2275" s="124" t="s">
        <v>2893</v>
      </c>
      <c r="C2275" s="273">
        <f t="shared" si="488"/>
        <v>219584.47999999998</v>
      </c>
      <c r="D2275" s="273">
        <f t="shared" si="489"/>
        <v>0</v>
      </c>
      <c r="E2275" s="273"/>
      <c r="F2275" s="273"/>
      <c r="G2275" s="273"/>
      <c r="H2275" s="273"/>
      <c r="I2275" s="273"/>
      <c r="J2275" s="273"/>
      <c r="K2275" s="273"/>
      <c r="L2275" s="273"/>
      <c r="M2275" s="273"/>
      <c r="N2275" s="273"/>
      <c r="O2275" s="273"/>
      <c r="P2275" s="273"/>
      <c r="Q2275" s="273"/>
      <c r="R2275" s="273"/>
      <c r="S2275" s="273"/>
      <c r="T2275" s="273"/>
      <c r="U2275" s="273"/>
      <c r="V2275" s="273"/>
      <c r="W2275" s="273">
        <f t="shared" si="490"/>
        <v>219584.47999999998</v>
      </c>
      <c r="X2275" s="273">
        <v>107479.84</v>
      </c>
      <c r="Y2275" s="273"/>
      <c r="AA2275" s="273">
        <v>112104.64</v>
      </c>
      <c r="AB2275" s="273"/>
      <c r="AC2275" s="273"/>
      <c r="AE2275" s="273"/>
      <c r="AF2275" s="16"/>
      <c r="AG2275" s="17"/>
      <c r="AH2275" s="15"/>
      <c r="AI2275" s="13"/>
    </row>
    <row r="2276" spans="1:35" x14ac:dyDescent="0.3">
      <c r="A2276" s="10">
        <f t="shared" si="491"/>
        <v>2019</v>
      </c>
      <c r="B2276" s="124" t="s">
        <v>2894</v>
      </c>
      <c r="C2276" s="273">
        <f t="shared" si="488"/>
        <v>525153.81999999995</v>
      </c>
      <c r="D2276" s="273">
        <f t="shared" si="489"/>
        <v>0</v>
      </c>
      <c r="E2276" s="273"/>
      <c r="F2276" s="273"/>
      <c r="G2276" s="273"/>
      <c r="H2276" s="273"/>
      <c r="I2276" s="273"/>
      <c r="J2276" s="273"/>
      <c r="K2276" s="273"/>
      <c r="L2276" s="273"/>
      <c r="M2276" s="273"/>
      <c r="N2276" s="273"/>
      <c r="O2276" s="273"/>
      <c r="P2276" s="273"/>
      <c r="Q2276" s="273"/>
      <c r="R2276" s="273"/>
      <c r="S2276" s="273"/>
      <c r="T2276" s="273"/>
      <c r="U2276" s="273"/>
      <c r="V2276" s="273"/>
      <c r="W2276" s="273">
        <f t="shared" si="490"/>
        <v>525153.81999999995</v>
      </c>
      <c r="X2276" s="273"/>
      <c r="Y2276" s="273"/>
      <c r="AA2276" s="273"/>
      <c r="AB2276" s="273"/>
      <c r="AC2276" s="273"/>
      <c r="AE2276" s="273"/>
      <c r="AF2276" s="16"/>
      <c r="AG2276" s="17">
        <v>525153.81999999995</v>
      </c>
      <c r="AH2276" s="15"/>
      <c r="AI2276" s="13"/>
    </row>
    <row r="2277" spans="1:35" x14ac:dyDescent="0.3">
      <c r="A2277" s="10">
        <f t="shared" si="491"/>
        <v>2020</v>
      </c>
      <c r="B2277" s="124" t="s">
        <v>2895</v>
      </c>
      <c r="C2277" s="273">
        <f t="shared" si="488"/>
        <v>97426.64</v>
      </c>
      <c r="D2277" s="273">
        <f t="shared" si="489"/>
        <v>0</v>
      </c>
      <c r="E2277" s="273"/>
      <c r="F2277" s="273"/>
      <c r="G2277" s="273"/>
      <c r="H2277" s="273"/>
      <c r="I2277" s="273"/>
      <c r="J2277" s="273"/>
      <c r="K2277" s="273"/>
      <c r="L2277" s="273"/>
      <c r="M2277" s="273"/>
      <c r="N2277" s="273"/>
      <c r="O2277" s="273"/>
      <c r="P2277" s="273"/>
      <c r="Q2277" s="273"/>
      <c r="R2277" s="273"/>
      <c r="S2277" s="273"/>
      <c r="T2277" s="273"/>
      <c r="U2277" s="273"/>
      <c r="V2277" s="273"/>
      <c r="W2277" s="273">
        <f t="shared" si="490"/>
        <v>97426.64</v>
      </c>
      <c r="X2277" s="273"/>
      <c r="Y2277" s="273"/>
      <c r="AA2277" s="273"/>
      <c r="AB2277" s="273"/>
      <c r="AC2277" s="273">
        <v>97426.64</v>
      </c>
      <c r="AE2277" s="273"/>
      <c r="AF2277" s="16"/>
      <c r="AG2277" s="17"/>
      <c r="AH2277" s="15"/>
      <c r="AI2277" s="13"/>
    </row>
    <row r="2278" spans="1:35" x14ac:dyDescent="0.3">
      <c r="A2278" s="10">
        <f t="shared" si="491"/>
        <v>2021</v>
      </c>
      <c r="B2278" s="124" t="s">
        <v>2896</v>
      </c>
      <c r="C2278" s="273">
        <f t="shared" si="488"/>
        <v>100765.36</v>
      </c>
      <c r="D2278" s="273">
        <f t="shared" si="489"/>
        <v>0</v>
      </c>
      <c r="E2278" s="273"/>
      <c r="F2278" s="273"/>
      <c r="G2278" s="273"/>
      <c r="H2278" s="273"/>
      <c r="I2278" s="273"/>
      <c r="J2278" s="273"/>
      <c r="K2278" s="273"/>
      <c r="L2278" s="273"/>
      <c r="M2278" s="273"/>
      <c r="N2278" s="273"/>
      <c r="O2278" s="273"/>
      <c r="P2278" s="273"/>
      <c r="Q2278" s="273"/>
      <c r="R2278" s="273"/>
      <c r="S2278" s="273"/>
      <c r="T2278" s="273"/>
      <c r="U2278" s="273"/>
      <c r="V2278" s="273"/>
      <c r="W2278" s="273">
        <f t="shared" si="490"/>
        <v>100765.36</v>
      </c>
      <c r="X2278" s="273"/>
      <c r="Y2278" s="273"/>
      <c r="AA2278" s="273"/>
      <c r="AB2278" s="273"/>
      <c r="AC2278" s="273">
        <v>100765.36</v>
      </c>
      <c r="AE2278" s="273"/>
      <c r="AF2278" s="16"/>
      <c r="AG2278" s="17"/>
      <c r="AH2278" s="15"/>
      <c r="AI2278" s="13"/>
    </row>
    <row r="2279" spans="1:35" x14ac:dyDescent="0.3">
      <c r="A2279" s="10">
        <f t="shared" si="491"/>
        <v>2022</v>
      </c>
      <c r="B2279" s="124" t="s">
        <v>2897</v>
      </c>
      <c r="C2279" s="273">
        <f t="shared" si="488"/>
        <v>100312.34</v>
      </c>
      <c r="D2279" s="273">
        <f t="shared" si="489"/>
        <v>0</v>
      </c>
      <c r="E2279" s="273"/>
      <c r="F2279" s="273"/>
      <c r="G2279" s="273"/>
      <c r="H2279" s="273"/>
      <c r="I2279" s="273"/>
      <c r="J2279" s="273"/>
      <c r="K2279" s="273"/>
      <c r="L2279" s="273"/>
      <c r="M2279" s="273"/>
      <c r="N2279" s="273"/>
      <c r="O2279" s="273"/>
      <c r="P2279" s="273"/>
      <c r="Q2279" s="273"/>
      <c r="R2279" s="273"/>
      <c r="S2279" s="273"/>
      <c r="T2279" s="273"/>
      <c r="U2279" s="273"/>
      <c r="V2279" s="273"/>
      <c r="W2279" s="273">
        <f t="shared" si="490"/>
        <v>100312.34</v>
      </c>
      <c r="X2279" s="273"/>
      <c r="Y2279" s="273"/>
      <c r="AA2279" s="273"/>
      <c r="AB2279" s="273"/>
      <c r="AC2279" s="273">
        <v>100312.34</v>
      </c>
      <c r="AE2279" s="273"/>
      <c r="AF2279" s="16"/>
      <c r="AG2279" s="17"/>
      <c r="AH2279" s="15"/>
      <c r="AI2279" s="13"/>
    </row>
    <row r="2280" spans="1:35" x14ac:dyDescent="0.3">
      <c r="A2280" s="10">
        <f t="shared" si="491"/>
        <v>2023</v>
      </c>
      <c r="B2280" s="124" t="s">
        <v>2898</v>
      </c>
      <c r="C2280" s="273">
        <f t="shared" si="488"/>
        <v>99654.52</v>
      </c>
      <c r="D2280" s="273">
        <f t="shared" si="489"/>
        <v>0</v>
      </c>
      <c r="E2280" s="273"/>
      <c r="F2280" s="273"/>
      <c r="G2280" s="273"/>
      <c r="H2280" s="273"/>
      <c r="I2280" s="273"/>
      <c r="J2280" s="273"/>
      <c r="K2280" s="273"/>
      <c r="L2280" s="273"/>
      <c r="M2280" s="273"/>
      <c r="N2280" s="273"/>
      <c r="O2280" s="273"/>
      <c r="P2280" s="273"/>
      <c r="Q2280" s="273"/>
      <c r="R2280" s="273"/>
      <c r="S2280" s="273"/>
      <c r="T2280" s="273"/>
      <c r="U2280" s="273"/>
      <c r="V2280" s="273"/>
      <c r="W2280" s="273">
        <f t="shared" si="490"/>
        <v>99654.52</v>
      </c>
      <c r="X2280" s="273"/>
      <c r="Y2280" s="273"/>
      <c r="AA2280" s="273"/>
      <c r="AB2280" s="273"/>
      <c r="AC2280" s="273">
        <v>99654.52</v>
      </c>
      <c r="AE2280" s="273"/>
      <c r="AF2280" s="16"/>
      <c r="AG2280" s="17"/>
      <c r="AH2280" s="15"/>
      <c r="AI2280" s="13"/>
    </row>
    <row r="2281" spans="1:35" x14ac:dyDescent="0.3">
      <c r="A2281" s="10">
        <f t="shared" si="491"/>
        <v>2024</v>
      </c>
      <c r="B2281" s="124" t="s">
        <v>2899</v>
      </c>
      <c r="C2281" s="273">
        <f t="shared" si="488"/>
        <v>200786.44</v>
      </c>
      <c r="D2281" s="273">
        <f t="shared" si="489"/>
        <v>0</v>
      </c>
      <c r="E2281" s="273"/>
      <c r="F2281" s="273"/>
      <c r="G2281" s="273"/>
      <c r="H2281" s="273"/>
      <c r="I2281" s="273"/>
      <c r="J2281" s="273"/>
      <c r="K2281" s="273"/>
      <c r="L2281" s="273"/>
      <c r="M2281" s="273"/>
      <c r="N2281" s="273"/>
      <c r="O2281" s="273"/>
      <c r="P2281" s="273"/>
      <c r="Q2281" s="273"/>
      <c r="R2281" s="273"/>
      <c r="S2281" s="273"/>
      <c r="T2281" s="273"/>
      <c r="U2281" s="273"/>
      <c r="V2281" s="273"/>
      <c r="W2281" s="273">
        <f t="shared" si="490"/>
        <v>200786.44</v>
      </c>
      <c r="X2281" s="273"/>
      <c r="Y2281" s="273"/>
      <c r="AA2281" s="273"/>
      <c r="AB2281" s="273"/>
      <c r="AC2281" s="273"/>
      <c r="AE2281" s="273">
        <v>200786.44</v>
      </c>
      <c r="AF2281" s="16"/>
      <c r="AG2281" s="17"/>
      <c r="AH2281" s="15"/>
      <c r="AI2281" s="13"/>
    </row>
    <row r="2282" spans="1:35" x14ac:dyDescent="0.3">
      <c r="A2282" s="10">
        <f t="shared" si="491"/>
        <v>2025</v>
      </c>
      <c r="B2282" s="124" t="s">
        <v>2900</v>
      </c>
      <c r="C2282" s="273">
        <f t="shared" si="488"/>
        <v>256525.71000000002</v>
      </c>
      <c r="D2282" s="273">
        <f t="shared" si="489"/>
        <v>0</v>
      </c>
      <c r="E2282" s="273"/>
      <c r="F2282" s="273"/>
      <c r="G2282" s="273"/>
      <c r="H2282" s="273"/>
      <c r="I2282" s="273"/>
      <c r="J2282" s="273"/>
      <c r="K2282" s="273"/>
      <c r="L2282" s="273"/>
      <c r="M2282" s="273"/>
      <c r="N2282" s="273"/>
      <c r="O2282" s="273"/>
      <c r="P2282" s="273"/>
      <c r="Q2282" s="273"/>
      <c r="R2282" s="273"/>
      <c r="S2282" s="273"/>
      <c r="T2282" s="273"/>
      <c r="U2282" s="273"/>
      <c r="V2282" s="273"/>
      <c r="W2282" s="273">
        <f t="shared" si="490"/>
        <v>256525.71000000002</v>
      </c>
      <c r="X2282" s="273"/>
      <c r="Y2282" s="273"/>
      <c r="AA2282" s="273"/>
      <c r="AB2282" s="273"/>
      <c r="AC2282" s="273">
        <v>87292.479999999996</v>
      </c>
      <c r="AE2282" s="273">
        <v>169233.23</v>
      </c>
      <c r="AF2282" s="16"/>
      <c r="AG2282" s="17"/>
      <c r="AH2282" s="15"/>
      <c r="AI2282" s="13"/>
    </row>
    <row r="2283" spans="1:35" x14ac:dyDescent="0.3">
      <c r="A2283" s="10">
        <f t="shared" si="491"/>
        <v>2026</v>
      </c>
      <c r="B2283" s="124" t="s">
        <v>2901</v>
      </c>
      <c r="C2283" s="273">
        <f t="shared" si="488"/>
        <v>86665.18</v>
      </c>
      <c r="D2283" s="273">
        <f t="shared" si="489"/>
        <v>0</v>
      </c>
      <c r="E2283" s="273"/>
      <c r="F2283" s="273"/>
      <c r="G2283" s="273"/>
      <c r="H2283" s="273"/>
      <c r="I2283" s="273"/>
      <c r="J2283" s="273"/>
      <c r="K2283" s="273"/>
      <c r="L2283" s="273"/>
      <c r="M2283" s="273"/>
      <c r="N2283" s="273"/>
      <c r="O2283" s="273"/>
      <c r="P2283" s="273"/>
      <c r="Q2283" s="273"/>
      <c r="R2283" s="273"/>
      <c r="S2283" s="273"/>
      <c r="T2283" s="273"/>
      <c r="U2283" s="273"/>
      <c r="V2283" s="273"/>
      <c r="W2283" s="273">
        <f t="shared" si="490"/>
        <v>86665.18</v>
      </c>
      <c r="X2283" s="273"/>
      <c r="Y2283" s="273"/>
      <c r="AA2283" s="273"/>
      <c r="AB2283" s="273"/>
      <c r="AC2283" s="273">
        <v>86665.18</v>
      </c>
      <c r="AE2283" s="273"/>
      <c r="AF2283" s="16"/>
      <c r="AG2283" s="17"/>
      <c r="AH2283" s="15"/>
      <c r="AI2283" s="13"/>
    </row>
    <row r="2284" spans="1:35" x14ac:dyDescent="0.3">
      <c r="A2284" s="10">
        <f t="shared" si="491"/>
        <v>2027</v>
      </c>
      <c r="B2284" s="124" t="s">
        <v>2902</v>
      </c>
      <c r="C2284" s="273">
        <f t="shared" si="488"/>
        <v>202088.22</v>
      </c>
      <c r="D2284" s="273">
        <f t="shared" si="489"/>
        <v>0</v>
      </c>
      <c r="E2284" s="273"/>
      <c r="F2284" s="273"/>
      <c r="G2284" s="273"/>
      <c r="H2284" s="273"/>
      <c r="I2284" s="273"/>
      <c r="J2284" s="273"/>
      <c r="K2284" s="273"/>
      <c r="L2284" s="273"/>
      <c r="M2284" s="273"/>
      <c r="N2284" s="273"/>
      <c r="O2284" s="273"/>
      <c r="P2284" s="273"/>
      <c r="Q2284" s="273"/>
      <c r="R2284" s="273"/>
      <c r="S2284" s="273"/>
      <c r="T2284" s="273"/>
      <c r="U2284" s="273"/>
      <c r="V2284" s="273"/>
      <c r="W2284" s="273">
        <f t="shared" si="490"/>
        <v>202088.22</v>
      </c>
      <c r="X2284" s="273"/>
      <c r="Y2284" s="273"/>
      <c r="AA2284" s="273"/>
      <c r="AB2284" s="273"/>
      <c r="AC2284" s="273"/>
      <c r="AE2284" s="273">
        <v>202088.22</v>
      </c>
      <c r="AF2284" s="16"/>
      <c r="AG2284" s="17"/>
      <c r="AH2284" s="15"/>
      <c r="AI2284" s="13"/>
    </row>
    <row r="2285" spans="1:35" x14ac:dyDescent="0.3">
      <c r="A2285" s="10">
        <f t="shared" si="491"/>
        <v>2028</v>
      </c>
      <c r="B2285" s="124" t="s">
        <v>2903</v>
      </c>
      <c r="C2285" s="273">
        <f t="shared" si="488"/>
        <v>5400242.5899999999</v>
      </c>
      <c r="D2285" s="273">
        <f t="shared" si="489"/>
        <v>5215505.5999999996</v>
      </c>
      <c r="E2285" s="273"/>
      <c r="F2285" s="273">
        <v>4565404.8</v>
      </c>
      <c r="G2285" s="273">
        <v>317326.8</v>
      </c>
      <c r="H2285" s="273">
        <v>291252</v>
      </c>
      <c r="I2285" s="273">
        <v>41522</v>
      </c>
      <c r="J2285" s="273"/>
      <c r="K2285" s="273"/>
      <c r="L2285" s="273"/>
      <c r="M2285" s="273"/>
      <c r="N2285" s="273"/>
      <c r="O2285" s="273"/>
      <c r="P2285" s="273"/>
      <c r="Q2285" s="273"/>
      <c r="R2285" s="273"/>
      <c r="S2285" s="273"/>
      <c r="T2285" s="273"/>
      <c r="U2285" s="273"/>
      <c r="V2285" s="273"/>
      <c r="W2285" s="273">
        <f t="shared" si="490"/>
        <v>184736.99</v>
      </c>
      <c r="X2285" s="273"/>
      <c r="Y2285" s="273"/>
      <c r="AA2285" s="273"/>
      <c r="AB2285" s="273"/>
      <c r="AC2285" s="273"/>
      <c r="AE2285" s="273">
        <v>184736.99</v>
      </c>
      <c r="AF2285" s="16"/>
      <c r="AG2285" s="17"/>
      <c r="AH2285" s="15"/>
      <c r="AI2285" s="13"/>
    </row>
    <row r="2286" spans="1:35" x14ac:dyDescent="0.3">
      <c r="A2286" s="10">
        <f t="shared" si="491"/>
        <v>2029</v>
      </c>
      <c r="B2286" s="124" t="s">
        <v>2904</v>
      </c>
      <c r="C2286" s="273">
        <f t="shared" si="488"/>
        <v>188716.62</v>
      </c>
      <c r="D2286" s="273">
        <f t="shared" si="489"/>
        <v>0</v>
      </c>
      <c r="E2286" s="273"/>
      <c r="F2286" s="273"/>
      <c r="G2286" s="273"/>
      <c r="H2286" s="273"/>
      <c r="I2286" s="273"/>
      <c r="J2286" s="273"/>
      <c r="K2286" s="273"/>
      <c r="L2286" s="273"/>
      <c r="M2286" s="273"/>
      <c r="N2286" s="273"/>
      <c r="O2286" s="273"/>
      <c r="P2286" s="273"/>
      <c r="Q2286" s="273"/>
      <c r="R2286" s="273"/>
      <c r="S2286" s="273"/>
      <c r="T2286" s="273"/>
      <c r="U2286" s="273"/>
      <c r="V2286" s="273"/>
      <c r="W2286" s="273">
        <f t="shared" si="490"/>
        <v>188716.62</v>
      </c>
      <c r="X2286" s="273"/>
      <c r="Y2286" s="273"/>
      <c r="AA2286" s="273"/>
      <c r="AB2286" s="273"/>
      <c r="AC2286" s="273"/>
      <c r="AE2286" s="273">
        <v>188716.62</v>
      </c>
      <c r="AF2286" s="16"/>
      <c r="AG2286" s="17"/>
      <c r="AH2286" s="15"/>
      <c r="AI2286" s="13"/>
    </row>
    <row r="2287" spans="1:35" x14ac:dyDescent="0.3">
      <c r="A2287" s="10">
        <f t="shared" si="491"/>
        <v>2030</v>
      </c>
      <c r="B2287" s="124" t="s">
        <v>2905</v>
      </c>
      <c r="C2287" s="273">
        <f t="shared" si="488"/>
        <v>188398.24</v>
      </c>
      <c r="D2287" s="273">
        <f t="shared" si="489"/>
        <v>0</v>
      </c>
      <c r="E2287" s="273"/>
      <c r="F2287" s="273"/>
      <c r="G2287" s="273"/>
      <c r="H2287" s="273"/>
      <c r="I2287" s="273"/>
      <c r="J2287" s="273"/>
      <c r="K2287" s="273"/>
      <c r="L2287" s="273"/>
      <c r="M2287" s="273"/>
      <c r="N2287" s="273"/>
      <c r="O2287" s="273"/>
      <c r="P2287" s="273"/>
      <c r="Q2287" s="273"/>
      <c r="R2287" s="273"/>
      <c r="S2287" s="273"/>
      <c r="T2287" s="273"/>
      <c r="U2287" s="273"/>
      <c r="V2287" s="273"/>
      <c r="W2287" s="273">
        <f t="shared" si="490"/>
        <v>188398.24</v>
      </c>
      <c r="X2287" s="273"/>
      <c r="Y2287" s="273"/>
      <c r="AA2287" s="273"/>
      <c r="AB2287" s="273"/>
      <c r="AC2287" s="273"/>
      <c r="AE2287" s="273">
        <v>188398.24</v>
      </c>
      <c r="AF2287" s="16"/>
      <c r="AG2287" s="17"/>
      <c r="AH2287" s="15"/>
      <c r="AI2287" s="13"/>
    </row>
    <row r="2288" spans="1:35" x14ac:dyDescent="0.3">
      <c r="A2288" s="10">
        <f t="shared" si="491"/>
        <v>2031</v>
      </c>
      <c r="B2288" s="124" t="s">
        <v>2906</v>
      </c>
      <c r="C2288" s="273">
        <f t="shared" si="488"/>
        <v>169233.23</v>
      </c>
      <c r="D2288" s="273">
        <f t="shared" si="489"/>
        <v>0</v>
      </c>
      <c r="E2288" s="273"/>
      <c r="F2288" s="273"/>
      <c r="G2288" s="273"/>
      <c r="H2288" s="273"/>
      <c r="I2288" s="273"/>
      <c r="J2288" s="273"/>
      <c r="K2288" s="273"/>
      <c r="L2288" s="273"/>
      <c r="M2288" s="273"/>
      <c r="N2288" s="273"/>
      <c r="O2288" s="273"/>
      <c r="P2288" s="273"/>
      <c r="Q2288" s="273"/>
      <c r="R2288" s="273"/>
      <c r="S2288" s="273"/>
      <c r="T2288" s="273"/>
      <c r="U2288" s="273"/>
      <c r="V2288" s="273"/>
      <c r="W2288" s="273">
        <f t="shared" si="490"/>
        <v>169233.23</v>
      </c>
      <c r="X2288" s="273"/>
      <c r="Y2288" s="273"/>
      <c r="AA2288" s="273"/>
      <c r="AB2288" s="273"/>
      <c r="AC2288" s="273"/>
      <c r="AE2288" s="273">
        <v>169233.23</v>
      </c>
      <c r="AF2288" s="16"/>
      <c r="AG2288" s="17"/>
      <c r="AH2288" s="15"/>
      <c r="AI2288" s="13"/>
    </row>
    <row r="2289" spans="1:35" x14ac:dyDescent="0.3">
      <c r="A2289" s="10">
        <f t="shared" si="491"/>
        <v>2032</v>
      </c>
      <c r="B2289" s="124" t="s">
        <v>2907</v>
      </c>
      <c r="C2289" s="273">
        <f t="shared" si="488"/>
        <v>183463.5</v>
      </c>
      <c r="D2289" s="273">
        <f t="shared" si="489"/>
        <v>0</v>
      </c>
      <c r="E2289" s="273"/>
      <c r="F2289" s="273"/>
      <c r="G2289" s="273"/>
      <c r="H2289" s="273"/>
      <c r="I2289" s="273"/>
      <c r="J2289" s="273"/>
      <c r="K2289" s="273"/>
      <c r="L2289" s="273"/>
      <c r="M2289" s="273"/>
      <c r="N2289" s="273"/>
      <c r="O2289" s="273"/>
      <c r="P2289" s="273"/>
      <c r="Q2289" s="273"/>
      <c r="R2289" s="273"/>
      <c r="S2289" s="273"/>
      <c r="T2289" s="273"/>
      <c r="U2289" s="273"/>
      <c r="V2289" s="273"/>
      <c r="W2289" s="273">
        <f t="shared" si="490"/>
        <v>183463.5</v>
      </c>
      <c r="X2289" s="273"/>
      <c r="Y2289" s="273"/>
      <c r="AA2289" s="273"/>
      <c r="AB2289" s="273"/>
      <c r="AC2289" s="273"/>
      <c r="AE2289" s="273">
        <v>183463.5</v>
      </c>
      <c r="AF2289" s="16"/>
      <c r="AG2289" s="17"/>
      <c r="AH2289" s="15"/>
      <c r="AI2289" s="13"/>
    </row>
    <row r="2290" spans="1:35" x14ac:dyDescent="0.3">
      <c r="A2290" s="10">
        <f t="shared" si="491"/>
        <v>2033</v>
      </c>
      <c r="B2290" s="124" t="s">
        <v>2908</v>
      </c>
      <c r="C2290" s="273">
        <f t="shared" si="488"/>
        <v>170547.92</v>
      </c>
      <c r="D2290" s="273">
        <f t="shared" si="489"/>
        <v>0</v>
      </c>
      <c r="E2290" s="273"/>
      <c r="F2290" s="273"/>
      <c r="G2290" s="273"/>
      <c r="H2290" s="273"/>
      <c r="I2290" s="273"/>
      <c r="J2290" s="273"/>
      <c r="K2290" s="273"/>
      <c r="L2290" s="273"/>
      <c r="M2290" s="273"/>
      <c r="N2290" s="273"/>
      <c r="O2290" s="273"/>
      <c r="P2290" s="273"/>
      <c r="Q2290" s="273"/>
      <c r="R2290" s="273"/>
      <c r="S2290" s="273"/>
      <c r="T2290" s="273"/>
      <c r="U2290" s="273"/>
      <c r="V2290" s="273"/>
      <c r="W2290" s="273">
        <f t="shared" si="490"/>
        <v>170547.92</v>
      </c>
      <c r="X2290" s="273"/>
      <c r="Y2290" s="273"/>
      <c r="AA2290" s="273"/>
      <c r="AB2290" s="273"/>
      <c r="AC2290" s="273"/>
      <c r="AE2290" s="273">
        <v>170547.92</v>
      </c>
      <c r="AF2290" s="16"/>
      <c r="AG2290" s="17"/>
      <c r="AH2290" s="15"/>
      <c r="AI2290" s="13"/>
    </row>
    <row r="2291" spans="1:35" x14ac:dyDescent="0.3">
      <c r="A2291" s="10">
        <f t="shared" si="491"/>
        <v>2034</v>
      </c>
      <c r="B2291" s="124" t="s">
        <v>2909</v>
      </c>
      <c r="C2291" s="273">
        <f t="shared" si="488"/>
        <v>171336.77</v>
      </c>
      <c r="D2291" s="273">
        <f t="shared" si="489"/>
        <v>0</v>
      </c>
      <c r="E2291" s="273"/>
      <c r="F2291" s="273"/>
      <c r="G2291" s="273"/>
      <c r="H2291" s="273"/>
      <c r="I2291" s="273"/>
      <c r="J2291" s="273"/>
      <c r="K2291" s="273"/>
      <c r="L2291" s="273"/>
      <c r="M2291" s="273"/>
      <c r="N2291" s="273"/>
      <c r="O2291" s="273"/>
      <c r="P2291" s="273"/>
      <c r="Q2291" s="273"/>
      <c r="R2291" s="273"/>
      <c r="S2291" s="273"/>
      <c r="T2291" s="273"/>
      <c r="U2291" s="273"/>
      <c r="V2291" s="273"/>
      <c r="W2291" s="273">
        <f t="shared" si="490"/>
        <v>171336.77</v>
      </c>
      <c r="X2291" s="273"/>
      <c r="Y2291" s="273"/>
      <c r="AA2291" s="273"/>
      <c r="AB2291" s="273"/>
      <c r="AC2291" s="273"/>
      <c r="AE2291" s="273">
        <v>171336.77</v>
      </c>
      <c r="AF2291" s="16"/>
      <c r="AG2291" s="17"/>
      <c r="AH2291" s="15"/>
      <c r="AI2291" s="13"/>
    </row>
    <row r="2292" spans="1:35" x14ac:dyDescent="0.3">
      <c r="A2292" s="10">
        <f t="shared" si="491"/>
        <v>2035</v>
      </c>
      <c r="B2292" s="124" t="s">
        <v>2910</v>
      </c>
      <c r="C2292" s="273">
        <f t="shared" si="488"/>
        <v>109099.8</v>
      </c>
      <c r="D2292" s="273">
        <f t="shared" si="489"/>
        <v>0</v>
      </c>
      <c r="E2292" s="273"/>
      <c r="F2292" s="273"/>
      <c r="G2292" s="273"/>
      <c r="H2292" s="273"/>
      <c r="I2292" s="273"/>
      <c r="J2292" s="273"/>
      <c r="K2292" s="273"/>
      <c r="L2292" s="273"/>
      <c r="M2292" s="273"/>
      <c r="N2292" s="273"/>
      <c r="O2292" s="273"/>
      <c r="P2292" s="273"/>
      <c r="Q2292" s="273"/>
      <c r="R2292" s="273"/>
      <c r="S2292" s="273"/>
      <c r="T2292" s="273"/>
      <c r="U2292" s="273"/>
      <c r="V2292" s="273"/>
      <c r="W2292" s="273">
        <f t="shared" si="490"/>
        <v>109099.8</v>
      </c>
      <c r="X2292" s="273"/>
      <c r="Y2292" s="273"/>
      <c r="AA2292" s="273"/>
      <c r="AB2292" s="273"/>
      <c r="AC2292" s="273">
        <v>109099.8</v>
      </c>
      <c r="AE2292" s="273"/>
      <c r="AF2292" s="16"/>
      <c r="AG2292" s="17"/>
      <c r="AH2292" s="15"/>
      <c r="AI2292" s="13"/>
    </row>
    <row r="2293" spans="1:35" x14ac:dyDescent="0.3">
      <c r="A2293" s="10">
        <f t="shared" si="491"/>
        <v>2036</v>
      </c>
      <c r="B2293" s="124" t="s">
        <v>2911</v>
      </c>
      <c r="C2293" s="273">
        <f t="shared" si="488"/>
        <v>529197.59</v>
      </c>
      <c r="D2293" s="273">
        <f t="shared" si="489"/>
        <v>0</v>
      </c>
      <c r="E2293" s="273"/>
      <c r="F2293" s="273"/>
      <c r="G2293" s="273"/>
      <c r="H2293" s="273"/>
      <c r="I2293" s="273"/>
      <c r="J2293" s="273"/>
      <c r="K2293" s="273"/>
      <c r="L2293" s="273"/>
      <c r="M2293" s="273"/>
      <c r="N2293" s="273"/>
      <c r="O2293" s="273"/>
      <c r="P2293" s="273"/>
      <c r="Q2293" s="273"/>
      <c r="R2293" s="273"/>
      <c r="S2293" s="273"/>
      <c r="T2293" s="273"/>
      <c r="U2293" s="273"/>
      <c r="V2293" s="273"/>
      <c r="W2293" s="273">
        <f t="shared" si="490"/>
        <v>529197.59</v>
      </c>
      <c r="X2293" s="273"/>
      <c r="Y2293" s="273"/>
      <c r="AA2293" s="273"/>
      <c r="AB2293" s="273"/>
      <c r="AC2293" s="273"/>
      <c r="AE2293" s="273"/>
      <c r="AF2293" s="16"/>
      <c r="AG2293" s="17">
        <v>529197.59</v>
      </c>
      <c r="AH2293" s="15"/>
      <c r="AI2293" s="13"/>
    </row>
    <row r="2294" spans="1:35" x14ac:dyDescent="0.3">
      <c r="A2294" s="10">
        <f t="shared" si="491"/>
        <v>2037</v>
      </c>
      <c r="B2294" s="124" t="s">
        <v>2912</v>
      </c>
      <c r="C2294" s="273">
        <f t="shared" si="488"/>
        <v>113952.76</v>
      </c>
      <c r="D2294" s="273">
        <f t="shared" si="489"/>
        <v>0</v>
      </c>
      <c r="E2294" s="273"/>
      <c r="F2294" s="273"/>
      <c r="G2294" s="273"/>
      <c r="H2294" s="273"/>
      <c r="I2294" s="273"/>
      <c r="J2294" s="273"/>
      <c r="K2294" s="273"/>
      <c r="L2294" s="273"/>
      <c r="M2294" s="273"/>
      <c r="N2294" s="273"/>
      <c r="O2294" s="273"/>
      <c r="P2294" s="273"/>
      <c r="Q2294" s="273"/>
      <c r="R2294" s="273"/>
      <c r="S2294" s="273"/>
      <c r="T2294" s="273"/>
      <c r="U2294" s="273"/>
      <c r="V2294" s="273"/>
      <c r="W2294" s="273">
        <f t="shared" si="490"/>
        <v>113952.76</v>
      </c>
      <c r="X2294" s="273"/>
      <c r="Y2294" s="273"/>
      <c r="AA2294" s="273"/>
      <c r="AB2294" s="273"/>
      <c r="AC2294" s="273">
        <v>113952.76</v>
      </c>
      <c r="AE2294" s="273"/>
      <c r="AF2294" s="16"/>
      <c r="AG2294" s="17"/>
      <c r="AH2294" s="15"/>
      <c r="AI2294" s="13"/>
    </row>
    <row r="2295" spans="1:35" x14ac:dyDescent="0.3">
      <c r="A2295" s="10">
        <f t="shared" si="491"/>
        <v>2038</v>
      </c>
      <c r="B2295" s="124" t="s">
        <v>2913</v>
      </c>
      <c r="C2295" s="273">
        <f t="shared" si="488"/>
        <v>185778.32</v>
      </c>
      <c r="D2295" s="273">
        <f t="shared" si="489"/>
        <v>0</v>
      </c>
      <c r="E2295" s="273"/>
      <c r="F2295" s="273"/>
      <c r="G2295" s="273"/>
      <c r="H2295" s="273"/>
      <c r="I2295" s="273"/>
      <c r="J2295" s="273"/>
      <c r="K2295" s="273"/>
      <c r="L2295" s="273"/>
      <c r="M2295" s="273"/>
      <c r="N2295" s="273"/>
      <c r="O2295" s="273"/>
      <c r="P2295" s="273"/>
      <c r="Q2295" s="273"/>
      <c r="R2295" s="273"/>
      <c r="S2295" s="273"/>
      <c r="T2295" s="273"/>
      <c r="U2295" s="273"/>
      <c r="V2295" s="273"/>
      <c r="W2295" s="273">
        <f t="shared" si="490"/>
        <v>185778.32</v>
      </c>
      <c r="X2295" s="273"/>
      <c r="Y2295" s="273"/>
      <c r="AA2295" s="273"/>
      <c r="AB2295" s="273"/>
      <c r="AC2295" s="273"/>
      <c r="AE2295" s="273">
        <v>185778.32</v>
      </c>
      <c r="AF2295" s="16"/>
      <c r="AG2295" s="17"/>
      <c r="AH2295" s="15"/>
      <c r="AI2295" s="13"/>
    </row>
    <row r="2296" spans="1:35" x14ac:dyDescent="0.3">
      <c r="A2296" s="10">
        <f t="shared" si="491"/>
        <v>2039</v>
      </c>
      <c r="B2296" s="124" t="s">
        <v>2914</v>
      </c>
      <c r="C2296" s="273">
        <f t="shared" si="488"/>
        <v>167392.57999999999</v>
      </c>
      <c r="D2296" s="273">
        <f t="shared" si="489"/>
        <v>0</v>
      </c>
      <c r="E2296" s="273"/>
      <c r="F2296" s="273"/>
      <c r="G2296" s="273"/>
      <c r="H2296" s="273"/>
      <c r="I2296" s="273"/>
      <c r="J2296" s="273"/>
      <c r="K2296" s="273"/>
      <c r="L2296" s="273"/>
      <c r="M2296" s="273"/>
      <c r="N2296" s="273"/>
      <c r="O2296" s="273"/>
      <c r="P2296" s="273"/>
      <c r="Q2296" s="273"/>
      <c r="R2296" s="273"/>
      <c r="S2296" s="273"/>
      <c r="T2296" s="273"/>
      <c r="U2296" s="273"/>
      <c r="V2296" s="273"/>
      <c r="W2296" s="273">
        <f t="shared" si="490"/>
        <v>167392.57999999999</v>
      </c>
      <c r="X2296" s="273"/>
      <c r="Y2296" s="273"/>
      <c r="AA2296" s="273"/>
      <c r="AB2296" s="273"/>
      <c r="AC2296" s="273"/>
      <c r="AE2296" s="273">
        <v>167392.57999999999</v>
      </c>
      <c r="AF2296" s="16"/>
      <c r="AG2296" s="17"/>
      <c r="AH2296" s="15"/>
      <c r="AI2296" s="13"/>
    </row>
    <row r="2297" spans="1:35" x14ac:dyDescent="0.3">
      <c r="A2297" s="10"/>
      <c r="B2297" s="124" t="s">
        <v>208</v>
      </c>
      <c r="C2297" s="273">
        <f t="shared" ref="C2297:W2297" si="492">SUM(C2249:C2296)</f>
        <v>15589235.680000002</v>
      </c>
      <c r="D2297" s="273">
        <f t="shared" si="492"/>
        <v>5215505.5999999996</v>
      </c>
      <c r="E2297" s="273">
        <f t="shared" si="492"/>
        <v>0</v>
      </c>
      <c r="F2297" s="273">
        <f t="shared" si="492"/>
        <v>4565404.8</v>
      </c>
      <c r="G2297" s="273">
        <f t="shared" si="492"/>
        <v>317326.8</v>
      </c>
      <c r="H2297" s="273">
        <f t="shared" si="492"/>
        <v>291252</v>
      </c>
      <c r="I2297" s="273">
        <f t="shared" si="492"/>
        <v>41522</v>
      </c>
      <c r="J2297" s="273">
        <f t="shared" si="492"/>
        <v>0</v>
      </c>
      <c r="K2297" s="273">
        <f t="shared" si="492"/>
        <v>0</v>
      </c>
      <c r="L2297" s="273">
        <f t="shared" si="492"/>
        <v>0</v>
      </c>
      <c r="M2297" s="273">
        <f t="shared" si="492"/>
        <v>0</v>
      </c>
      <c r="N2297" s="273">
        <f t="shared" si="492"/>
        <v>0</v>
      </c>
      <c r="O2297" s="273">
        <f t="shared" si="492"/>
        <v>0</v>
      </c>
      <c r="P2297" s="273">
        <f t="shared" si="492"/>
        <v>0</v>
      </c>
      <c r="Q2297" s="273">
        <f t="shared" si="492"/>
        <v>0</v>
      </c>
      <c r="R2297" s="273">
        <f t="shared" si="492"/>
        <v>0</v>
      </c>
      <c r="S2297" s="273">
        <f t="shared" si="492"/>
        <v>0</v>
      </c>
      <c r="T2297" s="273">
        <f t="shared" si="492"/>
        <v>0</v>
      </c>
      <c r="U2297" s="273">
        <f t="shared" si="492"/>
        <v>0</v>
      </c>
      <c r="V2297" s="273">
        <f t="shared" si="492"/>
        <v>0</v>
      </c>
      <c r="W2297" s="273">
        <f t="shared" si="492"/>
        <v>10373730.080000002</v>
      </c>
      <c r="X2297" s="273"/>
      <c r="Y2297" s="273"/>
      <c r="Z2297" s="273"/>
      <c r="AA2297" s="273"/>
      <c r="AB2297" s="273"/>
      <c r="AC2297" s="273"/>
      <c r="AD2297" s="273"/>
      <c r="AE2297" s="273"/>
      <c r="AF2297" s="16"/>
      <c r="AG2297" s="17"/>
      <c r="AH2297" s="15"/>
      <c r="AI2297" s="13"/>
    </row>
    <row r="2298" spans="1:35" ht="15" customHeight="1" x14ac:dyDescent="0.3">
      <c r="A2298" s="264" t="s">
        <v>2204</v>
      </c>
      <c r="B2298" s="124"/>
      <c r="C2298" s="273"/>
      <c r="D2298" s="273"/>
      <c r="E2298" s="273"/>
      <c r="F2298" s="273"/>
      <c r="G2298" s="273"/>
      <c r="H2298" s="273"/>
      <c r="I2298" s="273"/>
      <c r="J2298" s="273"/>
      <c r="K2298" s="273"/>
      <c r="L2298" s="273"/>
      <c r="M2298" s="273"/>
      <c r="N2298" s="273"/>
      <c r="O2298" s="273"/>
      <c r="P2298" s="273"/>
      <c r="Q2298" s="273"/>
      <c r="R2298" s="273"/>
      <c r="S2298" s="273"/>
      <c r="T2298" s="273"/>
      <c r="U2298" s="273"/>
      <c r="V2298" s="273"/>
      <c r="W2298" s="273"/>
      <c r="X2298" s="273"/>
      <c r="Y2298" s="273"/>
      <c r="Z2298" s="273"/>
      <c r="AA2298" s="273"/>
      <c r="AB2298" s="273"/>
      <c r="AC2298" s="273"/>
      <c r="AD2298" s="273"/>
      <c r="AE2298" s="273"/>
      <c r="AF2298" s="16"/>
      <c r="AG2298" s="17"/>
      <c r="AH2298" s="15"/>
      <c r="AI2298" s="13"/>
    </row>
    <row r="2299" spans="1:35" x14ac:dyDescent="0.3">
      <c r="A2299" s="10">
        <f>A2296+1</f>
        <v>2040</v>
      </c>
      <c r="B2299" s="124" t="s">
        <v>2923</v>
      </c>
      <c r="C2299" s="273">
        <f t="shared" ref="C2299:C2305" si="493">D2299+K2299+L2299+N2299+P2299+R2299+S2299+U2299+V2299+W2299</f>
        <v>186219.35</v>
      </c>
      <c r="D2299" s="273">
        <f t="shared" ref="D2299:D2305" si="494">E2299+F2299+G2299+H2299+I2299</f>
        <v>0</v>
      </c>
      <c r="E2299" s="273"/>
      <c r="F2299" s="273"/>
      <c r="G2299" s="273"/>
      <c r="H2299" s="273"/>
      <c r="I2299" s="273"/>
      <c r="J2299" s="273"/>
      <c r="K2299" s="273"/>
      <c r="L2299" s="273"/>
      <c r="M2299" s="273"/>
      <c r="N2299" s="273"/>
      <c r="O2299" s="273"/>
      <c r="P2299" s="273"/>
      <c r="Q2299" s="273"/>
      <c r="R2299" s="273"/>
      <c r="S2299" s="273"/>
      <c r="T2299" s="273"/>
      <c r="U2299" s="273"/>
      <c r="V2299" s="273"/>
      <c r="W2299" s="273">
        <f>SUM(Y2299:AH2299)</f>
        <v>186219.35</v>
      </c>
      <c r="X2299" s="273"/>
      <c r="Y2299" s="273"/>
      <c r="Z2299" s="273"/>
      <c r="AA2299" s="273"/>
      <c r="AB2299" s="273"/>
      <c r="AC2299" s="273"/>
      <c r="AD2299" s="273"/>
      <c r="AE2299" s="273">
        <v>186219.35</v>
      </c>
      <c r="AF2299" s="16"/>
      <c r="AG2299" s="17"/>
      <c r="AH2299" s="15"/>
      <c r="AI2299" s="13"/>
    </row>
    <row r="2300" spans="1:35" x14ac:dyDescent="0.3">
      <c r="A2300" s="10">
        <f t="shared" ref="A2300:A2306" si="495">A2299+1</f>
        <v>2041</v>
      </c>
      <c r="B2300" s="124" t="s">
        <v>2924</v>
      </c>
      <c r="C2300" s="273">
        <f t="shared" si="493"/>
        <v>187008.18</v>
      </c>
      <c r="D2300" s="273">
        <f t="shared" si="494"/>
        <v>0</v>
      </c>
      <c r="E2300" s="273"/>
      <c r="F2300" s="273"/>
      <c r="G2300" s="273"/>
      <c r="H2300" s="273"/>
      <c r="I2300" s="273"/>
      <c r="J2300" s="273"/>
      <c r="K2300" s="273"/>
      <c r="L2300" s="273"/>
      <c r="M2300" s="273"/>
      <c r="N2300" s="273"/>
      <c r="O2300" s="273"/>
      <c r="P2300" s="273"/>
      <c r="Q2300" s="273"/>
      <c r="R2300" s="273"/>
      <c r="S2300" s="273"/>
      <c r="T2300" s="273"/>
      <c r="U2300" s="273"/>
      <c r="V2300" s="273"/>
      <c r="W2300" s="273">
        <f>SUM(Y2300:AH2300)</f>
        <v>187008.18</v>
      </c>
      <c r="X2300" s="273"/>
      <c r="Y2300" s="273"/>
      <c r="Z2300" s="273"/>
      <c r="AA2300" s="273"/>
      <c r="AB2300" s="273"/>
      <c r="AC2300" s="273"/>
      <c r="AD2300" s="273"/>
      <c r="AE2300" s="273">
        <v>187008.18</v>
      </c>
      <c r="AF2300" s="16"/>
      <c r="AG2300" s="17"/>
      <c r="AH2300" s="15"/>
      <c r="AI2300" s="13"/>
    </row>
    <row r="2301" spans="1:35" x14ac:dyDescent="0.3">
      <c r="A2301" s="10">
        <f t="shared" si="495"/>
        <v>2042</v>
      </c>
      <c r="B2301" s="124" t="s">
        <v>2925</v>
      </c>
      <c r="C2301" s="273">
        <f t="shared" si="493"/>
        <v>198893.23</v>
      </c>
      <c r="D2301" s="273">
        <f t="shared" si="494"/>
        <v>0</v>
      </c>
      <c r="E2301" s="273"/>
      <c r="F2301" s="273"/>
      <c r="G2301" s="273"/>
      <c r="H2301" s="273"/>
      <c r="I2301" s="273"/>
      <c r="J2301" s="273"/>
      <c r="K2301" s="273"/>
      <c r="L2301" s="273"/>
      <c r="M2301" s="273"/>
      <c r="N2301" s="273"/>
      <c r="O2301" s="273"/>
      <c r="P2301" s="273"/>
      <c r="Q2301" s="273"/>
      <c r="R2301" s="273"/>
      <c r="S2301" s="273"/>
      <c r="T2301" s="273"/>
      <c r="U2301" s="273"/>
      <c r="V2301" s="273"/>
      <c r="W2301" s="273">
        <f>SUM(Y2301:AH2301)</f>
        <v>198893.23</v>
      </c>
      <c r="X2301" s="273"/>
      <c r="Y2301" s="273"/>
      <c r="Z2301" s="273"/>
      <c r="AA2301" s="273"/>
      <c r="AB2301" s="273"/>
      <c r="AC2301" s="273"/>
      <c r="AD2301" s="273"/>
      <c r="AE2301" s="273">
        <v>198893.23</v>
      </c>
      <c r="AF2301" s="16"/>
      <c r="AG2301" s="17"/>
      <c r="AH2301" s="15"/>
      <c r="AI2301" s="13"/>
    </row>
    <row r="2302" spans="1:35" x14ac:dyDescent="0.3">
      <c r="A2302" s="10">
        <f t="shared" si="495"/>
        <v>2043</v>
      </c>
      <c r="B2302" s="124" t="s">
        <v>2926</v>
      </c>
      <c r="C2302" s="273">
        <f t="shared" si="493"/>
        <v>198209.58</v>
      </c>
      <c r="D2302" s="273">
        <f t="shared" si="494"/>
        <v>0</v>
      </c>
      <c r="E2302" s="273"/>
      <c r="F2302" s="273"/>
      <c r="G2302" s="273"/>
      <c r="H2302" s="273"/>
      <c r="I2302" s="273"/>
      <c r="J2302" s="273"/>
      <c r="K2302" s="273"/>
      <c r="L2302" s="273"/>
      <c r="M2302" s="273"/>
      <c r="N2302" s="273"/>
      <c r="O2302" s="273"/>
      <c r="P2302" s="273"/>
      <c r="Q2302" s="273"/>
      <c r="R2302" s="273"/>
      <c r="S2302" s="273"/>
      <c r="T2302" s="273"/>
      <c r="U2302" s="273"/>
      <c r="V2302" s="273"/>
      <c r="W2302" s="273">
        <f>SUM(Y2302:AH2302)</f>
        <v>198209.58</v>
      </c>
      <c r="X2302" s="273"/>
      <c r="Y2302" s="273"/>
      <c r="Z2302" s="273"/>
      <c r="AA2302" s="273"/>
      <c r="AB2302" s="273"/>
      <c r="AC2302" s="273"/>
      <c r="AD2302" s="273"/>
      <c r="AE2302" s="273">
        <v>198209.58</v>
      </c>
      <c r="AF2302" s="16"/>
      <c r="AG2302" s="17"/>
      <c r="AH2302" s="15"/>
      <c r="AI2302" s="13"/>
    </row>
    <row r="2303" spans="1:35" x14ac:dyDescent="0.3">
      <c r="A2303" s="10">
        <f t="shared" si="495"/>
        <v>2044</v>
      </c>
      <c r="B2303" s="124" t="s">
        <v>2929</v>
      </c>
      <c r="C2303" s="273">
        <f t="shared" si="493"/>
        <v>442031.64</v>
      </c>
      <c r="D2303" s="273">
        <f t="shared" si="494"/>
        <v>0</v>
      </c>
      <c r="E2303" s="273"/>
      <c r="F2303" s="273"/>
      <c r="G2303" s="273"/>
      <c r="H2303" s="273"/>
      <c r="I2303" s="273"/>
      <c r="J2303" s="273"/>
      <c r="K2303" s="273"/>
      <c r="L2303" s="273"/>
      <c r="M2303" s="273"/>
      <c r="N2303" s="273"/>
      <c r="O2303" s="273"/>
      <c r="P2303" s="273"/>
      <c r="Q2303" s="273"/>
      <c r="R2303" s="273"/>
      <c r="S2303" s="273"/>
      <c r="T2303" s="273"/>
      <c r="U2303" s="273"/>
      <c r="V2303" s="273"/>
      <c r="W2303" s="273">
        <f>SUM(Y2303:AH2303)</f>
        <v>442031.64</v>
      </c>
      <c r="X2303" s="273"/>
      <c r="Y2303" s="273"/>
      <c r="Z2303" s="273">
        <v>235210.92</v>
      </c>
      <c r="AA2303" s="273">
        <v>206820.72</v>
      </c>
      <c r="AB2303" s="273"/>
      <c r="AC2303" s="273"/>
      <c r="AD2303" s="273"/>
      <c r="AE2303" s="273"/>
      <c r="AF2303" s="16"/>
      <c r="AG2303" s="17"/>
      <c r="AH2303" s="15"/>
      <c r="AI2303" s="13"/>
    </row>
    <row r="2304" spans="1:35" x14ac:dyDescent="0.3">
      <c r="A2304" s="10">
        <f t="shared" si="495"/>
        <v>2045</v>
      </c>
      <c r="B2304" s="124" t="s">
        <v>2932</v>
      </c>
      <c r="C2304" s="273">
        <f t="shared" si="493"/>
        <v>5283571.2</v>
      </c>
      <c r="D2304" s="273">
        <f t="shared" si="494"/>
        <v>0</v>
      </c>
      <c r="E2304" s="273"/>
      <c r="F2304" s="273"/>
      <c r="G2304" s="273"/>
      <c r="H2304" s="273"/>
      <c r="I2304" s="273"/>
      <c r="J2304" s="273"/>
      <c r="K2304" s="273"/>
      <c r="L2304" s="273"/>
      <c r="M2304" s="273"/>
      <c r="N2304" s="273"/>
      <c r="O2304" s="273">
        <v>637</v>
      </c>
      <c r="P2304" s="273">
        <v>5283571.2</v>
      </c>
      <c r="Q2304" s="273"/>
      <c r="R2304" s="273"/>
      <c r="S2304" s="273"/>
      <c r="T2304" s="273"/>
      <c r="U2304" s="273"/>
      <c r="V2304" s="273"/>
      <c r="W2304" s="273"/>
      <c r="X2304" s="273"/>
      <c r="Y2304" s="273"/>
      <c r="Z2304" s="273"/>
      <c r="AA2304" s="273"/>
      <c r="AB2304" s="273"/>
      <c r="AC2304" s="273"/>
      <c r="AD2304" s="273"/>
      <c r="AE2304" s="273"/>
      <c r="AF2304" s="16"/>
      <c r="AG2304" s="17"/>
      <c r="AH2304" s="15"/>
      <c r="AI2304" s="13"/>
    </row>
    <row r="2305" spans="1:35" x14ac:dyDescent="0.3">
      <c r="A2305" s="10">
        <f t="shared" si="495"/>
        <v>2046</v>
      </c>
      <c r="B2305" s="124" t="s">
        <v>2933</v>
      </c>
      <c r="C2305" s="273">
        <f t="shared" si="493"/>
        <v>498444.68</v>
      </c>
      <c r="D2305" s="273">
        <f t="shared" si="494"/>
        <v>0</v>
      </c>
      <c r="E2305" s="273"/>
      <c r="F2305" s="273"/>
      <c r="G2305" s="273"/>
      <c r="H2305" s="273"/>
      <c r="I2305" s="273"/>
      <c r="J2305" s="273"/>
      <c r="K2305" s="273"/>
      <c r="L2305" s="273"/>
      <c r="M2305" s="273"/>
      <c r="N2305" s="273"/>
      <c r="O2305" s="273"/>
      <c r="P2305" s="273"/>
      <c r="Q2305" s="273"/>
      <c r="R2305" s="273"/>
      <c r="S2305" s="273"/>
      <c r="T2305" s="273"/>
      <c r="U2305" s="273"/>
      <c r="V2305" s="273"/>
      <c r="W2305" s="273">
        <f>SUM(Y2305:AH2305)</f>
        <v>498444.68</v>
      </c>
      <c r="X2305" s="273"/>
      <c r="Y2305" s="273"/>
      <c r="Z2305" s="273"/>
      <c r="AA2305" s="273"/>
      <c r="AB2305" s="273"/>
      <c r="AC2305" s="273"/>
      <c r="AD2305" s="273"/>
      <c r="AE2305" s="273">
        <v>498444.68</v>
      </c>
      <c r="AF2305" s="16"/>
      <c r="AG2305" s="17"/>
      <c r="AH2305" s="15"/>
      <c r="AI2305" s="13"/>
    </row>
    <row r="2306" spans="1:35" x14ac:dyDescent="0.3">
      <c r="A2306" s="10">
        <f t="shared" si="495"/>
        <v>2047</v>
      </c>
      <c r="B2306" s="124" t="s">
        <v>2935</v>
      </c>
      <c r="C2306" s="273">
        <f>D2306+K2306+L2306+N2306+P2306+R2306+S2306+U2306+V2306+W2306</f>
        <v>4217338.03</v>
      </c>
      <c r="D2306" s="273">
        <f>E2306+F2306+G2306+H2306+I2306</f>
        <v>0</v>
      </c>
      <c r="E2306" s="273"/>
      <c r="F2306" s="273"/>
      <c r="G2306" s="273"/>
      <c r="H2306" s="273"/>
      <c r="I2306" s="273"/>
      <c r="J2306" s="273"/>
      <c r="K2306" s="273"/>
      <c r="L2306" s="273"/>
      <c r="M2306" s="273">
        <v>13</v>
      </c>
      <c r="N2306" s="273">
        <v>4004712</v>
      </c>
      <c r="O2306" s="273"/>
      <c r="P2306" s="273"/>
      <c r="Q2306" s="273"/>
      <c r="R2306" s="273"/>
      <c r="S2306" s="273"/>
      <c r="T2306" s="273"/>
      <c r="U2306" s="273"/>
      <c r="V2306" s="273"/>
      <c r="W2306" s="273">
        <f>SUM(Y2306:AH2306)</f>
        <v>212626.03</v>
      </c>
      <c r="X2306" s="273"/>
      <c r="Y2306" s="273">
        <v>212626.03</v>
      </c>
      <c r="Z2306" s="273"/>
      <c r="AA2306" s="273"/>
      <c r="AB2306" s="273"/>
      <c r="AC2306" s="273"/>
      <c r="AD2306" s="273"/>
      <c r="AE2306" s="273"/>
      <c r="AF2306" s="16"/>
      <c r="AG2306" s="17"/>
      <c r="AH2306" s="15"/>
      <c r="AI2306" s="13"/>
    </row>
    <row r="2307" spans="1:35" x14ac:dyDescent="0.3">
      <c r="A2307" s="10"/>
      <c r="B2307" s="124" t="s">
        <v>208</v>
      </c>
      <c r="C2307" s="273">
        <f t="shared" ref="C2307:W2307" si="496">SUM(C2299:C2306)</f>
        <v>11211715.890000001</v>
      </c>
      <c r="D2307" s="273">
        <f t="shared" si="496"/>
        <v>0</v>
      </c>
      <c r="E2307" s="273">
        <f t="shared" si="496"/>
        <v>0</v>
      </c>
      <c r="F2307" s="273">
        <f t="shared" si="496"/>
        <v>0</v>
      </c>
      <c r="G2307" s="273">
        <f t="shared" si="496"/>
        <v>0</v>
      </c>
      <c r="H2307" s="273">
        <f t="shared" si="496"/>
        <v>0</v>
      </c>
      <c r="I2307" s="273">
        <f t="shared" si="496"/>
        <v>0</v>
      </c>
      <c r="J2307" s="273">
        <f t="shared" si="496"/>
        <v>0</v>
      </c>
      <c r="K2307" s="273">
        <f t="shared" si="496"/>
        <v>0</v>
      </c>
      <c r="L2307" s="273">
        <f t="shared" si="496"/>
        <v>0</v>
      </c>
      <c r="M2307" s="273">
        <f t="shared" si="496"/>
        <v>13</v>
      </c>
      <c r="N2307" s="273">
        <f t="shared" si="496"/>
        <v>4004712</v>
      </c>
      <c r="O2307" s="273">
        <f t="shared" si="496"/>
        <v>637</v>
      </c>
      <c r="P2307" s="273">
        <f t="shared" si="496"/>
        <v>5283571.2</v>
      </c>
      <c r="Q2307" s="273">
        <f t="shared" si="496"/>
        <v>0</v>
      </c>
      <c r="R2307" s="273">
        <f t="shared" si="496"/>
        <v>0</v>
      </c>
      <c r="S2307" s="273">
        <f t="shared" si="496"/>
        <v>0</v>
      </c>
      <c r="T2307" s="273">
        <f t="shared" si="496"/>
        <v>0</v>
      </c>
      <c r="U2307" s="273">
        <f t="shared" si="496"/>
        <v>0</v>
      </c>
      <c r="V2307" s="273">
        <f t="shared" si="496"/>
        <v>0</v>
      </c>
      <c r="W2307" s="273">
        <f t="shared" si="496"/>
        <v>1923432.69</v>
      </c>
      <c r="X2307" s="273"/>
      <c r="Y2307" s="273"/>
      <c r="Z2307" s="273"/>
      <c r="AA2307" s="273"/>
      <c r="AB2307" s="273"/>
      <c r="AC2307" s="273"/>
      <c r="AD2307" s="273"/>
      <c r="AE2307" s="273"/>
      <c r="AF2307" s="16"/>
      <c r="AG2307" s="17"/>
      <c r="AH2307" s="15"/>
      <c r="AI2307" s="13"/>
    </row>
    <row r="2308" spans="1:35" ht="15" customHeight="1" x14ac:dyDescent="0.3">
      <c r="A2308" s="264" t="s">
        <v>2936</v>
      </c>
      <c r="B2308" s="124"/>
      <c r="C2308" s="273"/>
      <c r="D2308" s="273"/>
      <c r="E2308" s="273"/>
      <c r="F2308" s="273"/>
      <c r="G2308" s="273"/>
      <c r="H2308" s="273"/>
      <c r="I2308" s="273"/>
      <c r="J2308" s="273"/>
      <c r="K2308" s="273"/>
      <c r="L2308" s="273"/>
      <c r="M2308" s="273"/>
      <c r="N2308" s="273"/>
      <c r="O2308" s="273"/>
      <c r="P2308" s="273"/>
      <c r="Q2308" s="273"/>
      <c r="R2308" s="273"/>
      <c r="S2308" s="273"/>
      <c r="T2308" s="273"/>
      <c r="U2308" s="273"/>
      <c r="V2308" s="273"/>
      <c r="W2308" s="273"/>
      <c r="X2308" s="273"/>
      <c r="Y2308" s="273"/>
      <c r="Z2308" s="273"/>
      <c r="AA2308" s="273"/>
      <c r="AB2308" s="273"/>
      <c r="AC2308" s="273"/>
      <c r="AD2308" s="273"/>
      <c r="AE2308" s="273"/>
      <c r="AF2308" s="16"/>
      <c r="AG2308" s="17"/>
      <c r="AH2308" s="15"/>
      <c r="AI2308" s="13"/>
    </row>
    <row r="2309" spans="1:35" x14ac:dyDescent="0.3">
      <c r="A2309" s="10">
        <f>A2306+1</f>
        <v>2048</v>
      </c>
      <c r="B2309" s="124" t="s">
        <v>2937</v>
      </c>
      <c r="C2309" s="273">
        <f t="shared" ref="C2309:C2316" si="497">D2309+K2309+L2309+N2309+P2309+R2309+S2309+U2309+V2309+W2309</f>
        <v>211094.75</v>
      </c>
      <c r="D2309" s="273">
        <f t="shared" ref="D2309:D2316" si="498">E2309+F2309+G2309+H2309+I2309</f>
        <v>0</v>
      </c>
      <c r="E2309" s="273"/>
      <c r="F2309" s="273"/>
      <c r="G2309" s="273"/>
      <c r="H2309" s="273"/>
      <c r="I2309" s="273"/>
      <c r="J2309" s="273"/>
      <c r="K2309" s="273"/>
      <c r="L2309" s="273"/>
      <c r="M2309" s="273"/>
      <c r="N2309" s="273"/>
      <c r="O2309" s="273"/>
      <c r="P2309" s="273"/>
      <c r="Q2309" s="273"/>
      <c r="R2309" s="273"/>
      <c r="S2309" s="273"/>
      <c r="T2309" s="273"/>
      <c r="U2309" s="273"/>
      <c r="V2309" s="273"/>
      <c r="W2309" s="273">
        <f t="shared" ref="W2309:W2316" si="499">SUM(Y2309:AH2309)</f>
        <v>211094.75</v>
      </c>
      <c r="X2309" s="273"/>
      <c r="Y2309" s="273"/>
      <c r="Z2309" s="273"/>
      <c r="AA2309" s="273"/>
      <c r="AB2309" s="273"/>
      <c r="AC2309" s="273"/>
      <c r="AD2309" s="273"/>
      <c r="AE2309" s="273">
        <v>211094.75</v>
      </c>
      <c r="AF2309" s="16"/>
      <c r="AG2309" s="17"/>
      <c r="AH2309" s="15"/>
      <c r="AI2309" s="13"/>
    </row>
    <row r="2310" spans="1:35" x14ac:dyDescent="0.3">
      <c r="A2310" s="10">
        <f t="shared" ref="A2310:A2316" si="500">A2309+1</f>
        <v>2049</v>
      </c>
      <c r="B2310" s="124" t="s">
        <v>2938</v>
      </c>
      <c r="C2310" s="273">
        <f t="shared" si="497"/>
        <v>195331.16</v>
      </c>
      <c r="D2310" s="273">
        <f t="shared" si="498"/>
        <v>0</v>
      </c>
      <c r="E2310" s="273"/>
      <c r="F2310" s="273"/>
      <c r="G2310" s="273"/>
      <c r="H2310" s="273"/>
      <c r="I2310" s="273"/>
      <c r="J2310" s="273"/>
      <c r="K2310" s="273"/>
      <c r="L2310" s="273"/>
      <c r="M2310" s="273"/>
      <c r="N2310" s="273"/>
      <c r="O2310" s="273"/>
      <c r="P2310" s="273"/>
      <c r="Q2310" s="273"/>
      <c r="R2310" s="273"/>
      <c r="S2310" s="273"/>
      <c r="T2310" s="273"/>
      <c r="U2310" s="273"/>
      <c r="V2310" s="273"/>
      <c r="W2310" s="273">
        <f t="shared" si="499"/>
        <v>195331.16</v>
      </c>
      <c r="X2310" s="273"/>
      <c r="Y2310" s="273"/>
      <c r="Z2310" s="273"/>
      <c r="AA2310" s="273"/>
      <c r="AB2310" s="273"/>
      <c r="AC2310" s="273"/>
      <c r="AD2310" s="273"/>
      <c r="AE2310" s="273">
        <v>195331.16</v>
      </c>
      <c r="AF2310" s="16"/>
      <c r="AG2310" s="17"/>
      <c r="AH2310" s="15"/>
      <c r="AI2310" s="13"/>
    </row>
    <row r="2311" spans="1:35" x14ac:dyDescent="0.3">
      <c r="A2311" s="10">
        <f t="shared" si="500"/>
        <v>2050</v>
      </c>
      <c r="B2311" s="124" t="s">
        <v>2939</v>
      </c>
      <c r="C2311" s="273">
        <f t="shared" si="497"/>
        <v>220969.14</v>
      </c>
      <c r="D2311" s="273">
        <f t="shared" si="498"/>
        <v>0</v>
      </c>
      <c r="E2311" s="273"/>
      <c r="F2311" s="273"/>
      <c r="G2311" s="273"/>
      <c r="H2311" s="273"/>
      <c r="I2311" s="273"/>
      <c r="J2311" s="273"/>
      <c r="K2311" s="273"/>
      <c r="L2311" s="273"/>
      <c r="M2311" s="273"/>
      <c r="N2311" s="273"/>
      <c r="O2311" s="273"/>
      <c r="P2311" s="273"/>
      <c r="Q2311" s="273"/>
      <c r="R2311" s="273"/>
      <c r="S2311" s="273"/>
      <c r="T2311" s="273"/>
      <c r="U2311" s="273"/>
      <c r="V2311" s="273"/>
      <c r="W2311" s="273">
        <f t="shared" si="499"/>
        <v>220969.14</v>
      </c>
      <c r="X2311" s="273"/>
      <c r="Y2311" s="273"/>
      <c r="Z2311" s="273"/>
      <c r="AA2311" s="273"/>
      <c r="AB2311" s="273"/>
      <c r="AC2311" s="273"/>
      <c r="AD2311" s="273"/>
      <c r="AE2311" s="273">
        <v>220969.14</v>
      </c>
      <c r="AF2311" s="16"/>
      <c r="AG2311" s="17"/>
      <c r="AH2311" s="15"/>
      <c r="AI2311" s="13"/>
    </row>
    <row r="2312" spans="1:35" s="40" customFormat="1" ht="21.75" customHeight="1" x14ac:dyDescent="0.3">
      <c r="A2312" s="259">
        <f>A2309+1</f>
        <v>2049</v>
      </c>
      <c r="B2312" s="20" t="s">
        <v>2940</v>
      </c>
      <c r="C2312" s="273">
        <f t="shared" si="497"/>
        <v>3020534.4</v>
      </c>
      <c r="D2312" s="273">
        <f>E2312+F2312+G2312+H2312+I2312</f>
        <v>0</v>
      </c>
      <c r="E2312" s="273"/>
      <c r="F2312" s="273"/>
      <c r="G2312" s="273"/>
      <c r="H2312" s="273"/>
      <c r="I2312" s="273"/>
      <c r="J2312" s="273"/>
      <c r="K2312" s="273"/>
      <c r="L2312" s="273"/>
      <c r="M2312" s="273"/>
      <c r="N2312" s="273"/>
      <c r="O2312" s="273"/>
      <c r="P2312" s="273"/>
      <c r="Q2312" s="273"/>
      <c r="R2312" s="273"/>
      <c r="S2312" s="273"/>
      <c r="T2312" s="273">
        <v>61.2</v>
      </c>
      <c r="U2312" s="273">
        <v>3020534.4</v>
      </c>
      <c r="V2312" s="273"/>
      <c r="W2312" s="273"/>
      <c r="X2312" s="273"/>
      <c r="Y2312" s="273"/>
      <c r="Z2312" s="273"/>
      <c r="AA2312" s="273"/>
      <c r="AB2312" s="273"/>
      <c r="AC2312" s="16"/>
      <c r="AD2312" s="17"/>
      <c r="AE2312" s="15"/>
      <c r="AF2312" s="13"/>
    </row>
    <row r="2313" spans="1:35" x14ac:dyDescent="0.3">
      <c r="A2313" s="10">
        <f>A2311+1</f>
        <v>2051</v>
      </c>
      <c r="B2313" s="124" t="s">
        <v>2942</v>
      </c>
      <c r="C2313" s="273">
        <f t="shared" si="497"/>
        <v>171967.8</v>
      </c>
      <c r="D2313" s="273">
        <f t="shared" si="498"/>
        <v>0</v>
      </c>
      <c r="E2313" s="273"/>
      <c r="F2313" s="273"/>
      <c r="G2313" s="273"/>
      <c r="H2313" s="273"/>
      <c r="I2313" s="273"/>
      <c r="J2313" s="273"/>
      <c r="K2313" s="273"/>
      <c r="L2313" s="273"/>
      <c r="M2313" s="273"/>
      <c r="N2313" s="273"/>
      <c r="O2313" s="273"/>
      <c r="P2313" s="273"/>
      <c r="Q2313" s="273"/>
      <c r="R2313" s="273"/>
      <c r="S2313" s="273"/>
      <c r="T2313" s="273"/>
      <c r="U2313" s="273"/>
      <c r="V2313" s="273"/>
      <c r="W2313" s="273">
        <f t="shared" si="499"/>
        <v>171967.8</v>
      </c>
      <c r="X2313" s="273"/>
      <c r="Y2313" s="273"/>
      <c r="Z2313" s="273"/>
      <c r="AA2313" s="273"/>
      <c r="AB2313" s="273"/>
      <c r="AC2313" s="273"/>
      <c r="AD2313" s="273"/>
      <c r="AE2313" s="273">
        <v>171967.8</v>
      </c>
      <c r="AF2313" s="16"/>
      <c r="AG2313" s="17"/>
      <c r="AH2313" s="15"/>
      <c r="AI2313" s="13"/>
    </row>
    <row r="2314" spans="1:35" x14ac:dyDescent="0.3">
      <c r="A2314" s="10">
        <f t="shared" si="500"/>
        <v>2052</v>
      </c>
      <c r="B2314" s="124" t="s">
        <v>2943</v>
      </c>
      <c r="C2314" s="273">
        <f t="shared" si="497"/>
        <v>171967.8</v>
      </c>
      <c r="D2314" s="273">
        <f t="shared" si="498"/>
        <v>0</v>
      </c>
      <c r="E2314" s="273"/>
      <c r="F2314" s="273"/>
      <c r="G2314" s="273"/>
      <c r="H2314" s="273"/>
      <c r="I2314" s="273"/>
      <c r="J2314" s="273"/>
      <c r="K2314" s="273"/>
      <c r="L2314" s="273"/>
      <c r="M2314" s="273"/>
      <c r="N2314" s="273"/>
      <c r="O2314" s="273"/>
      <c r="P2314" s="273"/>
      <c r="Q2314" s="273"/>
      <c r="R2314" s="273"/>
      <c r="S2314" s="273"/>
      <c r="T2314" s="273"/>
      <c r="U2314" s="273"/>
      <c r="V2314" s="273"/>
      <c r="W2314" s="273">
        <f t="shared" si="499"/>
        <v>171967.8</v>
      </c>
      <c r="X2314" s="273"/>
      <c r="Y2314" s="273"/>
      <c r="Z2314" s="273"/>
      <c r="AA2314" s="273"/>
      <c r="AB2314" s="273"/>
      <c r="AC2314" s="273"/>
      <c r="AD2314" s="273"/>
      <c r="AE2314" s="273">
        <v>171967.8</v>
      </c>
      <c r="AF2314" s="16"/>
      <c r="AG2314" s="17"/>
      <c r="AH2314" s="15"/>
      <c r="AI2314" s="13"/>
    </row>
    <row r="2315" spans="1:35" x14ac:dyDescent="0.3">
      <c r="A2315" s="10">
        <f t="shared" si="500"/>
        <v>2053</v>
      </c>
      <c r="B2315" s="124" t="s">
        <v>2944</v>
      </c>
      <c r="C2315" s="273">
        <f t="shared" si="497"/>
        <v>171967.8</v>
      </c>
      <c r="D2315" s="273">
        <f t="shared" si="498"/>
        <v>0</v>
      </c>
      <c r="E2315" s="273"/>
      <c r="F2315" s="273"/>
      <c r="G2315" s="273"/>
      <c r="H2315" s="273"/>
      <c r="I2315" s="273"/>
      <c r="J2315" s="273"/>
      <c r="K2315" s="273"/>
      <c r="L2315" s="273"/>
      <c r="M2315" s="273"/>
      <c r="N2315" s="273"/>
      <c r="O2315" s="273"/>
      <c r="P2315" s="273"/>
      <c r="Q2315" s="273"/>
      <c r="R2315" s="273"/>
      <c r="S2315" s="273"/>
      <c r="T2315" s="273"/>
      <c r="U2315" s="273"/>
      <c r="V2315" s="273"/>
      <c r="W2315" s="273">
        <f t="shared" si="499"/>
        <v>171967.8</v>
      </c>
      <c r="X2315" s="273"/>
      <c r="Y2315" s="273"/>
      <c r="Z2315" s="273"/>
      <c r="AA2315" s="273"/>
      <c r="AB2315" s="273"/>
      <c r="AC2315" s="273"/>
      <c r="AD2315" s="273"/>
      <c r="AE2315" s="273">
        <v>171967.8</v>
      </c>
      <c r="AF2315" s="16"/>
      <c r="AG2315" s="17"/>
      <c r="AH2315" s="15"/>
      <c r="AI2315" s="13"/>
    </row>
    <row r="2316" spans="1:35" x14ac:dyDescent="0.3">
      <c r="A2316" s="10">
        <f t="shared" si="500"/>
        <v>2054</v>
      </c>
      <c r="B2316" s="124" t="s">
        <v>2945</v>
      </c>
      <c r="C2316" s="273">
        <f t="shared" si="497"/>
        <v>171967.8</v>
      </c>
      <c r="D2316" s="273">
        <f t="shared" si="498"/>
        <v>0</v>
      </c>
      <c r="E2316" s="273"/>
      <c r="F2316" s="273"/>
      <c r="G2316" s="273"/>
      <c r="H2316" s="273"/>
      <c r="I2316" s="273"/>
      <c r="J2316" s="273"/>
      <c r="K2316" s="273"/>
      <c r="L2316" s="273"/>
      <c r="M2316" s="273"/>
      <c r="N2316" s="273"/>
      <c r="O2316" s="273"/>
      <c r="P2316" s="273"/>
      <c r="Q2316" s="273"/>
      <c r="R2316" s="273"/>
      <c r="S2316" s="273"/>
      <c r="T2316" s="273"/>
      <c r="U2316" s="273"/>
      <c r="V2316" s="273"/>
      <c r="W2316" s="273">
        <f t="shared" si="499"/>
        <v>171967.8</v>
      </c>
      <c r="X2316" s="273"/>
      <c r="Y2316" s="273"/>
      <c r="Z2316" s="273"/>
      <c r="AA2316" s="273"/>
      <c r="AB2316" s="273"/>
      <c r="AC2316" s="273"/>
      <c r="AD2316" s="273"/>
      <c r="AE2316" s="273">
        <v>171967.8</v>
      </c>
      <c r="AF2316" s="16"/>
      <c r="AG2316" s="17"/>
      <c r="AH2316" s="15"/>
      <c r="AI2316" s="13"/>
    </row>
    <row r="2317" spans="1:35" x14ac:dyDescent="0.3">
      <c r="A2317" s="10"/>
      <c r="B2317" s="124" t="s">
        <v>208</v>
      </c>
      <c r="C2317" s="273">
        <f>SUM(C2309:C2316)</f>
        <v>4335800.6499999994</v>
      </c>
      <c r="D2317" s="273">
        <f t="shared" ref="D2317:W2317" si="501">SUM(D2309:D2316)</f>
        <v>0</v>
      </c>
      <c r="E2317" s="273">
        <f t="shared" si="501"/>
        <v>0</v>
      </c>
      <c r="F2317" s="273">
        <f t="shared" si="501"/>
        <v>0</v>
      </c>
      <c r="G2317" s="273">
        <f t="shared" si="501"/>
        <v>0</v>
      </c>
      <c r="H2317" s="273">
        <f t="shared" si="501"/>
        <v>0</v>
      </c>
      <c r="I2317" s="273">
        <f t="shared" si="501"/>
        <v>0</v>
      </c>
      <c r="J2317" s="273">
        <f t="shared" si="501"/>
        <v>0</v>
      </c>
      <c r="K2317" s="273">
        <f t="shared" si="501"/>
        <v>0</v>
      </c>
      <c r="L2317" s="273">
        <f t="shared" si="501"/>
        <v>0</v>
      </c>
      <c r="M2317" s="273">
        <f t="shared" si="501"/>
        <v>0</v>
      </c>
      <c r="N2317" s="273">
        <f t="shared" si="501"/>
        <v>0</v>
      </c>
      <c r="O2317" s="273">
        <f t="shared" si="501"/>
        <v>0</v>
      </c>
      <c r="P2317" s="273">
        <f t="shared" si="501"/>
        <v>0</v>
      </c>
      <c r="Q2317" s="273">
        <f t="shared" si="501"/>
        <v>0</v>
      </c>
      <c r="R2317" s="273">
        <f t="shared" si="501"/>
        <v>0</v>
      </c>
      <c r="S2317" s="273">
        <f t="shared" si="501"/>
        <v>0</v>
      </c>
      <c r="T2317" s="273">
        <f t="shared" si="501"/>
        <v>61.2</v>
      </c>
      <c r="U2317" s="273">
        <f t="shared" si="501"/>
        <v>3020534.4</v>
      </c>
      <c r="V2317" s="273">
        <f t="shared" si="501"/>
        <v>0</v>
      </c>
      <c r="W2317" s="273">
        <f t="shared" si="501"/>
        <v>1315266.2500000002</v>
      </c>
      <c r="X2317" s="273"/>
      <c r="Y2317" s="273"/>
      <c r="Z2317" s="273"/>
      <c r="AA2317" s="273"/>
      <c r="AB2317" s="273"/>
      <c r="AC2317" s="273"/>
      <c r="AD2317" s="273"/>
      <c r="AE2317" s="273"/>
      <c r="AF2317" s="16"/>
      <c r="AG2317" s="17"/>
      <c r="AH2317" s="15"/>
      <c r="AI2317" s="13"/>
    </row>
    <row r="2318" spans="1:35" ht="15" customHeight="1" x14ac:dyDescent="0.3">
      <c r="A2318" s="264" t="s">
        <v>2946</v>
      </c>
      <c r="B2318" s="124"/>
      <c r="C2318" s="273"/>
      <c r="D2318" s="273"/>
      <c r="E2318" s="273"/>
      <c r="F2318" s="273"/>
      <c r="G2318" s="273"/>
      <c r="H2318" s="273"/>
      <c r="I2318" s="273"/>
      <c r="J2318" s="273"/>
      <c r="K2318" s="273"/>
      <c r="L2318" s="273"/>
      <c r="M2318" s="273"/>
      <c r="N2318" s="273"/>
      <c r="O2318" s="273"/>
      <c r="P2318" s="273"/>
      <c r="Q2318" s="273"/>
      <c r="R2318" s="273"/>
      <c r="S2318" s="273"/>
      <c r="T2318" s="273"/>
      <c r="U2318" s="273"/>
      <c r="V2318" s="273"/>
      <c r="W2318" s="273"/>
      <c r="X2318" s="273"/>
      <c r="Y2318" s="273"/>
      <c r="Z2318" s="273"/>
      <c r="AA2318" s="273"/>
      <c r="AB2318" s="273"/>
      <c r="AC2318" s="273"/>
      <c r="AD2318" s="273"/>
      <c r="AE2318" s="273"/>
      <c r="AF2318" s="16"/>
      <c r="AG2318" s="17"/>
      <c r="AH2318" s="15"/>
      <c r="AI2318" s="13"/>
    </row>
    <row r="2319" spans="1:35" s="40" customFormat="1" ht="24" customHeight="1" x14ac:dyDescent="0.3">
      <c r="A2319" s="10">
        <f>A2316+1</f>
        <v>2055</v>
      </c>
      <c r="B2319" s="20" t="s">
        <v>3561</v>
      </c>
      <c r="C2319" s="273">
        <f t="shared" ref="C2319" si="502">D2319+K2319+L2319+N2319+P2319+R2319+S2319+U2319+V2319+W2319</f>
        <v>16000488</v>
      </c>
      <c r="D2319" s="273"/>
      <c r="E2319" s="273"/>
      <c r="F2319" s="273"/>
      <c r="G2319" s="273"/>
      <c r="H2319" s="273"/>
      <c r="I2319" s="273"/>
      <c r="J2319" s="273"/>
      <c r="K2319" s="273"/>
      <c r="L2319" s="273"/>
      <c r="M2319" s="273"/>
      <c r="N2319" s="273"/>
      <c r="O2319" s="273"/>
      <c r="P2319" s="273"/>
      <c r="Q2319" s="273">
        <v>1908</v>
      </c>
      <c r="R2319" s="271">
        <v>16000488</v>
      </c>
      <c r="S2319" s="273"/>
      <c r="T2319" s="273"/>
      <c r="U2319" s="273"/>
      <c r="V2319" s="273"/>
      <c r="W2319" s="273"/>
      <c r="X2319" s="273"/>
      <c r="Y2319" s="273"/>
      <c r="Z2319" s="273"/>
      <c r="AA2319" s="273"/>
      <c r="AB2319" s="273"/>
      <c r="AC2319" s="273"/>
      <c r="AD2319" s="273"/>
      <c r="AE2319" s="16"/>
      <c r="AF2319" s="17"/>
      <c r="AG2319" s="15"/>
      <c r="AH2319" s="13"/>
    </row>
    <row r="2320" spans="1:35" x14ac:dyDescent="0.3">
      <c r="A2320" s="10">
        <f>A2319+1</f>
        <v>2056</v>
      </c>
      <c r="B2320" s="124" t="s">
        <v>2949</v>
      </c>
      <c r="C2320" s="273">
        <f>D2320+K2320+L2320+N2320+P2320+R2320+S2320+U2320+V2320+W2320</f>
        <v>3093798</v>
      </c>
      <c r="D2320" s="273">
        <f>E2320+F2320+G2320+H2320+I2320</f>
        <v>0</v>
      </c>
      <c r="E2320" s="273"/>
      <c r="F2320" s="273"/>
      <c r="G2320" s="273"/>
      <c r="H2320" s="273"/>
      <c r="I2320" s="273"/>
      <c r="J2320" s="273"/>
      <c r="K2320" s="273"/>
      <c r="L2320" s="273"/>
      <c r="M2320" s="273"/>
      <c r="N2320" s="273"/>
      <c r="O2320" s="273"/>
      <c r="P2320" s="273"/>
      <c r="Q2320" s="273">
        <v>321</v>
      </c>
      <c r="R2320" s="273">
        <v>3093798</v>
      </c>
      <c r="S2320" s="273"/>
      <c r="T2320" s="273"/>
      <c r="U2320" s="273"/>
      <c r="V2320" s="273"/>
      <c r="W2320" s="273"/>
      <c r="X2320" s="273"/>
      <c r="Y2320" s="273"/>
      <c r="Z2320" s="273"/>
      <c r="AA2320" s="273"/>
      <c r="AB2320" s="273"/>
      <c r="AC2320" s="273"/>
      <c r="AD2320" s="273"/>
      <c r="AE2320" s="273"/>
      <c r="AF2320" s="16"/>
      <c r="AG2320" s="17">
        <v>378792.64</v>
      </c>
      <c r="AH2320" s="15"/>
      <c r="AI2320" s="13"/>
    </row>
    <row r="2321" spans="1:37" s="40" customFormat="1" x14ac:dyDescent="0.3">
      <c r="A2321" s="259">
        <f t="shared" ref="A2321:A2324" si="503">A2320+1</f>
        <v>2057</v>
      </c>
      <c r="B2321" s="20" t="s">
        <v>3560</v>
      </c>
      <c r="C2321" s="273">
        <f>D2321+K2321+L2321+N2321+P2321+R2321+S2321+U2321+V2321+W2321</f>
        <v>17350634</v>
      </c>
      <c r="D2321" s="273"/>
      <c r="E2321" s="273"/>
      <c r="F2321" s="273"/>
      <c r="G2321" s="273"/>
      <c r="H2321" s="273"/>
      <c r="I2321" s="273"/>
      <c r="J2321" s="273"/>
      <c r="K2321" s="273"/>
      <c r="L2321" s="273"/>
      <c r="M2321" s="273"/>
      <c r="N2321" s="273"/>
      <c r="O2321" s="273"/>
      <c r="P2321" s="273"/>
      <c r="Q2321" s="273">
        <v>2069</v>
      </c>
      <c r="R2321" s="273">
        <v>17350634</v>
      </c>
      <c r="S2321" s="273"/>
      <c r="T2321" s="273"/>
      <c r="U2321" s="273"/>
      <c r="V2321" s="273"/>
      <c r="W2321" s="273"/>
      <c r="X2321" s="273"/>
      <c r="Y2321" s="273"/>
      <c r="Z2321" s="273"/>
      <c r="AA2321" s="273"/>
      <c r="AB2321" s="273"/>
      <c r="AC2321" s="273"/>
      <c r="AD2321" s="273"/>
      <c r="AE2321" s="16"/>
      <c r="AF2321" s="17"/>
      <c r="AG2321" s="15"/>
      <c r="AH2321" s="13"/>
    </row>
    <row r="2322" spans="1:37" x14ac:dyDescent="0.3">
      <c r="A2322" s="259">
        <f t="shared" si="503"/>
        <v>2058</v>
      </c>
      <c r="B2322" s="124" t="s">
        <v>2950</v>
      </c>
      <c r="C2322" s="273">
        <f>D2322+K2322+L2322+N2322+P2322+R2322+S2322+U2322+V2322+W2322</f>
        <v>1854432</v>
      </c>
      <c r="D2322" s="273">
        <f>E2322+F2322+G2322+H2322+I2322</f>
        <v>0</v>
      </c>
      <c r="E2322" s="273"/>
      <c r="F2322" s="273"/>
      <c r="G2322" s="273"/>
      <c r="H2322" s="273"/>
      <c r="I2322" s="273"/>
      <c r="J2322" s="273"/>
      <c r="K2322" s="273"/>
      <c r="L2322" s="273"/>
      <c r="M2322" s="273">
        <v>288</v>
      </c>
      <c r="N2322" s="273">
        <v>1854432</v>
      </c>
      <c r="O2322" s="273"/>
      <c r="P2322" s="273"/>
      <c r="Q2322" s="273"/>
      <c r="R2322" s="273"/>
      <c r="S2322" s="273"/>
      <c r="T2322" s="273"/>
      <c r="U2322" s="273"/>
      <c r="V2322" s="273"/>
      <c r="W2322" s="273"/>
      <c r="X2322" s="273"/>
      <c r="Y2322" s="273"/>
      <c r="Z2322" s="273"/>
      <c r="AA2322" s="273"/>
      <c r="AB2322" s="273"/>
      <c r="AC2322" s="273"/>
      <c r="AD2322" s="273"/>
      <c r="AE2322" s="273">
        <v>198811.07</v>
      </c>
      <c r="AF2322" s="16"/>
      <c r="AG2322" s="17"/>
      <c r="AH2322" s="15"/>
      <c r="AI2322" s="13"/>
    </row>
    <row r="2323" spans="1:37" x14ac:dyDescent="0.3">
      <c r="A2323" s="259">
        <f t="shared" si="503"/>
        <v>2059</v>
      </c>
      <c r="B2323" s="124" t="s">
        <v>2959</v>
      </c>
      <c r="C2323" s="273">
        <f>D2323+K2323+L2323+N2323+P2323+R2323+S2323+U2323+V2323+W2323</f>
        <v>3291831.6</v>
      </c>
      <c r="D2323" s="273">
        <f>E2323+F2323+G2323+H2323+I2323</f>
        <v>0</v>
      </c>
      <c r="E2323" s="273"/>
      <c r="F2323" s="273"/>
      <c r="G2323" s="273"/>
      <c r="H2323" s="273"/>
      <c r="I2323" s="273"/>
      <c r="J2323" s="273"/>
      <c r="K2323" s="273"/>
      <c r="L2323" s="273"/>
      <c r="M2323" s="273">
        <v>13</v>
      </c>
      <c r="N2323" s="273">
        <v>3291831.6</v>
      </c>
      <c r="O2323" s="273"/>
      <c r="P2323" s="273"/>
      <c r="Q2323" s="273"/>
      <c r="R2323" s="273"/>
      <c r="S2323" s="273"/>
      <c r="T2323" s="273"/>
      <c r="U2323" s="273"/>
      <c r="V2323" s="273"/>
      <c r="W2323" s="273"/>
      <c r="X2323" s="273"/>
      <c r="Y2323" s="273"/>
      <c r="Z2323" s="273"/>
      <c r="AA2323" s="273"/>
      <c r="AB2323" s="273"/>
      <c r="AC2323" s="273"/>
      <c r="AD2323" s="273"/>
      <c r="AE2323" s="273"/>
      <c r="AF2323" s="16"/>
      <c r="AG2323" s="17"/>
      <c r="AH2323" s="15"/>
      <c r="AI2323" s="13"/>
    </row>
    <row r="2324" spans="1:37" s="40" customFormat="1" x14ac:dyDescent="0.3">
      <c r="A2324" s="259">
        <f t="shared" si="503"/>
        <v>2060</v>
      </c>
      <c r="B2324" s="20" t="s">
        <v>2952</v>
      </c>
      <c r="C2324" s="273">
        <f t="shared" ref="C2324" si="504">D2324+K2324+L2324+N2324+P2324+R2324+S2324+U2324+V2324+W2324</f>
        <v>20565994.120000001</v>
      </c>
      <c r="D2324" s="273">
        <f t="shared" ref="D2324" si="505">E2324+F2324+G2324+H2324+I2324</f>
        <v>0</v>
      </c>
      <c r="E2324" s="273"/>
      <c r="F2324" s="273"/>
      <c r="G2324" s="273"/>
      <c r="H2324" s="273"/>
      <c r="I2324" s="273"/>
      <c r="J2324" s="273"/>
      <c r="K2324" s="273"/>
      <c r="L2324" s="273"/>
      <c r="M2324" s="273"/>
      <c r="N2324" s="273"/>
      <c r="O2324" s="273"/>
      <c r="P2324" s="273"/>
      <c r="Q2324" s="273">
        <v>2452.42</v>
      </c>
      <c r="R2324" s="273">
        <v>20565994.120000001</v>
      </c>
      <c r="S2324" s="273"/>
      <c r="T2324" s="273"/>
      <c r="U2324" s="273"/>
      <c r="V2324" s="273"/>
      <c r="W2324" s="273"/>
      <c r="X2324" s="273"/>
      <c r="Y2324" s="273"/>
      <c r="Z2324" s="273"/>
      <c r="AA2324" s="273"/>
      <c r="AB2324" s="273"/>
      <c r="AC2324" s="273"/>
      <c r="AD2324" s="273"/>
      <c r="AE2324" s="16"/>
      <c r="AF2324" s="17"/>
      <c r="AG2324" s="15"/>
      <c r="AH2324" s="13"/>
    </row>
    <row r="2325" spans="1:37" s="40" customFormat="1" x14ac:dyDescent="0.3">
      <c r="A2325" s="259">
        <f>A2324+1</f>
        <v>2061</v>
      </c>
      <c r="B2325" s="20" t="s">
        <v>2955</v>
      </c>
      <c r="C2325" s="273">
        <f t="shared" ref="C2325:C2327" si="506">D2325+K2325+L2325+N2325+P2325+R2325+S2325+U2325+V2325+W2325</f>
        <v>182000</v>
      </c>
      <c r="D2325" s="273">
        <f t="shared" ref="D2325:D2327" si="507">E2325+F2325+G2325+H2325+I2325</f>
        <v>0</v>
      </c>
      <c r="E2325" s="273"/>
      <c r="F2325" s="273"/>
      <c r="G2325" s="273"/>
      <c r="H2325" s="273"/>
      <c r="I2325" s="273"/>
      <c r="J2325" s="50"/>
      <c r="K2325" s="273"/>
      <c r="L2325" s="273"/>
      <c r="M2325" s="273"/>
      <c r="N2325" s="273"/>
      <c r="O2325" s="273"/>
      <c r="P2325" s="273"/>
      <c r="Q2325" s="273"/>
      <c r="R2325" s="285"/>
      <c r="S2325" s="273"/>
      <c r="T2325" s="273"/>
      <c r="U2325" s="273"/>
      <c r="V2325" s="273"/>
      <c r="W2325" s="273">
        <v>182000</v>
      </c>
      <c r="X2325" s="286"/>
      <c r="Y2325" s="100"/>
      <c r="Z2325" s="273"/>
      <c r="AA2325" s="273"/>
      <c r="AB2325" s="273"/>
      <c r="AC2325" s="273"/>
      <c r="AD2325" s="273"/>
      <c r="AE2325" s="273"/>
      <c r="AF2325" s="273"/>
      <c r="AG2325" s="273"/>
      <c r="AH2325" s="273">
        <v>182000</v>
      </c>
      <c r="AI2325" s="17"/>
      <c r="AJ2325" s="15"/>
      <c r="AK2325" s="13"/>
    </row>
    <row r="2326" spans="1:37" s="40" customFormat="1" x14ac:dyDescent="0.3">
      <c r="A2326" s="259">
        <f t="shared" ref="A2326:A2327" si="508">A2325+1</f>
        <v>2062</v>
      </c>
      <c r="B2326" s="20" t="s">
        <v>2956</v>
      </c>
      <c r="C2326" s="273">
        <f t="shared" si="506"/>
        <v>182000</v>
      </c>
      <c r="D2326" s="273">
        <f t="shared" si="507"/>
        <v>0</v>
      </c>
      <c r="E2326" s="273"/>
      <c r="F2326" s="273"/>
      <c r="G2326" s="273"/>
      <c r="H2326" s="273"/>
      <c r="I2326" s="273"/>
      <c r="J2326" s="50"/>
      <c r="K2326" s="273"/>
      <c r="L2326" s="273"/>
      <c r="M2326" s="273"/>
      <c r="N2326" s="273"/>
      <c r="O2326" s="273"/>
      <c r="P2326" s="273"/>
      <c r="Q2326" s="273"/>
      <c r="R2326" s="285"/>
      <c r="S2326" s="273"/>
      <c r="T2326" s="273"/>
      <c r="U2326" s="273"/>
      <c r="V2326" s="273"/>
      <c r="W2326" s="273">
        <v>182000</v>
      </c>
      <c r="X2326" s="193"/>
      <c r="Y2326" s="287"/>
      <c r="Z2326" s="273"/>
      <c r="AA2326" s="273"/>
      <c r="AB2326" s="273"/>
      <c r="AC2326" s="273"/>
      <c r="AD2326" s="273"/>
      <c r="AE2326" s="273"/>
      <c r="AF2326" s="273"/>
      <c r="AG2326" s="273"/>
      <c r="AH2326" s="273">
        <v>182000</v>
      </c>
      <c r="AI2326" s="110"/>
      <c r="AJ2326" s="81"/>
      <c r="AK2326" s="13"/>
    </row>
    <row r="2327" spans="1:37" s="40" customFormat="1" x14ac:dyDescent="0.3">
      <c r="A2327" s="259">
        <f t="shared" si="508"/>
        <v>2063</v>
      </c>
      <c r="B2327" s="20" t="s">
        <v>2957</v>
      </c>
      <c r="C2327" s="273">
        <f t="shared" si="506"/>
        <v>182000</v>
      </c>
      <c r="D2327" s="273">
        <f t="shared" si="507"/>
        <v>0</v>
      </c>
      <c r="E2327" s="273"/>
      <c r="F2327" s="273"/>
      <c r="G2327" s="273"/>
      <c r="H2327" s="273"/>
      <c r="I2327" s="273"/>
      <c r="J2327" s="50"/>
      <c r="K2327" s="273"/>
      <c r="L2327" s="273"/>
      <c r="M2327" s="273"/>
      <c r="N2327" s="273"/>
      <c r="O2327" s="273"/>
      <c r="P2327" s="273"/>
      <c r="Q2327" s="273"/>
      <c r="R2327" s="285"/>
      <c r="S2327" s="273"/>
      <c r="T2327" s="273"/>
      <c r="U2327" s="273"/>
      <c r="V2327" s="273"/>
      <c r="W2327" s="273">
        <v>182000</v>
      </c>
      <c r="X2327" s="193"/>
      <c r="Y2327" s="287"/>
      <c r="Z2327" s="273"/>
      <c r="AA2327" s="273"/>
      <c r="AB2327" s="273"/>
      <c r="AC2327" s="273"/>
      <c r="AD2327" s="273"/>
      <c r="AE2327" s="273"/>
      <c r="AF2327" s="273"/>
      <c r="AG2327" s="273"/>
      <c r="AH2327" s="273">
        <v>182000</v>
      </c>
      <c r="AI2327" s="110"/>
      <c r="AJ2327" s="81"/>
      <c r="AK2327" s="13"/>
    </row>
    <row r="2328" spans="1:37" x14ac:dyDescent="0.3">
      <c r="A2328" s="10"/>
      <c r="B2328" s="124" t="s">
        <v>208</v>
      </c>
      <c r="C2328" s="273">
        <f>SUM(C2319:C2327)</f>
        <v>62703177.719999999</v>
      </c>
      <c r="D2328" s="273">
        <f t="shared" ref="D2328:W2328" si="509">SUM(D2319:D2324)</f>
        <v>0</v>
      </c>
      <c r="E2328" s="273">
        <f t="shared" si="509"/>
        <v>0</v>
      </c>
      <c r="F2328" s="273">
        <f t="shared" si="509"/>
        <v>0</v>
      </c>
      <c r="G2328" s="273">
        <f t="shared" si="509"/>
        <v>0</v>
      </c>
      <c r="H2328" s="273">
        <f t="shared" si="509"/>
        <v>0</v>
      </c>
      <c r="I2328" s="273">
        <f t="shared" si="509"/>
        <v>0</v>
      </c>
      <c r="J2328" s="273">
        <f t="shared" si="509"/>
        <v>0</v>
      </c>
      <c r="K2328" s="273">
        <f t="shared" si="509"/>
        <v>0</v>
      </c>
      <c r="L2328" s="273">
        <f t="shared" si="509"/>
        <v>0</v>
      </c>
      <c r="M2328" s="273">
        <f t="shared" si="509"/>
        <v>301</v>
      </c>
      <c r="N2328" s="273">
        <f t="shared" si="509"/>
        <v>5146263.5999999996</v>
      </c>
      <c r="O2328" s="273">
        <f t="shared" si="509"/>
        <v>0</v>
      </c>
      <c r="P2328" s="273">
        <f t="shared" si="509"/>
        <v>0</v>
      </c>
      <c r="Q2328" s="273">
        <f t="shared" si="509"/>
        <v>6750.42</v>
      </c>
      <c r="R2328" s="273">
        <f t="shared" si="509"/>
        <v>57010914.120000005</v>
      </c>
      <c r="S2328" s="273">
        <f t="shared" si="509"/>
        <v>0</v>
      </c>
      <c r="T2328" s="273">
        <f t="shared" si="509"/>
        <v>0</v>
      </c>
      <c r="U2328" s="273">
        <f t="shared" si="509"/>
        <v>0</v>
      </c>
      <c r="V2328" s="273">
        <f t="shared" si="509"/>
        <v>0</v>
      </c>
      <c r="W2328" s="273">
        <f t="shared" si="509"/>
        <v>0</v>
      </c>
      <c r="X2328" s="273"/>
      <c r="Y2328" s="273"/>
      <c r="Z2328" s="273"/>
      <c r="AA2328" s="273"/>
      <c r="AB2328" s="273"/>
      <c r="AC2328" s="273"/>
      <c r="AD2328" s="273"/>
      <c r="AE2328" s="273"/>
      <c r="AF2328" s="16"/>
      <c r="AG2328" s="17"/>
      <c r="AH2328" s="15"/>
      <c r="AI2328" s="13"/>
    </row>
    <row r="2329" spans="1:37" ht="15" customHeight="1" x14ac:dyDescent="0.3">
      <c r="A2329" s="264" t="s">
        <v>2971</v>
      </c>
      <c r="B2329" s="124"/>
      <c r="C2329" s="273"/>
      <c r="D2329" s="273"/>
      <c r="E2329" s="273"/>
      <c r="F2329" s="273"/>
      <c r="G2329" s="273"/>
      <c r="H2329" s="273"/>
      <c r="I2329" s="273"/>
      <c r="J2329" s="273"/>
      <c r="K2329" s="273"/>
      <c r="L2329" s="273"/>
      <c r="M2329" s="273"/>
      <c r="N2329" s="273"/>
      <c r="O2329" s="273"/>
      <c r="P2329" s="273"/>
      <c r="Q2329" s="273"/>
      <c r="R2329" s="273"/>
      <c r="S2329" s="273"/>
      <c r="T2329" s="273"/>
      <c r="U2329" s="273"/>
      <c r="V2329" s="273"/>
      <c r="W2329" s="273"/>
      <c r="X2329" s="273"/>
      <c r="Y2329" s="273"/>
      <c r="Z2329" s="273"/>
      <c r="AA2329" s="273"/>
      <c r="AB2329" s="273"/>
      <c r="AC2329" s="273"/>
      <c r="AD2329" s="273"/>
      <c r="AE2329" s="273"/>
      <c r="AF2329" s="16"/>
      <c r="AG2329" s="17"/>
      <c r="AH2329" s="15"/>
      <c r="AI2329" s="13"/>
    </row>
    <row r="2330" spans="1:37" x14ac:dyDescent="0.3">
      <c r="A2330" s="10">
        <f>A2327+1</f>
        <v>2064</v>
      </c>
      <c r="B2330" s="124" t="s">
        <v>2972</v>
      </c>
      <c r="C2330" s="273">
        <f t="shared" ref="C2330:C2343" si="510">D2330+K2330+L2330+N2330+P2330+R2330+S2330+U2330+V2330+W2330</f>
        <v>130000</v>
      </c>
      <c r="D2330" s="273">
        <f t="shared" ref="D2330:D2343" si="511">E2330+F2330+G2330+H2330+I2330</f>
        <v>0</v>
      </c>
      <c r="E2330" s="273"/>
      <c r="F2330" s="273"/>
      <c r="G2330" s="273"/>
      <c r="H2330" s="273"/>
      <c r="I2330" s="273"/>
      <c r="J2330" s="273"/>
      <c r="K2330" s="273"/>
      <c r="L2330" s="273"/>
      <c r="M2330" s="273"/>
      <c r="N2330" s="273"/>
      <c r="O2330" s="273"/>
      <c r="P2330" s="273"/>
      <c r="Q2330" s="273"/>
      <c r="R2330" s="273"/>
      <c r="S2330" s="273"/>
      <c r="T2330" s="273"/>
      <c r="U2330" s="273"/>
      <c r="V2330" s="273"/>
      <c r="W2330" s="273">
        <v>130000</v>
      </c>
      <c r="X2330" s="273"/>
      <c r="Y2330" s="273"/>
      <c r="Z2330" s="273"/>
      <c r="AA2330" s="273"/>
      <c r="AB2330" s="273"/>
      <c r="AC2330" s="273">
        <v>130000</v>
      </c>
      <c r="AD2330" s="273"/>
      <c r="AE2330" s="273"/>
      <c r="AF2330" s="16"/>
      <c r="AG2330" s="17"/>
      <c r="AH2330" s="15"/>
      <c r="AI2330" s="13"/>
    </row>
    <row r="2331" spans="1:37" x14ac:dyDescent="0.3">
      <c r="A2331" s="10">
        <f>A2330+1</f>
        <v>2065</v>
      </c>
      <c r="B2331" s="124" t="s">
        <v>2973</v>
      </c>
      <c r="C2331" s="273">
        <f t="shared" si="510"/>
        <v>130000</v>
      </c>
      <c r="D2331" s="273">
        <f t="shared" si="511"/>
        <v>0</v>
      </c>
      <c r="E2331" s="273"/>
      <c r="F2331" s="273"/>
      <c r="G2331" s="273"/>
      <c r="H2331" s="273"/>
      <c r="I2331" s="273"/>
      <c r="J2331" s="273"/>
      <c r="K2331" s="273"/>
      <c r="L2331" s="273"/>
      <c r="M2331" s="273"/>
      <c r="N2331" s="273"/>
      <c r="O2331" s="273"/>
      <c r="P2331" s="273"/>
      <c r="Q2331" s="273"/>
      <c r="R2331" s="273"/>
      <c r="S2331" s="273"/>
      <c r="T2331" s="273"/>
      <c r="U2331" s="273"/>
      <c r="V2331" s="273"/>
      <c r="W2331" s="273">
        <v>130000</v>
      </c>
      <c r="X2331" s="273"/>
      <c r="Y2331" s="273"/>
      <c r="Z2331" s="273"/>
      <c r="AA2331" s="273"/>
      <c r="AB2331" s="273"/>
      <c r="AC2331" s="273">
        <v>130000</v>
      </c>
      <c r="AD2331" s="273"/>
      <c r="AE2331" s="273"/>
      <c r="AF2331" s="16"/>
      <c r="AG2331" s="17"/>
      <c r="AH2331" s="15"/>
      <c r="AI2331" s="13"/>
    </row>
    <row r="2332" spans="1:37" x14ac:dyDescent="0.3">
      <c r="A2332" s="10">
        <f>A2331+1</f>
        <v>2066</v>
      </c>
      <c r="B2332" s="124" t="s">
        <v>2974</v>
      </c>
      <c r="C2332" s="273">
        <f t="shared" si="510"/>
        <v>361985.7</v>
      </c>
      <c r="D2332" s="273">
        <f t="shared" si="511"/>
        <v>0</v>
      </c>
      <c r="E2332" s="273"/>
      <c r="F2332" s="273"/>
      <c r="G2332" s="273"/>
      <c r="H2332" s="273"/>
      <c r="I2332" s="273"/>
      <c r="J2332" s="273"/>
      <c r="K2332" s="273"/>
      <c r="L2332" s="273"/>
      <c r="M2332" s="273"/>
      <c r="N2332" s="273"/>
      <c r="O2332" s="273"/>
      <c r="P2332" s="273"/>
      <c r="Q2332" s="273"/>
      <c r="R2332" s="273"/>
      <c r="S2332" s="273"/>
      <c r="T2332" s="273"/>
      <c r="U2332" s="273"/>
      <c r="V2332" s="273"/>
      <c r="W2332" s="273">
        <f>SUM(Z2332:AH2332)</f>
        <v>361985.7</v>
      </c>
      <c r="X2332" s="273"/>
      <c r="Z2332" s="273"/>
      <c r="AA2332" s="273"/>
      <c r="AB2332" s="273"/>
      <c r="AC2332" s="273"/>
      <c r="AD2332" s="273"/>
      <c r="AE2332" s="273">
        <v>361985.7</v>
      </c>
      <c r="AF2332" s="16"/>
      <c r="AG2332" s="17"/>
      <c r="AH2332" s="15"/>
      <c r="AI2332" s="13"/>
    </row>
    <row r="2333" spans="1:37" x14ac:dyDescent="0.3">
      <c r="A2333" s="10">
        <f t="shared" ref="A2333:A2343" si="512">A2332+1</f>
        <v>2067</v>
      </c>
      <c r="B2333" s="124" t="s">
        <v>2975</v>
      </c>
      <c r="C2333" s="273">
        <f t="shared" si="510"/>
        <v>361985.7</v>
      </c>
      <c r="D2333" s="273">
        <f t="shared" si="511"/>
        <v>0</v>
      </c>
      <c r="E2333" s="273"/>
      <c r="F2333" s="273"/>
      <c r="G2333" s="273"/>
      <c r="H2333" s="273"/>
      <c r="I2333" s="273"/>
      <c r="J2333" s="273"/>
      <c r="K2333" s="273"/>
      <c r="L2333" s="273"/>
      <c r="M2333" s="273"/>
      <c r="N2333" s="273"/>
      <c r="O2333" s="273"/>
      <c r="P2333" s="273"/>
      <c r="Q2333" s="273"/>
      <c r="R2333" s="273"/>
      <c r="S2333" s="273"/>
      <c r="T2333" s="273"/>
      <c r="U2333" s="273"/>
      <c r="V2333" s="273"/>
      <c r="W2333" s="273">
        <f>SUM(Z2333:AH2333)</f>
        <v>361985.7</v>
      </c>
      <c r="X2333" s="273"/>
      <c r="Z2333" s="273"/>
      <c r="AA2333" s="273"/>
      <c r="AB2333" s="273"/>
      <c r="AC2333" s="273"/>
      <c r="AD2333" s="273"/>
      <c r="AE2333" s="273">
        <v>361985.7</v>
      </c>
      <c r="AF2333" s="16"/>
      <c r="AG2333" s="17"/>
      <c r="AH2333" s="15"/>
      <c r="AI2333" s="13"/>
    </row>
    <row r="2334" spans="1:37" x14ac:dyDescent="0.3">
      <c r="A2334" s="10">
        <f t="shared" si="512"/>
        <v>2068</v>
      </c>
      <c r="B2334" s="124" t="s">
        <v>2976</v>
      </c>
      <c r="C2334" s="273">
        <f t="shared" si="510"/>
        <v>130000</v>
      </c>
      <c r="D2334" s="273">
        <f t="shared" si="511"/>
        <v>0</v>
      </c>
      <c r="E2334" s="273"/>
      <c r="F2334" s="273"/>
      <c r="G2334" s="273"/>
      <c r="H2334" s="273"/>
      <c r="I2334" s="273"/>
      <c r="J2334" s="273"/>
      <c r="K2334" s="273"/>
      <c r="L2334" s="273"/>
      <c r="M2334" s="273"/>
      <c r="N2334" s="273"/>
      <c r="O2334" s="273"/>
      <c r="P2334" s="273"/>
      <c r="Q2334" s="273"/>
      <c r="R2334" s="273"/>
      <c r="S2334" s="273"/>
      <c r="T2334" s="273"/>
      <c r="U2334" s="273"/>
      <c r="V2334" s="273"/>
      <c r="W2334" s="273">
        <v>130000</v>
      </c>
      <c r="X2334" s="273"/>
      <c r="Y2334" s="273"/>
      <c r="Z2334" s="273"/>
      <c r="AA2334" s="273"/>
      <c r="AB2334" s="273"/>
      <c r="AC2334" s="273">
        <v>130000</v>
      </c>
      <c r="AD2334" s="273"/>
      <c r="AE2334" s="273"/>
      <c r="AF2334" s="16"/>
      <c r="AG2334" s="17"/>
      <c r="AH2334" s="15"/>
      <c r="AI2334" s="13"/>
    </row>
    <row r="2335" spans="1:37" x14ac:dyDescent="0.3">
      <c r="A2335" s="10">
        <f t="shared" si="512"/>
        <v>2069</v>
      </c>
      <c r="B2335" s="124" t="s">
        <v>2977</v>
      </c>
      <c r="C2335" s="273">
        <f t="shared" si="510"/>
        <v>130000</v>
      </c>
      <c r="D2335" s="273">
        <f t="shared" si="511"/>
        <v>0</v>
      </c>
      <c r="E2335" s="273"/>
      <c r="F2335" s="273"/>
      <c r="G2335" s="273"/>
      <c r="H2335" s="273"/>
      <c r="I2335" s="273"/>
      <c r="J2335" s="273"/>
      <c r="K2335" s="273"/>
      <c r="L2335" s="273"/>
      <c r="M2335" s="273"/>
      <c r="N2335" s="273"/>
      <c r="O2335" s="273"/>
      <c r="P2335" s="273"/>
      <c r="Q2335" s="273"/>
      <c r="R2335" s="273"/>
      <c r="S2335" s="273"/>
      <c r="T2335" s="273"/>
      <c r="U2335" s="273"/>
      <c r="V2335" s="273"/>
      <c r="W2335" s="273">
        <v>130000</v>
      </c>
      <c r="X2335" s="273"/>
      <c r="Y2335" s="273"/>
      <c r="Z2335" s="273"/>
      <c r="AA2335" s="273"/>
      <c r="AB2335" s="273"/>
      <c r="AC2335" s="273">
        <v>130000</v>
      </c>
      <c r="AD2335" s="273"/>
      <c r="AE2335" s="273"/>
      <c r="AF2335" s="16"/>
      <c r="AG2335" s="17"/>
      <c r="AH2335" s="15"/>
      <c r="AI2335" s="13"/>
    </row>
    <row r="2336" spans="1:37" x14ac:dyDescent="0.3">
      <c r="A2336" s="10">
        <f t="shared" si="512"/>
        <v>2070</v>
      </c>
      <c r="B2336" s="124" t="s">
        <v>2978</v>
      </c>
      <c r="C2336" s="273">
        <f t="shared" si="510"/>
        <v>130000</v>
      </c>
      <c r="D2336" s="273">
        <f t="shared" si="511"/>
        <v>0</v>
      </c>
      <c r="E2336" s="273"/>
      <c r="F2336" s="273"/>
      <c r="G2336" s="273"/>
      <c r="H2336" s="273"/>
      <c r="I2336" s="273"/>
      <c r="J2336" s="273"/>
      <c r="K2336" s="273"/>
      <c r="L2336" s="273"/>
      <c r="M2336" s="273"/>
      <c r="N2336" s="273"/>
      <c r="O2336" s="273"/>
      <c r="P2336" s="273"/>
      <c r="Q2336" s="273"/>
      <c r="R2336" s="273"/>
      <c r="S2336" s="273"/>
      <c r="T2336" s="273"/>
      <c r="U2336" s="273"/>
      <c r="V2336" s="273"/>
      <c r="W2336" s="273">
        <v>130000</v>
      </c>
      <c r="X2336" s="273"/>
      <c r="Y2336" s="273"/>
      <c r="Z2336" s="273"/>
      <c r="AA2336" s="273"/>
      <c r="AB2336" s="273"/>
      <c r="AC2336" s="273">
        <v>130000</v>
      </c>
      <c r="AD2336" s="273"/>
      <c r="AE2336" s="273"/>
      <c r="AF2336" s="16"/>
      <c r="AG2336" s="17"/>
      <c r="AH2336" s="15"/>
      <c r="AI2336" s="13"/>
    </row>
    <row r="2337" spans="1:35" x14ac:dyDescent="0.3">
      <c r="A2337" s="10">
        <f t="shared" si="512"/>
        <v>2071</v>
      </c>
      <c r="B2337" s="124" t="s">
        <v>2979</v>
      </c>
      <c r="C2337" s="273">
        <f t="shared" si="510"/>
        <v>130000</v>
      </c>
      <c r="D2337" s="273">
        <f t="shared" si="511"/>
        <v>0</v>
      </c>
      <c r="E2337" s="273"/>
      <c r="F2337" s="273"/>
      <c r="G2337" s="273"/>
      <c r="H2337" s="273"/>
      <c r="I2337" s="273"/>
      <c r="J2337" s="273"/>
      <c r="K2337" s="273"/>
      <c r="L2337" s="273"/>
      <c r="M2337" s="273"/>
      <c r="N2337" s="273"/>
      <c r="O2337" s="273"/>
      <c r="P2337" s="273"/>
      <c r="Q2337" s="273"/>
      <c r="R2337" s="273"/>
      <c r="S2337" s="273"/>
      <c r="T2337" s="273"/>
      <c r="U2337" s="273"/>
      <c r="V2337" s="273"/>
      <c r="W2337" s="273">
        <v>130000</v>
      </c>
      <c r="X2337" s="273"/>
      <c r="Y2337" s="273"/>
      <c r="Z2337" s="273"/>
      <c r="AA2337" s="273"/>
      <c r="AB2337" s="273"/>
      <c r="AC2337" s="273">
        <v>130000</v>
      </c>
      <c r="AD2337" s="273"/>
      <c r="AE2337" s="273"/>
      <c r="AF2337" s="16"/>
      <c r="AG2337" s="17"/>
      <c r="AH2337" s="15"/>
      <c r="AI2337" s="13"/>
    </row>
    <row r="2338" spans="1:35" x14ac:dyDescent="0.3">
      <c r="A2338" s="10">
        <f t="shared" si="512"/>
        <v>2072</v>
      </c>
      <c r="B2338" s="124" t="s">
        <v>2980</v>
      </c>
      <c r="C2338" s="273">
        <f t="shared" si="510"/>
        <v>179803.51999999999</v>
      </c>
      <c r="D2338" s="273">
        <f t="shared" si="511"/>
        <v>0</v>
      </c>
      <c r="E2338" s="273"/>
      <c r="F2338" s="273"/>
      <c r="G2338" s="273"/>
      <c r="H2338" s="273"/>
      <c r="I2338" s="273"/>
      <c r="J2338" s="273"/>
      <c r="K2338" s="273"/>
      <c r="L2338" s="273"/>
      <c r="M2338" s="273"/>
      <c r="N2338" s="273"/>
      <c r="O2338" s="273"/>
      <c r="P2338" s="273"/>
      <c r="Q2338" s="273"/>
      <c r="R2338" s="273"/>
      <c r="S2338" s="273"/>
      <c r="T2338" s="273"/>
      <c r="U2338" s="273"/>
      <c r="V2338" s="273"/>
      <c r="W2338" s="273">
        <f>SUM(Y2338:AH2338)</f>
        <v>179803.51999999999</v>
      </c>
      <c r="X2338" s="273"/>
      <c r="Y2338" s="273"/>
      <c r="Z2338" s="273"/>
      <c r="AA2338" s="273"/>
      <c r="AB2338" s="273"/>
      <c r="AC2338" s="273"/>
      <c r="AD2338" s="273"/>
      <c r="AE2338" s="273">
        <v>179803.51999999999</v>
      </c>
      <c r="AF2338" s="16"/>
      <c r="AG2338" s="17"/>
      <c r="AH2338" s="15"/>
      <c r="AI2338" s="13"/>
    </row>
    <row r="2339" spans="1:35" x14ac:dyDescent="0.3">
      <c r="A2339" s="10">
        <f t="shared" si="512"/>
        <v>2073</v>
      </c>
      <c r="B2339" s="124" t="s">
        <v>2981</v>
      </c>
      <c r="C2339" s="273">
        <f t="shared" si="510"/>
        <v>179803.51999999999</v>
      </c>
      <c r="D2339" s="273">
        <f t="shared" si="511"/>
        <v>0</v>
      </c>
      <c r="E2339" s="273"/>
      <c r="F2339" s="273"/>
      <c r="G2339" s="273"/>
      <c r="H2339" s="273"/>
      <c r="I2339" s="273"/>
      <c r="J2339" s="273"/>
      <c r="K2339" s="273"/>
      <c r="L2339" s="273"/>
      <c r="M2339" s="273"/>
      <c r="N2339" s="273"/>
      <c r="O2339" s="273"/>
      <c r="P2339" s="273"/>
      <c r="Q2339" s="273"/>
      <c r="R2339" s="273"/>
      <c r="S2339" s="273"/>
      <c r="T2339" s="273"/>
      <c r="U2339" s="273"/>
      <c r="V2339" s="273"/>
      <c r="W2339" s="273">
        <f>SUM(Y2339:AH2339)</f>
        <v>179803.51999999999</v>
      </c>
      <c r="X2339" s="273"/>
      <c r="Y2339" s="273"/>
      <c r="Z2339" s="273"/>
      <c r="AA2339" s="273"/>
      <c r="AB2339" s="273"/>
      <c r="AC2339" s="273"/>
      <c r="AD2339" s="273"/>
      <c r="AE2339" s="273">
        <v>179803.51999999999</v>
      </c>
      <c r="AF2339" s="16"/>
      <c r="AG2339" s="17"/>
      <c r="AH2339" s="15"/>
      <c r="AI2339" s="13"/>
    </row>
    <row r="2340" spans="1:35" x14ac:dyDescent="0.3">
      <c r="A2340" s="10">
        <f t="shared" si="512"/>
        <v>2074</v>
      </c>
      <c r="B2340" s="124" t="s">
        <v>2982</v>
      </c>
      <c r="C2340" s="273">
        <f t="shared" si="510"/>
        <v>179803.51999999999</v>
      </c>
      <c r="D2340" s="273">
        <f t="shared" si="511"/>
        <v>0</v>
      </c>
      <c r="E2340" s="273"/>
      <c r="F2340" s="273"/>
      <c r="G2340" s="273"/>
      <c r="H2340" s="273"/>
      <c r="I2340" s="273"/>
      <c r="J2340" s="273"/>
      <c r="K2340" s="273"/>
      <c r="L2340" s="273"/>
      <c r="M2340" s="273"/>
      <c r="N2340" s="273"/>
      <c r="O2340" s="273"/>
      <c r="P2340" s="273"/>
      <c r="Q2340" s="273"/>
      <c r="R2340" s="273"/>
      <c r="S2340" s="273"/>
      <c r="T2340" s="273"/>
      <c r="U2340" s="273"/>
      <c r="V2340" s="273"/>
      <c r="W2340" s="273">
        <f>SUM(Y2340:AH2340)</f>
        <v>179803.51999999999</v>
      </c>
      <c r="X2340" s="273"/>
      <c r="Y2340" s="273"/>
      <c r="Z2340" s="273"/>
      <c r="AA2340" s="273"/>
      <c r="AB2340" s="273"/>
      <c r="AC2340" s="273"/>
      <c r="AD2340" s="273"/>
      <c r="AE2340" s="273">
        <v>179803.51999999999</v>
      </c>
      <c r="AF2340" s="16"/>
      <c r="AG2340" s="17"/>
      <c r="AH2340" s="15"/>
      <c r="AI2340" s="13"/>
    </row>
    <row r="2341" spans="1:35" x14ac:dyDescent="0.3">
      <c r="A2341" s="10">
        <f t="shared" si="512"/>
        <v>2075</v>
      </c>
      <c r="B2341" s="124" t="s">
        <v>2983</v>
      </c>
      <c r="C2341" s="273">
        <f t="shared" si="510"/>
        <v>179803.51999999999</v>
      </c>
      <c r="D2341" s="273">
        <f t="shared" si="511"/>
        <v>0</v>
      </c>
      <c r="E2341" s="273"/>
      <c r="F2341" s="273"/>
      <c r="G2341" s="273"/>
      <c r="H2341" s="273"/>
      <c r="I2341" s="273"/>
      <c r="J2341" s="273"/>
      <c r="K2341" s="273"/>
      <c r="L2341" s="273"/>
      <c r="M2341" s="273"/>
      <c r="N2341" s="273"/>
      <c r="O2341" s="273"/>
      <c r="P2341" s="273"/>
      <c r="Q2341" s="273"/>
      <c r="R2341" s="273"/>
      <c r="S2341" s="273"/>
      <c r="T2341" s="273"/>
      <c r="U2341" s="273"/>
      <c r="V2341" s="273"/>
      <c r="W2341" s="273">
        <f>SUM(Y2341:AH2341)</f>
        <v>179803.51999999999</v>
      </c>
      <c r="X2341" s="273"/>
      <c r="Y2341" s="273"/>
      <c r="Z2341" s="273"/>
      <c r="AA2341" s="273"/>
      <c r="AB2341" s="273"/>
      <c r="AC2341" s="273"/>
      <c r="AD2341" s="273"/>
      <c r="AE2341" s="273">
        <v>179803.51999999999</v>
      </c>
      <c r="AF2341" s="16"/>
      <c r="AG2341" s="17"/>
      <c r="AH2341" s="15"/>
      <c r="AI2341" s="13"/>
    </row>
    <row r="2342" spans="1:35" x14ac:dyDescent="0.3">
      <c r="A2342" s="10">
        <f t="shared" si="512"/>
        <v>2076</v>
      </c>
      <c r="B2342" s="124" t="s">
        <v>2984</v>
      </c>
      <c r="C2342" s="273">
        <f t="shared" si="510"/>
        <v>130000</v>
      </c>
      <c r="D2342" s="273">
        <f t="shared" si="511"/>
        <v>0</v>
      </c>
      <c r="E2342" s="273"/>
      <c r="F2342" s="273"/>
      <c r="G2342" s="273"/>
      <c r="H2342" s="273"/>
      <c r="I2342" s="273"/>
      <c r="J2342" s="273"/>
      <c r="K2342" s="273"/>
      <c r="L2342" s="273"/>
      <c r="M2342" s="273"/>
      <c r="N2342" s="273"/>
      <c r="O2342" s="273"/>
      <c r="P2342" s="273"/>
      <c r="Q2342" s="273"/>
      <c r="R2342" s="273"/>
      <c r="S2342" s="273"/>
      <c r="T2342" s="273"/>
      <c r="U2342" s="273"/>
      <c r="V2342" s="273"/>
      <c r="W2342" s="273">
        <v>130000</v>
      </c>
      <c r="X2342" s="273"/>
      <c r="Y2342" s="273"/>
      <c r="Z2342" s="273"/>
      <c r="AA2342" s="273"/>
      <c r="AB2342" s="273"/>
      <c r="AC2342" s="273"/>
      <c r="AD2342" s="273"/>
      <c r="AE2342" s="273"/>
      <c r="AF2342" s="16"/>
      <c r="AG2342" s="17"/>
      <c r="AH2342" s="15"/>
      <c r="AI2342" s="13"/>
    </row>
    <row r="2343" spans="1:35" x14ac:dyDescent="0.3">
      <c r="A2343" s="10">
        <f t="shared" si="512"/>
        <v>2077</v>
      </c>
      <c r="B2343" s="124" t="s">
        <v>2985</v>
      </c>
      <c r="C2343" s="273">
        <f t="shared" si="510"/>
        <v>179803.51999999999</v>
      </c>
      <c r="D2343" s="273">
        <f t="shared" si="511"/>
        <v>0</v>
      </c>
      <c r="E2343" s="273"/>
      <c r="F2343" s="273"/>
      <c r="G2343" s="273"/>
      <c r="H2343" s="273"/>
      <c r="I2343" s="273"/>
      <c r="J2343" s="273"/>
      <c r="K2343" s="273"/>
      <c r="L2343" s="273"/>
      <c r="M2343" s="273"/>
      <c r="N2343" s="273"/>
      <c r="O2343" s="273"/>
      <c r="P2343" s="273"/>
      <c r="Q2343" s="273"/>
      <c r="R2343" s="273"/>
      <c r="S2343" s="273"/>
      <c r="T2343" s="273"/>
      <c r="U2343" s="273"/>
      <c r="V2343" s="273"/>
      <c r="W2343" s="273">
        <f>SUM(Y2343:AH2343)</f>
        <v>179803.51999999999</v>
      </c>
      <c r="X2343" s="273"/>
      <c r="Y2343" s="273"/>
      <c r="Z2343" s="273"/>
      <c r="AA2343" s="273"/>
      <c r="AB2343" s="273"/>
      <c r="AC2343" s="273"/>
      <c r="AD2343" s="273"/>
      <c r="AE2343" s="273">
        <v>179803.51999999999</v>
      </c>
      <c r="AF2343" s="16"/>
      <c r="AG2343" s="17"/>
      <c r="AH2343" s="15"/>
      <c r="AI2343" s="13"/>
    </row>
    <row r="2344" spans="1:35" x14ac:dyDescent="0.3">
      <c r="A2344" s="10"/>
      <c r="B2344" s="124" t="s">
        <v>208</v>
      </c>
      <c r="C2344" s="273">
        <f>SUM(C2330:C2343)</f>
        <v>2532989</v>
      </c>
      <c r="D2344" s="273">
        <f t="shared" ref="D2344:W2344" si="513">SUM(D2330:D2343)</f>
        <v>0</v>
      </c>
      <c r="E2344" s="273">
        <f t="shared" si="513"/>
        <v>0</v>
      </c>
      <c r="F2344" s="273">
        <f t="shared" si="513"/>
        <v>0</v>
      </c>
      <c r="G2344" s="273">
        <f t="shared" si="513"/>
        <v>0</v>
      </c>
      <c r="H2344" s="273">
        <f t="shared" si="513"/>
        <v>0</v>
      </c>
      <c r="I2344" s="273">
        <f t="shared" si="513"/>
        <v>0</v>
      </c>
      <c r="J2344" s="273">
        <f t="shared" si="513"/>
        <v>0</v>
      </c>
      <c r="K2344" s="273">
        <f t="shared" si="513"/>
        <v>0</v>
      </c>
      <c r="L2344" s="273">
        <f t="shared" si="513"/>
        <v>0</v>
      </c>
      <c r="M2344" s="273">
        <f t="shared" si="513"/>
        <v>0</v>
      </c>
      <c r="N2344" s="273">
        <f t="shared" si="513"/>
        <v>0</v>
      </c>
      <c r="O2344" s="273">
        <f t="shared" si="513"/>
        <v>0</v>
      </c>
      <c r="P2344" s="273">
        <f t="shared" si="513"/>
        <v>0</v>
      </c>
      <c r="Q2344" s="273">
        <f t="shared" si="513"/>
        <v>0</v>
      </c>
      <c r="R2344" s="273">
        <f t="shared" si="513"/>
        <v>0</v>
      </c>
      <c r="S2344" s="273">
        <f t="shared" si="513"/>
        <v>0</v>
      </c>
      <c r="T2344" s="273">
        <f t="shared" si="513"/>
        <v>0</v>
      </c>
      <c r="U2344" s="273">
        <f t="shared" si="513"/>
        <v>0</v>
      </c>
      <c r="V2344" s="273">
        <f t="shared" si="513"/>
        <v>0</v>
      </c>
      <c r="W2344" s="273">
        <f t="shared" si="513"/>
        <v>2532989</v>
      </c>
      <c r="X2344" s="273"/>
      <c r="Y2344" s="273"/>
      <c r="Z2344" s="273"/>
      <c r="AA2344" s="273"/>
      <c r="AB2344" s="273"/>
      <c r="AC2344" s="273"/>
      <c r="AD2344" s="273"/>
      <c r="AE2344" s="273"/>
      <c r="AF2344" s="16"/>
      <c r="AG2344" s="17"/>
      <c r="AH2344" s="15"/>
      <c r="AI2344" s="13"/>
    </row>
    <row r="2345" spans="1:35" ht="15" customHeight="1" x14ac:dyDescent="0.3">
      <c r="A2345" s="264" t="s">
        <v>2986</v>
      </c>
      <c r="B2345" s="124"/>
      <c r="C2345" s="273"/>
      <c r="D2345" s="273"/>
      <c r="E2345" s="273"/>
      <c r="F2345" s="273"/>
      <c r="G2345" s="273"/>
      <c r="H2345" s="273"/>
      <c r="I2345" s="273"/>
      <c r="J2345" s="273"/>
      <c r="K2345" s="273"/>
      <c r="L2345" s="273"/>
      <c r="M2345" s="273"/>
      <c r="N2345" s="273"/>
      <c r="O2345" s="273"/>
      <c r="P2345" s="273"/>
      <c r="Q2345" s="273"/>
      <c r="R2345" s="273"/>
      <c r="S2345" s="273"/>
      <c r="T2345" s="273"/>
      <c r="U2345" s="273"/>
      <c r="V2345" s="273"/>
      <c r="W2345" s="273"/>
      <c r="X2345" s="273"/>
      <c r="Y2345" s="273"/>
      <c r="Z2345" s="273"/>
      <c r="AA2345" s="273"/>
      <c r="AB2345" s="273"/>
      <c r="AC2345" s="273"/>
      <c r="AD2345" s="273"/>
      <c r="AE2345" s="273"/>
      <c r="AF2345" s="16"/>
      <c r="AG2345" s="17"/>
      <c r="AH2345" s="15"/>
      <c r="AI2345" s="13"/>
    </row>
    <row r="2346" spans="1:35" x14ac:dyDescent="0.3">
      <c r="A2346" s="10">
        <f>A2343+1</f>
        <v>2078</v>
      </c>
      <c r="B2346" s="124" t="s">
        <v>3000</v>
      </c>
      <c r="C2346" s="273">
        <f t="shared" ref="C2346:C2360" si="514">D2346+K2346+L2346+N2346+P2346+R2346+S2346+U2346+V2346+W2346</f>
        <v>832300</v>
      </c>
      <c r="D2346" s="273">
        <f t="shared" ref="D2346:D2360" si="515">E2346+F2346+G2346+H2346+I2346</f>
        <v>0</v>
      </c>
      <c r="E2346" s="273"/>
      <c r="F2346" s="273"/>
      <c r="G2346" s="273"/>
      <c r="H2346" s="273"/>
      <c r="I2346" s="273"/>
      <c r="J2346" s="273"/>
      <c r="K2346" s="273"/>
      <c r="L2346" s="273"/>
      <c r="M2346" s="273"/>
      <c r="N2346" s="273"/>
      <c r="O2346" s="273"/>
      <c r="P2346" s="273"/>
      <c r="Q2346" s="273"/>
      <c r="R2346" s="273"/>
      <c r="S2346" s="273"/>
      <c r="T2346" s="273">
        <v>70</v>
      </c>
      <c r="U2346" s="273">
        <f>T2346*11890</f>
        <v>832300</v>
      </c>
      <c r="V2346" s="273"/>
      <c r="W2346" s="273"/>
      <c r="X2346" s="273"/>
      <c r="Y2346" s="273"/>
      <c r="Z2346" s="273"/>
      <c r="AA2346" s="273"/>
      <c r="AB2346" s="273"/>
      <c r="AE2346" s="273"/>
      <c r="AF2346" s="16"/>
      <c r="AG2346" s="17"/>
      <c r="AH2346" s="15"/>
      <c r="AI2346" s="13"/>
    </row>
    <row r="2347" spans="1:35" x14ac:dyDescent="0.3">
      <c r="A2347" s="10">
        <f t="shared" ref="A2347:A2360" si="516">A2346+1</f>
        <v>2079</v>
      </c>
      <c r="B2347" s="124" t="s">
        <v>3001</v>
      </c>
      <c r="C2347" s="273">
        <f t="shared" si="514"/>
        <v>891750</v>
      </c>
      <c r="D2347" s="273">
        <f t="shared" si="515"/>
        <v>0</v>
      </c>
      <c r="E2347" s="273"/>
      <c r="F2347" s="273"/>
      <c r="G2347" s="273"/>
      <c r="H2347" s="273"/>
      <c r="I2347" s="273"/>
      <c r="J2347" s="273"/>
      <c r="K2347" s="273"/>
      <c r="L2347" s="273"/>
      <c r="M2347" s="273"/>
      <c r="N2347" s="273"/>
      <c r="O2347" s="273"/>
      <c r="P2347" s="273"/>
      <c r="Q2347" s="273"/>
      <c r="R2347" s="273"/>
      <c r="S2347" s="273"/>
      <c r="T2347" s="273">
        <v>75</v>
      </c>
      <c r="U2347" s="273">
        <f>T2347*11890</f>
        <v>891750</v>
      </c>
      <c r="V2347" s="273"/>
      <c r="W2347" s="273"/>
      <c r="X2347" s="273"/>
      <c r="Z2347" s="273"/>
      <c r="AA2347" s="273"/>
      <c r="AB2347" s="273"/>
      <c r="AC2347" s="273"/>
      <c r="AE2347" s="273"/>
      <c r="AF2347" s="16"/>
      <c r="AG2347" s="17"/>
      <c r="AH2347" s="15"/>
      <c r="AI2347" s="13"/>
    </row>
    <row r="2348" spans="1:35" x14ac:dyDescent="0.3">
      <c r="A2348" s="10">
        <f t="shared" si="516"/>
        <v>2080</v>
      </c>
      <c r="B2348" s="124" t="s">
        <v>3002</v>
      </c>
      <c r="C2348" s="273">
        <f t="shared" si="514"/>
        <v>4291230</v>
      </c>
      <c r="D2348" s="273">
        <f t="shared" si="515"/>
        <v>0</v>
      </c>
      <c r="E2348" s="273"/>
      <c r="F2348" s="273"/>
      <c r="G2348" s="273"/>
      <c r="H2348" s="273"/>
      <c r="I2348" s="273"/>
      <c r="J2348" s="273"/>
      <c r="K2348" s="273"/>
      <c r="L2348" s="273"/>
      <c r="M2348" s="273">
        <v>420</v>
      </c>
      <c r="N2348" s="273">
        <f>M2348*8094</f>
        <v>3399480</v>
      </c>
      <c r="O2348" s="273"/>
      <c r="P2348" s="273"/>
      <c r="Q2348" s="273"/>
      <c r="R2348" s="273"/>
      <c r="S2348" s="273"/>
      <c r="T2348" s="273">
        <v>75</v>
      </c>
      <c r="U2348" s="273">
        <f>T2348*11890</f>
        <v>891750</v>
      </c>
      <c r="V2348" s="273"/>
      <c r="W2348" s="273"/>
      <c r="X2348" s="273"/>
      <c r="Z2348" s="273"/>
      <c r="AA2348" s="273"/>
      <c r="AB2348" s="273"/>
      <c r="AC2348" s="273"/>
      <c r="AE2348" s="273"/>
      <c r="AF2348" s="16"/>
      <c r="AG2348" s="17"/>
      <c r="AH2348" s="15"/>
      <c r="AI2348" s="13"/>
    </row>
    <row r="2349" spans="1:35" x14ac:dyDescent="0.3">
      <c r="A2349" s="10">
        <f t="shared" si="516"/>
        <v>2081</v>
      </c>
      <c r="B2349" s="124" t="s">
        <v>2994</v>
      </c>
      <c r="C2349" s="273">
        <f t="shared" si="514"/>
        <v>1254246</v>
      </c>
      <c r="D2349" s="273">
        <f>E2349+F2349+G2349+H2349+I2349</f>
        <v>1254246</v>
      </c>
      <c r="E2349" s="273">
        <f>200*2688+2*358323</f>
        <v>1254246</v>
      </c>
      <c r="F2349" s="273"/>
      <c r="G2349" s="273"/>
      <c r="H2349" s="273"/>
      <c r="I2349" s="273"/>
      <c r="J2349" s="273"/>
      <c r="K2349" s="273"/>
      <c r="L2349" s="273"/>
      <c r="M2349" s="273"/>
      <c r="N2349" s="273"/>
      <c r="O2349" s="273"/>
      <c r="P2349" s="273"/>
      <c r="Q2349" s="273"/>
      <c r="R2349" s="273"/>
      <c r="S2349" s="273"/>
      <c r="T2349" s="273"/>
      <c r="U2349" s="273"/>
      <c r="V2349" s="273"/>
      <c r="W2349" s="273"/>
      <c r="X2349" s="273"/>
      <c r="Y2349" s="273"/>
      <c r="Z2349" s="273"/>
      <c r="AA2349" s="273"/>
      <c r="AB2349" s="273"/>
      <c r="AC2349" s="273"/>
      <c r="AE2349" s="273"/>
      <c r="AF2349" s="16"/>
      <c r="AG2349" s="17"/>
      <c r="AH2349" s="15"/>
      <c r="AI2349" s="13"/>
    </row>
    <row r="2350" spans="1:35" x14ac:dyDescent="0.3">
      <c r="A2350" s="10">
        <f t="shared" si="516"/>
        <v>2082</v>
      </c>
      <c r="B2350" s="124" t="s">
        <v>2996</v>
      </c>
      <c r="C2350" s="273">
        <f t="shared" si="514"/>
        <v>1523046</v>
      </c>
      <c r="D2350" s="273">
        <f>E2350+F2350+G2350+H2350+I2350</f>
        <v>1523046</v>
      </c>
      <c r="E2350" s="273">
        <f>300*2688+2*358323</f>
        <v>1523046</v>
      </c>
      <c r="F2350" s="273"/>
      <c r="G2350" s="273"/>
      <c r="H2350" s="273"/>
      <c r="I2350" s="273"/>
      <c r="J2350" s="273"/>
      <c r="K2350" s="273"/>
      <c r="L2350" s="273"/>
      <c r="M2350" s="273"/>
      <c r="N2350" s="273"/>
      <c r="O2350" s="273"/>
      <c r="P2350" s="273"/>
      <c r="Q2350" s="273"/>
      <c r="R2350" s="273"/>
      <c r="S2350" s="273"/>
      <c r="T2350" s="273"/>
      <c r="U2350" s="273"/>
      <c r="V2350" s="273"/>
      <c r="W2350" s="273"/>
      <c r="X2350" s="273"/>
      <c r="Y2350" s="273"/>
      <c r="Z2350" s="273"/>
      <c r="AA2350" s="273"/>
      <c r="AC2350" s="273"/>
      <c r="AE2350" s="273"/>
      <c r="AF2350" s="16"/>
      <c r="AG2350" s="17"/>
      <c r="AH2350" s="15"/>
      <c r="AI2350" s="13"/>
    </row>
    <row r="2351" spans="1:35" x14ac:dyDescent="0.3">
      <c r="A2351" s="10">
        <f t="shared" si="516"/>
        <v>2083</v>
      </c>
      <c r="B2351" s="124" t="s">
        <v>3018</v>
      </c>
      <c r="C2351" s="273">
        <f t="shared" si="514"/>
        <v>130000</v>
      </c>
      <c r="D2351" s="273">
        <f>E2351+F2351+G2351+H2351+I2351</f>
        <v>0</v>
      </c>
      <c r="E2351" s="273"/>
      <c r="F2351" s="273"/>
      <c r="G2351" s="273"/>
      <c r="H2351" s="273"/>
      <c r="I2351" s="273"/>
      <c r="J2351" s="273"/>
      <c r="K2351" s="273"/>
      <c r="L2351" s="273"/>
      <c r="M2351" s="273"/>
      <c r="N2351" s="273"/>
      <c r="O2351" s="273"/>
      <c r="P2351" s="273"/>
      <c r="Q2351" s="273"/>
      <c r="R2351" s="273"/>
      <c r="S2351" s="273"/>
      <c r="T2351" s="273"/>
      <c r="U2351" s="273"/>
      <c r="V2351" s="273"/>
      <c r="W2351" s="273">
        <v>130000</v>
      </c>
      <c r="X2351" s="273"/>
      <c r="Y2351" s="273"/>
      <c r="Z2351" s="273"/>
      <c r="AA2351" s="273"/>
      <c r="AB2351" s="273"/>
      <c r="AC2351" s="273">
        <v>130000</v>
      </c>
      <c r="AE2351" s="273"/>
      <c r="AF2351" s="16"/>
      <c r="AG2351" s="17"/>
      <c r="AH2351" s="15"/>
      <c r="AI2351" s="13"/>
    </row>
    <row r="2352" spans="1:35" x14ac:dyDescent="0.3">
      <c r="A2352" s="10">
        <f t="shared" si="516"/>
        <v>2084</v>
      </c>
      <c r="B2352" s="124" t="s">
        <v>3017</v>
      </c>
      <c r="C2352" s="273">
        <f t="shared" si="514"/>
        <v>119487</v>
      </c>
      <c r="D2352" s="273">
        <f t="shared" si="515"/>
        <v>0</v>
      </c>
      <c r="E2352" s="273"/>
      <c r="F2352" s="273"/>
      <c r="G2352" s="273"/>
      <c r="H2352" s="273"/>
      <c r="I2352" s="273"/>
      <c r="J2352" s="273"/>
      <c r="K2352" s="273"/>
      <c r="L2352" s="273"/>
      <c r="M2352" s="273"/>
      <c r="N2352" s="273"/>
      <c r="O2352" s="273"/>
      <c r="P2352" s="273"/>
      <c r="Q2352" s="273"/>
      <c r="R2352" s="273"/>
      <c r="S2352" s="273"/>
      <c r="T2352" s="273"/>
      <c r="U2352" s="273"/>
      <c r="V2352" s="273"/>
      <c r="W2352" s="273">
        <f>SUM(Y2352:AH2352)</f>
        <v>119487</v>
      </c>
      <c r="X2352" s="273"/>
      <c r="Y2352" s="273"/>
      <c r="Z2352" s="273">
        <v>119487</v>
      </c>
      <c r="AA2352" s="273"/>
      <c r="AB2352" s="273"/>
      <c r="AC2352" s="273"/>
      <c r="AE2352" s="273"/>
      <c r="AF2352" s="16"/>
      <c r="AG2352" s="17"/>
      <c r="AH2352" s="15"/>
      <c r="AI2352" s="13"/>
    </row>
    <row r="2353" spans="1:35" x14ac:dyDescent="0.3">
      <c r="A2353" s="10">
        <f t="shared" si="516"/>
        <v>2085</v>
      </c>
      <c r="B2353" s="124" t="s">
        <v>2992</v>
      </c>
      <c r="C2353" s="273">
        <f t="shared" si="514"/>
        <v>1003443</v>
      </c>
      <c r="D2353" s="273">
        <f>E2353+F2353+G2353+H2353+I2353</f>
        <v>1003443</v>
      </c>
      <c r="E2353" s="273">
        <f>240*2688+1*358323</f>
        <v>1003443</v>
      </c>
      <c r="F2353" s="273"/>
      <c r="G2353" s="273"/>
      <c r="H2353" s="273"/>
      <c r="I2353" s="273"/>
      <c r="J2353" s="273"/>
      <c r="K2353" s="273"/>
      <c r="L2353" s="273"/>
      <c r="M2353" s="273"/>
      <c r="N2353" s="273"/>
      <c r="O2353" s="273"/>
      <c r="P2353" s="273"/>
      <c r="Q2353" s="273"/>
      <c r="R2353" s="273"/>
      <c r="S2353" s="273"/>
      <c r="T2353" s="273"/>
      <c r="U2353" s="273"/>
      <c r="V2353" s="273"/>
      <c r="W2353" s="273"/>
      <c r="X2353" s="273"/>
      <c r="Y2353" s="273"/>
      <c r="AA2353" s="273"/>
      <c r="AB2353" s="273"/>
      <c r="AC2353" s="273"/>
      <c r="AE2353" s="273"/>
      <c r="AF2353" s="16"/>
      <c r="AG2353" s="17"/>
      <c r="AH2353" s="15"/>
      <c r="AI2353" s="13"/>
    </row>
    <row r="2354" spans="1:35" x14ac:dyDescent="0.3">
      <c r="A2354" s="10">
        <f t="shared" si="516"/>
        <v>2086</v>
      </c>
      <c r="B2354" s="124" t="s">
        <v>3011</v>
      </c>
      <c r="C2354" s="273">
        <f t="shared" si="514"/>
        <v>1523046</v>
      </c>
      <c r="D2354" s="273">
        <f>E2354+F2354+G2354+H2354+I2354</f>
        <v>1523046</v>
      </c>
      <c r="E2354" s="273">
        <f>300*2688+2*358323</f>
        <v>1523046</v>
      </c>
      <c r="F2354" s="273"/>
      <c r="G2354" s="273"/>
      <c r="H2354" s="273"/>
      <c r="I2354" s="273"/>
      <c r="J2354" s="273"/>
      <c r="K2354" s="273"/>
      <c r="L2354" s="273"/>
      <c r="M2354" s="273"/>
      <c r="N2354" s="273"/>
      <c r="O2354" s="273"/>
      <c r="P2354" s="273"/>
      <c r="Q2354" s="273"/>
      <c r="R2354" s="273"/>
      <c r="S2354" s="273"/>
      <c r="T2354" s="273"/>
      <c r="U2354" s="273"/>
      <c r="V2354" s="273"/>
      <c r="W2354" s="273"/>
      <c r="X2354" s="273"/>
      <c r="Y2354" s="273"/>
      <c r="AA2354" s="273"/>
      <c r="AB2354" s="273"/>
      <c r="AC2354" s="273"/>
      <c r="AE2354" s="273"/>
      <c r="AF2354" s="16"/>
      <c r="AG2354" s="17"/>
      <c r="AH2354" s="15"/>
      <c r="AI2354" s="13"/>
    </row>
    <row r="2355" spans="1:35" x14ac:dyDescent="0.3">
      <c r="A2355" s="10">
        <f t="shared" si="516"/>
        <v>2087</v>
      </c>
      <c r="B2355" s="124" t="s">
        <v>3012</v>
      </c>
      <c r="C2355" s="273">
        <f t="shared" si="514"/>
        <v>1523046</v>
      </c>
      <c r="D2355" s="273">
        <f>E2355+F2355+G2355+H2355+I2355</f>
        <v>1523046</v>
      </c>
      <c r="E2355" s="273">
        <f>300*2688+2*358323</f>
        <v>1523046</v>
      </c>
      <c r="F2355" s="273"/>
      <c r="G2355" s="273"/>
      <c r="H2355" s="273"/>
      <c r="I2355" s="273"/>
      <c r="J2355" s="273"/>
      <c r="K2355" s="273"/>
      <c r="L2355" s="273"/>
      <c r="M2355" s="273"/>
      <c r="N2355" s="273"/>
      <c r="O2355" s="273"/>
      <c r="P2355" s="273"/>
      <c r="Q2355" s="273"/>
      <c r="R2355" s="273"/>
      <c r="S2355" s="273"/>
      <c r="T2355" s="273"/>
      <c r="U2355" s="273"/>
      <c r="V2355" s="273"/>
      <c r="W2355" s="273"/>
      <c r="X2355" s="273"/>
      <c r="Y2355" s="273"/>
      <c r="AA2355" s="273"/>
      <c r="AB2355" s="273"/>
      <c r="AC2355" s="273"/>
      <c r="AE2355" s="273"/>
      <c r="AF2355" s="16"/>
      <c r="AG2355" s="17"/>
      <c r="AH2355" s="15"/>
      <c r="AI2355" s="13"/>
    </row>
    <row r="2356" spans="1:35" x14ac:dyDescent="0.3">
      <c r="A2356" s="10">
        <f t="shared" si="516"/>
        <v>2088</v>
      </c>
      <c r="B2356" s="124" t="s">
        <v>3013</v>
      </c>
      <c r="C2356" s="273">
        <f t="shared" si="514"/>
        <v>1523046</v>
      </c>
      <c r="D2356" s="273">
        <f>E2356+F2356+G2356+H2356+I2356</f>
        <v>1523046</v>
      </c>
      <c r="E2356" s="273">
        <f>300*2688+2*358323</f>
        <v>1523046</v>
      </c>
      <c r="F2356" s="273"/>
      <c r="G2356" s="273"/>
      <c r="H2356" s="273"/>
      <c r="I2356" s="273"/>
      <c r="J2356" s="273"/>
      <c r="K2356" s="273"/>
      <c r="L2356" s="273"/>
      <c r="M2356" s="273"/>
      <c r="N2356" s="273"/>
      <c r="O2356" s="273"/>
      <c r="P2356" s="273"/>
      <c r="Q2356" s="273"/>
      <c r="R2356" s="273"/>
      <c r="S2356" s="273"/>
      <c r="T2356" s="273"/>
      <c r="U2356" s="273"/>
      <c r="V2356" s="273"/>
      <c r="W2356" s="273"/>
      <c r="X2356" s="273"/>
      <c r="Y2356" s="273"/>
      <c r="AA2356" s="273"/>
      <c r="AB2356" s="273"/>
      <c r="AC2356" s="273"/>
      <c r="AE2356" s="273"/>
      <c r="AF2356" s="16"/>
      <c r="AG2356" s="17"/>
      <c r="AH2356" s="15"/>
      <c r="AI2356" s="13"/>
    </row>
    <row r="2357" spans="1:35" x14ac:dyDescent="0.3">
      <c r="A2357" s="10">
        <f t="shared" si="516"/>
        <v>2089</v>
      </c>
      <c r="B2357" s="124" t="s">
        <v>3019</v>
      </c>
      <c r="C2357" s="273">
        <f t="shared" si="514"/>
        <v>316265.01</v>
      </c>
      <c r="D2357" s="273">
        <f t="shared" si="515"/>
        <v>0</v>
      </c>
      <c r="E2357" s="273"/>
      <c r="F2357" s="273"/>
      <c r="G2357" s="273"/>
      <c r="H2357" s="273"/>
      <c r="I2357" s="273"/>
      <c r="J2357" s="273"/>
      <c r="K2357" s="273"/>
      <c r="L2357" s="273"/>
      <c r="M2357" s="273"/>
      <c r="N2357" s="273"/>
      <c r="O2357" s="273"/>
      <c r="P2357" s="273"/>
      <c r="Q2357" s="273"/>
      <c r="R2357" s="273"/>
      <c r="S2357" s="273"/>
      <c r="T2357" s="273"/>
      <c r="U2357" s="273"/>
      <c r="V2357" s="273"/>
      <c r="W2357" s="273">
        <f>SUM(Y2357:AH2357)</f>
        <v>316265.01</v>
      </c>
      <c r="X2357" s="273"/>
      <c r="Y2357" s="273">
        <v>123524.66</v>
      </c>
      <c r="AA2357" s="273"/>
      <c r="AB2357" s="273"/>
      <c r="AC2357" s="273"/>
      <c r="AE2357" s="273">
        <v>192740.35</v>
      </c>
      <c r="AF2357" s="16"/>
      <c r="AG2357" s="17"/>
      <c r="AH2357" s="15"/>
      <c r="AI2357" s="13"/>
    </row>
    <row r="2358" spans="1:35" x14ac:dyDescent="0.3">
      <c r="A2358" s="10">
        <f t="shared" si="516"/>
        <v>2090</v>
      </c>
      <c r="B2358" s="124" t="s">
        <v>3020</v>
      </c>
      <c r="C2358" s="273">
        <f t="shared" si="514"/>
        <v>298242.92000000004</v>
      </c>
      <c r="D2358" s="273">
        <f t="shared" si="515"/>
        <v>0</v>
      </c>
      <c r="E2358" s="273"/>
      <c r="F2358" s="273"/>
      <c r="G2358" s="273"/>
      <c r="H2358" s="273"/>
      <c r="I2358" s="273"/>
      <c r="J2358" s="273"/>
      <c r="K2358" s="273"/>
      <c r="L2358" s="273"/>
      <c r="M2358" s="273"/>
      <c r="N2358" s="273"/>
      <c r="O2358" s="273"/>
      <c r="P2358" s="273"/>
      <c r="Q2358" s="273"/>
      <c r="R2358" s="273"/>
      <c r="S2358" s="273"/>
      <c r="T2358" s="273"/>
      <c r="U2358" s="273"/>
      <c r="V2358" s="273"/>
      <c r="W2358" s="273">
        <f>SUM(Z2358:AH2358)</f>
        <v>298242.92000000004</v>
      </c>
      <c r="X2358" s="273"/>
      <c r="Z2358" s="273"/>
      <c r="AA2358" s="273"/>
      <c r="AB2358" s="273"/>
      <c r="AC2358" s="273">
        <v>105502.57</v>
      </c>
      <c r="AE2358" s="273">
        <v>192740.35</v>
      </c>
      <c r="AF2358" s="16"/>
      <c r="AG2358" s="17"/>
      <c r="AH2358" s="15"/>
      <c r="AI2358" s="13"/>
    </row>
    <row r="2359" spans="1:35" x14ac:dyDescent="0.3">
      <c r="A2359" s="10">
        <f t="shared" si="516"/>
        <v>2091</v>
      </c>
      <c r="B2359" s="124" t="s">
        <v>3021</v>
      </c>
      <c r="C2359" s="273">
        <f t="shared" si="514"/>
        <v>298242.92000000004</v>
      </c>
      <c r="D2359" s="273">
        <f t="shared" si="515"/>
        <v>0</v>
      </c>
      <c r="E2359" s="273"/>
      <c r="F2359" s="273"/>
      <c r="G2359" s="273"/>
      <c r="H2359" s="273"/>
      <c r="I2359" s="273"/>
      <c r="J2359" s="273"/>
      <c r="K2359" s="273"/>
      <c r="L2359" s="273"/>
      <c r="M2359" s="273"/>
      <c r="N2359" s="273"/>
      <c r="O2359" s="273"/>
      <c r="P2359" s="273"/>
      <c r="Q2359" s="273"/>
      <c r="R2359" s="273"/>
      <c r="S2359" s="273"/>
      <c r="T2359" s="273"/>
      <c r="U2359" s="273"/>
      <c r="V2359" s="273"/>
      <c r="W2359" s="273">
        <f>SUM(Z2359:AH2359)</f>
        <v>298242.92000000004</v>
      </c>
      <c r="X2359" s="273"/>
      <c r="Z2359" s="273"/>
      <c r="AA2359" s="273"/>
      <c r="AB2359" s="273"/>
      <c r="AC2359" s="273">
        <v>105502.57</v>
      </c>
      <c r="AE2359" s="273">
        <v>192740.35</v>
      </c>
      <c r="AF2359" s="16"/>
      <c r="AG2359" s="17"/>
      <c r="AH2359" s="15"/>
      <c r="AI2359" s="13"/>
    </row>
    <row r="2360" spans="1:35" x14ac:dyDescent="0.3">
      <c r="A2360" s="10">
        <f t="shared" si="516"/>
        <v>2092</v>
      </c>
      <c r="B2360" s="124" t="s">
        <v>3022</v>
      </c>
      <c r="C2360" s="273">
        <f t="shared" si="514"/>
        <v>78485.86</v>
      </c>
      <c r="D2360" s="273">
        <f t="shared" si="515"/>
        <v>0</v>
      </c>
      <c r="E2360" s="273"/>
      <c r="F2360" s="273"/>
      <c r="G2360" s="273"/>
      <c r="H2360" s="273"/>
      <c r="I2360" s="273"/>
      <c r="J2360" s="273"/>
      <c r="K2360" s="273"/>
      <c r="L2360" s="273"/>
      <c r="M2360" s="273"/>
      <c r="N2360" s="273"/>
      <c r="O2360" s="273"/>
      <c r="P2360" s="273"/>
      <c r="Q2360" s="273"/>
      <c r="R2360" s="273"/>
      <c r="S2360" s="273"/>
      <c r="T2360" s="273"/>
      <c r="U2360" s="273"/>
      <c r="V2360" s="273"/>
      <c r="W2360" s="273">
        <f>SUM(Z2360:AH2360)</f>
        <v>78485.86</v>
      </c>
      <c r="X2360" s="273"/>
      <c r="Z2360" s="273"/>
      <c r="AA2360" s="273"/>
      <c r="AB2360" s="273"/>
      <c r="AC2360" s="273">
        <v>78485.86</v>
      </c>
      <c r="AE2360" s="273"/>
      <c r="AF2360" s="16"/>
      <c r="AG2360" s="17"/>
      <c r="AH2360" s="15"/>
      <c r="AI2360" s="13"/>
    </row>
    <row r="2361" spans="1:35" x14ac:dyDescent="0.3">
      <c r="A2361" s="10"/>
      <c r="B2361" s="124" t="s">
        <v>208</v>
      </c>
      <c r="C2361" s="273">
        <f>SUM(C2346:C2360)</f>
        <v>15605876.709999999</v>
      </c>
      <c r="D2361" s="273">
        <f t="shared" ref="D2361:W2361" si="517">SUM(D2346:D2360)</f>
        <v>8349873</v>
      </c>
      <c r="E2361" s="273">
        <f t="shared" si="517"/>
        <v>8349873</v>
      </c>
      <c r="F2361" s="273">
        <f t="shared" si="517"/>
        <v>0</v>
      </c>
      <c r="G2361" s="273">
        <f t="shared" si="517"/>
        <v>0</v>
      </c>
      <c r="H2361" s="273">
        <f t="shared" si="517"/>
        <v>0</v>
      </c>
      <c r="I2361" s="273">
        <f t="shared" si="517"/>
        <v>0</v>
      </c>
      <c r="J2361" s="273">
        <f t="shared" si="517"/>
        <v>0</v>
      </c>
      <c r="K2361" s="273">
        <f t="shared" si="517"/>
        <v>0</v>
      </c>
      <c r="L2361" s="273">
        <f t="shared" si="517"/>
        <v>0</v>
      </c>
      <c r="M2361" s="273">
        <f t="shared" si="517"/>
        <v>420</v>
      </c>
      <c r="N2361" s="273">
        <f t="shared" si="517"/>
        <v>3399480</v>
      </c>
      <c r="O2361" s="273">
        <f t="shared" si="517"/>
        <v>0</v>
      </c>
      <c r="P2361" s="273">
        <f t="shared" si="517"/>
        <v>0</v>
      </c>
      <c r="Q2361" s="273">
        <f t="shared" si="517"/>
        <v>0</v>
      </c>
      <c r="R2361" s="273">
        <f t="shared" si="517"/>
        <v>0</v>
      </c>
      <c r="S2361" s="273">
        <f t="shared" si="517"/>
        <v>0</v>
      </c>
      <c r="T2361" s="273">
        <f t="shared" si="517"/>
        <v>220</v>
      </c>
      <c r="U2361" s="273">
        <f t="shared" si="517"/>
        <v>2615800</v>
      </c>
      <c r="V2361" s="273">
        <f t="shared" si="517"/>
        <v>0</v>
      </c>
      <c r="W2361" s="273">
        <f t="shared" si="517"/>
        <v>1240723.7100000002</v>
      </c>
      <c r="X2361" s="273"/>
      <c r="Y2361" s="273"/>
      <c r="Z2361" s="273"/>
      <c r="AA2361" s="273"/>
      <c r="AB2361" s="273"/>
      <c r="AC2361" s="273"/>
      <c r="AE2361" s="273"/>
      <c r="AF2361" s="16"/>
      <c r="AG2361" s="17"/>
      <c r="AH2361" s="15"/>
      <c r="AI2361" s="13"/>
    </row>
    <row r="2362" spans="1:35" x14ac:dyDescent="0.3">
      <c r="A2362" s="390" t="s">
        <v>3285</v>
      </c>
      <c r="B2362" s="390"/>
      <c r="C2362" s="251">
        <f t="shared" ref="C2362:W2362" si="518">C2297+C2307+C2317+C2328+C2344+C2361</f>
        <v>111978795.64999999</v>
      </c>
      <c r="D2362" s="251">
        <f t="shared" si="518"/>
        <v>13565378.6</v>
      </c>
      <c r="E2362" s="251">
        <f t="shared" si="518"/>
        <v>8349873</v>
      </c>
      <c r="F2362" s="251">
        <f t="shared" si="518"/>
        <v>4565404.8</v>
      </c>
      <c r="G2362" s="251">
        <f t="shared" si="518"/>
        <v>317326.8</v>
      </c>
      <c r="H2362" s="251">
        <f t="shared" si="518"/>
        <v>291252</v>
      </c>
      <c r="I2362" s="251">
        <f t="shared" si="518"/>
        <v>41522</v>
      </c>
      <c r="J2362" s="251">
        <f t="shared" si="518"/>
        <v>0</v>
      </c>
      <c r="K2362" s="251">
        <f t="shared" si="518"/>
        <v>0</v>
      </c>
      <c r="L2362" s="251">
        <f t="shared" si="518"/>
        <v>0</v>
      </c>
      <c r="M2362" s="251">
        <f t="shared" si="518"/>
        <v>734</v>
      </c>
      <c r="N2362" s="251">
        <f t="shared" si="518"/>
        <v>12550455.6</v>
      </c>
      <c r="O2362" s="251">
        <f t="shared" si="518"/>
        <v>637</v>
      </c>
      <c r="P2362" s="251">
        <f t="shared" si="518"/>
        <v>5283571.2</v>
      </c>
      <c r="Q2362" s="251">
        <f t="shared" si="518"/>
        <v>6750.42</v>
      </c>
      <c r="R2362" s="251">
        <f t="shared" si="518"/>
        <v>57010914.120000005</v>
      </c>
      <c r="S2362" s="251">
        <f t="shared" si="518"/>
        <v>0</v>
      </c>
      <c r="T2362" s="251">
        <f t="shared" si="518"/>
        <v>281.2</v>
      </c>
      <c r="U2362" s="251">
        <f t="shared" si="518"/>
        <v>5636334.4000000004</v>
      </c>
      <c r="V2362" s="251">
        <f t="shared" si="518"/>
        <v>0</v>
      </c>
      <c r="W2362" s="251">
        <f t="shared" si="518"/>
        <v>17386141.73</v>
      </c>
      <c r="X2362" s="273"/>
      <c r="Y2362" s="273"/>
      <c r="Z2362" s="273"/>
      <c r="AA2362" s="273"/>
      <c r="AB2362" s="273"/>
      <c r="AC2362" s="273"/>
      <c r="AD2362" s="273"/>
      <c r="AE2362" s="273"/>
      <c r="AF2362" s="16"/>
      <c r="AG2362" s="17"/>
      <c r="AH2362" s="15"/>
      <c r="AI2362" s="13"/>
    </row>
    <row r="2363" spans="1:35" x14ac:dyDescent="0.3">
      <c r="A2363" s="390" t="s">
        <v>3023</v>
      </c>
      <c r="B2363" s="390"/>
      <c r="C2363" s="251">
        <f t="shared" ref="C2363:W2363" si="519">C2362+C2246+C2063+C2028+C1906+C1805+C1785+C1657+C1577+C1447+C1372+C1332+C1293+C864+C572+C353+C189+C135</f>
        <v>3242871333.8299994</v>
      </c>
      <c r="D2363" s="251">
        <f t="shared" si="519"/>
        <v>488752041.83000004</v>
      </c>
      <c r="E2363" s="251">
        <f t="shared" si="519"/>
        <v>120143111.24000002</v>
      </c>
      <c r="F2363" s="251">
        <f t="shared" si="519"/>
        <v>257403880.92000002</v>
      </c>
      <c r="G2363" s="251">
        <f t="shared" si="519"/>
        <v>50221326.339999989</v>
      </c>
      <c r="H2363" s="251">
        <f t="shared" si="519"/>
        <v>43218380.299999997</v>
      </c>
      <c r="I2363" s="251">
        <f t="shared" si="519"/>
        <v>17765343.030000001</v>
      </c>
      <c r="J2363" s="251">
        <f t="shared" si="519"/>
        <v>0</v>
      </c>
      <c r="K2363" s="251">
        <f t="shared" si="519"/>
        <v>0</v>
      </c>
      <c r="L2363" s="251">
        <f t="shared" si="519"/>
        <v>0</v>
      </c>
      <c r="M2363" s="251">
        <f t="shared" si="519"/>
        <v>61930.39</v>
      </c>
      <c r="N2363" s="251">
        <f t="shared" si="519"/>
        <v>450621951.93999994</v>
      </c>
      <c r="O2363" s="251">
        <f t="shared" si="519"/>
        <v>21945.7</v>
      </c>
      <c r="P2363" s="251">
        <f t="shared" si="519"/>
        <v>380550460.93000007</v>
      </c>
      <c r="Q2363" s="251">
        <f t="shared" si="519"/>
        <v>182351.565</v>
      </c>
      <c r="R2363" s="251">
        <f t="shared" si="519"/>
        <v>1218796798.6200001</v>
      </c>
      <c r="S2363" s="251">
        <f t="shared" si="519"/>
        <v>0</v>
      </c>
      <c r="T2363" s="251">
        <f t="shared" si="519"/>
        <v>39032.559999999998</v>
      </c>
      <c r="U2363" s="251">
        <f t="shared" si="519"/>
        <v>131346180.38000001</v>
      </c>
      <c r="V2363" s="251">
        <f t="shared" si="519"/>
        <v>95795947.039999992</v>
      </c>
      <c r="W2363" s="251">
        <f t="shared" si="519"/>
        <v>437742115.9199999</v>
      </c>
    </row>
    <row r="2364" spans="1:35" s="40" customFormat="1" x14ac:dyDescent="0.3">
      <c r="A2364" s="391" t="s">
        <v>3520</v>
      </c>
      <c r="B2364" s="391"/>
      <c r="C2364" s="251">
        <f>(C2363-W2363)*0.0214</f>
        <v>60029765.263273984</v>
      </c>
      <c r="D2364" s="251"/>
      <c r="E2364" s="251"/>
      <c r="F2364" s="251"/>
      <c r="G2364" s="251"/>
      <c r="H2364" s="251"/>
      <c r="I2364" s="251"/>
      <c r="J2364" s="251"/>
      <c r="K2364" s="251"/>
      <c r="L2364" s="251"/>
      <c r="M2364" s="251"/>
      <c r="N2364" s="251"/>
      <c r="O2364" s="251"/>
      <c r="P2364" s="251"/>
      <c r="Q2364" s="251"/>
      <c r="R2364" s="251"/>
      <c r="S2364" s="251"/>
      <c r="T2364" s="251"/>
      <c r="U2364" s="251"/>
      <c r="V2364" s="251"/>
      <c r="W2364" s="251"/>
    </row>
    <row r="2365" spans="1:35" s="40" customFormat="1" ht="35.25" customHeight="1" x14ac:dyDescent="0.3">
      <c r="A2365" s="373" t="s">
        <v>3521</v>
      </c>
      <c r="B2365" s="373"/>
      <c r="C2365" s="251">
        <f>C2363+C2364</f>
        <v>3302901099.0932736</v>
      </c>
      <c r="D2365" s="251"/>
      <c r="E2365" s="251"/>
      <c r="F2365" s="251"/>
      <c r="G2365" s="251"/>
      <c r="H2365" s="251"/>
      <c r="I2365" s="251"/>
      <c r="J2365" s="251"/>
      <c r="K2365" s="251"/>
      <c r="L2365" s="251"/>
      <c r="M2365" s="251"/>
      <c r="N2365" s="251"/>
      <c r="O2365" s="251"/>
      <c r="P2365" s="251"/>
      <c r="Q2365" s="251"/>
      <c r="R2365" s="251"/>
      <c r="S2365" s="251"/>
      <c r="T2365" s="251"/>
      <c r="U2365" s="251"/>
      <c r="V2365" s="251"/>
      <c r="W2365" s="251"/>
    </row>
    <row r="2366" spans="1:35" ht="15.75" x14ac:dyDescent="0.25">
      <c r="C2366" s="269">
        <f>C2363-W2363</f>
        <v>2805129217.9099994</v>
      </c>
    </row>
  </sheetData>
  <protectedRanges>
    <protectedRange password="CC6F" sqref="M1081" name="Диапазон1_1_1"/>
    <protectedRange algorithmName="SHA-512" hashValue="fImeyDX5vTIIR0m5n2G+tG2P8nAKYFRtmB16Ot3NeZyLMfi0Zjz1jgeJ4jdBLLLIaBe/e8CFcHJkIwbkiRJVTQ==" saltValue="BGCZzuq+xaZu+clcHAZMxw==" spinCount="100000" sqref="F678:I678" name="Диапазон1_1"/>
  </protectedRanges>
  <autoFilter ref="A9:AV2366"/>
  <mergeCells count="88">
    <mergeCell ref="A1:W1"/>
    <mergeCell ref="Q4:R7"/>
    <mergeCell ref="T4:U7"/>
    <mergeCell ref="K599:L599"/>
    <mergeCell ref="A574:B574"/>
    <mergeCell ref="A191:B191"/>
    <mergeCell ref="A197:B197"/>
    <mergeCell ref="V4:V7"/>
    <mergeCell ref="A228:B228"/>
    <mergeCell ref="A443:B443"/>
    <mergeCell ref="A541:B541"/>
    <mergeCell ref="A548:B548"/>
    <mergeCell ref="A572:B572"/>
    <mergeCell ref="J4:L4"/>
    <mergeCell ref="S2239:T2239"/>
    <mergeCell ref="A1578:W1578"/>
    <mergeCell ref="A1658:W1658"/>
    <mergeCell ref="A1786:W1786"/>
    <mergeCell ref="A1372:B1372"/>
    <mergeCell ref="A1447:B1447"/>
    <mergeCell ref="A1907:W1907"/>
    <mergeCell ref="A2029:W2029"/>
    <mergeCell ref="A2064:W2064"/>
    <mergeCell ref="A769:B769"/>
    <mergeCell ref="A746:B746"/>
    <mergeCell ref="A706:B706"/>
    <mergeCell ref="M4:N7"/>
    <mergeCell ref="O4:P7"/>
    <mergeCell ref="A330:B330"/>
    <mergeCell ref="A334:B334"/>
    <mergeCell ref="A339:B339"/>
    <mergeCell ref="A344:B344"/>
    <mergeCell ref="A355:B355"/>
    <mergeCell ref="A353:B353"/>
    <mergeCell ref="A354:W354"/>
    <mergeCell ref="A395:B395"/>
    <mergeCell ref="A424:B424"/>
    <mergeCell ref="A473:B473"/>
    <mergeCell ref="A538:B538"/>
    <mergeCell ref="AH4:AH9"/>
    <mergeCell ref="A190:W190"/>
    <mergeCell ref="X10:X11"/>
    <mergeCell ref="AG4:AG8"/>
    <mergeCell ref="A10:W10"/>
    <mergeCell ref="A136:W136"/>
    <mergeCell ref="H5:H7"/>
    <mergeCell ref="I5:I7"/>
    <mergeCell ref="D5:D7"/>
    <mergeCell ref="A124:B124"/>
    <mergeCell ref="A189:B189"/>
    <mergeCell ref="W4:W7"/>
    <mergeCell ref="A1293:B1293"/>
    <mergeCell ref="AD2:AF2"/>
    <mergeCell ref="AF4:AF8"/>
    <mergeCell ref="AE4:AE8"/>
    <mergeCell ref="A573:W573"/>
    <mergeCell ref="A453:B453"/>
    <mergeCell ref="A462:B462"/>
    <mergeCell ref="A466:B466"/>
    <mergeCell ref="K5:K7"/>
    <mergeCell ref="L5:L7"/>
    <mergeCell ref="E5:E7"/>
    <mergeCell ref="F5:F7"/>
    <mergeCell ref="G5:G7"/>
    <mergeCell ref="J5:J7"/>
    <mergeCell ref="A210:B210"/>
    <mergeCell ref="D4:I4"/>
    <mergeCell ref="A2362:B2362"/>
    <mergeCell ref="A2363:B2363"/>
    <mergeCell ref="A2364:B2364"/>
    <mergeCell ref="A1332:B1332"/>
    <mergeCell ref="A1334:B1334"/>
    <mergeCell ref="A1268:B1268"/>
    <mergeCell ref="A2365:B2365"/>
    <mergeCell ref="A841:B841"/>
    <mergeCell ref="A844:B844"/>
    <mergeCell ref="A854:B854"/>
    <mergeCell ref="A860:B860"/>
    <mergeCell ref="A864:B864"/>
    <mergeCell ref="A1806:W1806"/>
    <mergeCell ref="A865:W865"/>
    <mergeCell ref="A1294:W1294"/>
    <mergeCell ref="A1333:W1333"/>
    <mergeCell ref="A1373:W1373"/>
    <mergeCell ref="A1448:W1448"/>
    <mergeCell ref="A1577:B1577"/>
    <mergeCell ref="A2247:W2247"/>
    <mergeCell ref="A1271:B1271"/>
  </mergeCells>
  <conditionalFormatting sqref="A135">
    <cfRule type="duplicateValues" dxfId="57" priority="76"/>
  </conditionalFormatting>
  <conditionalFormatting sqref="B996">
    <cfRule type="duplicateValues" dxfId="56" priority="2"/>
  </conditionalFormatting>
  <conditionalFormatting sqref="B2325:B2327">
    <cfRule type="duplicateValues" dxfId="55" priority="1"/>
  </conditionalFormatting>
  <pageMargins left="0.23622047244094491" right="0.23622047244094491" top="0.55118110236220474" bottom="0.39370078740157483" header="0.31496062992125984" footer="0.28000000000000003"/>
  <pageSetup paperSize="9" scale="33" fitToHeight="0" orientation="landscape" r:id="rId1"/>
  <headerFooter>
    <oddFooter>&amp;CСтраница &amp;P&amp;RРаздел III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99"/>
  <sheetViews>
    <sheetView view="pageBreakPreview" zoomScale="6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9" sqref="A59"/>
    </sheetView>
  </sheetViews>
  <sheetFormatPr defaultColWidth="9.109375" defaultRowHeight="15.6" x14ac:dyDescent="0.3"/>
  <cols>
    <col min="1" max="1" width="9" style="172" customWidth="1"/>
    <col min="2" max="2" width="43.6640625" style="45" customWidth="1"/>
    <col min="3" max="3" width="20" style="269" customWidth="1"/>
    <col min="4" max="4" width="16.44140625" style="269" customWidth="1"/>
    <col min="5" max="5" width="15.88671875" style="269" customWidth="1"/>
    <col min="6" max="6" width="16.5546875" style="269" customWidth="1"/>
    <col min="7" max="7" width="15.6640625" style="269" customWidth="1"/>
    <col min="8" max="8" width="15.44140625" style="269" customWidth="1"/>
    <col min="9" max="9" width="15.88671875" style="269" customWidth="1"/>
    <col min="10" max="10" width="14.6640625" style="179" hidden="1" customWidth="1"/>
    <col min="11" max="11" width="10.6640625" style="269" hidden="1" customWidth="1"/>
    <col min="12" max="12" width="19" style="269" hidden="1" customWidth="1"/>
    <col min="13" max="13" width="11.109375" style="269" customWidth="1"/>
    <col min="14" max="14" width="18.88671875" style="269" customWidth="1"/>
    <col min="15" max="15" width="11.109375" style="269" customWidth="1"/>
    <col min="16" max="16" width="18.44140625" style="269" customWidth="1"/>
    <col min="17" max="17" width="13" style="269" customWidth="1"/>
    <col min="18" max="18" width="20.109375" style="269" customWidth="1"/>
    <col min="19" max="19" width="14.44140625" style="269" customWidth="1"/>
    <col min="20" max="20" width="12.44140625" style="269" customWidth="1"/>
    <col min="21" max="21" width="16.88671875" style="269" customWidth="1"/>
    <col min="22" max="22" width="14.33203125" style="269" customWidth="1"/>
    <col min="23" max="23" width="16.88671875" style="269" customWidth="1"/>
    <col min="24" max="24" width="13.88671875" style="40" hidden="1" customWidth="1"/>
    <col min="25" max="25" width="15" style="40" hidden="1" customWidth="1"/>
    <col min="26" max="26" width="13.88671875" style="40" hidden="1" customWidth="1"/>
    <col min="27" max="27" width="16.5546875" style="40" hidden="1" customWidth="1"/>
    <col min="28" max="28" width="15.5546875" style="40" hidden="1" customWidth="1"/>
    <col min="29" max="29" width="12.44140625" style="40" hidden="1" customWidth="1"/>
    <col min="30" max="30" width="17" style="40" hidden="1" customWidth="1"/>
    <col min="31" max="31" width="17.109375" style="40" hidden="1" customWidth="1"/>
    <col min="32" max="32" width="20.6640625" style="40" hidden="1" customWidth="1"/>
    <col min="33" max="33" width="16.88671875" style="40" hidden="1" customWidth="1"/>
    <col min="34" max="34" width="12.109375" style="40" hidden="1" customWidth="1"/>
    <col min="35" max="35" width="11.6640625" style="40" hidden="1" customWidth="1"/>
    <col min="36" max="36" width="10.33203125" style="40" hidden="1" customWidth="1"/>
    <col min="37" max="38" width="9.109375" style="40" customWidth="1"/>
    <col min="39" max="16384" width="9.109375" style="40"/>
  </cols>
  <sheetData>
    <row r="1" spans="1:33" x14ac:dyDescent="0.3">
      <c r="A1" s="361" t="s">
        <v>3575</v>
      </c>
      <c r="B1" s="361"/>
      <c r="C1" s="361"/>
      <c r="D1" s="361"/>
      <c r="E1" s="420"/>
      <c r="F1" s="420"/>
      <c r="G1" s="420"/>
      <c r="H1" s="420"/>
      <c r="I1" s="420"/>
      <c r="J1" s="361"/>
      <c r="K1" s="361"/>
      <c r="L1" s="361"/>
      <c r="M1" s="361"/>
      <c r="N1" s="361"/>
      <c r="O1" s="361"/>
      <c r="P1" s="420"/>
      <c r="Q1" s="361"/>
      <c r="R1" s="361"/>
      <c r="S1" s="361"/>
      <c r="T1" s="361"/>
      <c r="U1" s="420"/>
      <c r="V1" s="361"/>
      <c r="W1" s="361"/>
      <c r="X1" s="266"/>
      <c r="Y1" s="266"/>
      <c r="Z1" s="266"/>
      <c r="AA1" s="266"/>
      <c r="AB1" s="13"/>
      <c r="AC1" s="13"/>
      <c r="AD1" s="13"/>
      <c r="AE1" s="13"/>
      <c r="AF1" s="13"/>
      <c r="AG1" s="13"/>
    </row>
    <row r="2" spans="1:33" ht="12" customHeight="1" x14ac:dyDescent="0.3">
      <c r="A2" s="3"/>
      <c r="B2" s="27"/>
      <c r="X2" s="269"/>
      <c r="Y2" s="269"/>
      <c r="Z2" s="7"/>
      <c r="AA2" s="13"/>
      <c r="AB2" s="13"/>
      <c r="AC2" s="13"/>
      <c r="AD2" s="344" t="s">
        <v>0</v>
      </c>
      <c r="AE2" s="344"/>
      <c r="AF2" s="344"/>
      <c r="AG2" s="13"/>
    </row>
    <row r="3" spans="1:33" ht="24.75" customHeight="1" x14ac:dyDescent="0.3">
      <c r="A3" s="417" t="s">
        <v>1</v>
      </c>
      <c r="B3" s="417" t="s">
        <v>2</v>
      </c>
      <c r="C3" s="416" t="s">
        <v>3</v>
      </c>
      <c r="D3" s="422" t="s">
        <v>4</v>
      </c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4"/>
      <c r="X3" s="271"/>
      <c r="Y3" s="72"/>
      <c r="Z3" s="7"/>
      <c r="AA3" s="13"/>
      <c r="AB3" s="13"/>
      <c r="AC3" s="13"/>
      <c r="AD3" s="13"/>
      <c r="AE3" s="13"/>
      <c r="AF3" s="13"/>
      <c r="AG3" s="13"/>
    </row>
    <row r="4" spans="1:33" ht="17.25" customHeight="1" x14ac:dyDescent="0.3">
      <c r="A4" s="365"/>
      <c r="B4" s="365"/>
      <c r="C4" s="346"/>
      <c r="D4" s="290" t="s">
        <v>5</v>
      </c>
      <c r="E4" s="290"/>
      <c r="F4" s="290"/>
      <c r="G4" s="290"/>
      <c r="H4" s="290"/>
      <c r="I4" s="290"/>
      <c r="J4" s="290" t="s">
        <v>6</v>
      </c>
      <c r="K4" s="290"/>
      <c r="L4" s="290"/>
      <c r="M4" s="290" t="s">
        <v>7</v>
      </c>
      <c r="N4" s="290"/>
      <c r="O4" s="290" t="s">
        <v>8</v>
      </c>
      <c r="P4" s="290"/>
      <c r="Q4" s="290" t="s">
        <v>9</v>
      </c>
      <c r="R4" s="290"/>
      <c r="S4" s="416" t="s">
        <v>24</v>
      </c>
      <c r="T4" s="290" t="s">
        <v>10</v>
      </c>
      <c r="U4" s="290"/>
      <c r="V4" s="290" t="s">
        <v>11</v>
      </c>
      <c r="W4" s="290" t="s">
        <v>12</v>
      </c>
      <c r="X4" s="106"/>
      <c r="Y4" s="261"/>
      <c r="Z4" s="261"/>
      <c r="AA4" s="261"/>
      <c r="AB4" s="261"/>
      <c r="AC4" s="261"/>
      <c r="AD4" s="359" t="s">
        <v>13</v>
      </c>
      <c r="AE4" s="359" t="s">
        <v>14</v>
      </c>
      <c r="AF4" s="359" t="s">
        <v>15</v>
      </c>
      <c r="AG4" s="13"/>
    </row>
    <row r="5" spans="1:33" ht="15.75" customHeight="1" x14ac:dyDescent="0.3">
      <c r="A5" s="365"/>
      <c r="B5" s="365"/>
      <c r="C5" s="346"/>
      <c r="D5" s="290" t="s">
        <v>16</v>
      </c>
      <c r="E5" s="290" t="s">
        <v>17</v>
      </c>
      <c r="F5" s="290" t="s">
        <v>18</v>
      </c>
      <c r="G5" s="290" t="s">
        <v>19</v>
      </c>
      <c r="H5" s="290" t="s">
        <v>20</v>
      </c>
      <c r="I5" s="290" t="s">
        <v>21</v>
      </c>
      <c r="J5" s="421"/>
      <c r="K5" s="290" t="s">
        <v>22</v>
      </c>
      <c r="L5" s="290" t="s">
        <v>23</v>
      </c>
      <c r="M5" s="290"/>
      <c r="N5" s="290"/>
      <c r="O5" s="290"/>
      <c r="P5" s="290"/>
      <c r="Q5" s="290"/>
      <c r="R5" s="290"/>
      <c r="S5" s="346"/>
      <c r="T5" s="290"/>
      <c r="U5" s="290"/>
      <c r="V5" s="290"/>
      <c r="W5" s="290"/>
      <c r="X5" s="106"/>
      <c r="Y5" s="261"/>
      <c r="Z5" s="261"/>
      <c r="AA5" s="261"/>
      <c r="AB5" s="261"/>
      <c r="AC5" s="261"/>
      <c r="AD5" s="359"/>
      <c r="AE5" s="359"/>
      <c r="AF5" s="359"/>
      <c r="AG5" s="13"/>
    </row>
    <row r="6" spans="1:33" ht="15.75" customHeight="1" x14ac:dyDescent="0.3">
      <c r="A6" s="365"/>
      <c r="B6" s="365"/>
      <c r="C6" s="346"/>
      <c r="D6" s="290"/>
      <c r="E6" s="290"/>
      <c r="F6" s="290"/>
      <c r="G6" s="290"/>
      <c r="H6" s="290"/>
      <c r="I6" s="290"/>
      <c r="J6" s="421"/>
      <c r="K6" s="290"/>
      <c r="L6" s="290"/>
      <c r="M6" s="290"/>
      <c r="N6" s="290"/>
      <c r="O6" s="290"/>
      <c r="P6" s="290"/>
      <c r="Q6" s="290"/>
      <c r="R6" s="290"/>
      <c r="S6" s="346"/>
      <c r="T6" s="290"/>
      <c r="U6" s="290"/>
      <c r="V6" s="290"/>
      <c r="W6" s="290"/>
      <c r="X6" s="106" t="s">
        <v>25</v>
      </c>
      <c r="Y6" s="261" t="s">
        <v>26</v>
      </c>
      <c r="Z6" s="261" t="s">
        <v>1404</v>
      </c>
      <c r="AA6" s="261" t="s">
        <v>27</v>
      </c>
      <c r="AB6" s="261" t="s">
        <v>28</v>
      </c>
      <c r="AC6" s="261"/>
      <c r="AD6" s="359"/>
      <c r="AE6" s="359"/>
      <c r="AF6" s="359"/>
      <c r="AG6" s="13"/>
    </row>
    <row r="7" spans="1:33" ht="12.75" customHeight="1" x14ac:dyDescent="0.3">
      <c r="A7" s="366"/>
      <c r="B7" s="366"/>
      <c r="C7" s="360"/>
      <c r="D7" s="290"/>
      <c r="E7" s="290"/>
      <c r="F7" s="290"/>
      <c r="G7" s="290"/>
      <c r="H7" s="290"/>
      <c r="I7" s="290"/>
      <c r="J7" s="421"/>
      <c r="K7" s="290"/>
      <c r="L7" s="290"/>
      <c r="M7" s="290"/>
      <c r="N7" s="290"/>
      <c r="O7" s="290"/>
      <c r="P7" s="290"/>
      <c r="Q7" s="290"/>
      <c r="R7" s="290"/>
      <c r="S7" s="360"/>
      <c r="T7" s="290"/>
      <c r="U7" s="290"/>
      <c r="V7" s="290"/>
      <c r="W7" s="290"/>
      <c r="X7" s="106"/>
      <c r="Y7" s="261"/>
      <c r="Z7" s="261"/>
      <c r="AA7" s="261"/>
      <c r="AB7" s="261"/>
      <c r="AC7" s="261"/>
      <c r="AD7" s="359"/>
      <c r="AE7" s="359"/>
      <c r="AF7" s="359"/>
      <c r="AG7" s="13" t="s">
        <v>3538</v>
      </c>
    </row>
    <row r="8" spans="1:33" x14ac:dyDescent="0.3">
      <c r="A8" s="270"/>
      <c r="B8" s="258"/>
      <c r="C8" s="261" t="s">
        <v>29</v>
      </c>
      <c r="D8" s="261" t="s">
        <v>29</v>
      </c>
      <c r="E8" s="261" t="s">
        <v>29</v>
      </c>
      <c r="F8" s="261" t="s">
        <v>29</v>
      </c>
      <c r="G8" s="261" t="s">
        <v>29</v>
      </c>
      <c r="H8" s="261" t="s">
        <v>29</v>
      </c>
      <c r="I8" s="261" t="s">
        <v>29</v>
      </c>
      <c r="J8" s="281" t="s">
        <v>30</v>
      </c>
      <c r="K8" s="261" t="s">
        <v>29</v>
      </c>
      <c r="L8" s="261" t="s">
        <v>29</v>
      </c>
      <c r="M8" s="261" t="s">
        <v>31</v>
      </c>
      <c r="N8" s="261" t="s">
        <v>29</v>
      </c>
      <c r="O8" s="261" t="s">
        <v>31</v>
      </c>
      <c r="P8" s="261" t="s">
        <v>29</v>
      </c>
      <c r="Q8" s="261" t="s">
        <v>31</v>
      </c>
      <c r="R8" s="261" t="s">
        <v>29</v>
      </c>
      <c r="S8" s="261" t="s">
        <v>29</v>
      </c>
      <c r="T8" s="261" t="s">
        <v>32</v>
      </c>
      <c r="U8" s="261" t="s">
        <v>29</v>
      </c>
      <c r="V8" s="261" t="s">
        <v>29</v>
      </c>
      <c r="W8" s="261" t="s">
        <v>29</v>
      </c>
      <c r="X8" s="106"/>
      <c r="Y8" s="261"/>
      <c r="Z8" s="261"/>
      <c r="AA8" s="261"/>
      <c r="AB8" s="261"/>
      <c r="AC8" s="261"/>
      <c r="AD8" s="359"/>
      <c r="AE8" s="359"/>
      <c r="AF8" s="359"/>
      <c r="AG8" s="3"/>
    </row>
    <row r="9" spans="1:33" ht="15.75" x14ac:dyDescent="0.25">
      <c r="A9" s="10">
        <v>1</v>
      </c>
      <c r="B9" s="9">
        <v>2</v>
      </c>
      <c r="C9" s="10">
        <v>3</v>
      </c>
      <c r="D9" s="9">
        <v>4</v>
      </c>
      <c r="E9" s="10">
        <v>5</v>
      </c>
      <c r="F9" s="9">
        <v>6</v>
      </c>
      <c r="G9" s="10">
        <v>7</v>
      </c>
      <c r="H9" s="9">
        <v>8</v>
      </c>
      <c r="I9" s="10">
        <v>9</v>
      </c>
      <c r="J9" s="281">
        <v>10</v>
      </c>
      <c r="K9" s="10">
        <v>11</v>
      </c>
      <c r="L9" s="9">
        <v>12</v>
      </c>
      <c r="M9" s="10">
        <v>13</v>
      </c>
      <c r="N9" s="9">
        <v>14</v>
      </c>
      <c r="O9" s="10">
        <v>15</v>
      </c>
      <c r="P9" s="9">
        <v>16</v>
      </c>
      <c r="Q9" s="10">
        <v>17</v>
      </c>
      <c r="R9" s="9">
        <v>18</v>
      </c>
      <c r="S9" s="10">
        <v>19</v>
      </c>
      <c r="T9" s="9">
        <v>20</v>
      </c>
      <c r="U9" s="10">
        <v>21</v>
      </c>
      <c r="V9" s="9">
        <v>22</v>
      </c>
      <c r="W9" s="10">
        <v>23</v>
      </c>
      <c r="X9" s="77"/>
      <c r="Y9" s="78"/>
      <c r="Z9" s="78"/>
      <c r="AA9" s="79"/>
      <c r="AB9" s="2"/>
      <c r="AC9" s="2"/>
      <c r="AD9" s="2"/>
      <c r="AE9" s="2"/>
      <c r="AF9" s="2"/>
      <c r="AG9" s="2"/>
    </row>
    <row r="10" spans="1:33" x14ac:dyDescent="0.3">
      <c r="A10" s="321" t="s">
        <v>33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3"/>
      <c r="X10" s="343"/>
      <c r="Y10" s="254"/>
      <c r="Z10" s="254"/>
      <c r="AA10" s="254"/>
      <c r="AB10" s="13"/>
      <c r="AC10" s="13"/>
      <c r="AD10" s="13"/>
      <c r="AE10" s="13"/>
      <c r="AF10" s="13"/>
      <c r="AG10" s="13"/>
    </row>
    <row r="11" spans="1:33" ht="20.25" customHeight="1" x14ac:dyDescent="0.3">
      <c r="A11" s="249" t="s">
        <v>34</v>
      </c>
      <c r="B11" s="39"/>
      <c r="C11" s="251"/>
      <c r="D11" s="277"/>
      <c r="E11" s="277"/>
      <c r="F11" s="277"/>
      <c r="G11" s="277"/>
      <c r="H11" s="277"/>
      <c r="I11" s="277"/>
      <c r="J11" s="180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343"/>
      <c r="Y11" s="272"/>
      <c r="Z11" s="80"/>
      <c r="AA11" s="81"/>
      <c r="AB11" s="82"/>
      <c r="AC11" s="13"/>
      <c r="AD11" s="13"/>
      <c r="AE11" s="13"/>
      <c r="AF11" s="13"/>
      <c r="AG11" s="13"/>
    </row>
    <row r="12" spans="1:33" ht="19.5" customHeight="1" x14ac:dyDescent="0.3">
      <c r="A12" s="259">
        <v>1</v>
      </c>
      <c r="B12" s="20" t="s">
        <v>79</v>
      </c>
      <c r="C12" s="273">
        <f>D12+K12+L12+N12+P12+R12+S12+U12+V12+W12</f>
        <v>3492043.2</v>
      </c>
      <c r="D12" s="273"/>
      <c r="E12" s="273"/>
      <c r="F12" s="273"/>
      <c r="G12" s="273"/>
      <c r="H12" s="273"/>
      <c r="I12" s="273"/>
      <c r="J12" s="50"/>
      <c r="K12" s="273"/>
      <c r="L12" s="273"/>
      <c r="M12" s="273"/>
      <c r="N12" s="273"/>
      <c r="O12" s="273"/>
      <c r="P12" s="273"/>
      <c r="Q12" s="273"/>
      <c r="R12" s="273"/>
      <c r="S12" s="273">
        <v>3492043.2</v>
      </c>
      <c r="T12" s="273"/>
      <c r="U12" s="273"/>
      <c r="V12" s="273"/>
      <c r="W12" s="273"/>
      <c r="X12" s="271"/>
      <c r="Y12" s="271"/>
      <c r="Z12" s="269"/>
      <c r="AA12" s="7"/>
      <c r="AB12" s="13">
        <v>472851.19</v>
      </c>
      <c r="AC12" s="13"/>
    </row>
    <row r="13" spans="1:33" ht="19.5" customHeight="1" x14ac:dyDescent="0.3">
      <c r="A13" s="259">
        <f>A12+1</f>
        <v>2</v>
      </c>
      <c r="B13" s="20" t="s">
        <v>97</v>
      </c>
      <c r="C13" s="273">
        <f>D13+K13+L13+N13+P13+R13+S13+U13+V13+W13</f>
        <v>883249.55</v>
      </c>
      <c r="D13" s="273"/>
      <c r="E13" s="273"/>
      <c r="F13" s="273"/>
      <c r="G13" s="273"/>
      <c r="H13" s="273"/>
      <c r="I13" s="273"/>
      <c r="J13" s="50"/>
      <c r="K13" s="273"/>
      <c r="L13" s="273"/>
      <c r="M13" s="273"/>
      <c r="N13" s="273"/>
      <c r="O13" s="273"/>
      <c r="P13" s="273"/>
      <c r="Q13" s="273"/>
      <c r="R13" s="273"/>
      <c r="S13" s="273">
        <v>883249.55</v>
      </c>
      <c r="T13" s="273"/>
      <c r="U13" s="273"/>
      <c r="V13" s="273"/>
      <c r="W13" s="273"/>
      <c r="X13" s="271"/>
      <c r="Y13" s="271"/>
      <c r="Z13" s="269">
        <v>247433.69</v>
      </c>
      <c r="AA13" s="7"/>
      <c r="AB13" s="13">
        <v>474792.86</v>
      </c>
      <c r="AC13" s="13"/>
    </row>
    <row r="14" spans="1:33" ht="20.25" customHeight="1" x14ac:dyDescent="0.3">
      <c r="A14" s="250"/>
      <c r="B14" s="20" t="s">
        <v>143</v>
      </c>
      <c r="C14" s="273">
        <f t="shared" ref="C14:W14" si="0">SUM(C12:C13)</f>
        <v>4375292.75</v>
      </c>
      <c r="D14" s="273">
        <f t="shared" si="0"/>
        <v>0</v>
      </c>
      <c r="E14" s="273">
        <f t="shared" si="0"/>
        <v>0</v>
      </c>
      <c r="F14" s="273">
        <f t="shared" si="0"/>
        <v>0</v>
      </c>
      <c r="G14" s="273">
        <f t="shared" si="0"/>
        <v>0</v>
      </c>
      <c r="H14" s="273">
        <f t="shared" si="0"/>
        <v>0</v>
      </c>
      <c r="I14" s="273">
        <f t="shared" si="0"/>
        <v>0</v>
      </c>
      <c r="J14" s="50">
        <f t="shared" si="0"/>
        <v>0</v>
      </c>
      <c r="K14" s="273">
        <f t="shared" si="0"/>
        <v>0</v>
      </c>
      <c r="L14" s="273">
        <f t="shared" si="0"/>
        <v>0</v>
      </c>
      <c r="M14" s="273">
        <f t="shared" si="0"/>
        <v>0</v>
      </c>
      <c r="N14" s="273">
        <f t="shared" si="0"/>
        <v>0</v>
      </c>
      <c r="O14" s="273">
        <f t="shared" si="0"/>
        <v>0</v>
      </c>
      <c r="P14" s="273">
        <f t="shared" si="0"/>
        <v>0</v>
      </c>
      <c r="Q14" s="273">
        <f t="shared" si="0"/>
        <v>0</v>
      </c>
      <c r="R14" s="273">
        <f t="shared" si="0"/>
        <v>0</v>
      </c>
      <c r="S14" s="273">
        <f t="shared" si="0"/>
        <v>4375292.75</v>
      </c>
      <c r="T14" s="273">
        <f t="shared" si="0"/>
        <v>0</v>
      </c>
      <c r="U14" s="273">
        <f t="shared" si="0"/>
        <v>0</v>
      </c>
      <c r="V14" s="273">
        <f t="shared" si="0"/>
        <v>0</v>
      </c>
      <c r="W14" s="273">
        <f t="shared" si="0"/>
        <v>0</v>
      </c>
      <c r="X14" s="271"/>
      <c r="Y14" s="271"/>
      <c r="Z14" s="271"/>
      <c r="AA14" s="271"/>
      <c r="AB14" s="271"/>
      <c r="AC14" s="271"/>
      <c r="AD14" s="269"/>
      <c r="AE14" s="7"/>
      <c r="AF14" s="13"/>
      <c r="AG14" s="13"/>
    </row>
    <row r="15" spans="1:33" ht="20.25" customHeight="1" x14ac:dyDescent="0.3">
      <c r="A15" s="185" t="s">
        <v>169</v>
      </c>
      <c r="B15" s="186"/>
      <c r="C15" s="273"/>
      <c r="D15" s="273"/>
      <c r="E15" s="273"/>
      <c r="F15" s="273"/>
      <c r="G15" s="273"/>
      <c r="H15" s="273"/>
      <c r="I15" s="273"/>
      <c r="J15" s="50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1"/>
      <c r="Y15" s="271"/>
      <c r="Z15" s="271"/>
      <c r="AA15" s="271"/>
      <c r="AB15" s="271"/>
      <c r="AC15" s="271"/>
      <c r="AD15" s="269"/>
      <c r="AE15" s="7"/>
      <c r="AF15" s="13"/>
      <c r="AG15" s="13"/>
    </row>
    <row r="16" spans="1:33" ht="20.25" customHeight="1" x14ac:dyDescent="0.3">
      <c r="A16" s="259">
        <f>A13+1</f>
        <v>3</v>
      </c>
      <c r="B16" s="20" t="s">
        <v>170</v>
      </c>
      <c r="C16" s="273">
        <f t="shared" ref="C16:C26" si="1">D16+K16+L16+N16+P16+R16+S16+U16+V16+W16</f>
        <v>1534616.04</v>
      </c>
      <c r="D16" s="273"/>
      <c r="E16" s="273"/>
      <c r="F16" s="273"/>
      <c r="G16" s="273"/>
      <c r="H16" s="273"/>
      <c r="I16" s="273"/>
      <c r="J16" s="50"/>
      <c r="K16" s="273"/>
      <c r="L16" s="273"/>
      <c r="M16" s="273"/>
      <c r="N16" s="273"/>
      <c r="O16" s="273"/>
      <c r="P16" s="273"/>
      <c r="Q16" s="273">
        <v>618.70000000000005</v>
      </c>
      <c r="R16" s="273">
        <v>1534616.04</v>
      </c>
      <c r="S16" s="273"/>
      <c r="T16" s="273"/>
      <c r="U16" s="273"/>
      <c r="V16" s="273"/>
      <c r="W16" s="273"/>
      <c r="X16" s="271">
        <v>156593.21</v>
      </c>
      <c r="Y16" s="271"/>
      <c r="Z16" s="271"/>
      <c r="AA16" s="271"/>
      <c r="AB16" s="271"/>
      <c r="AC16" s="271"/>
      <c r="AD16" s="269"/>
      <c r="AE16" s="7"/>
      <c r="AF16" s="13"/>
      <c r="AG16" s="13"/>
    </row>
    <row r="17" spans="1:35" ht="20.25" customHeight="1" x14ac:dyDescent="0.3">
      <c r="A17" s="259">
        <f t="shared" ref="A17:A26" si="2">A16+1</f>
        <v>4</v>
      </c>
      <c r="B17" s="20" t="s">
        <v>171</v>
      </c>
      <c r="C17" s="273">
        <f t="shared" si="1"/>
        <v>3183964.81</v>
      </c>
      <c r="D17" s="273"/>
      <c r="E17" s="273"/>
      <c r="F17" s="273"/>
      <c r="G17" s="273"/>
      <c r="H17" s="273"/>
      <c r="I17" s="273"/>
      <c r="J17" s="50"/>
      <c r="K17" s="273"/>
      <c r="L17" s="273"/>
      <c r="M17" s="273"/>
      <c r="N17" s="273"/>
      <c r="O17" s="273"/>
      <c r="P17" s="273"/>
      <c r="Q17" s="273">
        <v>1201.52</v>
      </c>
      <c r="R17" s="273">
        <v>3183964.81</v>
      </c>
      <c r="S17" s="273"/>
      <c r="T17" s="273"/>
      <c r="U17" s="273"/>
      <c r="V17" s="273"/>
      <c r="W17" s="273"/>
      <c r="X17" s="271"/>
      <c r="Y17" s="271"/>
      <c r="Z17" s="271"/>
      <c r="AA17" s="271"/>
      <c r="AB17" s="271">
        <v>146783.99</v>
      </c>
      <c r="AC17" s="271"/>
      <c r="AD17" s="269"/>
      <c r="AE17" s="7"/>
      <c r="AF17" s="13"/>
      <c r="AG17" s="13"/>
    </row>
    <row r="18" spans="1:35" ht="20.25" customHeight="1" x14ac:dyDescent="0.3">
      <c r="A18" s="259">
        <f t="shared" si="2"/>
        <v>5</v>
      </c>
      <c r="B18" s="20" t="s">
        <v>172</v>
      </c>
      <c r="C18" s="273">
        <f t="shared" si="1"/>
        <v>2360650.7999999998</v>
      </c>
      <c r="D18" s="273"/>
      <c r="E18" s="273"/>
      <c r="F18" s="273"/>
      <c r="G18" s="273"/>
      <c r="H18" s="273"/>
      <c r="I18" s="273"/>
      <c r="J18" s="50"/>
      <c r="K18" s="273"/>
      <c r="L18" s="273"/>
      <c r="M18" s="273"/>
      <c r="N18" s="273"/>
      <c r="O18" s="273"/>
      <c r="P18" s="273"/>
      <c r="Q18" s="273">
        <v>1272.5</v>
      </c>
      <c r="R18" s="273">
        <v>2360650.7999999998</v>
      </c>
      <c r="S18" s="273"/>
      <c r="T18" s="273"/>
      <c r="U18" s="273"/>
      <c r="V18" s="273"/>
      <c r="W18" s="273"/>
      <c r="X18" s="271"/>
      <c r="Y18" s="271"/>
      <c r="Z18" s="271"/>
      <c r="AA18" s="271"/>
      <c r="AB18" s="271">
        <v>146783.99</v>
      </c>
      <c r="AC18" s="271"/>
      <c r="AD18" s="269"/>
      <c r="AE18" s="7"/>
      <c r="AF18" s="13"/>
      <c r="AG18" s="13"/>
    </row>
    <row r="19" spans="1:35" ht="20.25" customHeight="1" x14ac:dyDescent="0.3">
      <c r="A19" s="259">
        <f t="shared" si="2"/>
        <v>6</v>
      </c>
      <c r="B19" s="20" t="s">
        <v>173</v>
      </c>
      <c r="C19" s="273">
        <f t="shared" si="1"/>
        <v>134706</v>
      </c>
      <c r="D19" s="273"/>
      <c r="E19" s="273"/>
      <c r="F19" s="273"/>
      <c r="G19" s="273"/>
      <c r="H19" s="273"/>
      <c r="I19" s="273"/>
      <c r="J19" s="50"/>
      <c r="K19" s="273"/>
      <c r="L19" s="273"/>
      <c r="M19" s="273"/>
      <c r="N19" s="273"/>
      <c r="O19" s="273"/>
      <c r="P19" s="273"/>
      <c r="Q19" s="273">
        <v>13</v>
      </c>
      <c r="R19" s="273">
        <f>13*10362</f>
        <v>134706</v>
      </c>
      <c r="S19" s="273"/>
      <c r="T19" s="273"/>
      <c r="U19" s="273"/>
      <c r="V19" s="273"/>
      <c r="W19" s="273"/>
      <c r="X19" s="271"/>
      <c r="Y19" s="271"/>
      <c r="Z19" s="271"/>
      <c r="AA19" s="271"/>
      <c r="AB19" s="271">
        <v>215227.39</v>
      </c>
      <c r="AC19" s="271"/>
      <c r="AD19" s="269"/>
      <c r="AE19" s="7"/>
      <c r="AF19" s="13"/>
      <c r="AG19" s="13"/>
    </row>
    <row r="20" spans="1:35" ht="20.25" customHeight="1" x14ac:dyDescent="0.3">
      <c r="A20" s="259">
        <f t="shared" si="2"/>
        <v>7</v>
      </c>
      <c r="B20" s="20" t="s">
        <v>174</v>
      </c>
      <c r="C20" s="273">
        <f t="shared" si="1"/>
        <v>1560645.53</v>
      </c>
      <c r="D20" s="273"/>
      <c r="E20" s="273"/>
      <c r="F20" s="273"/>
      <c r="G20" s="273"/>
      <c r="H20" s="273"/>
      <c r="I20" s="273"/>
      <c r="J20" s="50"/>
      <c r="K20" s="273"/>
      <c r="L20" s="273"/>
      <c r="M20" s="273"/>
      <c r="N20" s="273"/>
      <c r="O20" s="273"/>
      <c r="P20" s="273"/>
      <c r="Q20" s="273">
        <v>618.70000000000005</v>
      </c>
      <c r="R20" s="273">
        <v>1560645.53</v>
      </c>
      <c r="S20" s="273"/>
      <c r="T20" s="273"/>
      <c r="U20" s="273"/>
      <c r="V20" s="273"/>
      <c r="W20" s="273"/>
      <c r="X20" s="271"/>
      <c r="Y20" s="271"/>
      <c r="Z20" s="271"/>
      <c r="AA20" s="271"/>
      <c r="AB20" s="271"/>
      <c r="AC20" s="271"/>
      <c r="AD20" s="269"/>
      <c r="AE20" s="7"/>
      <c r="AF20" s="13"/>
      <c r="AG20" s="13"/>
    </row>
    <row r="21" spans="1:35" ht="20.25" customHeight="1" x14ac:dyDescent="0.3">
      <c r="A21" s="259">
        <f t="shared" si="2"/>
        <v>8</v>
      </c>
      <c r="B21" s="20" t="s">
        <v>175</v>
      </c>
      <c r="C21" s="273">
        <f t="shared" si="1"/>
        <v>1815202.63</v>
      </c>
      <c r="D21" s="273"/>
      <c r="E21" s="273"/>
      <c r="F21" s="273"/>
      <c r="G21" s="273"/>
      <c r="H21" s="273"/>
      <c r="I21" s="273"/>
      <c r="J21" s="50"/>
      <c r="K21" s="273"/>
      <c r="L21" s="273"/>
      <c r="M21" s="273"/>
      <c r="N21" s="273"/>
      <c r="O21" s="273"/>
      <c r="P21" s="273"/>
      <c r="Q21" s="273">
        <v>724.55</v>
      </c>
      <c r="R21" s="273">
        <v>1815202.63</v>
      </c>
      <c r="S21" s="273"/>
      <c r="T21" s="273"/>
      <c r="U21" s="273"/>
      <c r="V21" s="273"/>
      <c r="W21" s="273"/>
      <c r="X21" s="271">
        <v>108834.7</v>
      </c>
      <c r="Y21" s="271"/>
      <c r="Z21" s="271"/>
      <c r="AA21" s="271"/>
      <c r="AB21" s="271"/>
      <c r="AC21" s="271"/>
      <c r="AD21" s="269"/>
      <c r="AE21" s="7"/>
      <c r="AF21" s="13"/>
      <c r="AG21" s="13"/>
    </row>
    <row r="22" spans="1:35" ht="20.25" customHeight="1" x14ac:dyDescent="0.3">
      <c r="A22" s="259">
        <f t="shared" si="2"/>
        <v>9</v>
      </c>
      <c r="B22" s="20" t="s">
        <v>176</v>
      </c>
      <c r="C22" s="273">
        <f t="shared" si="1"/>
        <v>3183964.81</v>
      </c>
      <c r="D22" s="273"/>
      <c r="E22" s="273"/>
      <c r="F22" s="273"/>
      <c r="G22" s="273"/>
      <c r="H22" s="273"/>
      <c r="I22" s="273"/>
      <c r="J22" s="50"/>
      <c r="K22" s="273"/>
      <c r="L22" s="273"/>
      <c r="M22" s="273"/>
      <c r="N22" s="273"/>
      <c r="O22" s="273"/>
      <c r="P22" s="273"/>
      <c r="Q22" s="273">
        <v>1201.52</v>
      </c>
      <c r="R22" s="273">
        <v>3183964.81</v>
      </c>
      <c r="S22" s="273"/>
      <c r="T22" s="273"/>
      <c r="U22" s="273"/>
      <c r="V22" s="273"/>
      <c r="W22" s="273"/>
      <c r="X22" s="271"/>
      <c r="Y22" s="271"/>
      <c r="Z22" s="271"/>
      <c r="AA22" s="271">
        <v>148049.4</v>
      </c>
      <c r="AB22" s="271"/>
      <c r="AC22" s="271"/>
      <c r="AD22" s="269"/>
      <c r="AE22" s="7"/>
      <c r="AF22" s="13"/>
      <c r="AG22" s="13"/>
    </row>
    <row r="23" spans="1:35" ht="20.25" customHeight="1" x14ac:dyDescent="0.3">
      <c r="A23" s="259">
        <f t="shared" si="2"/>
        <v>10</v>
      </c>
      <c r="B23" s="20" t="s">
        <v>177</v>
      </c>
      <c r="C23" s="273">
        <f t="shared" si="1"/>
        <v>3183964.81</v>
      </c>
      <c r="D23" s="273"/>
      <c r="E23" s="273"/>
      <c r="F23" s="273"/>
      <c r="G23" s="273"/>
      <c r="H23" s="273"/>
      <c r="I23" s="273"/>
      <c r="J23" s="50"/>
      <c r="K23" s="273"/>
      <c r="L23" s="273"/>
      <c r="M23" s="273"/>
      <c r="N23" s="273"/>
      <c r="O23" s="273"/>
      <c r="P23" s="273"/>
      <c r="Q23" s="273">
        <v>1201.52</v>
      </c>
      <c r="R23" s="273">
        <v>3183964.81</v>
      </c>
      <c r="S23" s="273"/>
      <c r="T23" s="273"/>
      <c r="U23" s="273"/>
      <c r="V23" s="273"/>
      <c r="W23" s="273"/>
      <c r="X23" s="271"/>
      <c r="Y23" s="271"/>
      <c r="Z23" s="271"/>
      <c r="AA23" s="271"/>
      <c r="AB23" s="271"/>
      <c r="AC23" s="271"/>
      <c r="AD23" s="269"/>
      <c r="AE23" s="7"/>
      <c r="AF23" s="13"/>
      <c r="AG23" s="13"/>
    </row>
    <row r="24" spans="1:35" ht="20.25" customHeight="1" x14ac:dyDescent="0.3">
      <c r="A24" s="259">
        <f t="shared" si="2"/>
        <v>11</v>
      </c>
      <c r="B24" s="20" t="s">
        <v>178</v>
      </c>
      <c r="C24" s="273">
        <f t="shared" si="1"/>
        <v>3183964.81</v>
      </c>
      <c r="D24" s="273"/>
      <c r="E24" s="273"/>
      <c r="F24" s="273"/>
      <c r="G24" s="273"/>
      <c r="H24" s="273"/>
      <c r="I24" s="273"/>
      <c r="J24" s="50"/>
      <c r="K24" s="273"/>
      <c r="L24" s="273"/>
      <c r="M24" s="273"/>
      <c r="N24" s="273"/>
      <c r="O24" s="273"/>
      <c r="P24" s="273"/>
      <c r="Q24" s="273">
        <v>1201.52</v>
      </c>
      <c r="R24" s="273">
        <v>3183964.81</v>
      </c>
      <c r="S24" s="273"/>
      <c r="T24" s="273"/>
      <c r="U24" s="273"/>
      <c r="V24" s="273"/>
      <c r="W24" s="273"/>
      <c r="X24" s="271"/>
      <c r="Y24" s="271"/>
      <c r="Z24" s="271"/>
      <c r="AA24" s="271"/>
      <c r="AB24" s="271"/>
      <c r="AC24" s="271"/>
      <c r="AD24" s="269"/>
      <c r="AE24" s="7"/>
      <c r="AF24" s="13"/>
      <c r="AG24" s="13"/>
    </row>
    <row r="25" spans="1:35" ht="20.25" customHeight="1" x14ac:dyDescent="0.3">
      <c r="A25" s="259">
        <f t="shared" si="2"/>
        <v>12</v>
      </c>
      <c r="B25" s="20" t="s">
        <v>179</v>
      </c>
      <c r="C25" s="273">
        <f t="shared" si="1"/>
        <v>3183964.81</v>
      </c>
      <c r="D25" s="273"/>
      <c r="E25" s="273"/>
      <c r="F25" s="273"/>
      <c r="G25" s="273"/>
      <c r="H25" s="273"/>
      <c r="I25" s="273"/>
      <c r="J25" s="50"/>
      <c r="K25" s="273"/>
      <c r="L25" s="273"/>
      <c r="M25" s="273"/>
      <c r="N25" s="273"/>
      <c r="O25" s="273"/>
      <c r="P25" s="273"/>
      <c r="Q25" s="273">
        <v>1201.52</v>
      </c>
      <c r="R25" s="273">
        <v>3183964.81</v>
      </c>
      <c r="S25" s="273"/>
      <c r="T25" s="273"/>
      <c r="U25" s="273"/>
      <c r="V25" s="273"/>
      <c r="W25" s="273"/>
      <c r="X25" s="271"/>
      <c r="Y25" s="271"/>
      <c r="Z25" s="271"/>
      <c r="AA25" s="271"/>
      <c r="AB25" s="271"/>
      <c r="AC25" s="271"/>
      <c r="AD25" s="269"/>
      <c r="AE25" s="7"/>
      <c r="AF25" s="13"/>
      <c r="AG25" s="13"/>
    </row>
    <row r="26" spans="1:35" ht="20.25" customHeight="1" x14ac:dyDescent="0.3">
      <c r="A26" s="259">
        <f t="shared" si="2"/>
        <v>13</v>
      </c>
      <c r="B26" s="20" t="s">
        <v>180</v>
      </c>
      <c r="C26" s="273">
        <f t="shared" si="1"/>
        <v>3183964.81</v>
      </c>
      <c r="D26" s="273"/>
      <c r="E26" s="273"/>
      <c r="F26" s="273"/>
      <c r="G26" s="273"/>
      <c r="H26" s="273"/>
      <c r="I26" s="273"/>
      <c r="J26" s="50"/>
      <c r="K26" s="273"/>
      <c r="L26" s="273"/>
      <c r="M26" s="273"/>
      <c r="N26" s="273"/>
      <c r="O26" s="273"/>
      <c r="P26" s="273"/>
      <c r="Q26" s="273">
        <v>1201.52</v>
      </c>
      <c r="R26" s="273">
        <v>3183964.81</v>
      </c>
      <c r="S26" s="273"/>
      <c r="T26" s="273"/>
      <c r="U26" s="273"/>
      <c r="V26" s="273"/>
      <c r="W26" s="273"/>
      <c r="X26" s="271"/>
      <c r="Y26" s="271"/>
      <c r="Z26" s="271"/>
      <c r="AA26" s="271"/>
      <c r="AB26" s="271"/>
      <c r="AC26" s="271"/>
      <c r="AD26" s="269"/>
      <c r="AE26" s="7"/>
      <c r="AF26" s="13"/>
      <c r="AG26" s="13"/>
    </row>
    <row r="27" spans="1:35" ht="20.25" customHeight="1" x14ac:dyDescent="0.3">
      <c r="A27" s="250"/>
      <c r="B27" s="20" t="s">
        <v>143</v>
      </c>
      <c r="C27" s="273">
        <f t="shared" ref="C27:W27" si="3">SUM(C16:C26)</f>
        <v>26509609.859999996</v>
      </c>
      <c r="D27" s="273">
        <f t="shared" si="3"/>
        <v>0</v>
      </c>
      <c r="E27" s="273">
        <f t="shared" si="3"/>
        <v>0</v>
      </c>
      <c r="F27" s="273">
        <f t="shared" si="3"/>
        <v>0</v>
      </c>
      <c r="G27" s="273">
        <f t="shared" si="3"/>
        <v>0</v>
      </c>
      <c r="H27" s="273">
        <f t="shared" si="3"/>
        <v>0</v>
      </c>
      <c r="I27" s="273">
        <f t="shared" si="3"/>
        <v>0</v>
      </c>
      <c r="J27" s="50">
        <f t="shared" si="3"/>
        <v>0</v>
      </c>
      <c r="K27" s="273">
        <f t="shared" si="3"/>
        <v>0</v>
      </c>
      <c r="L27" s="273">
        <f t="shared" si="3"/>
        <v>0</v>
      </c>
      <c r="M27" s="273">
        <f t="shared" si="3"/>
        <v>0</v>
      </c>
      <c r="N27" s="273">
        <f t="shared" si="3"/>
        <v>0</v>
      </c>
      <c r="O27" s="273">
        <f t="shared" si="3"/>
        <v>0</v>
      </c>
      <c r="P27" s="273">
        <f t="shared" si="3"/>
        <v>0</v>
      </c>
      <c r="Q27" s="273">
        <f t="shared" si="3"/>
        <v>10456.570000000002</v>
      </c>
      <c r="R27" s="273">
        <f t="shared" si="3"/>
        <v>26509609.859999996</v>
      </c>
      <c r="S27" s="273">
        <f t="shared" si="3"/>
        <v>0</v>
      </c>
      <c r="T27" s="273">
        <f t="shared" si="3"/>
        <v>0</v>
      </c>
      <c r="U27" s="273">
        <f t="shared" si="3"/>
        <v>0</v>
      </c>
      <c r="V27" s="273">
        <f t="shared" si="3"/>
        <v>0</v>
      </c>
      <c r="W27" s="273">
        <f t="shared" si="3"/>
        <v>0</v>
      </c>
      <c r="X27" s="271"/>
      <c r="Y27" s="271"/>
      <c r="Z27" s="271"/>
      <c r="AA27" s="271"/>
      <c r="AB27" s="271"/>
      <c r="AC27" s="271"/>
      <c r="AD27" s="269"/>
      <c r="AE27" s="7"/>
      <c r="AF27" s="13"/>
      <c r="AG27" s="13"/>
    </row>
    <row r="28" spans="1:35" x14ac:dyDescent="0.3">
      <c r="A28" s="252" t="s">
        <v>181</v>
      </c>
      <c r="B28" s="252"/>
      <c r="C28" s="273"/>
      <c r="D28" s="273"/>
      <c r="E28" s="273"/>
      <c r="F28" s="273"/>
      <c r="G28" s="273"/>
      <c r="H28" s="273"/>
      <c r="I28" s="273"/>
      <c r="J28" s="50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1"/>
      <c r="Y28" s="271"/>
      <c r="Z28" s="271"/>
      <c r="AA28" s="271"/>
      <c r="AB28" s="271"/>
      <c r="AC28" s="271"/>
      <c r="AD28" s="269"/>
      <c r="AE28" s="7"/>
      <c r="AF28" s="13"/>
      <c r="AG28" s="13"/>
    </row>
    <row r="29" spans="1:35" x14ac:dyDescent="0.3">
      <c r="A29" s="259">
        <f>A26+1</f>
        <v>14</v>
      </c>
      <c r="B29" s="20" t="s">
        <v>188</v>
      </c>
      <c r="C29" s="273">
        <f>D29+K29+L29+N29+P29+R29+S29+U29+V29+W29</f>
        <v>9124354.8000000007</v>
      </c>
      <c r="D29" s="273"/>
      <c r="E29" s="273"/>
      <c r="F29" s="273"/>
      <c r="G29" s="273"/>
      <c r="H29" s="273"/>
      <c r="I29" s="273"/>
      <c r="J29" s="50"/>
      <c r="K29" s="273"/>
      <c r="L29" s="273"/>
      <c r="M29" s="273"/>
      <c r="N29" s="273"/>
      <c r="O29" s="273"/>
      <c r="P29" s="273"/>
      <c r="Q29" s="273">
        <v>651.6</v>
      </c>
      <c r="R29" s="273">
        <f>((10362+3641)*Q29)</f>
        <v>9124354.8000000007</v>
      </c>
      <c r="S29" s="273"/>
      <c r="T29" s="273"/>
      <c r="U29" s="273"/>
      <c r="V29" s="273"/>
      <c r="W29" s="273"/>
      <c r="X29" s="271"/>
      <c r="Y29" s="271"/>
      <c r="Z29" s="271"/>
      <c r="AA29" s="271"/>
      <c r="AB29" s="271"/>
      <c r="AC29" s="271"/>
      <c r="AD29" s="269"/>
      <c r="AE29" s="7"/>
      <c r="AF29" s="13"/>
      <c r="AG29" s="13"/>
    </row>
    <row r="30" spans="1:35" x14ac:dyDescent="0.3">
      <c r="A30" s="250"/>
      <c r="B30" s="20" t="s">
        <v>143</v>
      </c>
      <c r="C30" s="273">
        <f t="shared" ref="C30:W30" si="4">SUM(C29:C29)</f>
        <v>9124354.8000000007</v>
      </c>
      <c r="D30" s="273">
        <f t="shared" si="4"/>
        <v>0</v>
      </c>
      <c r="E30" s="273">
        <f t="shared" si="4"/>
        <v>0</v>
      </c>
      <c r="F30" s="273">
        <f t="shared" si="4"/>
        <v>0</v>
      </c>
      <c r="G30" s="273">
        <f t="shared" si="4"/>
        <v>0</v>
      </c>
      <c r="H30" s="273">
        <f t="shared" si="4"/>
        <v>0</v>
      </c>
      <c r="I30" s="273">
        <f t="shared" si="4"/>
        <v>0</v>
      </c>
      <c r="J30" s="50">
        <f t="shared" si="4"/>
        <v>0</v>
      </c>
      <c r="K30" s="273">
        <f t="shared" si="4"/>
        <v>0</v>
      </c>
      <c r="L30" s="273">
        <f t="shared" si="4"/>
        <v>0</v>
      </c>
      <c r="M30" s="273">
        <f t="shared" si="4"/>
        <v>0</v>
      </c>
      <c r="N30" s="273">
        <f t="shared" si="4"/>
        <v>0</v>
      </c>
      <c r="O30" s="273">
        <f t="shared" si="4"/>
        <v>0</v>
      </c>
      <c r="P30" s="273">
        <f t="shared" si="4"/>
        <v>0</v>
      </c>
      <c r="Q30" s="273">
        <f t="shared" si="4"/>
        <v>651.6</v>
      </c>
      <c r="R30" s="273">
        <f t="shared" si="4"/>
        <v>9124354.8000000007</v>
      </c>
      <c r="S30" s="273">
        <f t="shared" si="4"/>
        <v>0</v>
      </c>
      <c r="T30" s="273">
        <f t="shared" si="4"/>
        <v>0</v>
      </c>
      <c r="U30" s="273">
        <f t="shared" si="4"/>
        <v>0</v>
      </c>
      <c r="V30" s="273">
        <f t="shared" si="4"/>
        <v>0</v>
      </c>
      <c r="W30" s="273">
        <f t="shared" si="4"/>
        <v>0</v>
      </c>
      <c r="X30" s="271"/>
      <c r="Y30" s="269"/>
      <c r="Z30" s="7"/>
      <c r="AA30" s="13"/>
      <c r="AB30" s="13"/>
      <c r="AC30" s="13"/>
      <c r="AD30" s="13"/>
      <c r="AE30" s="269"/>
      <c r="AF30" s="269"/>
      <c r="AG30" s="269"/>
    </row>
    <row r="31" spans="1:35" ht="27.75" customHeight="1" x14ac:dyDescent="0.3">
      <c r="A31" s="291" t="s">
        <v>192</v>
      </c>
      <c r="B31" s="291"/>
      <c r="C31" s="251">
        <f t="shared" ref="C31:W31" si="5">C27+C30+C14</f>
        <v>40009257.409999996</v>
      </c>
      <c r="D31" s="251">
        <f t="shared" si="5"/>
        <v>0</v>
      </c>
      <c r="E31" s="251">
        <f t="shared" si="5"/>
        <v>0</v>
      </c>
      <c r="F31" s="251">
        <f t="shared" si="5"/>
        <v>0</v>
      </c>
      <c r="G31" s="251">
        <f t="shared" si="5"/>
        <v>0</v>
      </c>
      <c r="H31" s="251">
        <f t="shared" si="5"/>
        <v>0</v>
      </c>
      <c r="I31" s="251">
        <f t="shared" si="5"/>
        <v>0</v>
      </c>
      <c r="J31" s="57">
        <f t="shared" si="5"/>
        <v>0</v>
      </c>
      <c r="K31" s="251">
        <f t="shared" si="5"/>
        <v>0</v>
      </c>
      <c r="L31" s="251">
        <f t="shared" si="5"/>
        <v>0</v>
      </c>
      <c r="M31" s="251">
        <f t="shared" si="5"/>
        <v>0</v>
      </c>
      <c r="N31" s="251">
        <f t="shared" si="5"/>
        <v>0</v>
      </c>
      <c r="O31" s="251">
        <f t="shared" si="5"/>
        <v>0</v>
      </c>
      <c r="P31" s="251">
        <f t="shared" si="5"/>
        <v>0</v>
      </c>
      <c r="Q31" s="251">
        <f t="shared" si="5"/>
        <v>11108.170000000002</v>
      </c>
      <c r="R31" s="251">
        <f t="shared" si="5"/>
        <v>35633964.659999996</v>
      </c>
      <c r="S31" s="251">
        <f t="shared" si="5"/>
        <v>4375292.75</v>
      </c>
      <c r="T31" s="251">
        <f t="shared" si="5"/>
        <v>0</v>
      </c>
      <c r="U31" s="251">
        <f t="shared" si="5"/>
        <v>0</v>
      </c>
      <c r="V31" s="251">
        <f t="shared" si="5"/>
        <v>0</v>
      </c>
      <c r="W31" s="251">
        <f t="shared" si="5"/>
        <v>0</v>
      </c>
      <c r="X31" s="271"/>
      <c r="Y31" s="269"/>
      <c r="Z31" s="7"/>
      <c r="AA31" s="13"/>
      <c r="AB31" s="13"/>
      <c r="AC31" s="13"/>
      <c r="AD31" s="13"/>
      <c r="AE31" s="269"/>
      <c r="AF31" s="269"/>
      <c r="AG31" s="269"/>
    </row>
    <row r="32" spans="1:35" ht="16.5" customHeight="1" x14ac:dyDescent="0.3">
      <c r="A32" s="303" t="s">
        <v>193</v>
      </c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246" t="s">
        <v>194</v>
      </c>
      <c r="Y32" s="277"/>
      <c r="Z32" s="277"/>
      <c r="AA32" s="277"/>
      <c r="AB32" s="277"/>
      <c r="AC32" s="251"/>
      <c r="AD32" s="251"/>
      <c r="AE32" s="251"/>
      <c r="AF32" s="17"/>
      <c r="AG32" s="17"/>
      <c r="AH32" s="13"/>
      <c r="AI32" s="13"/>
    </row>
    <row r="33" spans="1:35" x14ac:dyDescent="0.3">
      <c r="A33" s="252" t="s">
        <v>209</v>
      </c>
      <c r="B33" s="20"/>
      <c r="C33" s="273"/>
      <c r="D33" s="273"/>
      <c r="E33" s="273"/>
      <c r="F33" s="273"/>
      <c r="G33" s="273"/>
      <c r="H33" s="273"/>
      <c r="I33" s="273"/>
      <c r="J33" s="50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83"/>
      <c r="Y33" s="273"/>
      <c r="Z33" s="273"/>
      <c r="AA33" s="273"/>
      <c r="AB33" s="273"/>
      <c r="AC33" s="273"/>
      <c r="AD33" s="16"/>
      <c r="AE33" s="17"/>
      <c r="AF33" s="17"/>
      <c r="AG33" s="17"/>
      <c r="AH33" s="13"/>
      <c r="AI33" s="13"/>
    </row>
    <row r="34" spans="1:35" x14ac:dyDescent="0.3">
      <c r="A34" s="259">
        <f>A29+1</f>
        <v>15</v>
      </c>
      <c r="B34" s="20" t="s">
        <v>210</v>
      </c>
      <c r="C34" s="273">
        <f>D34+N34+P34+R34+S34+U34+V34+W34</f>
        <v>230974.14</v>
      </c>
      <c r="D34" s="273"/>
      <c r="E34" s="273"/>
      <c r="F34" s="273"/>
      <c r="G34" s="273"/>
      <c r="H34" s="273"/>
      <c r="I34" s="273"/>
      <c r="J34" s="50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>
        <f>SUM(AB34:AG34)</f>
        <v>230974.14</v>
      </c>
      <c r="X34" s="283"/>
      <c r="Y34" s="273"/>
      <c r="Z34" s="273"/>
      <c r="AA34" s="273"/>
      <c r="AB34" s="273"/>
      <c r="AD34" s="273">
        <v>230974.14</v>
      </c>
      <c r="AE34" s="17"/>
      <c r="AF34" s="17"/>
      <c r="AG34" s="17"/>
      <c r="AH34" s="13"/>
      <c r="AI34" s="13"/>
    </row>
    <row r="35" spans="1:35" x14ac:dyDescent="0.3">
      <c r="A35" s="259">
        <f>A34+1</f>
        <v>16</v>
      </c>
      <c r="B35" s="20" t="s">
        <v>234</v>
      </c>
      <c r="C35" s="273">
        <f>D35+N35+P35+R35+S35+U35+V35+W35</f>
        <v>4214983.2</v>
      </c>
      <c r="D35" s="273"/>
      <c r="E35" s="273"/>
      <c r="F35" s="273"/>
      <c r="G35" s="273"/>
      <c r="H35" s="273"/>
      <c r="I35" s="273"/>
      <c r="J35" s="50"/>
      <c r="K35" s="273"/>
      <c r="L35" s="273"/>
      <c r="M35" s="273"/>
      <c r="N35" s="273"/>
      <c r="O35" s="273"/>
      <c r="P35" s="273"/>
      <c r="Q35" s="273">
        <v>516.78</v>
      </c>
      <c r="R35" s="273">
        <v>4214983.2</v>
      </c>
      <c r="S35" s="273"/>
      <c r="T35" s="273"/>
      <c r="U35" s="273"/>
      <c r="V35" s="273"/>
      <c r="W35" s="273"/>
      <c r="X35" s="283" t="s">
        <v>198</v>
      </c>
      <c r="Y35" s="273"/>
      <c r="Z35" s="273"/>
      <c r="AA35" s="273"/>
      <c r="AB35" s="273">
        <v>117073.88</v>
      </c>
      <c r="AC35" s="273"/>
      <c r="AD35" s="16">
        <v>326714.26</v>
      </c>
      <c r="AE35" s="17">
        <v>353543.39</v>
      </c>
      <c r="AF35" s="17"/>
      <c r="AG35" s="17"/>
      <c r="AH35" s="13"/>
      <c r="AI35" s="13"/>
    </row>
    <row r="36" spans="1:35" x14ac:dyDescent="0.3">
      <c r="A36" s="250" t="s">
        <v>208</v>
      </c>
      <c r="B36" s="20"/>
      <c r="C36" s="273">
        <f>SUM(C34:C35)</f>
        <v>4445957.34</v>
      </c>
      <c r="D36" s="273">
        <f t="shared" ref="D36:W36" si="6">SUM(D34:D35)</f>
        <v>0</v>
      </c>
      <c r="E36" s="273">
        <f t="shared" si="6"/>
        <v>0</v>
      </c>
      <c r="F36" s="273">
        <f t="shared" si="6"/>
        <v>0</v>
      </c>
      <c r="G36" s="273">
        <f t="shared" si="6"/>
        <v>0</v>
      </c>
      <c r="H36" s="273">
        <f t="shared" si="6"/>
        <v>0</v>
      </c>
      <c r="I36" s="273">
        <f t="shared" si="6"/>
        <v>0</v>
      </c>
      <c r="J36" s="273">
        <f t="shared" si="6"/>
        <v>0</v>
      </c>
      <c r="K36" s="273">
        <f t="shared" si="6"/>
        <v>0</v>
      </c>
      <c r="L36" s="273">
        <f t="shared" si="6"/>
        <v>0</v>
      </c>
      <c r="M36" s="273">
        <f t="shared" si="6"/>
        <v>0</v>
      </c>
      <c r="N36" s="273">
        <f t="shared" si="6"/>
        <v>0</v>
      </c>
      <c r="O36" s="273">
        <f t="shared" si="6"/>
        <v>0</v>
      </c>
      <c r="P36" s="273">
        <f t="shared" si="6"/>
        <v>0</v>
      </c>
      <c r="Q36" s="273">
        <f t="shared" si="6"/>
        <v>516.78</v>
      </c>
      <c r="R36" s="273">
        <f t="shared" si="6"/>
        <v>4214983.2</v>
      </c>
      <c r="S36" s="273">
        <f t="shared" si="6"/>
        <v>0</v>
      </c>
      <c r="T36" s="273">
        <f t="shared" si="6"/>
        <v>0</v>
      </c>
      <c r="U36" s="273">
        <f t="shared" si="6"/>
        <v>0</v>
      </c>
      <c r="V36" s="273">
        <f t="shared" si="6"/>
        <v>0</v>
      </c>
      <c r="W36" s="273">
        <f t="shared" si="6"/>
        <v>230974.14</v>
      </c>
      <c r="X36" s="283"/>
      <c r="Y36" s="273"/>
      <c r="Z36" s="273"/>
      <c r="AA36" s="273"/>
      <c r="AB36" s="273"/>
      <c r="AC36" s="273"/>
      <c r="AD36" s="16"/>
      <c r="AE36" s="17"/>
      <c r="AF36" s="17"/>
      <c r="AG36" s="17"/>
      <c r="AH36" s="13"/>
      <c r="AI36" s="13"/>
    </row>
    <row r="37" spans="1:35" x14ac:dyDescent="0.3">
      <c r="A37" s="252" t="s">
        <v>212</v>
      </c>
      <c r="B37" s="20"/>
      <c r="C37" s="273"/>
      <c r="D37" s="273"/>
      <c r="E37" s="273"/>
      <c r="F37" s="273"/>
      <c r="G37" s="273"/>
      <c r="H37" s="273"/>
      <c r="I37" s="273"/>
      <c r="J37" s="50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83"/>
      <c r="Y37" s="273"/>
      <c r="Z37" s="273"/>
      <c r="AA37" s="273"/>
      <c r="AB37" s="273"/>
      <c r="AC37" s="273"/>
      <c r="AD37" s="16"/>
      <c r="AE37" s="17"/>
      <c r="AF37" s="17"/>
      <c r="AG37" s="17"/>
      <c r="AH37" s="13"/>
      <c r="AI37" s="13"/>
    </row>
    <row r="38" spans="1:35" x14ac:dyDescent="0.3">
      <c r="A38" s="259">
        <f>A35+1</f>
        <v>17</v>
      </c>
      <c r="B38" s="20" t="s">
        <v>213</v>
      </c>
      <c r="C38" s="273">
        <f>D38+N38+P38+R38+S38+U38+V38+W38</f>
        <v>12467706.970000001</v>
      </c>
      <c r="D38" s="273"/>
      <c r="E38" s="273"/>
      <c r="F38" s="273"/>
      <c r="G38" s="273"/>
      <c r="H38" s="273"/>
      <c r="I38" s="273"/>
      <c r="J38" s="50"/>
      <c r="K38" s="273"/>
      <c r="L38" s="273"/>
      <c r="M38" s="273"/>
      <c r="N38" s="273"/>
      <c r="O38" s="273"/>
      <c r="P38" s="273"/>
      <c r="Q38" s="273">
        <v>2452.8000000000002</v>
      </c>
      <c r="R38" s="273">
        <v>12467706.970000001</v>
      </c>
      <c r="S38" s="273"/>
      <c r="T38" s="273"/>
      <c r="U38" s="273"/>
      <c r="V38" s="273"/>
      <c r="W38" s="273">
        <f>SUM(AB38:AG38)</f>
        <v>0</v>
      </c>
      <c r="X38" s="283"/>
      <c r="Y38" s="273"/>
      <c r="Z38" s="273"/>
      <c r="AA38" s="273"/>
      <c r="AB38" s="273"/>
      <c r="AC38" s="273"/>
      <c r="AD38" s="16"/>
      <c r="AE38" s="17"/>
      <c r="AF38" s="17"/>
      <c r="AG38" s="17"/>
      <c r="AH38" s="13"/>
      <c r="AI38" s="13"/>
    </row>
    <row r="39" spans="1:35" x14ac:dyDescent="0.3">
      <c r="A39" s="259">
        <f>A38+1</f>
        <v>18</v>
      </c>
      <c r="B39" s="20" t="s">
        <v>214</v>
      </c>
      <c r="C39" s="273">
        <f>D39+N39+P39+R39+S39+U39+V39+W39</f>
        <v>21460908.649999999</v>
      </c>
      <c r="D39" s="273"/>
      <c r="E39" s="273"/>
      <c r="F39" s="273"/>
      <c r="G39" s="273"/>
      <c r="H39" s="273"/>
      <c r="I39" s="273"/>
      <c r="J39" s="50"/>
      <c r="K39" s="273"/>
      <c r="L39" s="273"/>
      <c r="M39" s="273"/>
      <c r="N39" s="273"/>
      <c r="O39" s="273"/>
      <c r="P39" s="273"/>
      <c r="Q39" s="273">
        <v>2778.22</v>
      </c>
      <c r="R39" s="273">
        <v>21460908.649999999</v>
      </c>
      <c r="S39" s="273"/>
      <c r="T39" s="273"/>
      <c r="U39" s="273"/>
      <c r="V39" s="273"/>
      <c r="W39" s="273">
        <f>SUM(AB39:AG39)</f>
        <v>0</v>
      </c>
      <c r="X39" s="283"/>
      <c r="Y39" s="273"/>
      <c r="Z39" s="273"/>
      <c r="AA39" s="273"/>
      <c r="AB39" s="273"/>
      <c r="AC39" s="273"/>
      <c r="AD39" s="16"/>
      <c r="AE39" s="17"/>
      <c r="AF39" s="17"/>
      <c r="AG39" s="17"/>
      <c r="AH39" s="13"/>
      <c r="AI39" s="13"/>
    </row>
    <row r="40" spans="1:35" x14ac:dyDescent="0.3">
      <c r="A40" s="259">
        <f>A39+1</f>
        <v>19</v>
      </c>
      <c r="B40" s="20" t="s">
        <v>215</v>
      </c>
      <c r="C40" s="273">
        <f>D40+N40+P40+R40+S40+U40+V40+W40</f>
        <v>18239284.800000001</v>
      </c>
      <c r="D40" s="273"/>
      <c r="E40" s="273"/>
      <c r="F40" s="273"/>
      <c r="G40" s="273"/>
      <c r="H40" s="273"/>
      <c r="I40" s="273"/>
      <c r="J40" s="50"/>
      <c r="K40" s="273"/>
      <c r="L40" s="273"/>
      <c r="M40" s="273"/>
      <c r="N40" s="273"/>
      <c r="O40" s="273"/>
      <c r="P40" s="273"/>
      <c r="Q40" s="273">
        <v>3360</v>
      </c>
      <c r="R40" s="273">
        <v>18239284.800000001</v>
      </c>
      <c r="S40" s="273"/>
      <c r="T40" s="273"/>
      <c r="U40" s="273"/>
      <c r="V40" s="273"/>
      <c r="W40" s="273">
        <f>SUM(AB40:AG40)</f>
        <v>0</v>
      </c>
      <c r="X40" s="283"/>
      <c r="Y40" s="273"/>
      <c r="Z40" s="273"/>
      <c r="AA40" s="273"/>
      <c r="AB40" s="273"/>
      <c r="AC40" s="273"/>
      <c r="AD40" s="16"/>
      <c r="AE40" s="17"/>
      <c r="AF40" s="17"/>
      <c r="AG40" s="17"/>
      <c r="AH40" s="13"/>
      <c r="AI40" s="13"/>
    </row>
    <row r="41" spans="1:35" x14ac:dyDescent="0.3">
      <c r="A41" s="259">
        <f>A40+1</f>
        <v>20</v>
      </c>
      <c r="B41" s="20" t="s">
        <v>217</v>
      </c>
      <c r="C41" s="273">
        <f>D41+N41+P41+R41+S41+U41+V41+W41</f>
        <v>18203399.690000001</v>
      </c>
      <c r="D41" s="273"/>
      <c r="E41" s="273"/>
      <c r="F41" s="273"/>
      <c r="G41" s="273"/>
      <c r="H41" s="273"/>
      <c r="I41" s="273"/>
      <c r="J41" s="50"/>
      <c r="K41" s="273"/>
      <c r="L41" s="273"/>
      <c r="M41" s="273"/>
      <c r="N41" s="273"/>
      <c r="O41" s="273"/>
      <c r="P41" s="273"/>
      <c r="Q41" s="273">
        <v>2374</v>
      </c>
      <c r="R41" s="273">
        <v>18203399.690000001</v>
      </c>
      <c r="S41" s="273"/>
      <c r="T41" s="273"/>
      <c r="U41" s="273"/>
      <c r="V41" s="273"/>
      <c r="W41" s="273">
        <f>SUM(AB41:AG41)</f>
        <v>0</v>
      </c>
      <c r="X41" s="283"/>
      <c r="Y41" s="273"/>
      <c r="Z41" s="273"/>
      <c r="AA41" s="273"/>
      <c r="AB41" s="273"/>
      <c r="AC41" s="273"/>
      <c r="AD41" s="16"/>
      <c r="AE41" s="17"/>
      <c r="AF41" s="17"/>
      <c r="AG41" s="17"/>
      <c r="AH41" s="13"/>
      <c r="AI41" s="13"/>
    </row>
    <row r="42" spans="1:35" x14ac:dyDescent="0.3">
      <c r="A42" s="250" t="s">
        <v>208</v>
      </c>
      <c r="B42" s="20"/>
      <c r="C42" s="273">
        <f t="shared" ref="C42:W42" si="7">SUM(C38:C41)</f>
        <v>70371300.109999999</v>
      </c>
      <c r="D42" s="273">
        <f t="shared" si="7"/>
        <v>0</v>
      </c>
      <c r="E42" s="273">
        <f t="shared" si="7"/>
        <v>0</v>
      </c>
      <c r="F42" s="273">
        <f t="shared" si="7"/>
        <v>0</v>
      </c>
      <c r="G42" s="273">
        <f t="shared" si="7"/>
        <v>0</v>
      </c>
      <c r="H42" s="273">
        <f t="shared" si="7"/>
        <v>0</v>
      </c>
      <c r="I42" s="273">
        <f t="shared" si="7"/>
        <v>0</v>
      </c>
      <c r="J42" s="50">
        <f t="shared" si="7"/>
        <v>0</v>
      </c>
      <c r="K42" s="273">
        <f t="shared" si="7"/>
        <v>0</v>
      </c>
      <c r="L42" s="273">
        <f t="shared" si="7"/>
        <v>0</v>
      </c>
      <c r="M42" s="273">
        <f t="shared" si="7"/>
        <v>0</v>
      </c>
      <c r="N42" s="273">
        <f t="shared" si="7"/>
        <v>0</v>
      </c>
      <c r="O42" s="273">
        <f t="shared" si="7"/>
        <v>0</v>
      </c>
      <c r="P42" s="273">
        <f t="shared" si="7"/>
        <v>0</v>
      </c>
      <c r="Q42" s="273">
        <f t="shared" si="7"/>
        <v>10965.02</v>
      </c>
      <c r="R42" s="273">
        <f t="shared" si="7"/>
        <v>70371300.109999999</v>
      </c>
      <c r="S42" s="273">
        <f t="shared" si="7"/>
        <v>0</v>
      </c>
      <c r="T42" s="273">
        <f t="shared" si="7"/>
        <v>0</v>
      </c>
      <c r="U42" s="273">
        <f t="shared" si="7"/>
        <v>0</v>
      </c>
      <c r="V42" s="273">
        <f t="shared" si="7"/>
        <v>0</v>
      </c>
      <c r="W42" s="273">
        <f t="shared" si="7"/>
        <v>0</v>
      </c>
      <c r="X42" s="283"/>
      <c r="Y42" s="273"/>
      <c r="Z42" s="273"/>
      <c r="AA42" s="273"/>
      <c r="AB42" s="273"/>
      <c r="AC42" s="273"/>
      <c r="AD42" s="16"/>
      <c r="AE42" s="17"/>
      <c r="AF42" s="17"/>
      <c r="AG42" s="17"/>
      <c r="AH42" s="13"/>
      <c r="AI42" s="13"/>
    </row>
    <row r="43" spans="1:35" x14ac:dyDescent="0.3">
      <c r="A43" s="252" t="s">
        <v>3596</v>
      </c>
      <c r="B43" s="20"/>
      <c r="C43" s="273"/>
      <c r="D43" s="273"/>
      <c r="E43" s="273"/>
      <c r="F43" s="273"/>
      <c r="G43" s="273"/>
      <c r="H43" s="273"/>
      <c r="I43" s="273"/>
      <c r="J43" s="50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83"/>
      <c r="Y43" s="273"/>
      <c r="Z43" s="273"/>
      <c r="AA43" s="273"/>
      <c r="AB43" s="273"/>
      <c r="AC43" s="273"/>
      <c r="AD43" s="16"/>
      <c r="AE43" s="17"/>
      <c r="AF43" s="17"/>
      <c r="AG43" s="17"/>
      <c r="AH43" s="13"/>
      <c r="AI43" s="13"/>
    </row>
    <row r="44" spans="1:35" x14ac:dyDescent="0.3">
      <c r="A44" s="259">
        <f>A41+1</f>
        <v>21</v>
      </c>
      <c r="B44" s="20" t="s">
        <v>240</v>
      </c>
      <c r="C44" s="273">
        <f>D44+N44+P44+R44+S44+U44+V44+W44</f>
        <v>4309683.5999999996</v>
      </c>
      <c r="D44" s="273"/>
      <c r="E44" s="273"/>
      <c r="F44" s="273"/>
      <c r="G44" s="273"/>
      <c r="H44" s="273"/>
      <c r="I44" s="273"/>
      <c r="J44" s="50"/>
      <c r="K44" s="273"/>
      <c r="L44" s="273"/>
      <c r="M44" s="273"/>
      <c r="N44" s="273"/>
      <c r="O44" s="273"/>
      <c r="P44" s="273"/>
      <c r="Q44" s="273">
        <v>468</v>
      </c>
      <c r="R44" s="273">
        <v>4309683.5999999996</v>
      </c>
      <c r="S44" s="273"/>
      <c r="T44" s="273"/>
      <c r="U44" s="273"/>
      <c r="V44" s="273"/>
      <c r="W44" s="273"/>
      <c r="X44" s="283"/>
      <c r="Y44" s="273"/>
      <c r="Z44" s="273"/>
      <c r="AA44" s="273"/>
      <c r="AB44" s="273"/>
      <c r="AC44" s="273"/>
      <c r="AD44" s="16"/>
      <c r="AE44" s="17"/>
      <c r="AF44" s="17"/>
      <c r="AG44" s="17"/>
      <c r="AH44" s="13"/>
      <c r="AI44" s="13"/>
    </row>
    <row r="45" spans="1:35" x14ac:dyDescent="0.3">
      <c r="A45" s="259">
        <f>A44+1</f>
        <v>22</v>
      </c>
      <c r="B45" s="20" t="s">
        <v>241</v>
      </c>
      <c r="C45" s="273">
        <f>D45+N45+P45+R45+S45+U45+V45+W45</f>
        <v>4539283.2</v>
      </c>
      <c r="D45" s="273"/>
      <c r="E45" s="273"/>
      <c r="F45" s="273"/>
      <c r="G45" s="273"/>
      <c r="H45" s="273"/>
      <c r="I45" s="273"/>
      <c r="J45" s="50"/>
      <c r="K45" s="273"/>
      <c r="L45" s="273"/>
      <c r="M45" s="273"/>
      <c r="N45" s="273"/>
      <c r="O45" s="273"/>
      <c r="P45" s="273"/>
      <c r="Q45" s="273">
        <v>468</v>
      </c>
      <c r="R45" s="273">
        <v>4539283.2</v>
      </c>
      <c r="S45" s="273"/>
      <c r="T45" s="273"/>
      <c r="U45" s="273"/>
      <c r="V45" s="273"/>
      <c r="W45" s="273"/>
      <c r="X45" s="283"/>
      <c r="Y45" s="273"/>
      <c r="Z45" s="273"/>
      <c r="AA45" s="273"/>
      <c r="AB45" s="273"/>
      <c r="AC45" s="273"/>
      <c r="AD45" s="16"/>
      <c r="AE45" s="17"/>
      <c r="AF45" s="17"/>
      <c r="AG45" s="17"/>
      <c r="AH45" s="13"/>
      <c r="AI45" s="13"/>
    </row>
    <row r="46" spans="1:35" x14ac:dyDescent="0.3">
      <c r="A46" s="250" t="s">
        <v>208</v>
      </c>
      <c r="B46" s="20"/>
      <c r="C46" s="273">
        <f t="shared" ref="C46:W46" si="8">SUM(C44:C45)</f>
        <v>8848966.8000000007</v>
      </c>
      <c r="D46" s="273">
        <f t="shared" si="8"/>
        <v>0</v>
      </c>
      <c r="E46" s="273">
        <f t="shared" si="8"/>
        <v>0</v>
      </c>
      <c r="F46" s="273">
        <f t="shared" si="8"/>
        <v>0</v>
      </c>
      <c r="G46" s="273">
        <f t="shared" si="8"/>
        <v>0</v>
      </c>
      <c r="H46" s="273">
        <f t="shared" si="8"/>
        <v>0</v>
      </c>
      <c r="I46" s="273">
        <f t="shared" si="8"/>
        <v>0</v>
      </c>
      <c r="J46" s="50">
        <f t="shared" si="8"/>
        <v>0</v>
      </c>
      <c r="K46" s="273">
        <f t="shared" si="8"/>
        <v>0</v>
      </c>
      <c r="L46" s="273">
        <f t="shared" si="8"/>
        <v>0</v>
      </c>
      <c r="M46" s="273">
        <f t="shared" si="8"/>
        <v>0</v>
      </c>
      <c r="N46" s="273">
        <f t="shared" si="8"/>
        <v>0</v>
      </c>
      <c r="O46" s="273">
        <f t="shared" si="8"/>
        <v>0</v>
      </c>
      <c r="P46" s="273">
        <f t="shared" si="8"/>
        <v>0</v>
      </c>
      <c r="Q46" s="273">
        <f t="shared" si="8"/>
        <v>936</v>
      </c>
      <c r="R46" s="273">
        <f t="shared" si="8"/>
        <v>8848966.8000000007</v>
      </c>
      <c r="S46" s="273">
        <f t="shared" si="8"/>
        <v>0</v>
      </c>
      <c r="T46" s="273">
        <f t="shared" si="8"/>
        <v>0</v>
      </c>
      <c r="U46" s="273">
        <f t="shared" si="8"/>
        <v>0</v>
      </c>
      <c r="V46" s="273">
        <f t="shared" si="8"/>
        <v>0</v>
      </c>
      <c r="W46" s="273">
        <f t="shared" si="8"/>
        <v>0</v>
      </c>
      <c r="X46" s="283"/>
      <c r="Y46" s="273"/>
      <c r="Z46" s="273"/>
      <c r="AA46" s="273"/>
      <c r="AB46" s="273"/>
      <c r="AC46" s="273"/>
      <c r="AD46" s="16"/>
      <c r="AE46" s="17"/>
      <c r="AF46" s="17"/>
      <c r="AG46" s="17"/>
      <c r="AH46" s="13"/>
      <c r="AI46" s="13"/>
    </row>
    <row r="47" spans="1:35" x14ac:dyDescent="0.3">
      <c r="A47" s="252" t="s">
        <v>245</v>
      </c>
      <c r="B47" s="20"/>
      <c r="C47" s="273"/>
      <c r="D47" s="273"/>
      <c r="E47" s="273"/>
      <c r="F47" s="273"/>
      <c r="G47" s="273"/>
      <c r="H47" s="273"/>
      <c r="I47" s="273"/>
      <c r="J47" s="50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83"/>
      <c r="Y47" s="273"/>
      <c r="Z47" s="273"/>
      <c r="AA47" s="273"/>
      <c r="AB47" s="273"/>
      <c r="AC47" s="273"/>
      <c r="AD47" s="16"/>
      <c r="AE47" s="17"/>
      <c r="AF47" s="17"/>
      <c r="AG47" s="17"/>
      <c r="AH47" s="13"/>
      <c r="AI47" s="13"/>
    </row>
    <row r="48" spans="1:35" x14ac:dyDescent="0.3">
      <c r="A48" s="259">
        <f>A45+1</f>
        <v>23</v>
      </c>
      <c r="B48" s="20" t="s">
        <v>256</v>
      </c>
      <c r="C48" s="273">
        <f>D48+N48+P48+R48+S48+U48+V48+W48</f>
        <v>600021.51</v>
      </c>
      <c r="D48" s="273"/>
      <c r="E48" s="273"/>
      <c r="F48" s="273"/>
      <c r="G48" s="273"/>
      <c r="H48" s="273"/>
      <c r="I48" s="273"/>
      <c r="J48" s="50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73">
        <f>SUM(AB48:AG48)</f>
        <v>600021.51</v>
      </c>
      <c r="X48" s="283" t="s">
        <v>257</v>
      </c>
      <c r="Y48" s="273"/>
      <c r="Z48" s="273"/>
      <c r="AA48" s="273"/>
      <c r="AB48" s="273">
        <f>136187.42+181478.08+146830.55+135525.46</f>
        <v>600021.51</v>
      </c>
      <c r="AC48" s="273"/>
      <c r="AD48" s="16"/>
      <c r="AE48" s="17"/>
      <c r="AF48" s="17"/>
      <c r="AG48" s="17"/>
      <c r="AH48" s="13"/>
      <c r="AI48" s="13"/>
    </row>
    <row r="49" spans="1:35" x14ac:dyDescent="0.3">
      <c r="A49" s="259">
        <f>A48+1</f>
        <v>24</v>
      </c>
      <c r="B49" s="20" t="s">
        <v>258</v>
      </c>
      <c r="C49" s="273">
        <f>D49+N49+P49+R49+S49+U49+V49+W49</f>
        <v>607515.05000000005</v>
      </c>
      <c r="D49" s="273"/>
      <c r="E49" s="273"/>
      <c r="F49" s="273"/>
      <c r="G49" s="273"/>
      <c r="H49" s="273"/>
      <c r="I49" s="273"/>
      <c r="J49" s="50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>
        <f>SUM(AB49:AG49)</f>
        <v>607515.05000000005</v>
      </c>
      <c r="X49" s="283" t="s">
        <v>257</v>
      </c>
      <c r="Y49" s="273"/>
      <c r="Z49" s="273"/>
      <c r="AA49" s="273"/>
      <c r="AB49" s="273">
        <f>138048.89+183460.28+148655.48+137350.4</f>
        <v>607515.05000000005</v>
      </c>
      <c r="AC49" s="273"/>
      <c r="AD49" s="16"/>
      <c r="AE49" s="17"/>
      <c r="AF49" s="17"/>
      <c r="AG49" s="17"/>
      <c r="AH49" s="13"/>
      <c r="AI49" s="13"/>
    </row>
    <row r="50" spans="1:35" x14ac:dyDescent="0.3">
      <c r="A50" s="259">
        <f>A49+1</f>
        <v>25</v>
      </c>
      <c r="B50" s="20" t="s">
        <v>259</v>
      </c>
      <c r="C50" s="273">
        <f>D50+N50+P50+R50+S50+U50+V50+W50</f>
        <v>609752.39</v>
      </c>
      <c r="D50" s="273"/>
      <c r="E50" s="273"/>
      <c r="F50" s="273"/>
      <c r="G50" s="273"/>
      <c r="H50" s="273"/>
      <c r="I50" s="273"/>
      <c r="J50" s="50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>
        <f>SUM(AB50:AG50)</f>
        <v>609752.39</v>
      </c>
      <c r="X50" s="283" t="s">
        <v>257</v>
      </c>
      <c r="Y50" s="273"/>
      <c r="Z50" s="273"/>
      <c r="AA50" s="273"/>
      <c r="AB50" s="273">
        <f>138156.14+184209.97+149345.68+138040.6</f>
        <v>609752.39</v>
      </c>
      <c r="AC50" s="273"/>
      <c r="AD50" s="16"/>
      <c r="AE50" s="17"/>
      <c r="AF50" s="17"/>
      <c r="AG50" s="17"/>
      <c r="AH50" s="13"/>
      <c r="AI50" s="13"/>
    </row>
    <row r="51" spans="1:35" x14ac:dyDescent="0.3">
      <c r="A51" s="250" t="s">
        <v>208</v>
      </c>
      <c r="B51" s="20"/>
      <c r="C51" s="273">
        <f t="shared" ref="C51:W51" si="9">SUM(C48:C50)</f>
        <v>1817288.9500000002</v>
      </c>
      <c r="D51" s="273">
        <f t="shared" si="9"/>
        <v>0</v>
      </c>
      <c r="E51" s="273">
        <f t="shared" si="9"/>
        <v>0</v>
      </c>
      <c r="F51" s="273">
        <f t="shared" si="9"/>
        <v>0</v>
      </c>
      <c r="G51" s="273">
        <f t="shared" si="9"/>
        <v>0</v>
      </c>
      <c r="H51" s="273">
        <f t="shared" si="9"/>
        <v>0</v>
      </c>
      <c r="I51" s="273">
        <f t="shared" si="9"/>
        <v>0</v>
      </c>
      <c r="J51" s="50">
        <f t="shared" si="9"/>
        <v>0</v>
      </c>
      <c r="K51" s="273">
        <f t="shared" si="9"/>
        <v>0</v>
      </c>
      <c r="L51" s="273">
        <f t="shared" si="9"/>
        <v>0</v>
      </c>
      <c r="M51" s="273">
        <f t="shared" si="9"/>
        <v>0</v>
      </c>
      <c r="N51" s="273">
        <f t="shared" si="9"/>
        <v>0</v>
      </c>
      <c r="O51" s="273">
        <f t="shared" si="9"/>
        <v>0</v>
      </c>
      <c r="P51" s="273">
        <f t="shared" si="9"/>
        <v>0</v>
      </c>
      <c r="Q51" s="273">
        <f t="shared" si="9"/>
        <v>0</v>
      </c>
      <c r="R51" s="273">
        <f t="shared" si="9"/>
        <v>0</v>
      </c>
      <c r="S51" s="273">
        <f t="shared" si="9"/>
        <v>0</v>
      </c>
      <c r="T51" s="273">
        <f t="shared" si="9"/>
        <v>0</v>
      </c>
      <c r="U51" s="273">
        <f t="shared" si="9"/>
        <v>0</v>
      </c>
      <c r="V51" s="273">
        <f t="shared" si="9"/>
        <v>0</v>
      </c>
      <c r="W51" s="273">
        <f t="shared" si="9"/>
        <v>1817288.9500000002</v>
      </c>
      <c r="X51" s="283"/>
      <c r="Y51" s="273"/>
      <c r="Z51" s="273"/>
      <c r="AA51" s="273"/>
      <c r="AB51" s="273"/>
      <c r="AC51" s="273"/>
      <c r="AD51" s="16"/>
      <c r="AE51" s="17"/>
      <c r="AF51" s="17"/>
      <c r="AG51" s="17"/>
      <c r="AH51" s="13"/>
      <c r="AI51" s="13"/>
    </row>
    <row r="52" spans="1:35" x14ac:dyDescent="0.3">
      <c r="A52" s="252" t="s">
        <v>250</v>
      </c>
      <c r="B52" s="20"/>
      <c r="C52" s="273"/>
      <c r="D52" s="273"/>
      <c r="E52" s="273"/>
      <c r="F52" s="273"/>
      <c r="G52" s="273"/>
      <c r="H52" s="273"/>
      <c r="I52" s="273"/>
      <c r="J52" s="50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83"/>
      <c r="Y52" s="273"/>
      <c r="Z52" s="273"/>
      <c r="AA52" s="273"/>
      <c r="AB52" s="273"/>
      <c r="AC52" s="273"/>
      <c r="AD52" s="16"/>
      <c r="AE52" s="17"/>
      <c r="AF52" s="17"/>
      <c r="AG52" s="17"/>
      <c r="AH52" s="13"/>
      <c r="AI52" s="13"/>
    </row>
    <row r="53" spans="1:35" x14ac:dyDescent="0.3">
      <c r="A53" s="259">
        <f>A50+1</f>
        <v>26</v>
      </c>
      <c r="B53" s="20" t="s">
        <v>254</v>
      </c>
      <c r="C53" s="273">
        <f>D53+N53+P53+R53+S53+U53+V53+W53</f>
        <v>7001500</v>
      </c>
      <c r="D53" s="273"/>
      <c r="E53" s="273"/>
      <c r="F53" s="273"/>
      <c r="G53" s="273"/>
      <c r="H53" s="273"/>
      <c r="I53" s="273"/>
      <c r="J53" s="50"/>
      <c r="K53" s="273"/>
      <c r="L53" s="273"/>
      <c r="M53" s="273"/>
      <c r="N53" s="273"/>
      <c r="O53" s="273"/>
      <c r="P53" s="273"/>
      <c r="Q53" s="273">
        <v>500</v>
      </c>
      <c r="R53" s="273">
        <f>(10362+3641)*Q53</f>
        <v>7001500</v>
      </c>
      <c r="S53" s="273"/>
      <c r="T53" s="273"/>
      <c r="U53" s="273"/>
      <c r="V53" s="273"/>
      <c r="W53" s="273"/>
      <c r="X53" s="283"/>
      <c r="Y53" s="273"/>
      <c r="Z53" s="273"/>
      <c r="AA53" s="273"/>
      <c r="AB53" s="273"/>
      <c r="AD53" s="273"/>
      <c r="AE53" s="17"/>
      <c r="AF53" s="17"/>
      <c r="AG53" s="17"/>
      <c r="AH53" s="13"/>
      <c r="AI53" s="13"/>
    </row>
    <row r="54" spans="1:35" x14ac:dyDescent="0.3">
      <c r="A54" s="250" t="s">
        <v>208</v>
      </c>
      <c r="B54" s="20"/>
      <c r="C54" s="273">
        <f t="shared" ref="C54:W54" si="10">SUM(C53)</f>
        <v>7001500</v>
      </c>
      <c r="D54" s="273">
        <f t="shared" si="10"/>
        <v>0</v>
      </c>
      <c r="E54" s="273">
        <f t="shared" si="10"/>
        <v>0</v>
      </c>
      <c r="F54" s="273">
        <f t="shared" si="10"/>
        <v>0</v>
      </c>
      <c r="G54" s="273">
        <f t="shared" si="10"/>
        <v>0</v>
      </c>
      <c r="H54" s="273">
        <f t="shared" si="10"/>
        <v>0</v>
      </c>
      <c r="I54" s="273">
        <f t="shared" si="10"/>
        <v>0</v>
      </c>
      <c r="J54" s="50">
        <f t="shared" si="10"/>
        <v>0</v>
      </c>
      <c r="K54" s="273">
        <f t="shared" si="10"/>
        <v>0</v>
      </c>
      <c r="L54" s="273">
        <f t="shared" si="10"/>
        <v>0</v>
      </c>
      <c r="M54" s="273">
        <f t="shared" si="10"/>
        <v>0</v>
      </c>
      <c r="N54" s="273">
        <f t="shared" si="10"/>
        <v>0</v>
      </c>
      <c r="O54" s="273">
        <f t="shared" si="10"/>
        <v>0</v>
      </c>
      <c r="P54" s="273">
        <f t="shared" si="10"/>
        <v>0</v>
      </c>
      <c r="Q54" s="273">
        <f t="shared" si="10"/>
        <v>500</v>
      </c>
      <c r="R54" s="273">
        <f t="shared" si="10"/>
        <v>7001500</v>
      </c>
      <c r="S54" s="273">
        <f t="shared" si="10"/>
        <v>0</v>
      </c>
      <c r="T54" s="273">
        <f t="shared" si="10"/>
        <v>0</v>
      </c>
      <c r="U54" s="273">
        <f t="shared" si="10"/>
        <v>0</v>
      </c>
      <c r="V54" s="273">
        <f t="shared" si="10"/>
        <v>0</v>
      </c>
      <c r="W54" s="273">
        <f t="shared" si="10"/>
        <v>0</v>
      </c>
      <c r="X54" s="283"/>
      <c r="Y54" s="273"/>
      <c r="Z54" s="273"/>
      <c r="AA54" s="273"/>
      <c r="AB54" s="273"/>
      <c r="AC54" s="273"/>
      <c r="AD54" s="16"/>
      <c r="AE54" s="17"/>
      <c r="AF54" s="17"/>
      <c r="AG54" s="17"/>
      <c r="AH54" s="13"/>
      <c r="AI54" s="13"/>
    </row>
    <row r="55" spans="1:35" ht="15.75" customHeight="1" x14ac:dyDescent="0.3">
      <c r="A55" s="291" t="s">
        <v>260</v>
      </c>
      <c r="B55" s="291"/>
      <c r="C55" s="251">
        <f t="shared" ref="C55:W55" si="11">C51+C54+C46+C42+C36</f>
        <v>92485013.200000003</v>
      </c>
      <c r="D55" s="251">
        <f t="shared" si="11"/>
        <v>0</v>
      </c>
      <c r="E55" s="251">
        <f t="shared" si="11"/>
        <v>0</v>
      </c>
      <c r="F55" s="251">
        <f t="shared" si="11"/>
        <v>0</v>
      </c>
      <c r="G55" s="251">
        <f t="shared" si="11"/>
        <v>0</v>
      </c>
      <c r="H55" s="251">
        <f t="shared" si="11"/>
        <v>0</v>
      </c>
      <c r="I55" s="251">
        <f t="shared" si="11"/>
        <v>0</v>
      </c>
      <c r="J55" s="251">
        <f t="shared" si="11"/>
        <v>0</v>
      </c>
      <c r="K55" s="251">
        <f t="shared" si="11"/>
        <v>0</v>
      </c>
      <c r="L55" s="251">
        <f t="shared" si="11"/>
        <v>0</v>
      </c>
      <c r="M55" s="251">
        <f t="shared" si="11"/>
        <v>0</v>
      </c>
      <c r="N55" s="251">
        <f t="shared" si="11"/>
        <v>0</v>
      </c>
      <c r="O55" s="251">
        <f t="shared" si="11"/>
        <v>0</v>
      </c>
      <c r="P55" s="251">
        <f t="shared" si="11"/>
        <v>0</v>
      </c>
      <c r="Q55" s="251">
        <f t="shared" si="11"/>
        <v>12917.800000000001</v>
      </c>
      <c r="R55" s="251">
        <f t="shared" si="11"/>
        <v>90436750.109999999</v>
      </c>
      <c r="S55" s="251">
        <f t="shared" si="11"/>
        <v>0</v>
      </c>
      <c r="T55" s="251">
        <f t="shared" si="11"/>
        <v>0</v>
      </c>
      <c r="U55" s="251">
        <f t="shared" si="11"/>
        <v>0</v>
      </c>
      <c r="V55" s="251">
        <f t="shared" si="11"/>
        <v>0</v>
      </c>
      <c r="W55" s="251">
        <f t="shared" si="11"/>
        <v>2048263.0900000003</v>
      </c>
      <c r="X55" s="271"/>
      <c r="Y55" s="271"/>
      <c r="Z55" s="271"/>
      <c r="AA55" s="271"/>
      <c r="AB55" s="271"/>
      <c r="AC55" s="269"/>
      <c r="AD55" s="84"/>
      <c r="AE55" s="82"/>
      <c r="AF55" s="82"/>
      <c r="AG55" s="82"/>
      <c r="AH55" s="13"/>
      <c r="AI55" s="13"/>
    </row>
    <row r="56" spans="1:35" ht="31.2" x14ac:dyDescent="0.3">
      <c r="A56" s="430" t="s">
        <v>3124</v>
      </c>
      <c r="B56" s="430"/>
      <c r="C56" s="430"/>
      <c r="D56" s="430"/>
      <c r="E56" s="430"/>
      <c r="F56" s="430"/>
      <c r="G56" s="430"/>
      <c r="H56" s="430"/>
      <c r="I56" s="430"/>
      <c r="J56" s="430"/>
      <c r="K56" s="430"/>
      <c r="L56" s="430"/>
      <c r="M56" s="430"/>
      <c r="N56" s="430"/>
      <c r="O56" s="430"/>
      <c r="P56" s="430"/>
      <c r="Q56" s="430"/>
      <c r="R56" s="430"/>
      <c r="S56" s="430"/>
      <c r="T56" s="430"/>
      <c r="U56" s="430"/>
      <c r="V56" s="430"/>
      <c r="W56" s="430"/>
      <c r="X56" s="85" t="s">
        <v>194</v>
      </c>
      <c r="Y56" s="277"/>
      <c r="Z56" s="277"/>
      <c r="AA56" s="277"/>
      <c r="AB56" s="277"/>
      <c r="AC56" s="277"/>
      <c r="AD56" s="251"/>
      <c r="AE56" s="251"/>
      <c r="AF56" s="251"/>
      <c r="AG56" s="17"/>
      <c r="AH56" s="13"/>
      <c r="AI56" s="13"/>
    </row>
    <row r="57" spans="1:35" ht="31.2" x14ac:dyDescent="0.3">
      <c r="A57" s="259"/>
      <c r="B57" s="253" t="s">
        <v>267</v>
      </c>
      <c r="C57" s="273"/>
      <c r="D57" s="273"/>
      <c r="E57" s="273"/>
      <c r="F57" s="273"/>
      <c r="G57" s="273"/>
      <c r="H57" s="273"/>
      <c r="I57" s="273"/>
      <c r="J57" s="50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83"/>
      <c r="Y57" s="273"/>
      <c r="Z57" s="273"/>
      <c r="AA57" s="273"/>
      <c r="AB57" s="273"/>
      <c r="AC57" s="273"/>
      <c r="AD57" s="273"/>
      <c r="AE57" s="16"/>
      <c r="AF57" s="17"/>
      <c r="AG57" s="17"/>
      <c r="AH57" s="13"/>
      <c r="AI57" s="13"/>
    </row>
    <row r="58" spans="1:35" x14ac:dyDescent="0.3">
      <c r="A58" s="259">
        <f>A53+1</f>
        <v>27</v>
      </c>
      <c r="B58" s="20" t="s">
        <v>268</v>
      </c>
      <c r="C58" s="273">
        <f>D58+K58+L58+N58+P58+R58+S58+U58+V58+W58</f>
        <v>2151285.3600000003</v>
      </c>
      <c r="D58" s="273">
        <f>E58+F58+G58+H58+I58</f>
        <v>2151285.3600000003</v>
      </c>
      <c r="E58" s="273">
        <f>(358323*2)+2688*533.72</f>
        <v>2151285.3600000003</v>
      </c>
      <c r="F58" s="273"/>
      <c r="G58" s="273"/>
      <c r="H58" s="273"/>
      <c r="I58" s="273"/>
      <c r="J58" s="50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73"/>
      <c r="W58" s="273"/>
      <c r="X58" s="283"/>
      <c r="Y58" s="273"/>
      <c r="Z58" s="273"/>
      <c r="AA58" s="273"/>
      <c r="AB58" s="273"/>
      <c r="AC58" s="273"/>
      <c r="AD58" s="273"/>
      <c r="AE58" s="16"/>
      <c r="AF58" s="17"/>
      <c r="AG58" s="17"/>
      <c r="AH58" s="13"/>
    </row>
    <row r="59" spans="1:35" x14ac:dyDescent="0.3">
      <c r="A59" s="259">
        <f>A58+1</f>
        <v>28</v>
      </c>
      <c r="B59" s="20" t="s">
        <v>271</v>
      </c>
      <c r="C59" s="273">
        <f>D59+K59+L59+N59+P59+R59+S59+U59+V59+W59</f>
        <v>2184401.52</v>
      </c>
      <c r="D59" s="273">
        <f>E59+F59+G59+H59+I59</f>
        <v>2184401.52</v>
      </c>
      <c r="E59" s="273">
        <f>(358323*2)+2688*546.04</f>
        <v>2184401.52</v>
      </c>
      <c r="F59" s="273"/>
      <c r="G59" s="273"/>
      <c r="H59" s="273"/>
      <c r="I59" s="273"/>
      <c r="J59" s="50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83"/>
      <c r="Y59" s="273"/>
      <c r="Z59" s="273"/>
      <c r="AA59" s="273"/>
      <c r="AB59" s="273"/>
      <c r="AC59" s="273"/>
      <c r="AD59" s="273"/>
      <c r="AE59" s="16"/>
      <c r="AF59" s="17"/>
      <c r="AG59" s="17"/>
      <c r="AH59" s="13"/>
    </row>
    <row r="60" spans="1:35" x14ac:dyDescent="0.3">
      <c r="A60" s="259">
        <f>A59+1</f>
        <v>29</v>
      </c>
      <c r="B60" s="20" t="s">
        <v>272</v>
      </c>
      <c r="C60" s="273">
        <f>D60+K60+L60+N60+P60+R60+S60+U60+V60+W60</f>
        <v>120030.51999999999</v>
      </c>
      <c r="D60" s="273">
        <f>E60+F60+G60+H60+I60</f>
        <v>120030.51999999999</v>
      </c>
      <c r="E60" s="273"/>
      <c r="F60" s="273"/>
      <c r="G60" s="273"/>
      <c r="H60" s="273"/>
      <c r="I60" s="273">
        <f>3194*37.58</f>
        <v>120030.51999999999</v>
      </c>
      <c r="J60" s="50"/>
      <c r="K60" s="273"/>
      <c r="L60" s="273"/>
      <c r="M60" s="273"/>
      <c r="N60" s="273"/>
      <c r="O60" s="273"/>
      <c r="P60" s="273"/>
      <c r="Q60" s="273"/>
      <c r="R60" s="273"/>
      <c r="S60" s="273"/>
      <c r="T60" s="273"/>
      <c r="U60" s="273"/>
      <c r="V60" s="273"/>
      <c r="W60" s="273"/>
      <c r="X60" s="283"/>
      <c r="Y60" s="273"/>
      <c r="Z60" s="273"/>
      <c r="AA60" s="273"/>
      <c r="AB60" s="273"/>
      <c r="AC60" s="273"/>
      <c r="AD60" s="273"/>
      <c r="AE60" s="16"/>
      <c r="AF60" s="17"/>
      <c r="AG60" s="17"/>
      <c r="AH60" s="13"/>
    </row>
    <row r="61" spans="1:35" x14ac:dyDescent="0.3">
      <c r="A61" s="259">
        <f>A60+1</f>
        <v>30</v>
      </c>
      <c r="B61" s="20" t="s">
        <v>273</v>
      </c>
      <c r="C61" s="273">
        <f>D61+K61+L61+N61+P61+R61+S61+U61+V61+W61</f>
        <v>2893994.3600000003</v>
      </c>
      <c r="D61" s="273">
        <f>E61+F61+G61+H61+I61</f>
        <v>2893994.3600000003</v>
      </c>
      <c r="E61" s="273"/>
      <c r="F61" s="273">
        <f>231.12*5502+2*607361</f>
        <v>2486344.2400000002</v>
      </c>
      <c r="G61" s="273">
        <f>3910*73.56</f>
        <v>287619.60000000003</v>
      </c>
      <c r="H61" s="273"/>
      <c r="I61" s="273">
        <f>3194*37.58</f>
        <v>120030.51999999999</v>
      </c>
      <c r="J61" s="50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73"/>
      <c r="W61" s="273"/>
      <c r="X61" s="283"/>
      <c r="Y61" s="273"/>
      <c r="Z61" s="273"/>
      <c r="AA61" s="273"/>
      <c r="AB61" s="273"/>
      <c r="AC61" s="273"/>
      <c r="AD61" s="273"/>
      <c r="AE61" s="16"/>
      <c r="AF61" s="17"/>
      <c r="AG61" s="17"/>
      <c r="AH61" s="13"/>
    </row>
    <row r="62" spans="1:35" x14ac:dyDescent="0.3">
      <c r="A62" s="259">
        <f>A61+1</f>
        <v>31</v>
      </c>
      <c r="B62" s="20" t="s">
        <v>275</v>
      </c>
      <c r="C62" s="273">
        <f>D62+K62+L62+N62+P62+R62+S62+U62+V62+W62</f>
        <v>6859472</v>
      </c>
      <c r="D62" s="273">
        <f>E62+F62+G62+H62+I62</f>
        <v>6859472</v>
      </c>
      <c r="E62" s="273"/>
      <c r="F62" s="273">
        <f>480*5502+2*607361</f>
        <v>3855682</v>
      </c>
      <c r="G62" s="273">
        <f>3910*225</f>
        <v>879750</v>
      </c>
      <c r="H62" s="273">
        <f>3910*290</f>
        <v>1133900</v>
      </c>
      <c r="I62" s="273">
        <f>3194*310</f>
        <v>990140</v>
      </c>
      <c r="J62" s="50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73"/>
      <c r="W62" s="273"/>
      <c r="X62" s="283"/>
      <c r="Y62" s="273"/>
      <c r="Z62" s="273"/>
      <c r="AA62" s="273"/>
      <c r="AB62" s="273"/>
      <c r="AC62" s="273"/>
      <c r="AD62" s="273"/>
      <c r="AE62" s="16">
        <v>175790.23</v>
      </c>
      <c r="AF62" s="17">
        <v>576970.98</v>
      </c>
      <c r="AG62" s="17"/>
      <c r="AH62" s="13"/>
    </row>
    <row r="63" spans="1:35" x14ac:dyDescent="0.3">
      <c r="A63" s="259"/>
      <c r="B63" s="34" t="s">
        <v>208</v>
      </c>
      <c r="C63" s="273">
        <f t="shared" ref="C63:W63" si="12">SUM(C58:C62)</f>
        <v>14209183.760000002</v>
      </c>
      <c r="D63" s="273">
        <f t="shared" si="12"/>
        <v>14209183.760000002</v>
      </c>
      <c r="E63" s="273">
        <f t="shared" si="12"/>
        <v>4335686.8800000008</v>
      </c>
      <c r="F63" s="273">
        <f t="shared" si="12"/>
        <v>6342026.2400000002</v>
      </c>
      <c r="G63" s="273">
        <f t="shared" si="12"/>
        <v>1167369.6000000001</v>
      </c>
      <c r="H63" s="273">
        <f t="shared" si="12"/>
        <v>1133900</v>
      </c>
      <c r="I63" s="273">
        <f t="shared" si="12"/>
        <v>1230201.04</v>
      </c>
      <c r="J63" s="50">
        <f t="shared" si="12"/>
        <v>0</v>
      </c>
      <c r="K63" s="273">
        <f t="shared" si="12"/>
        <v>0</v>
      </c>
      <c r="L63" s="273">
        <f t="shared" si="12"/>
        <v>0</v>
      </c>
      <c r="M63" s="273">
        <f t="shared" si="12"/>
        <v>0</v>
      </c>
      <c r="N63" s="273">
        <f t="shared" si="12"/>
        <v>0</v>
      </c>
      <c r="O63" s="273">
        <f t="shared" si="12"/>
        <v>0</v>
      </c>
      <c r="P63" s="273">
        <f t="shared" si="12"/>
        <v>0</v>
      </c>
      <c r="Q63" s="273">
        <f t="shared" si="12"/>
        <v>0</v>
      </c>
      <c r="R63" s="273">
        <f t="shared" si="12"/>
        <v>0</v>
      </c>
      <c r="S63" s="273">
        <f t="shared" si="12"/>
        <v>0</v>
      </c>
      <c r="T63" s="273">
        <f t="shared" si="12"/>
        <v>0</v>
      </c>
      <c r="U63" s="273">
        <f t="shared" si="12"/>
        <v>0</v>
      </c>
      <c r="V63" s="273">
        <f t="shared" si="12"/>
        <v>0</v>
      </c>
      <c r="W63" s="273">
        <f t="shared" si="12"/>
        <v>0</v>
      </c>
      <c r="X63" s="283"/>
      <c r="Y63" s="273"/>
      <c r="Z63" s="273"/>
      <c r="AA63" s="273"/>
      <c r="AB63" s="273"/>
      <c r="AC63" s="273"/>
      <c r="AD63" s="273"/>
      <c r="AE63" s="16"/>
      <c r="AF63" s="17"/>
      <c r="AG63" s="17"/>
      <c r="AH63" s="13"/>
    </row>
    <row r="64" spans="1:35" ht="31.2" x14ac:dyDescent="0.3">
      <c r="A64" s="259"/>
      <c r="B64" s="253" t="s">
        <v>277</v>
      </c>
      <c r="C64" s="273"/>
      <c r="D64" s="273"/>
      <c r="E64" s="273"/>
      <c r="F64" s="273"/>
      <c r="G64" s="273"/>
      <c r="H64" s="273"/>
      <c r="I64" s="273"/>
      <c r="J64" s="50"/>
      <c r="K64" s="273"/>
      <c r="L64" s="273"/>
      <c r="M64" s="273"/>
      <c r="N64" s="273"/>
      <c r="O64" s="273"/>
      <c r="P64" s="273"/>
      <c r="Q64" s="273"/>
      <c r="R64" s="273"/>
      <c r="S64" s="273"/>
      <c r="T64" s="273"/>
      <c r="U64" s="273"/>
      <c r="V64" s="273"/>
      <c r="W64" s="273"/>
      <c r="X64" s="283"/>
      <c r="Y64" s="273"/>
      <c r="Z64" s="273"/>
      <c r="AA64" s="273"/>
      <c r="AB64" s="273"/>
      <c r="AC64" s="273"/>
      <c r="AD64" s="273"/>
      <c r="AE64" s="16"/>
      <c r="AF64" s="17"/>
      <c r="AG64" s="17"/>
      <c r="AH64" s="13"/>
      <c r="AI64" s="13"/>
    </row>
    <row r="65" spans="1:35" x14ac:dyDescent="0.3">
      <c r="A65" s="259">
        <f>A62+1</f>
        <v>32</v>
      </c>
      <c r="B65" s="20" t="s">
        <v>281</v>
      </c>
      <c r="C65" s="273">
        <f>D65+K65+L65+N65+P65+R65+S65+U65+V65+W65</f>
        <v>11310499.199999999</v>
      </c>
      <c r="D65" s="273"/>
      <c r="E65" s="273"/>
      <c r="F65" s="273"/>
      <c r="G65" s="273"/>
      <c r="H65" s="273"/>
      <c r="I65" s="273"/>
      <c r="J65" s="50"/>
      <c r="K65" s="273"/>
      <c r="L65" s="273"/>
      <c r="M65" s="273"/>
      <c r="N65" s="273"/>
      <c r="O65" s="273"/>
      <c r="P65" s="273"/>
      <c r="Q65" s="273">
        <v>3083.03</v>
      </c>
      <c r="R65" s="273">
        <v>11310499.199999999</v>
      </c>
      <c r="S65" s="273"/>
      <c r="T65" s="273"/>
      <c r="U65" s="273"/>
      <c r="V65" s="273"/>
      <c r="W65" s="273"/>
      <c r="X65" s="283"/>
      <c r="Y65" s="273"/>
      <c r="Z65" s="273"/>
      <c r="AA65" s="273"/>
      <c r="AB65" s="273"/>
      <c r="AC65" s="273"/>
      <c r="AD65" s="273"/>
      <c r="AE65" s="16"/>
      <c r="AF65" s="17"/>
      <c r="AG65" s="17"/>
      <c r="AH65" s="13"/>
      <c r="AI65" s="13"/>
    </row>
    <row r="66" spans="1:35" x14ac:dyDescent="0.3">
      <c r="A66" s="259">
        <f>A65+1</f>
        <v>33</v>
      </c>
      <c r="B66" s="20" t="s">
        <v>282</v>
      </c>
      <c r="C66" s="273">
        <f>D66+K66+L66+N66+P66+R66+S66+U66+V66+W66</f>
        <v>6712929.5999999996</v>
      </c>
      <c r="D66" s="273"/>
      <c r="E66" s="273"/>
      <c r="F66" s="273"/>
      <c r="G66" s="273"/>
      <c r="H66" s="273"/>
      <c r="I66" s="273"/>
      <c r="J66" s="50"/>
      <c r="K66" s="273"/>
      <c r="L66" s="273"/>
      <c r="M66" s="273"/>
      <c r="N66" s="273"/>
      <c r="O66" s="273"/>
      <c r="P66" s="273"/>
      <c r="Q66" s="273">
        <v>1570.66</v>
      </c>
      <c r="R66" s="273">
        <v>6712929.5999999996</v>
      </c>
      <c r="S66" s="273"/>
      <c r="T66" s="273"/>
      <c r="U66" s="273"/>
      <c r="V66" s="273"/>
      <c r="W66" s="273"/>
      <c r="X66" s="283"/>
      <c r="Y66" s="273"/>
      <c r="Z66" s="273"/>
      <c r="AA66" s="273"/>
      <c r="AB66" s="273"/>
      <c r="AC66" s="273"/>
      <c r="AD66" s="273"/>
      <c r="AE66" s="16"/>
      <c r="AF66" s="17"/>
      <c r="AG66" s="17"/>
      <c r="AH66" s="13"/>
      <c r="AI66" s="13"/>
    </row>
    <row r="67" spans="1:35" x14ac:dyDescent="0.3">
      <c r="A67" s="259">
        <f>A66+1</f>
        <v>34</v>
      </c>
      <c r="B67" s="20" t="s">
        <v>284</v>
      </c>
      <c r="C67" s="273">
        <f>D67+K67+L67+N67+P67+R67+S67+U67+V67+W67</f>
        <v>21004500</v>
      </c>
      <c r="D67" s="273"/>
      <c r="E67" s="273"/>
      <c r="F67" s="273"/>
      <c r="G67" s="273"/>
      <c r="H67" s="273"/>
      <c r="I67" s="273"/>
      <c r="J67" s="50"/>
      <c r="K67" s="273"/>
      <c r="L67" s="273"/>
      <c r="M67" s="273"/>
      <c r="N67" s="273"/>
      <c r="O67" s="273"/>
      <c r="P67" s="273"/>
      <c r="Q67" s="273">
        <v>1500</v>
      </c>
      <c r="R67" s="273">
        <f>1500*14003</f>
        <v>21004500</v>
      </c>
      <c r="S67" s="273"/>
      <c r="T67" s="273"/>
      <c r="U67" s="273"/>
      <c r="V67" s="273"/>
      <c r="W67" s="273"/>
      <c r="X67" s="283"/>
      <c r="Y67" s="273"/>
      <c r="Z67" s="273"/>
      <c r="AA67" s="273"/>
      <c r="AB67" s="273"/>
      <c r="AC67" s="273"/>
      <c r="AD67" s="273"/>
      <c r="AE67" s="16"/>
      <c r="AF67" s="17"/>
      <c r="AG67" s="17"/>
      <c r="AH67" s="13"/>
      <c r="AI67" s="13"/>
    </row>
    <row r="68" spans="1:35" x14ac:dyDescent="0.3">
      <c r="A68" s="259"/>
      <c r="B68" s="34" t="s">
        <v>208</v>
      </c>
      <c r="C68" s="273">
        <f t="shared" ref="C68:W68" si="13">SUM(C65:C67)</f>
        <v>39027928.799999997</v>
      </c>
      <c r="D68" s="273">
        <f t="shared" si="13"/>
        <v>0</v>
      </c>
      <c r="E68" s="273">
        <f t="shared" si="13"/>
        <v>0</v>
      </c>
      <c r="F68" s="273">
        <f t="shared" si="13"/>
        <v>0</v>
      </c>
      <c r="G68" s="273">
        <f t="shared" si="13"/>
        <v>0</v>
      </c>
      <c r="H68" s="273">
        <f t="shared" si="13"/>
        <v>0</v>
      </c>
      <c r="I68" s="273">
        <f t="shared" si="13"/>
        <v>0</v>
      </c>
      <c r="J68" s="50">
        <f t="shared" si="13"/>
        <v>0</v>
      </c>
      <c r="K68" s="273">
        <f t="shared" si="13"/>
        <v>0</v>
      </c>
      <c r="L68" s="273">
        <f t="shared" si="13"/>
        <v>0</v>
      </c>
      <c r="M68" s="273">
        <f t="shared" si="13"/>
        <v>0</v>
      </c>
      <c r="N68" s="273">
        <f t="shared" si="13"/>
        <v>0</v>
      </c>
      <c r="O68" s="273">
        <f t="shared" si="13"/>
        <v>0</v>
      </c>
      <c r="P68" s="273">
        <f t="shared" si="13"/>
        <v>0</v>
      </c>
      <c r="Q68" s="273">
        <f t="shared" si="13"/>
        <v>6153.6900000000005</v>
      </c>
      <c r="R68" s="273">
        <f t="shared" si="13"/>
        <v>39027928.799999997</v>
      </c>
      <c r="S68" s="273">
        <f t="shared" si="13"/>
        <v>0</v>
      </c>
      <c r="T68" s="273">
        <f t="shared" si="13"/>
        <v>0</v>
      </c>
      <c r="U68" s="273">
        <f t="shared" si="13"/>
        <v>0</v>
      </c>
      <c r="V68" s="273">
        <f t="shared" si="13"/>
        <v>0</v>
      </c>
      <c r="W68" s="273">
        <f t="shared" si="13"/>
        <v>0</v>
      </c>
      <c r="X68" s="283"/>
      <c r="Y68" s="273"/>
      <c r="Z68" s="273"/>
      <c r="AA68" s="273"/>
      <c r="AB68" s="273"/>
      <c r="AC68" s="273"/>
      <c r="AD68" s="273"/>
      <c r="AE68" s="16"/>
      <c r="AF68" s="17"/>
      <c r="AG68" s="17"/>
      <c r="AH68" s="13"/>
      <c r="AI68" s="13"/>
    </row>
    <row r="69" spans="1:35" ht="31.2" x14ac:dyDescent="0.3">
      <c r="A69" s="259"/>
      <c r="B69" s="253" t="s">
        <v>292</v>
      </c>
      <c r="C69" s="273"/>
      <c r="D69" s="273"/>
      <c r="E69" s="273"/>
      <c r="F69" s="273"/>
      <c r="G69" s="273"/>
      <c r="H69" s="273"/>
      <c r="I69" s="273"/>
      <c r="J69" s="50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73"/>
      <c r="W69" s="273"/>
      <c r="X69" s="283"/>
      <c r="Y69" s="273"/>
      <c r="Z69" s="273"/>
      <c r="AA69" s="273"/>
      <c r="AB69" s="273"/>
      <c r="AC69" s="273"/>
      <c r="AD69" s="273"/>
      <c r="AE69" s="16"/>
      <c r="AF69" s="17"/>
      <c r="AG69" s="17"/>
      <c r="AH69" s="13"/>
      <c r="AI69" s="13"/>
    </row>
    <row r="70" spans="1:35" ht="31.2" x14ac:dyDescent="0.3">
      <c r="A70" s="259">
        <f>A67+1</f>
        <v>35</v>
      </c>
      <c r="B70" s="20" t="s">
        <v>293</v>
      </c>
      <c r="C70" s="273">
        <f>D70+K70+L70+N70+P70+R70+S70+U70+V70+W70</f>
        <v>150000</v>
      </c>
      <c r="D70" s="273"/>
      <c r="E70" s="273"/>
      <c r="F70" s="273"/>
      <c r="G70" s="273"/>
      <c r="H70" s="273"/>
      <c r="I70" s="273"/>
      <c r="J70" s="50"/>
      <c r="K70" s="273"/>
      <c r="L70" s="273"/>
      <c r="M70" s="273"/>
      <c r="N70" s="273"/>
      <c r="O70" s="273"/>
      <c r="P70" s="273"/>
      <c r="Q70" s="273">
        <v>13</v>
      </c>
      <c r="R70" s="273">
        <v>150000</v>
      </c>
      <c r="S70" s="273"/>
      <c r="T70" s="273"/>
      <c r="U70" s="273"/>
      <c r="V70" s="273"/>
      <c r="W70" s="273"/>
      <c r="X70" s="283"/>
      <c r="Y70" s="273"/>
      <c r="Z70" s="273"/>
      <c r="AA70" s="273"/>
      <c r="AB70" s="273"/>
      <c r="AC70" s="273"/>
      <c r="AD70" s="273"/>
      <c r="AE70" s="16"/>
      <c r="AF70" s="17">
        <v>736365.58</v>
      </c>
      <c r="AG70" s="17"/>
      <c r="AH70" s="13"/>
      <c r="AI70" s="13"/>
    </row>
    <row r="71" spans="1:35" ht="31.2" x14ac:dyDescent="0.3">
      <c r="A71" s="259">
        <f>A70+1</f>
        <v>36</v>
      </c>
      <c r="B71" s="20" t="s">
        <v>294</v>
      </c>
      <c r="C71" s="273">
        <f>D71+K71+L71+N71+P71+R71+S71+U71+V71+W71</f>
        <v>11993080.800000001</v>
      </c>
      <c r="D71" s="273"/>
      <c r="E71" s="273"/>
      <c r="F71" s="273"/>
      <c r="G71" s="273"/>
      <c r="H71" s="273"/>
      <c r="I71" s="273"/>
      <c r="J71" s="50"/>
      <c r="K71" s="273"/>
      <c r="L71" s="273"/>
      <c r="M71" s="273"/>
      <c r="N71" s="273"/>
      <c r="O71" s="273"/>
      <c r="P71" s="273"/>
      <c r="Q71" s="273">
        <v>1371</v>
      </c>
      <c r="R71" s="273">
        <v>11993080.800000001</v>
      </c>
      <c r="S71" s="273"/>
      <c r="T71" s="273"/>
      <c r="U71" s="273"/>
      <c r="V71" s="273"/>
      <c r="W71" s="273"/>
      <c r="X71" s="283"/>
      <c r="Y71" s="273"/>
      <c r="Z71" s="273"/>
      <c r="AA71" s="273"/>
      <c r="AB71" s="273"/>
      <c r="AC71" s="273"/>
      <c r="AD71" s="273"/>
      <c r="AE71" s="16"/>
      <c r="AF71" s="17">
        <v>623317.27</v>
      </c>
      <c r="AG71" s="17"/>
      <c r="AH71" s="13"/>
      <c r="AI71" s="13"/>
    </row>
    <row r="72" spans="1:35" ht="31.2" x14ac:dyDescent="0.3">
      <c r="A72" s="259">
        <f>A71+1</f>
        <v>37</v>
      </c>
      <c r="B72" s="20" t="s">
        <v>295</v>
      </c>
      <c r="C72" s="273">
        <f>D72+K72+L72+N72+P72+R72+S72+U72+V72+W72</f>
        <v>14997213</v>
      </c>
      <c r="D72" s="273"/>
      <c r="E72" s="273"/>
      <c r="F72" s="273"/>
      <c r="G72" s="273"/>
      <c r="H72" s="273"/>
      <c r="I72" s="273"/>
      <c r="J72" s="50"/>
      <c r="K72" s="273"/>
      <c r="L72" s="273"/>
      <c r="M72" s="273"/>
      <c r="N72" s="273"/>
      <c r="O72" s="273"/>
      <c r="P72" s="273"/>
      <c r="Q72" s="273">
        <v>1071</v>
      </c>
      <c r="R72" s="273">
        <f>1071*14003</f>
        <v>14997213</v>
      </c>
      <c r="S72" s="273"/>
      <c r="T72" s="273"/>
      <c r="U72" s="273"/>
      <c r="V72" s="273"/>
      <c r="W72" s="273"/>
      <c r="X72" s="283"/>
      <c r="Y72" s="273"/>
      <c r="Z72" s="273"/>
      <c r="AA72" s="273"/>
      <c r="AB72" s="273"/>
      <c r="AC72" s="273"/>
      <c r="AD72" s="273"/>
      <c r="AE72" s="16"/>
      <c r="AF72" s="17">
        <v>608693.80000000005</v>
      </c>
      <c r="AG72" s="17"/>
      <c r="AH72" s="13"/>
      <c r="AI72" s="13"/>
    </row>
    <row r="73" spans="1:35" x14ac:dyDescent="0.3">
      <c r="A73" s="259"/>
      <c r="B73" s="34" t="s">
        <v>208</v>
      </c>
      <c r="C73" s="273">
        <f t="shared" ref="C73:W73" si="14">SUM(C70:C72)</f>
        <v>27140293.800000001</v>
      </c>
      <c r="D73" s="273">
        <f t="shared" si="14"/>
        <v>0</v>
      </c>
      <c r="E73" s="273">
        <f t="shared" si="14"/>
        <v>0</v>
      </c>
      <c r="F73" s="273">
        <f t="shared" si="14"/>
        <v>0</v>
      </c>
      <c r="G73" s="273">
        <f t="shared" si="14"/>
        <v>0</v>
      </c>
      <c r="H73" s="273">
        <f t="shared" si="14"/>
        <v>0</v>
      </c>
      <c r="I73" s="273">
        <f t="shared" si="14"/>
        <v>0</v>
      </c>
      <c r="J73" s="50">
        <f t="shared" si="14"/>
        <v>0</v>
      </c>
      <c r="K73" s="273">
        <f t="shared" si="14"/>
        <v>0</v>
      </c>
      <c r="L73" s="273">
        <f t="shared" si="14"/>
        <v>0</v>
      </c>
      <c r="M73" s="273">
        <f t="shared" si="14"/>
        <v>0</v>
      </c>
      <c r="N73" s="273">
        <f t="shared" si="14"/>
        <v>0</v>
      </c>
      <c r="O73" s="273">
        <f t="shared" si="14"/>
        <v>0</v>
      </c>
      <c r="P73" s="273">
        <f t="shared" si="14"/>
        <v>0</v>
      </c>
      <c r="Q73" s="273">
        <f t="shared" si="14"/>
        <v>2455</v>
      </c>
      <c r="R73" s="273">
        <f t="shared" si="14"/>
        <v>27140293.800000001</v>
      </c>
      <c r="S73" s="273">
        <f t="shared" si="14"/>
        <v>0</v>
      </c>
      <c r="T73" s="273">
        <f t="shared" si="14"/>
        <v>0</v>
      </c>
      <c r="U73" s="273">
        <f t="shared" si="14"/>
        <v>0</v>
      </c>
      <c r="V73" s="273">
        <f t="shared" si="14"/>
        <v>0</v>
      </c>
      <c r="W73" s="273">
        <f t="shared" si="14"/>
        <v>0</v>
      </c>
      <c r="X73" s="283"/>
      <c r="Y73" s="273"/>
      <c r="Z73" s="273"/>
      <c r="AA73" s="273"/>
      <c r="AB73" s="273"/>
      <c r="AC73" s="273"/>
      <c r="AD73" s="273"/>
      <c r="AE73" s="16"/>
      <c r="AF73" s="17"/>
      <c r="AG73" s="17"/>
      <c r="AH73" s="13"/>
      <c r="AI73" s="13"/>
    </row>
    <row r="74" spans="1:35" ht="31.2" x14ac:dyDescent="0.3">
      <c r="A74" s="259"/>
      <c r="B74" s="253" t="s">
        <v>296</v>
      </c>
      <c r="C74" s="273"/>
      <c r="D74" s="273"/>
      <c r="E74" s="273"/>
      <c r="F74" s="273"/>
      <c r="G74" s="273"/>
      <c r="H74" s="273"/>
      <c r="I74" s="273"/>
      <c r="J74" s="50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83"/>
      <c r="Y74" s="273"/>
      <c r="Z74" s="273"/>
      <c r="AA74" s="273"/>
      <c r="AB74" s="273"/>
      <c r="AC74" s="273"/>
      <c r="AD74" s="273"/>
      <c r="AE74" s="16"/>
      <c r="AF74" s="17"/>
      <c r="AG74" s="17"/>
      <c r="AH74" s="13"/>
      <c r="AI74" s="13"/>
    </row>
    <row r="75" spans="1:35" x14ac:dyDescent="0.3">
      <c r="A75" s="259">
        <f>A72+1</f>
        <v>38</v>
      </c>
      <c r="B75" s="20" t="s">
        <v>306</v>
      </c>
      <c r="C75" s="273">
        <f>D75+K75+L75+N75+P75+R75+S75+U75+V75+W75</f>
        <v>6486189.5999999996</v>
      </c>
      <c r="D75" s="273"/>
      <c r="E75" s="273"/>
      <c r="F75" s="273"/>
      <c r="G75" s="273"/>
      <c r="H75" s="273"/>
      <c r="I75" s="273"/>
      <c r="J75" s="50"/>
      <c r="K75" s="273"/>
      <c r="L75" s="273"/>
      <c r="M75" s="273"/>
      <c r="N75" s="273"/>
      <c r="O75" s="273"/>
      <c r="P75" s="273"/>
      <c r="Q75" s="273">
        <v>463.2</v>
      </c>
      <c r="R75" s="273">
        <f>Q75*14003</f>
        <v>6486189.5999999996</v>
      </c>
      <c r="S75" s="273"/>
      <c r="T75" s="273"/>
      <c r="U75" s="273"/>
      <c r="V75" s="273"/>
      <c r="W75" s="273"/>
      <c r="X75" s="283"/>
      <c r="Y75" s="273"/>
      <c r="Z75" s="273"/>
      <c r="AA75" s="273"/>
      <c r="AB75" s="273"/>
      <c r="AC75" s="273"/>
      <c r="AD75" s="273"/>
      <c r="AE75" s="16"/>
      <c r="AF75" s="17"/>
      <c r="AG75" s="17"/>
      <c r="AH75" s="13"/>
      <c r="AI75" s="13"/>
    </row>
    <row r="76" spans="1:35" x14ac:dyDescent="0.3">
      <c r="A76" s="259">
        <f>A75+1</f>
        <v>39</v>
      </c>
      <c r="B76" s="20" t="s">
        <v>307</v>
      </c>
      <c r="C76" s="273">
        <f>D76+K76+L76+N76+P76+R76+S76+U76+V76+W76</f>
        <v>8997487.6199999992</v>
      </c>
      <c r="D76" s="273"/>
      <c r="E76" s="273"/>
      <c r="F76" s="273"/>
      <c r="G76" s="273"/>
      <c r="H76" s="273"/>
      <c r="I76" s="273"/>
      <c r="J76" s="50"/>
      <c r="K76" s="273"/>
      <c r="L76" s="273"/>
      <c r="M76" s="273"/>
      <c r="N76" s="273"/>
      <c r="O76" s="273"/>
      <c r="P76" s="273"/>
      <c r="Q76" s="273">
        <v>642.54</v>
      </c>
      <c r="R76" s="273">
        <f>Q76*14003</f>
        <v>8997487.6199999992</v>
      </c>
      <c r="S76" s="273"/>
      <c r="T76" s="273"/>
      <c r="U76" s="273"/>
      <c r="V76" s="273"/>
      <c r="W76" s="273"/>
      <c r="X76" s="283"/>
      <c r="Y76" s="273"/>
      <c r="Z76" s="273"/>
      <c r="AA76" s="273"/>
      <c r="AB76" s="273"/>
      <c r="AC76" s="273"/>
      <c r="AD76" s="273"/>
      <c r="AE76" s="16">
        <v>50878.2</v>
      </c>
      <c r="AF76" s="17"/>
      <c r="AG76" s="17"/>
      <c r="AH76" s="13"/>
      <c r="AI76" s="13"/>
    </row>
    <row r="77" spans="1:35" x14ac:dyDescent="0.3">
      <c r="A77" s="259"/>
      <c r="B77" s="34" t="s">
        <v>208</v>
      </c>
      <c r="C77" s="273">
        <f t="shared" ref="C77:W77" si="15">SUM(C75:C76)</f>
        <v>15483677.219999999</v>
      </c>
      <c r="D77" s="273">
        <f t="shared" si="15"/>
        <v>0</v>
      </c>
      <c r="E77" s="273">
        <f t="shared" si="15"/>
        <v>0</v>
      </c>
      <c r="F77" s="273">
        <f t="shared" si="15"/>
        <v>0</v>
      </c>
      <c r="G77" s="273">
        <f t="shared" si="15"/>
        <v>0</v>
      </c>
      <c r="H77" s="273">
        <f t="shared" si="15"/>
        <v>0</v>
      </c>
      <c r="I77" s="273">
        <f t="shared" si="15"/>
        <v>0</v>
      </c>
      <c r="J77" s="50">
        <f t="shared" si="15"/>
        <v>0</v>
      </c>
      <c r="K77" s="273">
        <f t="shared" si="15"/>
        <v>0</v>
      </c>
      <c r="L77" s="273">
        <f t="shared" si="15"/>
        <v>0</v>
      </c>
      <c r="M77" s="273">
        <f t="shared" si="15"/>
        <v>0</v>
      </c>
      <c r="N77" s="273">
        <f t="shared" si="15"/>
        <v>0</v>
      </c>
      <c r="O77" s="273">
        <f t="shared" si="15"/>
        <v>0</v>
      </c>
      <c r="P77" s="273">
        <f t="shared" si="15"/>
        <v>0</v>
      </c>
      <c r="Q77" s="273">
        <f t="shared" si="15"/>
        <v>1105.74</v>
      </c>
      <c r="R77" s="273">
        <f t="shared" si="15"/>
        <v>15483677.219999999</v>
      </c>
      <c r="S77" s="273">
        <f t="shared" si="15"/>
        <v>0</v>
      </c>
      <c r="T77" s="273">
        <f t="shared" si="15"/>
        <v>0</v>
      </c>
      <c r="U77" s="273">
        <f t="shared" si="15"/>
        <v>0</v>
      </c>
      <c r="V77" s="273">
        <f t="shared" si="15"/>
        <v>0</v>
      </c>
      <c r="W77" s="273">
        <f t="shared" si="15"/>
        <v>0</v>
      </c>
      <c r="X77" s="283"/>
      <c r="Y77" s="273"/>
      <c r="Z77" s="273"/>
      <c r="AA77" s="273"/>
      <c r="AB77" s="273"/>
      <c r="AC77" s="273"/>
      <c r="AD77" s="273"/>
      <c r="AE77" s="16"/>
      <c r="AF77" s="17"/>
      <c r="AG77" s="17"/>
      <c r="AH77" s="13"/>
      <c r="AI77" s="13"/>
    </row>
    <row r="78" spans="1:35" ht="31.2" x14ac:dyDescent="0.3">
      <c r="A78" s="259"/>
      <c r="B78" s="253" t="s">
        <v>313</v>
      </c>
      <c r="C78" s="273"/>
      <c r="D78" s="273"/>
      <c r="E78" s="273"/>
      <c r="F78" s="273"/>
      <c r="G78" s="273"/>
      <c r="H78" s="273"/>
      <c r="I78" s="273"/>
      <c r="J78" s="50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83"/>
      <c r="Y78" s="273"/>
      <c r="Z78" s="273"/>
      <c r="AA78" s="273"/>
      <c r="AB78" s="273"/>
      <c r="AC78" s="273"/>
      <c r="AD78" s="273"/>
      <c r="AE78" s="16"/>
      <c r="AF78" s="17"/>
      <c r="AG78" s="17"/>
      <c r="AH78" s="13"/>
      <c r="AI78" s="13"/>
    </row>
    <row r="79" spans="1:35" ht="31.2" x14ac:dyDescent="0.3">
      <c r="A79" s="259">
        <f>A76+1</f>
        <v>40</v>
      </c>
      <c r="B79" s="20" t="s">
        <v>332</v>
      </c>
      <c r="C79" s="273">
        <f t="shared" ref="C79:C95" si="16">D79+K79+L79+N79+P79+R79+S79+U79+V79+W79</f>
        <v>3887792.2</v>
      </c>
      <c r="D79" s="273"/>
      <c r="E79" s="273"/>
      <c r="F79" s="273"/>
      <c r="G79" s="273"/>
      <c r="H79" s="273"/>
      <c r="I79" s="273"/>
      <c r="J79" s="50"/>
      <c r="K79" s="273"/>
      <c r="L79" s="273"/>
      <c r="M79" s="273"/>
      <c r="N79" s="273"/>
      <c r="O79" s="273"/>
      <c r="P79" s="273"/>
      <c r="Q79" s="273"/>
      <c r="R79" s="273"/>
      <c r="S79" s="273"/>
      <c r="T79" s="273">
        <v>326.98</v>
      </c>
      <c r="U79" s="273">
        <f>T79*11890</f>
        <v>3887792.2</v>
      </c>
      <c r="V79" s="273"/>
      <c r="W79" s="273"/>
      <c r="X79" s="283"/>
      <c r="Y79" s="273"/>
      <c r="Z79" s="273"/>
      <c r="AA79" s="273"/>
      <c r="AB79" s="273"/>
      <c r="AC79" s="273"/>
      <c r="AD79" s="273"/>
      <c r="AE79" s="16"/>
      <c r="AF79" s="17"/>
      <c r="AG79" s="17"/>
      <c r="AH79" s="13"/>
      <c r="AI79" s="13"/>
    </row>
    <row r="80" spans="1:35" x14ac:dyDescent="0.3">
      <c r="A80" s="259">
        <f t="shared" ref="A80:A95" si="17">A79+1</f>
        <v>41</v>
      </c>
      <c r="B80" s="20" t="s">
        <v>338</v>
      </c>
      <c r="C80" s="273">
        <f t="shared" si="16"/>
        <v>2174634</v>
      </c>
      <c r="D80" s="273"/>
      <c r="E80" s="273"/>
      <c r="F80" s="273"/>
      <c r="G80" s="273"/>
      <c r="H80" s="273"/>
      <c r="I80" s="273"/>
      <c r="J80" s="50"/>
      <c r="K80" s="273"/>
      <c r="L80" s="273"/>
      <c r="M80" s="273"/>
      <c r="N80" s="273"/>
      <c r="O80" s="273"/>
      <c r="P80" s="273"/>
      <c r="Q80" s="273">
        <v>269.33999999999997</v>
      </c>
      <c r="R80" s="273">
        <v>2174634</v>
      </c>
      <c r="S80" s="273"/>
      <c r="T80" s="273"/>
      <c r="U80" s="273"/>
      <c r="V80" s="273"/>
      <c r="W80" s="273"/>
      <c r="X80" s="283"/>
      <c r="Y80" s="273"/>
      <c r="Z80" s="273"/>
      <c r="AA80" s="273"/>
      <c r="AB80" s="273"/>
      <c r="AC80" s="273"/>
      <c r="AD80" s="273"/>
      <c r="AE80" s="16"/>
      <c r="AF80" s="17"/>
      <c r="AG80" s="17"/>
      <c r="AH80" s="13"/>
      <c r="AI80" s="13"/>
    </row>
    <row r="81" spans="1:35" x14ac:dyDescent="0.3">
      <c r="A81" s="259">
        <f t="shared" si="17"/>
        <v>42</v>
      </c>
      <c r="B81" s="20" t="s">
        <v>348</v>
      </c>
      <c r="C81" s="273">
        <f t="shared" si="16"/>
        <v>7601656</v>
      </c>
      <c r="D81" s="273"/>
      <c r="E81" s="273"/>
      <c r="F81" s="273"/>
      <c r="G81" s="273"/>
      <c r="H81" s="273"/>
      <c r="I81" s="273"/>
      <c r="J81" s="50"/>
      <c r="K81" s="273"/>
      <c r="L81" s="273"/>
      <c r="M81" s="273"/>
      <c r="N81" s="273"/>
      <c r="O81" s="273"/>
      <c r="P81" s="273"/>
      <c r="Q81" s="273">
        <v>460</v>
      </c>
      <c r="R81" s="273">
        <v>2788584</v>
      </c>
      <c r="S81" s="273"/>
      <c r="T81" s="273">
        <v>404.8</v>
      </c>
      <c r="U81" s="273">
        <f>T81*11890</f>
        <v>4813072</v>
      </c>
      <c r="V81" s="273"/>
      <c r="W81" s="273"/>
      <c r="X81" s="283"/>
      <c r="Y81" s="86"/>
      <c r="Z81" s="86"/>
      <c r="AA81" s="86"/>
      <c r="AB81" s="86"/>
      <c r="AC81" s="86"/>
      <c r="AD81" s="86"/>
      <c r="AE81" s="87"/>
      <c r="AF81" s="86"/>
      <c r="AG81" s="86"/>
      <c r="AH81" s="13"/>
      <c r="AI81" s="13"/>
    </row>
    <row r="82" spans="1:35" x14ac:dyDescent="0.3">
      <c r="A82" s="259">
        <f t="shared" si="17"/>
        <v>43</v>
      </c>
      <c r="B82" s="20" t="s">
        <v>358</v>
      </c>
      <c r="C82" s="273">
        <f t="shared" si="16"/>
        <v>1110334.04</v>
      </c>
      <c r="D82" s="273"/>
      <c r="E82" s="273"/>
      <c r="F82" s="273"/>
      <c r="G82" s="273"/>
      <c r="H82" s="273"/>
      <c r="I82" s="273"/>
      <c r="J82" s="50"/>
      <c r="K82" s="273"/>
      <c r="L82" s="273"/>
      <c r="M82" s="273"/>
      <c r="N82" s="273"/>
      <c r="O82" s="273"/>
      <c r="P82" s="273"/>
      <c r="Q82" s="273"/>
      <c r="R82" s="273"/>
      <c r="S82" s="273"/>
      <c r="T82" s="273">
        <v>218.32</v>
      </c>
      <c r="U82" s="273">
        <v>1110334.04</v>
      </c>
      <c r="V82" s="273"/>
      <c r="W82" s="273"/>
      <c r="X82" s="283"/>
      <c r="Y82" s="87"/>
      <c r="Z82" s="86"/>
      <c r="AA82" s="86"/>
      <c r="AB82" s="86"/>
      <c r="AC82" s="87"/>
      <c r="AD82" s="87"/>
      <c r="AE82" s="87"/>
      <c r="AF82" s="87"/>
      <c r="AG82" s="86"/>
      <c r="AH82" s="13"/>
      <c r="AI82" s="13"/>
    </row>
    <row r="83" spans="1:35" x14ac:dyDescent="0.3">
      <c r="A83" s="259">
        <f t="shared" si="17"/>
        <v>44</v>
      </c>
      <c r="B83" s="20" t="s">
        <v>360</v>
      </c>
      <c r="C83" s="273">
        <f t="shared" si="16"/>
        <v>5044455.5999999996</v>
      </c>
      <c r="D83" s="273"/>
      <c r="E83" s="273"/>
      <c r="F83" s="273"/>
      <c r="G83" s="273"/>
      <c r="H83" s="273"/>
      <c r="I83" s="273"/>
      <c r="J83" s="50"/>
      <c r="K83" s="273"/>
      <c r="L83" s="273"/>
      <c r="M83" s="273"/>
      <c r="N83" s="273"/>
      <c r="O83" s="273"/>
      <c r="P83" s="273"/>
      <c r="Q83" s="273">
        <v>713.84</v>
      </c>
      <c r="R83" s="273">
        <v>5044455.5999999996</v>
      </c>
      <c r="S83" s="273"/>
      <c r="T83" s="273"/>
      <c r="U83" s="273"/>
      <c r="V83" s="273"/>
      <c r="W83" s="273"/>
      <c r="X83" s="283"/>
      <c r="Y83" s="87">
        <v>108301.24</v>
      </c>
      <c r="Z83" s="87">
        <v>131514.23999999999</v>
      </c>
      <c r="AA83" s="87"/>
      <c r="AB83" s="87">
        <v>105574.85</v>
      </c>
      <c r="AC83" s="87"/>
      <c r="AD83" s="87"/>
      <c r="AE83" s="87"/>
      <c r="AF83" s="87"/>
      <c r="AG83" s="87">
        <v>183229.57</v>
      </c>
      <c r="AH83" s="13"/>
      <c r="AI83" s="13"/>
    </row>
    <row r="84" spans="1:35" x14ac:dyDescent="0.3">
      <c r="A84" s="259">
        <f t="shared" si="17"/>
        <v>45</v>
      </c>
      <c r="B84" s="20" t="s">
        <v>365</v>
      </c>
      <c r="C84" s="273">
        <f t="shared" si="16"/>
        <v>1428814.8</v>
      </c>
      <c r="D84" s="273"/>
      <c r="E84" s="273"/>
      <c r="F84" s="273"/>
      <c r="G84" s="273"/>
      <c r="H84" s="273"/>
      <c r="I84" s="273"/>
      <c r="J84" s="50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>
        <v>1428814.8</v>
      </c>
      <c r="V84" s="273"/>
      <c r="W84" s="273"/>
      <c r="X84" s="283"/>
      <c r="Y84" s="87"/>
      <c r="Z84" s="87"/>
      <c r="AA84" s="87"/>
      <c r="AB84" s="87">
        <v>50912.9</v>
      </c>
      <c r="AC84" s="87"/>
      <c r="AD84" s="87">
        <v>111649.57</v>
      </c>
      <c r="AE84" s="87"/>
      <c r="AF84" s="87">
        <v>289012.63</v>
      </c>
      <c r="AG84" s="87"/>
      <c r="AH84" s="13"/>
      <c r="AI84" s="13"/>
    </row>
    <row r="85" spans="1:35" x14ac:dyDescent="0.3">
      <c r="A85" s="259">
        <f t="shared" si="17"/>
        <v>46</v>
      </c>
      <c r="B85" s="20" t="s">
        <v>376</v>
      </c>
      <c r="C85" s="273">
        <f t="shared" si="16"/>
        <v>1320500.3999999999</v>
      </c>
      <c r="D85" s="273"/>
      <c r="E85" s="273"/>
      <c r="F85" s="273"/>
      <c r="G85" s="273"/>
      <c r="H85" s="273"/>
      <c r="I85" s="273"/>
      <c r="J85" s="50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>
        <v>1320500.3999999999</v>
      </c>
      <c r="V85" s="273"/>
      <c r="W85" s="273"/>
      <c r="X85" s="283"/>
      <c r="Y85" s="273"/>
      <c r="Z85" s="87">
        <v>66393.16</v>
      </c>
      <c r="AA85" s="87"/>
      <c r="AB85" s="87">
        <v>49415.56</v>
      </c>
      <c r="AC85" s="87"/>
      <c r="AD85" s="87">
        <v>109340.51</v>
      </c>
      <c r="AE85" s="87"/>
      <c r="AF85" s="87">
        <v>283401.40000000002</v>
      </c>
      <c r="AG85" s="87"/>
      <c r="AH85" s="13"/>
      <c r="AI85" s="13"/>
    </row>
    <row r="86" spans="1:35" x14ac:dyDescent="0.3">
      <c r="A86" s="259">
        <f t="shared" si="17"/>
        <v>47</v>
      </c>
      <c r="B86" s="20" t="s">
        <v>380</v>
      </c>
      <c r="C86" s="273">
        <f t="shared" si="16"/>
        <v>1946952</v>
      </c>
      <c r="D86" s="273"/>
      <c r="E86" s="273"/>
      <c r="F86" s="273"/>
      <c r="G86" s="273"/>
      <c r="H86" s="273"/>
      <c r="I86" s="273"/>
      <c r="J86" s="50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>
        <v>1946952</v>
      </c>
      <c r="V86" s="273"/>
      <c r="W86" s="273"/>
      <c r="X86" s="88"/>
      <c r="Y86" s="87">
        <v>75548.88</v>
      </c>
      <c r="Z86" s="87"/>
      <c r="AA86" s="87"/>
      <c r="AB86" s="87"/>
      <c r="AC86" s="87"/>
      <c r="AD86" s="87"/>
      <c r="AE86" s="87"/>
      <c r="AF86" s="87"/>
      <c r="AG86" s="87">
        <v>120601.46</v>
      </c>
      <c r="AH86" s="13"/>
      <c r="AI86" s="13"/>
    </row>
    <row r="87" spans="1:35" x14ac:dyDescent="0.3">
      <c r="A87" s="259">
        <f t="shared" si="17"/>
        <v>48</v>
      </c>
      <c r="B87" s="20" t="s">
        <v>383</v>
      </c>
      <c r="C87" s="273">
        <f t="shared" si="16"/>
        <v>2503909.2000000002</v>
      </c>
      <c r="D87" s="273"/>
      <c r="E87" s="273"/>
      <c r="F87" s="273"/>
      <c r="G87" s="273"/>
      <c r="H87" s="273"/>
      <c r="I87" s="273"/>
      <c r="J87" s="50"/>
      <c r="K87" s="273"/>
      <c r="L87" s="273"/>
      <c r="M87" s="273"/>
      <c r="N87" s="273"/>
      <c r="O87" s="273"/>
      <c r="P87" s="273"/>
      <c r="Q87" s="273"/>
      <c r="R87" s="273"/>
      <c r="S87" s="273"/>
      <c r="T87" s="273">
        <v>193.4</v>
      </c>
      <c r="U87" s="273">
        <v>2503909.2000000002</v>
      </c>
      <c r="V87" s="273"/>
      <c r="W87" s="273"/>
      <c r="X87" s="283"/>
      <c r="Y87" s="273"/>
      <c r="Z87" s="273"/>
      <c r="AA87" s="273"/>
      <c r="AB87" s="273"/>
      <c r="AC87" s="273"/>
      <c r="AD87" s="273"/>
      <c r="AE87" s="16"/>
      <c r="AF87" s="17"/>
      <c r="AG87" s="17"/>
      <c r="AH87" s="13"/>
      <c r="AI87" s="13"/>
    </row>
    <row r="88" spans="1:35" x14ac:dyDescent="0.3">
      <c r="A88" s="259">
        <f t="shared" si="17"/>
        <v>49</v>
      </c>
      <c r="B88" s="20" t="s">
        <v>384</v>
      </c>
      <c r="C88" s="273">
        <f t="shared" si="16"/>
        <v>1746463.2</v>
      </c>
      <c r="D88" s="273"/>
      <c r="E88" s="273"/>
      <c r="F88" s="273"/>
      <c r="G88" s="273"/>
      <c r="H88" s="273"/>
      <c r="I88" s="273"/>
      <c r="J88" s="50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>
        <v>1746463.2</v>
      </c>
      <c r="V88" s="273"/>
      <c r="W88" s="273"/>
      <c r="X88" s="283"/>
      <c r="Y88" s="273"/>
      <c r="Z88" s="273"/>
      <c r="AA88" s="273"/>
      <c r="AB88" s="273"/>
      <c r="AC88" s="273"/>
      <c r="AD88" s="273"/>
      <c r="AE88" s="16"/>
      <c r="AF88" s="17"/>
      <c r="AG88" s="17"/>
      <c r="AH88" s="13"/>
      <c r="AI88" s="13"/>
    </row>
    <row r="89" spans="1:35" x14ac:dyDescent="0.3">
      <c r="A89" s="259">
        <f t="shared" si="17"/>
        <v>50</v>
      </c>
      <c r="B89" s="20" t="s">
        <v>385</v>
      </c>
      <c r="C89" s="273">
        <f t="shared" si="16"/>
        <v>1785151.2</v>
      </c>
      <c r="D89" s="273"/>
      <c r="E89" s="273"/>
      <c r="F89" s="273"/>
      <c r="G89" s="273"/>
      <c r="H89" s="273"/>
      <c r="I89" s="273"/>
      <c r="J89" s="50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>
        <v>1785151.2</v>
      </c>
      <c r="V89" s="273"/>
      <c r="W89" s="273"/>
      <c r="X89" s="283"/>
      <c r="Y89" s="273"/>
      <c r="Z89" s="273"/>
      <c r="AA89" s="273"/>
      <c r="AB89" s="273"/>
      <c r="AC89" s="273"/>
      <c r="AD89" s="273">
        <v>191024.81</v>
      </c>
      <c r="AE89" s="16"/>
      <c r="AF89" s="17">
        <v>482495.51</v>
      </c>
      <c r="AG89" s="17">
        <v>178263.98</v>
      </c>
      <c r="AH89" s="13"/>
      <c r="AI89" s="13"/>
    </row>
    <row r="90" spans="1:35" ht="31.2" x14ac:dyDescent="0.3">
      <c r="A90" s="259">
        <f t="shared" si="17"/>
        <v>51</v>
      </c>
      <c r="B90" s="20" t="s">
        <v>386</v>
      </c>
      <c r="C90" s="273">
        <f t="shared" si="16"/>
        <v>1460991.6</v>
      </c>
      <c r="D90" s="273"/>
      <c r="E90" s="273"/>
      <c r="F90" s="273"/>
      <c r="G90" s="273"/>
      <c r="H90" s="273"/>
      <c r="I90" s="273"/>
      <c r="J90" s="50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>
        <v>1460991.6</v>
      </c>
      <c r="V90" s="273"/>
      <c r="W90" s="273"/>
      <c r="X90" s="283"/>
      <c r="Y90" s="273"/>
      <c r="Z90" s="273"/>
      <c r="AA90" s="273"/>
      <c r="AB90" s="273">
        <v>66429.64</v>
      </c>
      <c r="AC90" s="273"/>
      <c r="AD90" s="273">
        <v>133200.78</v>
      </c>
      <c r="AE90" s="16"/>
      <c r="AF90" s="17">
        <v>341384.29</v>
      </c>
      <c r="AG90" s="17">
        <v>120746.28</v>
      </c>
      <c r="AH90" s="13"/>
      <c r="AI90" s="13"/>
    </row>
    <row r="91" spans="1:35" ht="31.2" x14ac:dyDescent="0.3">
      <c r="A91" s="259">
        <f t="shared" si="17"/>
        <v>52</v>
      </c>
      <c r="B91" s="20" t="s">
        <v>390</v>
      </c>
      <c r="C91" s="273">
        <f t="shared" si="16"/>
        <v>1902630</v>
      </c>
      <c r="D91" s="273"/>
      <c r="E91" s="273"/>
      <c r="F91" s="273"/>
      <c r="G91" s="273"/>
      <c r="H91" s="273"/>
      <c r="I91" s="273"/>
      <c r="J91" s="50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>
        <v>1902630</v>
      </c>
      <c r="V91" s="273"/>
      <c r="W91" s="273"/>
      <c r="X91" s="283"/>
      <c r="Y91" s="273"/>
      <c r="Z91" s="273"/>
      <c r="AA91" s="273"/>
      <c r="AB91" s="273"/>
      <c r="AC91" s="273"/>
      <c r="AD91" s="273">
        <v>147634.45000000001</v>
      </c>
      <c r="AE91" s="16"/>
      <c r="AF91" s="17">
        <v>376495.35999999999</v>
      </c>
      <c r="AG91" s="17"/>
      <c r="AH91" s="13"/>
      <c r="AI91" s="13"/>
    </row>
    <row r="92" spans="1:35" x14ac:dyDescent="0.3">
      <c r="A92" s="259">
        <f t="shared" si="17"/>
        <v>53</v>
      </c>
      <c r="B92" s="20" t="s">
        <v>402</v>
      </c>
      <c r="C92" s="273">
        <f t="shared" si="16"/>
        <v>1534416</v>
      </c>
      <c r="D92" s="273"/>
      <c r="E92" s="273"/>
      <c r="F92" s="273"/>
      <c r="G92" s="273"/>
      <c r="H92" s="273"/>
      <c r="I92" s="273"/>
      <c r="J92" s="50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>
        <v>1534416</v>
      </c>
      <c r="V92" s="273"/>
      <c r="W92" s="273"/>
      <c r="X92" s="283"/>
      <c r="Y92" s="273"/>
      <c r="Z92" s="273"/>
      <c r="AA92" s="273"/>
      <c r="AB92" s="273"/>
      <c r="AC92" s="273"/>
      <c r="AD92" s="273">
        <v>146381.64000000001</v>
      </c>
      <c r="AE92" s="16"/>
      <c r="AF92" s="17">
        <v>373415.2</v>
      </c>
      <c r="AG92" s="17"/>
      <c r="AH92" s="13"/>
      <c r="AI92" s="13"/>
    </row>
    <row r="93" spans="1:35" x14ac:dyDescent="0.3">
      <c r="A93" s="259">
        <f t="shared" si="17"/>
        <v>54</v>
      </c>
      <c r="B93" s="20" t="s">
        <v>404</v>
      </c>
      <c r="C93" s="273">
        <f t="shared" si="16"/>
        <v>517570.51</v>
      </c>
      <c r="D93" s="273"/>
      <c r="E93" s="273"/>
      <c r="F93" s="273"/>
      <c r="G93" s="273"/>
      <c r="H93" s="273"/>
      <c r="I93" s="273"/>
      <c r="J93" s="50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>
        <v>517570.51</v>
      </c>
      <c r="X93" s="184"/>
      <c r="Y93" s="273"/>
      <c r="Z93" s="273"/>
      <c r="AA93" s="273"/>
      <c r="AB93" s="273"/>
      <c r="AC93" s="273"/>
      <c r="AD93" s="273"/>
      <c r="AE93" s="16"/>
      <c r="AF93" s="17"/>
      <c r="AG93" s="17"/>
      <c r="AH93" s="13"/>
      <c r="AI93" s="13"/>
    </row>
    <row r="94" spans="1:35" x14ac:dyDescent="0.3">
      <c r="A94" s="259">
        <f t="shared" si="17"/>
        <v>55</v>
      </c>
      <c r="B94" s="20" t="s">
        <v>413</v>
      </c>
      <c r="C94" s="273">
        <f t="shared" si="16"/>
        <v>1078693.2</v>
      </c>
      <c r="D94" s="273"/>
      <c r="E94" s="273"/>
      <c r="F94" s="273"/>
      <c r="G94" s="273"/>
      <c r="H94" s="273"/>
      <c r="I94" s="273"/>
      <c r="J94" s="50"/>
      <c r="K94" s="273"/>
      <c r="L94" s="273"/>
      <c r="M94" s="273"/>
      <c r="N94" s="273"/>
      <c r="O94" s="273"/>
      <c r="P94" s="273"/>
      <c r="Q94" s="273"/>
      <c r="R94" s="273"/>
      <c r="S94" s="273"/>
      <c r="T94" s="273">
        <v>232.37</v>
      </c>
      <c r="U94" s="273">
        <v>1078693.2</v>
      </c>
      <c r="V94" s="273"/>
      <c r="W94" s="273"/>
      <c r="X94" s="283"/>
      <c r="Y94" s="273"/>
      <c r="Z94" s="273"/>
      <c r="AA94" s="273"/>
      <c r="AB94" s="273"/>
      <c r="AC94" s="273"/>
      <c r="AD94" s="273"/>
      <c r="AE94" s="16"/>
      <c r="AF94" s="17"/>
      <c r="AG94" s="17"/>
      <c r="AH94" s="13"/>
      <c r="AI94" s="13"/>
    </row>
    <row r="95" spans="1:35" x14ac:dyDescent="0.3">
      <c r="A95" s="259">
        <f t="shared" si="17"/>
        <v>56</v>
      </c>
      <c r="B95" s="20" t="s">
        <v>414</v>
      </c>
      <c r="C95" s="273">
        <f t="shared" si="16"/>
        <v>1605446.4</v>
      </c>
      <c r="D95" s="273"/>
      <c r="E95" s="273"/>
      <c r="F95" s="273"/>
      <c r="G95" s="273"/>
      <c r="H95" s="273"/>
      <c r="I95" s="273"/>
      <c r="J95" s="50"/>
      <c r="K95" s="273"/>
      <c r="L95" s="273"/>
      <c r="M95" s="273"/>
      <c r="N95" s="273"/>
      <c r="O95" s="273"/>
      <c r="P95" s="273"/>
      <c r="Q95" s="273"/>
      <c r="R95" s="273"/>
      <c r="S95" s="273"/>
      <c r="T95" s="273">
        <v>241.9</v>
      </c>
      <c r="U95" s="273">
        <v>1605446.4</v>
      </c>
      <c r="V95" s="273"/>
      <c r="W95" s="273"/>
      <c r="X95" s="283"/>
      <c r="Y95" s="273"/>
      <c r="Z95" s="273">
        <v>97082.35</v>
      </c>
      <c r="AA95" s="273"/>
      <c r="AB95" s="273">
        <v>79299.899999999994</v>
      </c>
      <c r="AC95" s="273"/>
      <c r="AD95" s="273">
        <v>155425.46</v>
      </c>
      <c r="AE95" s="16"/>
      <c r="AF95" s="17"/>
      <c r="AG95" s="17"/>
      <c r="AH95" s="13"/>
      <c r="AI95" s="13"/>
    </row>
    <row r="96" spans="1:35" x14ac:dyDescent="0.3">
      <c r="A96" s="259"/>
      <c r="B96" s="34" t="s">
        <v>208</v>
      </c>
      <c r="C96" s="273">
        <f t="shared" ref="C96:W96" si="18">SUM(C79:C95)</f>
        <v>38650410.349999994</v>
      </c>
      <c r="D96" s="273">
        <f t="shared" si="18"/>
        <v>0</v>
      </c>
      <c r="E96" s="273">
        <f t="shared" si="18"/>
        <v>0</v>
      </c>
      <c r="F96" s="273">
        <f t="shared" si="18"/>
        <v>0</v>
      </c>
      <c r="G96" s="273">
        <f t="shared" si="18"/>
        <v>0</v>
      </c>
      <c r="H96" s="273">
        <f t="shared" si="18"/>
        <v>0</v>
      </c>
      <c r="I96" s="273">
        <f t="shared" si="18"/>
        <v>0</v>
      </c>
      <c r="J96" s="50">
        <f t="shared" si="18"/>
        <v>0</v>
      </c>
      <c r="K96" s="273">
        <f t="shared" si="18"/>
        <v>0</v>
      </c>
      <c r="L96" s="273">
        <f t="shared" si="18"/>
        <v>0</v>
      </c>
      <c r="M96" s="273">
        <f t="shared" si="18"/>
        <v>0</v>
      </c>
      <c r="N96" s="273">
        <f t="shared" si="18"/>
        <v>0</v>
      </c>
      <c r="O96" s="273">
        <f t="shared" si="18"/>
        <v>0</v>
      </c>
      <c r="P96" s="273">
        <f t="shared" si="18"/>
        <v>0</v>
      </c>
      <c r="Q96" s="273">
        <f t="shared" si="18"/>
        <v>1443.1799999999998</v>
      </c>
      <c r="R96" s="273">
        <f t="shared" si="18"/>
        <v>10007673.6</v>
      </c>
      <c r="S96" s="273">
        <f t="shared" si="18"/>
        <v>0</v>
      </c>
      <c r="T96" s="273">
        <f t="shared" si="18"/>
        <v>1617.77</v>
      </c>
      <c r="U96" s="273">
        <f t="shared" si="18"/>
        <v>28125166.239999998</v>
      </c>
      <c r="V96" s="273">
        <f t="shared" si="18"/>
        <v>0</v>
      </c>
      <c r="W96" s="273">
        <f t="shared" si="18"/>
        <v>517570.51</v>
      </c>
      <c r="X96" s="283"/>
      <c r="Y96" s="273"/>
      <c r="Z96" s="273"/>
      <c r="AA96" s="273"/>
      <c r="AB96" s="273"/>
      <c r="AC96" s="273"/>
      <c r="AD96" s="273"/>
      <c r="AE96" s="16"/>
      <c r="AF96" s="17"/>
      <c r="AG96" s="17"/>
      <c r="AH96" s="13"/>
      <c r="AI96" s="13"/>
    </row>
    <row r="97" spans="1:35" ht="31.2" x14ac:dyDescent="0.3">
      <c r="A97" s="259"/>
      <c r="B97" s="253" t="s">
        <v>417</v>
      </c>
      <c r="C97" s="273"/>
      <c r="D97" s="273"/>
      <c r="E97" s="273"/>
      <c r="F97" s="273"/>
      <c r="G97" s="273"/>
      <c r="H97" s="273"/>
      <c r="I97" s="273"/>
      <c r="J97" s="50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83"/>
      <c r="Y97" s="273"/>
      <c r="Z97" s="273"/>
      <c r="AA97" s="273"/>
      <c r="AB97" s="273"/>
      <c r="AC97" s="273"/>
      <c r="AD97" s="273"/>
      <c r="AE97" s="16"/>
      <c r="AF97" s="17"/>
      <c r="AG97" s="17"/>
      <c r="AH97" s="13"/>
      <c r="AI97" s="13"/>
    </row>
    <row r="98" spans="1:35" x14ac:dyDescent="0.3">
      <c r="A98" s="259">
        <f>A95+1</f>
        <v>57</v>
      </c>
      <c r="B98" s="20" t="s">
        <v>418</v>
      </c>
      <c r="C98" s="273">
        <f t="shared" ref="C98:C108" si="19">D98+K98+L98+N98+P98+R98+S98+U98+V98+W98</f>
        <v>204078.05</v>
      </c>
      <c r="D98" s="273"/>
      <c r="E98" s="273"/>
      <c r="F98" s="273"/>
      <c r="G98" s="273"/>
      <c r="H98" s="273"/>
      <c r="I98" s="273"/>
      <c r="J98" s="50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>
        <f t="shared" ref="W98:W108" si="20">SUM(X98:AI98)</f>
        <v>204078.05</v>
      </c>
      <c r="X98" s="273"/>
      <c r="Y98" s="273"/>
      <c r="Z98" s="273"/>
      <c r="AA98" s="273"/>
      <c r="AB98" s="273"/>
      <c r="AD98" s="273">
        <v>204078.05</v>
      </c>
      <c r="AE98" s="16"/>
      <c r="AF98" s="17"/>
      <c r="AG98" s="17"/>
      <c r="AH98" s="13"/>
      <c r="AI98" s="13"/>
    </row>
    <row r="99" spans="1:35" x14ac:dyDescent="0.3">
      <c r="A99" s="259">
        <f t="shared" ref="A99:A108" si="21">A98+1</f>
        <v>58</v>
      </c>
      <c r="B99" s="20" t="s">
        <v>419</v>
      </c>
      <c r="C99" s="273">
        <f t="shared" si="19"/>
        <v>155136.84</v>
      </c>
      <c r="D99" s="273"/>
      <c r="E99" s="273"/>
      <c r="F99" s="273"/>
      <c r="G99" s="273"/>
      <c r="H99" s="273"/>
      <c r="I99" s="273"/>
      <c r="J99" s="50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>
        <f t="shared" si="20"/>
        <v>155136.84</v>
      </c>
      <c r="X99" s="273"/>
      <c r="Y99" s="273"/>
      <c r="Z99" s="273"/>
      <c r="AA99" s="273"/>
      <c r="AB99" s="273"/>
      <c r="AD99" s="273">
        <v>155136.84</v>
      </c>
      <c r="AE99" s="16"/>
      <c r="AF99" s="17"/>
      <c r="AG99" s="17"/>
      <c r="AH99" s="13"/>
      <c r="AI99" s="13"/>
    </row>
    <row r="100" spans="1:35" x14ac:dyDescent="0.3">
      <c r="A100" s="259">
        <f t="shared" si="21"/>
        <v>59</v>
      </c>
      <c r="B100" s="20" t="s">
        <v>420</v>
      </c>
      <c r="C100" s="273">
        <f t="shared" si="19"/>
        <v>187165.96</v>
      </c>
      <c r="D100" s="273"/>
      <c r="E100" s="273"/>
      <c r="F100" s="273"/>
      <c r="G100" s="273"/>
      <c r="H100" s="273"/>
      <c r="I100" s="273"/>
      <c r="J100" s="50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>
        <f t="shared" si="20"/>
        <v>187165.96</v>
      </c>
      <c r="X100" s="273"/>
      <c r="Y100" s="273"/>
      <c r="Z100" s="273"/>
      <c r="AA100" s="273"/>
      <c r="AB100" s="273"/>
      <c r="AD100" s="273">
        <v>187165.96</v>
      </c>
      <c r="AE100" s="16"/>
      <c r="AF100" s="17"/>
      <c r="AG100" s="17"/>
      <c r="AH100" s="13"/>
      <c r="AI100" s="13"/>
    </row>
    <row r="101" spans="1:35" x14ac:dyDescent="0.3">
      <c r="A101" s="259">
        <f t="shared" si="21"/>
        <v>60</v>
      </c>
      <c r="B101" s="20" t="s">
        <v>421</v>
      </c>
      <c r="C101" s="273">
        <f t="shared" si="19"/>
        <v>152342.70000000001</v>
      </c>
      <c r="D101" s="273"/>
      <c r="E101" s="273"/>
      <c r="F101" s="273"/>
      <c r="G101" s="273"/>
      <c r="H101" s="273"/>
      <c r="I101" s="273"/>
      <c r="J101" s="50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>
        <f t="shared" si="20"/>
        <v>152342.70000000001</v>
      </c>
      <c r="X101" s="273"/>
      <c r="Y101" s="273"/>
      <c r="Z101" s="273"/>
      <c r="AA101" s="273"/>
      <c r="AB101" s="273"/>
      <c r="AD101" s="273">
        <v>152342.70000000001</v>
      </c>
      <c r="AE101" s="16"/>
      <c r="AF101" s="17"/>
      <c r="AG101" s="17"/>
      <c r="AH101" s="13"/>
      <c r="AI101" s="13"/>
    </row>
    <row r="102" spans="1:35" x14ac:dyDescent="0.3">
      <c r="A102" s="259">
        <f t="shared" si="21"/>
        <v>61</v>
      </c>
      <c r="B102" s="20" t="s">
        <v>422</v>
      </c>
      <c r="C102" s="273">
        <f t="shared" si="19"/>
        <v>130025.82</v>
      </c>
      <c r="D102" s="273"/>
      <c r="E102" s="273"/>
      <c r="F102" s="273"/>
      <c r="G102" s="273"/>
      <c r="H102" s="273"/>
      <c r="I102" s="273"/>
      <c r="J102" s="50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>
        <f t="shared" si="20"/>
        <v>130025.82</v>
      </c>
      <c r="X102" s="273"/>
      <c r="Y102" s="273"/>
      <c r="Z102" s="273"/>
      <c r="AA102" s="273"/>
      <c r="AB102" s="273"/>
      <c r="AD102" s="273">
        <v>130025.82</v>
      </c>
      <c r="AE102" s="16"/>
      <c r="AF102" s="17"/>
      <c r="AG102" s="17"/>
      <c r="AH102" s="13"/>
      <c r="AI102" s="13"/>
    </row>
    <row r="103" spans="1:35" x14ac:dyDescent="0.3">
      <c r="A103" s="259">
        <f t="shared" si="21"/>
        <v>62</v>
      </c>
      <c r="B103" s="20" t="s">
        <v>423</v>
      </c>
      <c r="C103" s="273">
        <f t="shared" si="19"/>
        <v>209967.91</v>
      </c>
      <c r="D103" s="273"/>
      <c r="E103" s="273"/>
      <c r="F103" s="273"/>
      <c r="G103" s="273"/>
      <c r="H103" s="273"/>
      <c r="I103" s="273"/>
      <c r="J103" s="50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>
        <f t="shared" si="20"/>
        <v>209967.91</v>
      </c>
      <c r="X103" s="273"/>
      <c r="Y103" s="273"/>
      <c r="Z103" s="273"/>
      <c r="AA103" s="273"/>
      <c r="AB103" s="273"/>
      <c r="AD103" s="273">
        <v>209967.91</v>
      </c>
      <c r="AE103" s="16"/>
      <c r="AF103" s="17"/>
      <c r="AG103" s="17"/>
      <c r="AH103" s="13"/>
      <c r="AI103" s="13"/>
    </row>
    <row r="104" spans="1:35" x14ac:dyDescent="0.3">
      <c r="A104" s="259">
        <f t="shared" si="21"/>
        <v>63</v>
      </c>
      <c r="B104" s="20" t="s">
        <v>424</v>
      </c>
      <c r="C104" s="273">
        <f t="shared" si="19"/>
        <v>209410.78</v>
      </c>
      <c r="D104" s="273"/>
      <c r="E104" s="273"/>
      <c r="F104" s="273"/>
      <c r="G104" s="273"/>
      <c r="H104" s="273"/>
      <c r="I104" s="273"/>
      <c r="J104" s="50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>
        <f t="shared" si="20"/>
        <v>209410.78</v>
      </c>
      <c r="X104" s="273"/>
      <c r="Y104" s="273"/>
      <c r="Z104" s="273"/>
      <c r="AA104" s="273"/>
      <c r="AB104" s="273"/>
      <c r="AD104" s="273">
        <v>209410.78</v>
      </c>
      <c r="AE104" s="16"/>
      <c r="AF104" s="17"/>
      <c r="AG104" s="17"/>
      <c r="AH104" s="13"/>
      <c r="AI104" s="13"/>
    </row>
    <row r="105" spans="1:35" x14ac:dyDescent="0.3">
      <c r="A105" s="259">
        <f t="shared" si="21"/>
        <v>64</v>
      </c>
      <c r="B105" s="20" t="s">
        <v>425</v>
      </c>
      <c r="C105" s="273">
        <f t="shared" si="19"/>
        <v>143302.91</v>
      </c>
      <c r="D105" s="273"/>
      <c r="E105" s="273"/>
      <c r="F105" s="273"/>
      <c r="G105" s="273"/>
      <c r="H105" s="273"/>
      <c r="I105" s="273"/>
      <c r="J105" s="50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>
        <f t="shared" si="20"/>
        <v>143302.91</v>
      </c>
      <c r="X105" s="273"/>
      <c r="Y105" s="273"/>
      <c r="Z105" s="273"/>
      <c r="AA105" s="273"/>
      <c r="AB105" s="273"/>
      <c r="AD105" s="273">
        <v>143302.91</v>
      </c>
      <c r="AE105" s="16"/>
      <c r="AF105" s="17"/>
      <c r="AG105" s="17"/>
      <c r="AH105" s="13"/>
      <c r="AI105" s="13"/>
    </row>
    <row r="106" spans="1:35" x14ac:dyDescent="0.3">
      <c r="A106" s="259">
        <f t="shared" si="21"/>
        <v>65</v>
      </c>
      <c r="B106" s="20" t="s">
        <v>426</v>
      </c>
      <c r="C106" s="273">
        <f t="shared" si="19"/>
        <v>142950.73000000001</v>
      </c>
      <c r="D106" s="273"/>
      <c r="E106" s="273"/>
      <c r="F106" s="273"/>
      <c r="G106" s="273"/>
      <c r="H106" s="273"/>
      <c r="I106" s="273"/>
      <c r="J106" s="50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>
        <f t="shared" si="20"/>
        <v>142950.73000000001</v>
      </c>
      <c r="X106" s="273"/>
      <c r="Y106" s="273"/>
      <c r="Z106" s="273"/>
      <c r="AA106" s="273"/>
      <c r="AB106" s="273"/>
      <c r="AD106" s="273">
        <v>142950.73000000001</v>
      </c>
      <c r="AE106" s="16"/>
      <c r="AF106" s="17"/>
      <c r="AG106" s="17"/>
      <c r="AH106" s="13"/>
      <c r="AI106" s="13"/>
    </row>
    <row r="107" spans="1:35" x14ac:dyDescent="0.3">
      <c r="A107" s="259">
        <f t="shared" si="21"/>
        <v>66</v>
      </c>
      <c r="B107" s="20" t="s">
        <v>427</v>
      </c>
      <c r="C107" s="273">
        <f t="shared" si="19"/>
        <v>176140.94</v>
      </c>
      <c r="D107" s="273"/>
      <c r="E107" s="273"/>
      <c r="F107" s="273"/>
      <c r="G107" s="273"/>
      <c r="H107" s="273"/>
      <c r="I107" s="273"/>
      <c r="J107" s="50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>
        <f t="shared" si="20"/>
        <v>176140.94</v>
      </c>
      <c r="X107" s="273"/>
      <c r="Y107" s="273"/>
      <c r="Z107" s="273"/>
      <c r="AA107" s="273"/>
      <c r="AB107" s="273"/>
      <c r="AD107" s="273">
        <v>176140.94</v>
      </c>
      <c r="AE107" s="16"/>
      <c r="AF107" s="17"/>
      <c r="AG107" s="17"/>
      <c r="AH107" s="13"/>
      <c r="AI107" s="13"/>
    </row>
    <row r="108" spans="1:35" x14ac:dyDescent="0.3">
      <c r="A108" s="259">
        <f t="shared" si="21"/>
        <v>67</v>
      </c>
      <c r="B108" s="20" t="s">
        <v>428</v>
      </c>
      <c r="C108" s="273">
        <f t="shared" si="19"/>
        <v>833555.17999999993</v>
      </c>
      <c r="D108" s="273"/>
      <c r="E108" s="273"/>
      <c r="F108" s="273"/>
      <c r="G108" s="273"/>
      <c r="H108" s="273"/>
      <c r="I108" s="273"/>
      <c r="J108" s="50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>
        <f t="shared" si="20"/>
        <v>833555.17999999993</v>
      </c>
      <c r="X108" s="273">
        <v>213616.34</v>
      </c>
      <c r="Y108" s="273"/>
      <c r="Z108" s="273"/>
      <c r="AA108" s="273"/>
      <c r="AB108" s="273">
        <v>222865.96</v>
      </c>
      <c r="AD108" s="273">
        <v>397072.88</v>
      </c>
      <c r="AE108" s="16"/>
      <c r="AF108" s="17"/>
      <c r="AG108" s="17"/>
      <c r="AH108" s="13"/>
      <c r="AI108" s="13"/>
    </row>
    <row r="109" spans="1:35" x14ac:dyDescent="0.3">
      <c r="A109" s="259"/>
      <c r="B109" s="34" t="s">
        <v>208</v>
      </c>
      <c r="C109" s="273">
        <f t="shared" ref="C109:W109" si="22">SUM(C98:C108)</f>
        <v>2544077.8199999998</v>
      </c>
      <c r="D109" s="273">
        <f t="shared" si="22"/>
        <v>0</v>
      </c>
      <c r="E109" s="273">
        <f t="shared" si="22"/>
        <v>0</v>
      </c>
      <c r="F109" s="273">
        <f t="shared" si="22"/>
        <v>0</v>
      </c>
      <c r="G109" s="273">
        <f t="shared" si="22"/>
        <v>0</v>
      </c>
      <c r="H109" s="273">
        <f t="shared" si="22"/>
        <v>0</v>
      </c>
      <c r="I109" s="273">
        <f t="shared" si="22"/>
        <v>0</v>
      </c>
      <c r="J109" s="50">
        <f t="shared" si="22"/>
        <v>0</v>
      </c>
      <c r="K109" s="273">
        <f t="shared" si="22"/>
        <v>0</v>
      </c>
      <c r="L109" s="273">
        <f t="shared" si="22"/>
        <v>0</v>
      </c>
      <c r="M109" s="273">
        <f t="shared" si="22"/>
        <v>0</v>
      </c>
      <c r="N109" s="273">
        <f t="shared" si="22"/>
        <v>0</v>
      </c>
      <c r="O109" s="273">
        <f t="shared" si="22"/>
        <v>0</v>
      </c>
      <c r="P109" s="273">
        <f t="shared" si="22"/>
        <v>0</v>
      </c>
      <c r="Q109" s="273">
        <f t="shared" si="22"/>
        <v>0</v>
      </c>
      <c r="R109" s="273">
        <f t="shared" si="22"/>
        <v>0</v>
      </c>
      <c r="S109" s="273">
        <f t="shared" si="22"/>
        <v>0</v>
      </c>
      <c r="T109" s="273">
        <f t="shared" si="22"/>
        <v>0</v>
      </c>
      <c r="U109" s="273">
        <f t="shared" si="22"/>
        <v>0</v>
      </c>
      <c r="V109" s="273">
        <f t="shared" si="22"/>
        <v>0</v>
      </c>
      <c r="W109" s="273">
        <f t="shared" si="22"/>
        <v>2544077.8199999998</v>
      </c>
      <c r="X109" s="283"/>
      <c r="Y109" s="273"/>
      <c r="Z109" s="273"/>
      <c r="AA109" s="273"/>
      <c r="AB109" s="273"/>
      <c r="AC109" s="273"/>
      <c r="AD109" s="273"/>
      <c r="AE109" s="16"/>
      <c r="AF109" s="17"/>
      <c r="AG109" s="17"/>
      <c r="AH109" s="13"/>
      <c r="AI109" s="13"/>
    </row>
    <row r="110" spans="1:35" ht="31.2" x14ac:dyDescent="0.3">
      <c r="A110" s="259"/>
      <c r="B110" s="253" t="s">
        <v>433</v>
      </c>
      <c r="C110" s="273"/>
      <c r="D110" s="273"/>
      <c r="E110" s="273"/>
      <c r="F110" s="273"/>
      <c r="G110" s="273"/>
      <c r="H110" s="273"/>
      <c r="I110" s="273"/>
      <c r="J110" s="50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83"/>
      <c r="Y110" s="273"/>
      <c r="Z110" s="273"/>
      <c r="AA110" s="273"/>
      <c r="AB110" s="273"/>
      <c r="AC110" s="273"/>
      <c r="AD110" s="273"/>
      <c r="AE110" s="16"/>
      <c r="AF110" s="17"/>
      <c r="AG110" s="17"/>
      <c r="AH110" s="13"/>
      <c r="AI110" s="13"/>
    </row>
    <row r="111" spans="1:35" x14ac:dyDescent="0.3">
      <c r="A111" s="259">
        <f>A108+1</f>
        <v>68</v>
      </c>
      <c r="B111" s="20" t="s">
        <v>434</v>
      </c>
      <c r="C111" s="273">
        <f>D111+K111+L111+N111+P111+R111+S111+U111+V111+W111</f>
        <v>130000</v>
      </c>
      <c r="D111" s="273"/>
      <c r="E111" s="273"/>
      <c r="F111" s="273"/>
      <c r="G111" s="273"/>
      <c r="H111" s="273"/>
      <c r="I111" s="273"/>
      <c r="J111" s="50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>
        <v>130000</v>
      </c>
      <c r="X111" s="283"/>
      <c r="Y111" s="273"/>
      <c r="Z111" s="273"/>
      <c r="AA111" s="273"/>
      <c r="AB111" s="273"/>
      <c r="AC111" s="273"/>
      <c r="AD111" s="273"/>
      <c r="AE111" s="16"/>
      <c r="AF111" s="17"/>
      <c r="AG111" s="17"/>
      <c r="AH111" s="13"/>
      <c r="AI111" s="13"/>
    </row>
    <row r="112" spans="1:35" x14ac:dyDescent="0.3">
      <c r="A112" s="259">
        <f>A111+1</f>
        <v>69</v>
      </c>
      <c r="B112" s="20" t="s">
        <v>435</v>
      </c>
      <c r="C112" s="273">
        <f>D112+K112+L112+N112+P112+R112+S112+U112+V112+W112</f>
        <v>214485.28</v>
      </c>
      <c r="D112" s="273"/>
      <c r="E112" s="273"/>
      <c r="F112" s="273"/>
      <c r="G112" s="273"/>
      <c r="H112" s="273"/>
      <c r="I112" s="273"/>
      <c r="J112" s="50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>
        <f>SUM(X112:AI112)</f>
        <v>214485.28</v>
      </c>
      <c r="X112" s="283"/>
      <c r="Y112" s="273"/>
      <c r="Z112" s="273"/>
      <c r="AA112" s="273"/>
      <c r="AB112" s="273"/>
      <c r="AC112" s="273"/>
      <c r="AD112" s="273">
        <v>214485.28</v>
      </c>
      <c r="AE112" s="16"/>
      <c r="AF112" s="17"/>
      <c r="AG112" s="17"/>
      <c r="AH112" s="13"/>
      <c r="AI112" s="13"/>
    </row>
    <row r="113" spans="1:35" x14ac:dyDescent="0.3">
      <c r="A113" s="259">
        <f>A112+1</f>
        <v>70</v>
      </c>
      <c r="B113" s="20" t="s">
        <v>436</v>
      </c>
      <c r="C113" s="273">
        <f>D113+K113+L113+N113+P113+R113+S113+U113+V113+W113</f>
        <v>207854.35</v>
      </c>
      <c r="D113" s="273"/>
      <c r="E113" s="273"/>
      <c r="F113" s="273"/>
      <c r="G113" s="273"/>
      <c r="H113" s="273"/>
      <c r="I113" s="273"/>
      <c r="J113" s="50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>
        <f>SUM(X113:AI113)</f>
        <v>207854.35</v>
      </c>
      <c r="X113" s="283"/>
      <c r="Y113" s="273"/>
      <c r="Z113" s="273"/>
      <c r="AA113" s="273"/>
      <c r="AB113" s="273"/>
      <c r="AC113" s="273"/>
      <c r="AD113" s="273">
        <v>207854.35</v>
      </c>
      <c r="AE113" s="16"/>
      <c r="AF113" s="17"/>
      <c r="AG113" s="17"/>
      <c r="AH113" s="13"/>
      <c r="AI113" s="13"/>
    </row>
    <row r="114" spans="1:35" x14ac:dyDescent="0.3">
      <c r="A114" s="259">
        <f>A113+1</f>
        <v>71</v>
      </c>
      <c r="B114" s="20" t="s">
        <v>437</v>
      </c>
      <c r="C114" s="273">
        <f>D114+K114+L114+N114+P114+R114+S114+U114+V114+W114</f>
        <v>187714.45</v>
      </c>
      <c r="D114" s="273"/>
      <c r="E114" s="273"/>
      <c r="F114" s="273"/>
      <c r="G114" s="273"/>
      <c r="H114" s="273"/>
      <c r="I114" s="273"/>
      <c r="J114" s="50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>
        <f>SUM(X114:AI114)</f>
        <v>187714.45</v>
      </c>
      <c r="X114" s="283"/>
      <c r="Y114" s="273"/>
      <c r="Z114" s="273"/>
      <c r="AA114" s="273"/>
      <c r="AB114" s="273"/>
      <c r="AC114" s="273"/>
      <c r="AD114" s="273">
        <v>187714.45</v>
      </c>
      <c r="AE114" s="16"/>
      <c r="AF114" s="17"/>
      <c r="AG114" s="17"/>
      <c r="AH114" s="13"/>
      <c r="AI114" s="13"/>
    </row>
    <row r="115" spans="1:35" x14ac:dyDescent="0.3">
      <c r="A115" s="259">
        <f>A114+1</f>
        <v>72</v>
      </c>
      <c r="B115" s="20" t="s">
        <v>438</v>
      </c>
      <c r="C115" s="273">
        <f>D115+K115+L115+N115+P115+R115+S115+U115+V115+W115</f>
        <v>174133.38</v>
      </c>
      <c r="D115" s="273"/>
      <c r="E115" s="273"/>
      <c r="F115" s="273"/>
      <c r="G115" s="273"/>
      <c r="H115" s="273"/>
      <c r="I115" s="273"/>
      <c r="J115" s="50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>
        <f>SUM(X115:AI115)</f>
        <v>174133.38</v>
      </c>
      <c r="X115" s="283"/>
      <c r="Y115" s="273"/>
      <c r="Z115" s="273"/>
      <c r="AA115" s="273"/>
      <c r="AB115" s="273"/>
      <c r="AC115" s="273"/>
      <c r="AD115" s="273"/>
      <c r="AE115" s="16">
        <v>174133.38</v>
      </c>
      <c r="AF115" s="17"/>
      <c r="AG115" s="17"/>
      <c r="AH115" s="13"/>
      <c r="AI115" s="13"/>
    </row>
    <row r="116" spans="1:35" x14ac:dyDescent="0.3">
      <c r="A116" s="259"/>
      <c r="B116" s="34" t="s">
        <v>208</v>
      </c>
      <c r="C116" s="273">
        <f t="shared" ref="C116:W116" si="23">SUM(C111:C115)</f>
        <v>914187.46000000008</v>
      </c>
      <c r="D116" s="273">
        <f t="shared" si="23"/>
        <v>0</v>
      </c>
      <c r="E116" s="273">
        <f t="shared" si="23"/>
        <v>0</v>
      </c>
      <c r="F116" s="273">
        <f t="shared" si="23"/>
        <v>0</v>
      </c>
      <c r="G116" s="273">
        <f t="shared" si="23"/>
        <v>0</v>
      </c>
      <c r="H116" s="273">
        <f t="shared" si="23"/>
        <v>0</v>
      </c>
      <c r="I116" s="273">
        <f t="shared" si="23"/>
        <v>0</v>
      </c>
      <c r="J116" s="50">
        <f t="shared" si="23"/>
        <v>0</v>
      </c>
      <c r="K116" s="273">
        <f t="shared" si="23"/>
        <v>0</v>
      </c>
      <c r="L116" s="273">
        <f t="shared" si="23"/>
        <v>0</v>
      </c>
      <c r="M116" s="273">
        <f t="shared" si="23"/>
        <v>0</v>
      </c>
      <c r="N116" s="273">
        <f t="shared" si="23"/>
        <v>0</v>
      </c>
      <c r="O116" s="273">
        <f t="shared" si="23"/>
        <v>0</v>
      </c>
      <c r="P116" s="273">
        <f t="shared" si="23"/>
        <v>0</v>
      </c>
      <c r="Q116" s="273">
        <f t="shared" si="23"/>
        <v>0</v>
      </c>
      <c r="R116" s="273">
        <f t="shared" si="23"/>
        <v>0</v>
      </c>
      <c r="S116" s="273">
        <f t="shared" si="23"/>
        <v>0</v>
      </c>
      <c r="T116" s="273">
        <f t="shared" si="23"/>
        <v>0</v>
      </c>
      <c r="U116" s="273">
        <f t="shared" si="23"/>
        <v>0</v>
      </c>
      <c r="V116" s="273">
        <f t="shared" si="23"/>
        <v>0</v>
      </c>
      <c r="W116" s="273">
        <f t="shared" si="23"/>
        <v>914187.46000000008</v>
      </c>
      <c r="X116" s="283"/>
      <c r="Y116" s="273"/>
      <c r="Z116" s="273"/>
      <c r="AA116" s="273"/>
      <c r="AB116" s="273"/>
      <c r="AC116" s="273"/>
      <c r="AD116" s="273"/>
      <c r="AE116" s="16"/>
      <c r="AF116" s="17"/>
      <c r="AG116" s="17"/>
      <c r="AH116" s="13"/>
      <c r="AI116" s="13"/>
    </row>
    <row r="117" spans="1:35" ht="31.2" x14ac:dyDescent="0.3">
      <c r="A117" s="259"/>
      <c r="B117" s="253" t="s">
        <v>444</v>
      </c>
      <c r="C117" s="273"/>
      <c r="D117" s="273"/>
      <c r="E117" s="273"/>
      <c r="F117" s="273"/>
      <c r="G117" s="273"/>
      <c r="H117" s="273"/>
      <c r="I117" s="273"/>
      <c r="J117" s="50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83"/>
      <c r="Y117" s="273"/>
      <c r="Z117" s="273"/>
      <c r="AA117" s="273"/>
      <c r="AB117" s="273"/>
      <c r="AC117" s="273"/>
      <c r="AD117" s="273"/>
      <c r="AE117" s="16"/>
      <c r="AF117" s="17"/>
      <c r="AG117" s="17"/>
      <c r="AH117" s="13"/>
      <c r="AI117" s="13"/>
    </row>
    <row r="118" spans="1:35" x14ac:dyDescent="0.3">
      <c r="A118" s="259">
        <f>A115+1</f>
        <v>73</v>
      </c>
      <c r="B118" s="20" t="s">
        <v>446</v>
      </c>
      <c r="C118" s="273">
        <f>D118+K118+L118+N118+P118+R118+S118+U118+V118+W118</f>
        <v>4983581.2</v>
      </c>
      <c r="D118" s="273">
        <f>E118+F118+G118+H118+I118</f>
        <v>4983581.2</v>
      </c>
      <c r="E118" s="273">
        <v>492717.6</v>
      </c>
      <c r="F118" s="273">
        <f>420*5502+2*607361</f>
        <v>3525562</v>
      </c>
      <c r="G118" s="273">
        <v>209409.6</v>
      </c>
      <c r="H118" s="273">
        <v>561270</v>
      </c>
      <c r="I118" s="273">
        <v>194622</v>
      </c>
      <c r="J118" s="50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83"/>
      <c r="Y118" s="273"/>
      <c r="Z118" s="273"/>
      <c r="AA118" s="273"/>
      <c r="AB118" s="273"/>
      <c r="AC118" s="273"/>
      <c r="AD118" s="273">
        <v>193686.96</v>
      </c>
      <c r="AE118" s="16"/>
      <c r="AF118" s="17">
        <v>517803.46</v>
      </c>
      <c r="AG118" s="17"/>
      <c r="AH118" s="13"/>
    </row>
    <row r="119" spans="1:35" x14ac:dyDescent="0.3">
      <c r="A119" s="259"/>
      <c r="B119" s="34" t="s">
        <v>208</v>
      </c>
      <c r="C119" s="273">
        <f t="shared" ref="C119:W119" si="24">SUM(C118)</f>
        <v>4983581.2</v>
      </c>
      <c r="D119" s="273">
        <f t="shared" si="24"/>
        <v>4983581.2</v>
      </c>
      <c r="E119" s="273">
        <f t="shared" si="24"/>
        <v>492717.6</v>
      </c>
      <c r="F119" s="273">
        <f t="shared" si="24"/>
        <v>3525562</v>
      </c>
      <c r="G119" s="273">
        <f t="shared" si="24"/>
        <v>209409.6</v>
      </c>
      <c r="H119" s="273">
        <f t="shared" si="24"/>
        <v>561270</v>
      </c>
      <c r="I119" s="273">
        <f t="shared" si="24"/>
        <v>194622</v>
      </c>
      <c r="J119" s="50">
        <f t="shared" si="24"/>
        <v>0</v>
      </c>
      <c r="K119" s="273">
        <f t="shared" si="24"/>
        <v>0</v>
      </c>
      <c r="L119" s="273">
        <f t="shared" si="24"/>
        <v>0</v>
      </c>
      <c r="M119" s="273">
        <f t="shared" si="24"/>
        <v>0</v>
      </c>
      <c r="N119" s="273">
        <f t="shared" si="24"/>
        <v>0</v>
      </c>
      <c r="O119" s="273">
        <f t="shared" si="24"/>
        <v>0</v>
      </c>
      <c r="P119" s="273">
        <f t="shared" si="24"/>
        <v>0</v>
      </c>
      <c r="Q119" s="273">
        <f t="shared" si="24"/>
        <v>0</v>
      </c>
      <c r="R119" s="273">
        <f t="shared" si="24"/>
        <v>0</v>
      </c>
      <c r="S119" s="273">
        <f t="shared" si="24"/>
        <v>0</v>
      </c>
      <c r="T119" s="273">
        <f t="shared" si="24"/>
        <v>0</v>
      </c>
      <c r="U119" s="273">
        <f t="shared" si="24"/>
        <v>0</v>
      </c>
      <c r="V119" s="273">
        <f t="shared" si="24"/>
        <v>0</v>
      </c>
      <c r="W119" s="273">
        <f t="shared" si="24"/>
        <v>0</v>
      </c>
      <c r="X119" s="283"/>
      <c r="Y119" s="273"/>
      <c r="Z119" s="273"/>
      <c r="AA119" s="273"/>
      <c r="AB119" s="273"/>
      <c r="AC119" s="273"/>
      <c r="AD119" s="273"/>
      <c r="AE119" s="16"/>
      <c r="AF119" s="17"/>
      <c r="AG119" s="17"/>
      <c r="AH119" s="13"/>
      <c r="AI119" s="13"/>
    </row>
    <row r="120" spans="1:35" ht="31.2" x14ac:dyDescent="0.3">
      <c r="A120" s="259"/>
      <c r="B120" s="253" t="s">
        <v>455</v>
      </c>
      <c r="C120" s="273"/>
      <c r="D120" s="273"/>
      <c r="E120" s="273"/>
      <c r="F120" s="273"/>
      <c r="G120" s="273"/>
      <c r="H120" s="273"/>
      <c r="I120" s="273"/>
      <c r="J120" s="50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83"/>
      <c r="Y120" s="273"/>
      <c r="Z120" s="273"/>
      <c r="AA120" s="273"/>
      <c r="AB120" s="273"/>
      <c r="AC120" s="273"/>
      <c r="AD120" s="273"/>
      <c r="AE120" s="16"/>
      <c r="AF120" s="17"/>
      <c r="AG120" s="17"/>
      <c r="AH120" s="13"/>
      <c r="AI120" s="13"/>
    </row>
    <row r="121" spans="1:35" x14ac:dyDescent="0.3">
      <c r="A121" s="259">
        <f>A118+1</f>
        <v>74</v>
      </c>
      <c r="B121" s="20" t="s">
        <v>459</v>
      </c>
      <c r="C121" s="273">
        <f>D121+K121+L121+N121+P121+R121+S121+U121+V121+W121</f>
        <v>1916686.8</v>
      </c>
      <c r="D121" s="273"/>
      <c r="E121" s="273"/>
      <c r="F121" s="273"/>
      <c r="G121" s="273"/>
      <c r="H121" s="273"/>
      <c r="I121" s="273"/>
      <c r="J121" s="50"/>
      <c r="K121" s="273"/>
      <c r="L121" s="273"/>
      <c r="M121" s="273"/>
      <c r="N121" s="273"/>
      <c r="O121" s="273"/>
      <c r="P121" s="273"/>
      <c r="Q121" s="273">
        <v>514.12</v>
      </c>
      <c r="R121" s="273">
        <v>1916686.8</v>
      </c>
      <c r="S121" s="273"/>
      <c r="T121" s="273"/>
      <c r="U121" s="273"/>
      <c r="V121" s="273"/>
      <c r="W121" s="273"/>
      <c r="X121" s="283"/>
      <c r="Y121" s="273">
        <v>110076.12</v>
      </c>
      <c r="Z121" s="273"/>
      <c r="AA121" s="273"/>
      <c r="AB121" s="273"/>
      <c r="AC121" s="273"/>
      <c r="AD121" s="273"/>
      <c r="AE121" s="16"/>
      <c r="AF121" s="17"/>
      <c r="AG121" s="17"/>
      <c r="AH121" s="13"/>
      <c r="AI121" s="13"/>
    </row>
    <row r="122" spans="1:35" x14ac:dyDescent="0.3">
      <c r="A122" s="259">
        <f>A121+1</f>
        <v>75</v>
      </c>
      <c r="B122" s="20" t="s">
        <v>461</v>
      </c>
      <c r="C122" s="273">
        <f>D122+K122+L122+N122+P122+R122+S122+U122+V122+W122</f>
        <v>2376118.7999999998</v>
      </c>
      <c r="D122" s="273"/>
      <c r="E122" s="273"/>
      <c r="F122" s="273"/>
      <c r="G122" s="273"/>
      <c r="H122" s="273"/>
      <c r="I122" s="273"/>
      <c r="J122" s="50"/>
      <c r="K122" s="273"/>
      <c r="L122" s="273"/>
      <c r="M122" s="273"/>
      <c r="N122" s="273"/>
      <c r="O122" s="273"/>
      <c r="P122" s="273"/>
      <c r="Q122" s="273">
        <v>514.12</v>
      </c>
      <c r="R122" s="273">
        <v>2376118.7999999998</v>
      </c>
      <c r="S122" s="273"/>
      <c r="T122" s="273"/>
      <c r="U122" s="273"/>
      <c r="V122" s="273"/>
      <c r="W122" s="273"/>
      <c r="X122" s="283"/>
      <c r="Y122" s="273">
        <v>110370.66</v>
      </c>
      <c r="Z122" s="273"/>
      <c r="AA122" s="273"/>
      <c r="AB122" s="273"/>
      <c r="AC122" s="273"/>
      <c r="AD122" s="273"/>
      <c r="AE122" s="16"/>
      <c r="AF122" s="17"/>
      <c r="AG122" s="17"/>
      <c r="AH122" s="13"/>
      <c r="AI122" s="13"/>
    </row>
    <row r="123" spans="1:35" x14ac:dyDescent="0.3">
      <c r="A123" s="259">
        <f>A122+1</f>
        <v>76</v>
      </c>
      <c r="B123" s="20" t="s">
        <v>462</v>
      </c>
      <c r="C123" s="273">
        <f>D123+K123+L123+N123+P123+R123+S123+U123+V123+W123</f>
        <v>1914789.6</v>
      </c>
      <c r="D123" s="273"/>
      <c r="E123" s="273"/>
      <c r="F123" s="273"/>
      <c r="G123" s="273"/>
      <c r="H123" s="273"/>
      <c r="I123" s="273"/>
      <c r="J123" s="50"/>
      <c r="K123" s="273"/>
      <c r="L123" s="273"/>
      <c r="M123" s="273"/>
      <c r="N123" s="273"/>
      <c r="O123" s="273"/>
      <c r="P123" s="273"/>
      <c r="Q123" s="273">
        <v>514.12</v>
      </c>
      <c r="R123" s="273">
        <v>1914789.6</v>
      </c>
      <c r="S123" s="273"/>
      <c r="T123" s="273"/>
      <c r="U123" s="273"/>
      <c r="V123" s="273"/>
      <c r="W123" s="273"/>
      <c r="X123" s="283"/>
      <c r="Y123" s="273">
        <v>112250.08</v>
      </c>
      <c r="Z123" s="273"/>
      <c r="AA123" s="273"/>
      <c r="AB123" s="273"/>
      <c r="AC123" s="273"/>
      <c r="AD123" s="273"/>
      <c r="AE123" s="16"/>
      <c r="AF123" s="17"/>
      <c r="AG123" s="17"/>
      <c r="AH123" s="13"/>
      <c r="AI123" s="13"/>
    </row>
    <row r="124" spans="1:35" x14ac:dyDescent="0.3">
      <c r="A124" s="259"/>
      <c r="B124" s="34" t="s">
        <v>208</v>
      </c>
      <c r="C124" s="273">
        <f t="shared" ref="C124:W124" si="25">SUM(C121:C123)</f>
        <v>6207595.1999999993</v>
      </c>
      <c r="D124" s="273">
        <f t="shared" si="25"/>
        <v>0</v>
      </c>
      <c r="E124" s="273">
        <f t="shared" si="25"/>
        <v>0</v>
      </c>
      <c r="F124" s="273">
        <f t="shared" si="25"/>
        <v>0</v>
      </c>
      <c r="G124" s="273">
        <f t="shared" si="25"/>
        <v>0</v>
      </c>
      <c r="H124" s="273">
        <f t="shared" si="25"/>
        <v>0</v>
      </c>
      <c r="I124" s="273">
        <f t="shared" si="25"/>
        <v>0</v>
      </c>
      <c r="J124" s="50">
        <f t="shared" si="25"/>
        <v>0</v>
      </c>
      <c r="K124" s="273">
        <f t="shared" si="25"/>
        <v>0</v>
      </c>
      <c r="L124" s="273">
        <f t="shared" si="25"/>
        <v>0</v>
      </c>
      <c r="M124" s="273">
        <f t="shared" si="25"/>
        <v>0</v>
      </c>
      <c r="N124" s="273">
        <f t="shared" si="25"/>
        <v>0</v>
      </c>
      <c r="O124" s="273">
        <f t="shared" si="25"/>
        <v>0</v>
      </c>
      <c r="P124" s="273">
        <f t="shared" si="25"/>
        <v>0</v>
      </c>
      <c r="Q124" s="273">
        <f t="shared" si="25"/>
        <v>1542.3600000000001</v>
      </c>
      <c r="R124" s="273">
        <f t="shared" si="25"/>
        <v>6207595.1999999993</v>
      </c>
      <c r="S124" s="273">
        <f t="shared" si="25"/>
        <v>0</v>
      </c>
      <c r="T124" s="273">
        <f t="shared" si="25"/>
        <v>0</v>
      </c>
      <c r="U124" s="273">
        <f t="shared" si="25"/>
        <v>0</v>
      </c>
      <c r="V124" s="273">
        <f t="shared" si="25"/>
        <v>0</v>
      </c>
      <c r="W124" s="273">
        <f t="shared" si="25"/>
        <v>0</v>
      </c>
      <c r="X124" s="271"/>
      <c r="Y124" s="271"/>
      <c r="Z124" s="271"/>
      <c r="AA124" s="271"/>
      <c r="AB124" s="271"/>
      <c r="AC124" s="271"/>
      <c r="AD124" s="271"/>
      <c r="AE124" s="109"/>
      <c r="AF124" s="110"/>
      <c r="AG124" s="110"/>
      <c r="AH124" s="13"/>
      <c r="AI124" s="13"/>
    </row>
    <row r="125" spans="1:35" x14ac:dyDescent="0.3">
      <c r="A125" s="259"/>
      <c r="B125" s="262" t="s">
        <v>463</v>
      </c>
      <c r="C125" s="251">
        <f t="shared" ref="C125:W125" si="26">C124+C119+C116+C109+C96+C77+C73+C68+C63</f>
        <v>149160935.60999998</v>
      </c>
      <c r="D125" s="251">
        <f t="shared" si="26"/>
        <v>19192764.960000001</v>
      </c>
      <c r="E125" s="251">
        <f t="shared" si="26"/>
        <v>4828404.4800000004</v>
      </c>
      <c r="F125" s="251">
        <f t="shared" si="26"/>
        <v>9867588.2400000002</v>
      </c>
      <c r="G125" s="251">
        <f t="shared" si="26"/>
        <v>1376779.2000000002</v>
      </c>
      <c r="H125" s="251">
        <f t="shared" si="26"/>
        <v>1695170</v>
      </c>
      <c r="I125" s="251">
        <f t="shared" si="26"/>
        <v>1424823.04</v>
      </c>
      <c r="J125" s="57">
        <f t="shared" si="26"/>
        <v>0</v>
      </c>
      <c r="K125" s="251">
        <f t="shared" si="26"/>
        <v>0</v>
      </c>
      <c r="L125" s="251">
        <f t="shared" si="26"/>
        <v>0</v>
      </c>
      <c r="M125" s="251">
        <f t="shared" si="26"/>
        <v>0</v>
      </c>
      <c r="N125" s="251">
        <f t="shared" si="26"/>
        <v>0</v>
      </c>
      <c r="O125" s="251">
        <f t="shared" si="26"/>
        <v>0</v>
      </c>
      <c r="P125" s="251">
        <f t="shared" si="26"/>
        <v>0</v>
      </c>
      <c r="Q125" s="251">
        <f t="shared" si="26"/>
        <v>12699.970000000001</v>
      </c>
      <c r="R125" s="251">
        <f t="shared" si="26"/>
        <v>97867168.61999999</v>
      </c>
      <c r="S125" s="251">
        <f t="shared" si="26"/>
        <v>0</v>
      </c>
      <c r="T125" s="251">
        <f t="shared" si="26"/>
        <v>1617.77</v>
      </c>
      <c r="U125" s="251">
        <f t="shared" si="26"/>
        <v>28125166.239999998</v>
      </c>
      <c r="V125" s="251">
        <f t="shared" si="26"/>
        <v>0</v>
      </c>
      <c r="W125" s="251">
        <f t="shared" si="26"/>
        <v>3975835.79</v>
      </c>
      <c r="X125" s="121" t="e">
        <f>X124+X119+#REF!+#REF!+X116+#REF!+X109+X96+X77+X73+X68+#REF!+#REF!</f>
        <v>#REF!</v>
      </c>
      <c r="Y125" s="121" t="e">
        <f>Y124+Y119+#REF!+#REF!+Y116+#REF!+Y109+Y96+Y77+Y73+Y68+#REF!+#REF!</f>
        <v>#REF!</v>
      </c>
      <c r="Z125" s="121" t="e">
        <f>Z124+Z119+#REF!+#REF!+Z116+#REF!+Z109+Z96+Z77+Z73+Z68+#REF!+#REF!</f>
        <v>#REF!</v>
      </c>
      <c r="AA125" s="121" t="e">
        <f>AA124+AA119+#REF!+#REF!+AA116+#REF!+AA109+AA96+AA77+AA73+AA68+#REF!+#REF!</f>
        <v>#REF!</v>
      </c>
      <c r="AB125" s="269"/>
      <c r="AC125" s="269"/>
      <c r="AD125" s="269"/>
      <c r="AE125" s="84"/>
      <c r="AF125" s="82"/>
      <c r="AG125" s="82"/>
      <c r="AH125" s="13"/>
      <c r="AI125" s="13"/>
    </row>
    <row r="126" spans="1:35" x14ac:dyDescent="0.3">
      <c r="A126" s="305" t="s">
        <v>464</v>
      </c>
      <c r="B126" s="305"/>
      <c r="C126" s="305"/>
      <c r="D126" s="305"/>
      <c r="E126" s="305"/>
      <c r="F126" s="305"/>
      <c r="G126" s="305"/>
      <c r="H126" s="305"/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283"/>
      <c r="Y126" s="273"/>
      <c r="Z126" s="14"/>
      <c r="AA126" s="15"/>
      <c r="AB126" s="15"/>
      <c r="AC126" s="15"/>
      <c r="AD126" s="15"/>
      <c r="AE126" s="15"/>
      <c r="AF126" s="15"/>
      <c r="AG126" s="15"/>
    </row>
    <row r="127" spans="1:35" x14ac:dyDescent="0.3">
      <c r="A127" s="317" t="s">
        <v>465</v>
      </c>
      <c r="B127" s="318"/>
      <c r="C127" s="251"/>
      <c r="D127" s="251"/>
      <c r="E127" s="251"/>
      <c r="F127" s="251"/>
      <c r="G127" s="251"/>
      <c r="H127" s="251"/>
      <c r="I127" s="251"/>
      <c r="J127" s="57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83"/>
      <c r="Y127" s="273"/>
      <c r="Z127" s="14"/>
      <c r="AA127" s="15"/>
      <c r="AB127" s="15"/>
      <c r="AC127" s="15"/>
      <c r="AD127" s="15"/>
      <c r="AE127" s="15"/>
      <c r="AF127" s="15"/>
      <c r="AG127" s="15"/>
    </row>
    <row r="128" spans="1:35" ht="31.2" x14ac:dyDescent="0.3">
      <c r="A128" s="259">
        <f>A123+1</f>
        <v>77</v>
      </c>
      <c r="B128" s="20" t="s">
        <v>467</v>
      </c>
      <c r="C128" s="273">
        <f>D128+K128+L128+N128+R128+S128+U128+V128+W128</f>
        <v>10777712.549999999</v>
      </c>
      <c r="D128" s="273">
        <f>E128+F128+G128+H128+I128</f>
        <v>1440976.95</v>
      </c>
      <c r="E128" s="273">
        <v>1440976.95</v>
      </c>
      <c r="F128" s="273"/>
      <c r="G128" s="273"/>
      <c r="H128" s="273"/>
      <c r="I128" s="273"/>
      <c r="J128" s="50"/>
      <c r="K128" s="273"/>
      <c r="L128" s="273"/>
      <c r="M128" s="273"/>
      <c r="N128" s="273"/>
      <c r="O128" s="273"/>
      <c r="P128" s="273"/>
      <c r="Q128" s="273">
        <f>1963.2</f>
        <v>1963.2</v>
      </c>
      <c r="R128" s="273">
        <v>9336735.5999999996</v>
      </c>
      <c r="S128" s="273"/>
      <c r="T128" s="273"/>
      <c r="U128" s="273"/>
      <c r="V128" s="273"/>
      <c r="W128" s="273"/>
      <c r="X128" s="283"/>
      <c r="Y128" s="273"/>
      <c r="Z128" s="16"/>
      <c r="AA128" s="17"/>
      <c r="AB128" s="17"/>
      <c r="AC128" s="17"/>
      <c r="AD128" s="279"/>
      <c r="AE128" s="279"/>
      <c r="AG128" s="279"/>
    </row>
    <row r="129" spans="1:33" ht="31.2" x14ac:dyDescent="0.3">
      <c r="A129" s="259">
        <f t="shared" ref="A129:A138" si="27">A128+1</f>
        <v>78</v>
      </c>
      <c r="B129" s="20" t="s">
        <v>468</v>
      </c>
      <c r="C129" s="273">
        <f>D129+K129+L129+N129+R129+S129+U129+V129+W129</f>
        <v>8042271.5999999996</v>
      </c>
      <c r="D129" s="273"/>
      <c r="E129" s="273"/>
      <c r="F129" s="273"/>
      <c r="G129" s="273"/>
      <c r="H129" s="273"/>
      <c r="I129" s="273"/>
      <c r="J129" s="50"/>
      <c r="K129" s="273"/>
      <c r="L129" s="273"/>
      <c r="M129" s="273"/>
      <c r="N129" s="273"/>
      <c r="O129" s="273"/>
      <c r="P129" s="273"/>
      <c r="Q129" s="273">
        <v>1192</v>
      </c>
      <c r="R129" s="273">
        <v>8042271.5999999996</v>
      </c>
      <c r="S129" s="273"/>
      <c r="T129" s="273"/>
      <c r="U129" s="273"/>
      <c r="V129" s="273"/>
      <c r="W129" s="273"/>
      <c r="Y129" s="251"/>
      <c r="Z129" s="430"/>
      <c r="AA129" s="303"/>
      <c r="AB129" s="37"/>
      <c r="AC129" s="17"/>
      <c r="AD129" s="17"/>
      <c r="AE129" s="17"/>
      <c r="AF129" s="17"/>
      <c r="AG129" s="17"/>
    </row>
    <row r="130" spans="1:33" ht="31.2" x14ac:dyDescent="0.3">
      <c r="A130" s="259">
        <f t="shared" si="27"/>
        <v>79</v>
      </c>
      <c r="B130" s="20" t="s">
        <v>474</v>
      </c>
      <c r="C130" s="273">
        <f>D130+K130+L130+N130+R130+S130+U130+V130+W130</f>
        <v>9336735.5999999996</v>
      </c>
      <c r="D130" s="273"/>
      <c r="E130" s="273"/>
      <c r="F130" s="273"/>
      <c r="G130" s="273"/>
      <c r="H130" s="273"/>
      <c r="I130" s="273"/>
      <c r="J130" s="50"/>
      <c r="K130" s="273"/>
      <c r="L130" s="273"/>
      <c r="M130" s="273"/>
      <c r="N130" s="273"/>
      <c r="O130" s="273"/>
      <c r="P130" s="273"/>
      <c r="Q130" s="273">
        <f>1963.2</f>
        <v>1963.2</v>
      </c>
      <c r="R130" s="273">
        <v>9336735.5999999996</v>
      </c>
      <c r="S130" s="273"/>
      <c r="T130" s="273"/>
      <c r="U130" s="273"/>
      <c r="V130" s="273"/>
      <c r="W130" s="273"/>
      <c r="X130" s="283"/>
      <c r="Y130" s="17"/>
      <c r="Z130" s="17"/>
      <c r="AA130" s="17"/>
      <c r="AB130" s="17"/>
      <c r="AC130" s="17"/>
      <c r="AD130" s="17"/>
      <c r="AE130" s="17"/>
      <c r="AG130" s="279"/>
    </row>
    <row r="131" spans="1:33" ht="31.2" x14ac:dyDescent="0.3">
      <c r="A131" s="259">
        <f t="shared" si="27"/>
        <v>80</v>
      </c>
      <c r="B131" s="20" t="s">
        <v>476</v>
      </c>
      <c r="C131" s="273">
        <f>D131+K131+L131+N131+R131+S131+U131+V131+W131</f>
        <v>19536401.82</v>
      </c>
      <c r="D131" s="273"/>
      <c r="E131" s="273"/>
      <c r="F131" s="273"/>
      <c r="G131" s="273"/>
      <c r="H131" s="273"/>
      <c r="I131" s="273"/>
      <c r="J131" s="50"/>
      <c r="K131" s="273"/>
      <c r="L131" s="273"/>
      <c r="M131" s="273"/>
      <c r="N131" s="273"/>
      <c r="O131" s="273"/>
      <c r="P131" s="273"/>
      <c r="Q131" s="273">
        <v>2810.2</v>
      </c>
      <c r="R131" s="273">
        <v>19536401.82</v>
      </c>
      <c r="S131" s="273"/>
      <c r="T131" s="273"/>
      <c r="U131" s="273"/>
      <c r="V131" s="273"/>
      <c r="W131" s="273"/>
      <c r="X131" s="283"/>
      <c r="Y131" s="279"/>
      <c r="Z131" s="251"/>
      <c r="AA131" s="251"/>
      <c r="AB131" s="279"/>
      <c r="AC131" s="279"/>
      <c r="AD131" s="279"/>
      <c r="AE131" s="279"/>
      <c r="AG131" s="279"/>
    </row>
    <row r="132" spans="1:33" s="36" customFormat="1" ht="31.2" x14ac:dyDescent="0.3">
      <c r="A132" s="259">
        <f t="shared" si="27"/>
        <v>81</v>
      </c>
      <c r="B132" s="124" t="s">
        <v>479</v>
      </c>
      <c r="C132" s="273">
        <f>D132+K132+L132+N132+R132+S132+U132+V132+W132+P132</f>
        <v>111603.7</v>
      </c>
      <c r="D132" s="273">
        <f>E132+F132+G132+H132+I132</f>
        <v>0</v>
      </c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>
        <f>SUM(X132:AD132)</f>
        <v>111603.7</v>
      </c>
      <c r="X132" s="303"/>
      <c r="Y132" s="427"/>
      <c r="Z132" s="17"/>
      <c r="AA132" s="17"/>
      <c r="AB132" s="37">
        <v>111603.7</v>
      </c>
      <c r="AC132" s="17"/>
      <c r="AD132" s="17"/>
      <c r="AE132" s="17"/>
    </row>
    <row r="133" spans="1:33" s="36" customFormat="1" ht="31.2" x14ac:dyDescent="0.3">
      <c r="A133" s="259">
        <f t="shared" si="27"/>
        <v>82</v>
      </c>
      <c r="B133" s="124" t="s">
        <v>481</v>
      </c>
      <c r="C133" s="273">
        <f>D133+K133+L133+N133+R133+S133+U133+V133+W133+P133</f>
        <v>147922.45000000001</v>
      </c>
      <c r="D133" s="273">
        <f>E133+F133+G133+H133+I133</f>
        <v>0</v>
      </c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>
        <f>SUM(X133:AD133)</f>
        <v>147922.45000000001</v>
      </c>
      <c r="X133" s="428"/>
      <c r="Y133" s="429"/>
      <c r="Z133" s="17"/>
      <c r="AA133" s="17"/>
      <c r="AB133" s="37">
        <v>147922.45000000001</v>
      </c>
      <c r="AC133" s="17"/>
      <c r="AD133" s="17"/>
      <c r="AE133" s="17"/>
    </row>
    <row r="134" spans="1:33" ht="31.2" x14ac:dyDescent="0.3">
      <c r="A134" s="259">
        <f t="shared" si="27"/>
        <v>83</v>
      </c>
      <c r="B134" s="20" t="s">
        <v>498</v>
      </c>
      <c r="C134" s="273">
        <f>D134+K134+L134+N134+R134+S134+U134+V134+W134+P134</f>
        <v>5434599.5999999996</v>
      </c>
      <c r="D134" s="273"/>
      <c r="E134" s="273"/>
      <c r="F134" s="273"/>
      <c r="G134" s="273"/>
      <c r="H134" s="273"/>
      <c r="I134" s="273"/>
      <c r="J134" s="50"/>
      <c r="K134" s="273"/>
      <c r="L134" s="273"/>
      <c r="M134" s="273"/>
      <c r="N134" s="273"/>
      <c r="O134" s="273">
        <v>654</v>
      </c>
      <c r="P134" s="273">
        <v>5434599.5999999996</v>
      </c>
      <c r="Q134" s="273"/>
      <c r="R134" s="273"/>
      <c r="S134" s="273"/>
      <c r="T134" s="273"/>
      <c r="U134" s="273"/>
      <c r="V134" s="273"/>
      <c r="W134" s="273"/>
      <c r="X134" s="37"/>
      <c r="Y134" s="279"/>
      <c r="Z134" s="303"/>
      <c r="AA134" s="303"/>
      <c r="AB134" s="279"/>
      <c r="AD134" s="279"/>
      <c r="AE134" s="17"/>
      <c r="AF134" s="17"/>
      <c r="AG134" s="17"/>
    </row>
    <row r="135" spans="1:33" ht="31.2" x14ac:dyDescent="0.3">
      <c r="A135" s="259">
        <f t="shared" si="27"/>
        <v>84</v>
      </c>
      <c r="B135" s="20" t="s">
        <v>502</v>
      </c>
      <c r="C135" s="273">
        <f>D135+K135+L135+N135+R135+S135+U135+V135+W135+P135</f>
        <v>17469901.199999999</v>
      </c>
      <c r="D135" s="273"/>
      <c r="E135" s="273"/>
      <c r="F135" s="273"/>
      <c r="G135" s="273"/>
      <c r="H135" s="273"/>
      <c r="I135" s="273"/>
      <c r="J135" s="50"/>
      <c r="K135" s="273"/>
      <c r="L135" s="273"/>
      <c r="M135" s="273"/>
      <c r="N135" s="273"/>
      <c r="O135" s="273"/>
      <c r="P135" s="273"/>
      <c r="Q135" s="273">
        <v>2351</v>
      </c>
      <c r="R135" s="273">
        <v>17469901.199999999</v>
      </c>
      <c r="S135" s="273"/>
      <c r="T135" s="273"/>
      <c r="U135" s="273"/>
      <c r="V135" s="273"/>
      <c r="W135" s="273"/>
      <c r="X135" s="37"/>
      <c r="Y135" s="251"/>
      <c r="Z135" s="430"/>
      <c r="AA135" s="303"/>
      <c r="AB135" s="279"/>
      <c r="AC135" s="279"/>
      <c r="AD135" s="279"/>
      <c r="AE135" s="17"/>
      <c r="AF135" s="17"/>
      <c r="AG135" s="17"/>
    </row>
    <row r="136" spans="1:33" ht="31.2" x14ac:dyDescent="0.3">
      <c r="A136" s="259">
        <f t="shared" si="27"/>
        <v>85</v>
      </c>
      <c r="B136" s="20" t="s">
        <v>510</v>
      </c>
      <c r="C136" s="273">
        <f>D136+K136+L136+N136+R136+S136+U136+V136+W136</f>
        <v>4188567.6</v>
      </c>
      <c r="D136" s="273"/>
      <c r="E136" s="273"/>
      <c r="F136" s="273"/>
      <c r="G136" s="273"/>
      <c r="H136" s="273"/>
      <c r="I136" s="273"/>
      <c r="J136" s="50"/>
      <c r="K136" s="273"/>
      <c r="L136" s="273"/>
      <c r="M136" s="273"/>
      <c r="N136" s="273"/>
      <c r="O136" s="273"/>
      <c r="P136" s="273"/>
      <c r="Q136" s="273">
        <v>568.41</v>
      </c>
      <c r="R136" s="273">
        <v>4188567.6</v>
      </c>
      <c r="S136" s="273"/>
      <c r="T136" s="273"/>
      <c r="U136" s="273"/>
      <c r="V136" s="273"/>
      <c r="W136" s="273"/>
      <c r="X136" s="37"/>
      <c r="Y136" s="251"/>
      <c r="Z136" s="18"/>
      <c r="AA136" s="17"/>
      <c r="AB136" s="17"/>
      <c r="AC136" s="17"/>
      <c r="AD136" s="17"/>
      <c r="AE136" s="17"/>
      <c r="AF136" s="17"/>
      <c r="AG136" s="17"/>
    </row>
    <row r="137" spans="1:33" ht="31.2" x14ac:dyDescent="0.3">
      <c r="A137" s="259">
        <f t="shared" si="27"/>
        <v>86</v>
      </c>
      <c r="B137" s="20" t="s">
        <v>512</v>
      </c>
      <c r="C137" s="273">
        <f>D137+K137+L137+N137+R137+S137+U137+V137+W137</f>
        <v>3950784</v>
      </c>
      <c r="D137" s="273"/>
      <c r="E137" s="273"/>
      <c r="F137" s="273"/>
      <c r="G137" s="273"/>
      <c r="H137" s="273"/>
      <c r="I137" s="273"/>
      <c r="J137" s="50"/>
      <c r="K137" s="273"/>
      <c r="L137" s="273"/>
      <c r="M137" s="273"/>
      <c r="N137" s="273"/>
      <c r="O137" s="273"/>
      <c r="P137" s="273"/>
      <c r="Q137" s="273">
        <v>550</v>
      </c>
      <c r="R137" s="273">
        <v>3950784</v>
      </c>
      <c r="S137" s="273"/>
      <c r="T137" s="273"/>
      <c r="U137" s="273"/>
      <c r="V137" s="273"/>
      <c r="W137" s="273"/>
      <c r="X137" s="37"/>
      <c r="Y137" s="251"/>
      <c r="Z137" s="18"/>
      <c r="AA137" s="17"/>
      <c r="AB137" s="17"/>
      <c r="AC137" s="17"/>
      <c r="AD137" s="17"/>
      <c r="AE137" s="17"/>
      <c r="AF137" s="17"/>
      <c r="AG137" s="17"/>
    </row>
    <row r="138" spans="1:33" ht="31.2" x14ac:dyDescent="0.3">
      <c r="A138" s="259">
        <f t="shared" si="27"/>
        <v>87</v>
      </c>
      <c r="B138" s="20" t="s">
        <v>513</v>
      </c>
      <c r="C138" s="273">
        <f>D138+K138+L138+N138+R138+S138+U138+V138+W138</f>
        <v>4308058.8</v>
      </c>
      <c r="D138" s="273"/>
      <c r="E138" s="273"/>
      <c r="F138" s="273"/>
      <c r="G138" s="273"/>
      <c r="H138" s="273"/>
      <c r="I138" s="273"/>
      <c r="J138" s="50"/>
      <c r="K138" s="273"/>
      <c r="L138" s="273"/>
      <c r="M138" s="273"/>
      <c r="N138" s="273"/>
      <c r="O138" s="273"/>
      <c r="P138" s="273"/>
      <c r="Q138" s="273">
        <v>617</v>
      </c>
      <c r="R138" s="273">
        <v>4308058.8</v>
      </c>
      <c r="S138" s="273"/>
      <c r="T138" s="273"/>
      <c r="U138" s="273"/>
      <c r="V138" s="273"/>
      <c r="W138" s="273"/>
      <c r="X138" s="37"/>
      <c r="Y138" s="251"/>
      <c r="Z138" s="18"/>
      <c r="AA138" s="17"/>
      <c r="AB138" s="17"/>
      <c r="AC138" s="17"/>
      <c r="AD138" s="17"/>
      <c r="AE138" s="17"/>
      <c r="AF138" s="17"/>
      <c r="AG138" s="17"/>
    </row>
    <row r="139" spans="1:33" x14ac:dyDescent="0.3">
      <c r="A139" s="259"/>
      <c r="B139" s="20" t="s">
        <v>208</v>
      </c>
      <c r="C139" s="273">
        <f t="shared" ref="C139:W139" si="28">SUM(C128:C138)</f>
        <v>83304558.920000002</v>
      </c>
      <c r="D139" s="273">
        <f t="shared" si="28"/>
        <v>1440976.95</v>
      </c>
      <c r="E139" s="273">
        <f t="shared" si="28"/>
        <v>1440976.95</v>
      </c>
      <c r="F139" s="273">
        <f t="shared" si="28"/>
        <v>0</v>
      </c>
      <c r="G139" s="273">
        <f t="shared" si="28"/>
        <v>0</v>
      </c>
      <c r="H139" s="273">
        <f t="shared" si="28"/>
        <v>0</v>
      </c>
      <c r="I139" s="273">
        <f t="shared" si="28"/>
        <v>0</v>
      </c>
      <c r="J139" s="50">
        <f t="shared" si="28"/>
        <v>0</v>
      </c>
      <c r="K139" s="273">
        <f t="shared" si="28"/>
        <v>0</v>
      </c>
      <c r="L139" s="273">
        <f t="shared" si="28"/>
        <v>0</v>
      </c>
      <c r="M139" s="273">
        <f t="shared" si="28"/>
        <v>0</v>
      </c>
      <c r="N139" s="273">
        <f t="shared" si="28"/>
        <v>0</v>
      </c>
      <c r="O139" s="273">
        <f t="shared" si="28"/>
        <v>654</v>
      </c>
      <c r="P139" s="273">
        <f t="shared" si="28"/>
        <v>5434599.5999999996</v>
      </c>
      <c r="Q139" s="273">
        <f t="shared" si="28"/>
        <v>12015.009999999998</v>
      </c>
      <c r="R139" s="273">
        <f t="shared" si="28"/>
        <v>76169456.219999984</v>
      </c>
      <c r="S139" s="273">
        <f t="shared" si="28"/>
        <v>0</v>
      </c>
      <c r="T139" s="273">
        <f t="shared" si="28"/>
        <v>0</v>
      </c>
      <c r="U139" s="273">
        <f t="shared" si="28"/>
        <v>0</v>
      </c>
      <c r="V139" s="273">
        <f t="shared" si="28"/>
        <v>0</v>
      </c>
      <c r="W139" s="273">
        <f t="shared" si="28"/>
        <v>259526.15000000002</v>
      </c>
      <c r="X139" s="37"/>
      <c r="Y139" s="251"/>
      <c r="Z139" s="18"/>
      <c r="AA139" s="279"/>
      <c r="AB139" s="279"/>
      <c r="AC139" s="279"/>
      <c r="AD139" s="279"/>
      <c r="AE139" s="279"/>
      <c r="AF139" s="279"/>
      <c r="AG139" s="17"/>
    </row>
    <row r="140" spans="1:33" x14ac:dyDescent="0.3">
      <c r="A140" s="317" t="s">
        <v>543</v>
      </c>
      <c r="B140" s="318"/>
      <c r="C140" s="273"/>
      <c r="D140" s="273"/>
      <c r="E140" s="273"/>
      <c r="F140" s="273"/>
      <c r="G140" s="273"/>
      <c r="H140" s="273"/>
      <c r="I140" s="273"/>
      <c r="J140" s="50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37"/>
      <c r="Y140" s="251"/>
      <c r="Z140" s="251"/>
      <c r="AA140" s="251"/>
      <c r="AB140" s="251"/>
      <c r="AC140" s="251"/>
      <c r="AD140" s="18"/>
      <c r="AE140" s="279"/>
      <c r="AF140" s="17"/>
      <c r="AG140" s="15"/>
    </row>
    <row r="141" spans="1:33" x14ac:dyDescent="0.3">
      <c r="A141" s="259">
        <f>A138+1</f>
        <v>88</v>
      </c>
      <c r="B141" s="20" t="s">
        <v>544</v>
      </c>
      <c r="C141" s="273">
        <f>D141+K141+L141+N141+R141+S141+U141+V141+W141</f>
        <v>130000</v>
      </c>
      <c r="D141" s="273"/>
      <c r="E141" s="273"/>
      <c r="F141" s="273"/>
      <c r="G141" s="273"/>
      <c r="H141" s="273"/>
      <c r="I141" s="273"/>
      <c r="J141" s="50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>
        <v>130000</v>
      </c>
      <c r="X141" s="283"/>
      <c r="Y141" s="273"/>
      <c r="Z141" s="14"/>
      <c r="AA141" s="15"/>
      <c r="AB141" s="15"/>
      <c r="AC141" s="15"/>
      <c r="AD141" s="15"/>
      <c r="AE141" s="15"/>
      <c r="AF141" s="15"/>
      <c r="AG141" s="15"/>
    </row>
    <row r="142" spans="1:33" x14ac:dyDescent="0.3">
      <c r="A142" s="259">
        <f>A141+1</f>
        <v>89</v>
      </c>
      <c r="B142" s="20" t="s">
        <v>545</v>
      </c>
      <c r="C142" s="273">
        <f>D142+K142+L142+N142+R142+S142+U142+V142+W142</f>
        <v>130000</v>
      </c>
      <c r="D142" s="273"/>
      <c r="E142" s="273"/>
      <c r="F142" s="273"/>
      <c r="G142" s="273"/>
      <c r="H142" s="273"/>
      <c r="I142" s="273"/>
      <c r="J142" s="50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>
        <v>130000</v>
      </c>
      <c r="X142" s="283"/>
      <c r="Y142" s="273"/>
      <c r="Z142" s="14"/>
      <c r="AA142" s="15"/>
      <c r="AB142" s="15"/>
      <c r="AC142" s="15"/>
      <c r="AD142" s="15"/>
      <c r="AE142" s="15"/>
      <c r="AF142" s="15"/>
      <c r="AG142" s="15"/>
    </row>
    <row r="143" spans="1:33" x14ac:dyDescent="0.3">
      <c r="A143" s="259"/>
      <c r="B143" s="20" t="s">
        <v>208</v>
      </c>
      <c r="C143" s="273">
        <f t="shared" ref="C143:W143" si="29">SUM(C141:C142)</f>
        <v>260000</v>
      </c>
      <c r="D143" s="273">
        <f t="shared" si="29"/>
        <v>0</v>
      </c>
      <c r="E143" s="273">
        <f t="shared" si="29"/>
        <v>0</v>
      </c>
      <c r="F143" s="273">
        <f t="shared" si="29"/>
        <v>0</v>
      </c>
      <c r="G143" s="273">
        <f t="shared" si="29"/>
        <v>0</v>
      </c>
      <c r="H143" s="273">
        <f t="shared" si="29"/>
        <v>0</v>
      </c>
      <c r="I143" s="273">
        <f t="shared" si="29"/>
        <v>0</v>
      </c>
      <c r="J143" s="50">
        <f t="shared" si="29"/>
        <v>0</v>
      </c>
      <c r="K143" s="273">
        <f t="shared" si="29"/>
        <v>0</v>
      </c>
      <c r="L143" s="273">
        <f t="shared" si="29"/>
        <v>0</v>
      </c>
      <c r="M143" s="273">
        <f t="shared" si="29"/>
        <v>0</v>
      </c>
      <c r="N143" s="273">
        <f t="shared" si="29"/>
        <v>0</v>
      </c>
      <c r="O143" s="273">
        <f t="shared" si="29"/>
        <v>0</v>
      </c>
      <c r="P143" s="273">
        <f t="shared" si="29"/>
        <v>0</v>
      </c>
      <c r="Q143" s="273">
        <f t="shared" si="29"/>
        <v>0</v>
      </c>
      <c r="R143" s="273">
        <f t="shared" si="29"/>
        <v>0</v>
      </c>
      <c r="S143" s="273">
        <f t="shared" si="29"/>
        <v>0</v>
      </c>
      <c r="T143" s="273">
        <f t="shared" si="29"/>
        <v>0</v>
      </c>
      <c r="U143" s="273">
        <f t="shared" si="29"/>
        <v>0</v>
      </c>
      <c r="V143" s="273">
        <f t="shared" si="29"/>
        <v>0</v>
      </c>
      <c r="W143" s="273">
        <f t="shared" si="29"/>
        <v>260000</v>
      </c>
      <c r="X143" s="283"/>
      <c r="Y143" s="273"/>
      <c r="Z143" s="14"/>
      <c r="AA143" s="15"/>
      <c r="AB143" s="15"/>
      <c r="AC143" s="15"/>
      <c r="AD143" s="15"/>
      <c r="AE143" s="15"/>
      <c r="AF143" s="15"/>
      <c r="AG143" s="15"/>
    </row>
    <row r="144" spans="1:33" x14ac:dyDescent="0.3">
      <c r="A144" s="317" t="s">
        <v>546</v>
      </c>
      <c r="B144" s="318"/>
      <c r="C144" s="273"/>
      <c r="D144" s="273"/>
      <c r="E144" s="273"/>
      <c r="F144" s="273"/>
      <c r="G144" s="273"/>
      <c r="H144" s="273"/>
      <c r="I144" s="273"/>
      <c r="J144" s="50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83"/>
      <c r="Y144" s="273"/>
      <c r="Z144" s="14"/>
      <c r="AA144" s="15"/>
      <c r="AB144" s="15"/>
      <c r="AC144" s="15"/>
      <c r="AD144" s="15"/>
      <c r="AE144" s="15"/>
      <c r="AF144" s="15"/>
      <c r="AG144" s="15"/>
    </row>
    <row r="145" spans="1:33" x14ac:dyDescent="0.3">
      <c r="A145" s="259">
        <f>A142+1</f>
        <v>90</v>
      </c>
      <c r="B145" s="20" t="s">
        <v>547</v>
      </c>
      <c r="C145" s="273">
        <f>D145+K145+L145+N145+R145+S145+U145+V145+W145</f>
        <v>65025.54</v>
      </c>
      <c r="D145" s="273"/>
      <c r="E145" s="273"/>
      <c r="F145" s="273"/>
      <c r="G145" s="273"/>
      <c r="H145" s="273"/>
      <c r="I145" s="273"/>
      <c r="J145" s="50"/>
      <c r="K145" s="273"/>
      <c r="L145" s="273"/>
      <c r="M145" s="273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>
        <f>SUM(Y145:AF145)</f>
        <v>65025.54</v>
      </c>
      <c r="Y145" s="251"/>
      <c r="Z145" s="430"/>
      <c r="AA145" s="303"/>
      <c r="AB145" s="37">
        <v>65025.54</v>
      </c>
      <c r="AC145" s="17"/>
      <c r="AD145" s="17"/>
      <c r="AE145" s="279"/>
      <c r="AF145" s="15"/>
      <c r="AG145" s="15"/>
    </row>
    <row r="146" spans="1:33" x14ac:dyDescent="0.3">
      <c r="A146" s="259">
        <f>A145+1</f>
        <v>91</v>
      </c>
      <c r="B146" s="20" t="s">
        <v>548</v>
      </c>
      <c r="C146" s="273">
        <f>D146+K146+L146+N146+R146+S146+U146+V146+W146</f>
        <v>196357.52</v>
      </c>
      <c r="D146" s="273"/>
      <c r="E146" s="273"/>
      <c r="F146" s="273"/>
      <c r="G146" s="273"/>
      <c r="H146" s="273"/>
      <c r="I146" s="273"/>
      <c r="J146" s="50"/>
      <c r="K146" s="273"/>
      <c r="L146" s="273"/>
      <c r="M146" s="273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>
        <f>SUM(X146:AF146)</f>
        <v>196357.52</v>
      </c>
      <c r="X146" s="283"/>
      <c r="Y146" s="273"/>
      <c r="Z146" s="16"/>
      <c r="AA146" s="17"/>
      <c r="AB146" s="17"/>
      <c r="AD146" s="279">
        <v>196357.52</v>
      </c>
      <c r="AE146" s="279"/>
      <c r="AF146" s="15"/>
      <c r="AG146" s="15"/>
    </row>
    <row r="147" spans="1:33" x14ac:dyDescent="0.3">
      <c r="A147" s="259">
        <f>A146+1</f>
        <v>92</v>
      </c>
      <c r="B147" s="20" t="s">
        <v>550</v>
      </c>
      <c r="C147" s="273">
        <f>D147+K147+L147+N147+R147+S147+U147+V147+W147</f>
        <v>196357.52</v>
      </c>
      <c r="D147" s="273"/>
      <c r="E147" s="273"/>
      <c r="F147" s="273"/>
      <c r="G147" s="273"/>
      <c r="H147" s="273"/>
      <c r="I147" s="273"/>
      <c r="J147" s="50"/>
      <c r="K147" s="273"/>
      <c r="L147" s="273"/>
      <c r="M147" s="273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>
        <f>SUM(X147:AF147)</f>
        <v>196357.52</v>
      </c>
      <c r="X147" s="283"/>
      <c r="Y147" s="17"/>
      <c r="Z147" s="17"/>
      <c r="AA147" s="17"/>
      <c r="AB147" s="17"/>
      <c r="AD147" s="279">
        <v>196357.52</v>
      </c>
      <c r="AE147" s="279"/>
      <c r="AF147" s="15"/>
      <c r="AG147" s="15"/>
    </row>
    <row r="148" spans="1:33" x14ac:dyDescent="0.3">
      <c r="A148" s="259">
        <f>A147+1</f>
        <v>93</v>
      </c>
      <c r="B148" s="20" t="s">
        <v>551</v>
      </c>
      <c r="C148" s="273">
        <f>D148+K148+L148+N148+R148+S148+U148+V148+W148</f>
        <v>130000</v>
      </c>
      <c r="D148" s="273"/>
      <c r="E148" s="273"/>
      <c r="F148" s="273"/>
      <c r="G148" s="273"/>
      <c r="H148" s="273"/>
      <c r="I148" s="273"/>
      <c r="J148" s="50"/>
      <c r="K148" s="273"/>
      <c r="L148" s="273"/>
      <c r="M148" s="273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>
        <v>130000</v>
      </c>
      <c r="X148" s="283"/>
      <c r="Y148" s="17"/>
      <c r="Z148" s="17"/>
      <c r="AA148" s="17"/>
      <c r="AB148" s="17"/>
      <c r="AC148" s="17"/>
      <c r="AD148" s="17"/>
      <c r="AE148" s="17"/>
      <c r="AF148" s="15"/>
      <c r="AG148" s="15"/>
    </row>
    <row r="149" spans="1:33" x14ac:dyDescent="0.3">
      <c r="A149" s="259"/>
      <c r="B149" s="20" t="s">
        <v>208</v>
      </c>
      <c r="C149" s="273">
        <f t="shared" ref="C149:W149" si="30">SUM(C145:C148)</f>
        <v>587740.57999999996</v>
      </c>
      <c r="D149" s="273">
        <f t="shared" si="30"/>
        <v>0</v>
      </c>
      <c r="E149" s="273">
        <f t="shared" si="30"/>
        <v>0</v>
      </c>
      <c r="F149" s="273">
        <f t="shared" si="30"/>
        <v>0</v>
      </c>
      <c r="G149" s="273">
        <f t="shared" si="30"/>
        <v>0</v>
      </c>
      <c r="H149" s="273">
        <f t="shared" si="30"/>
        <v>0</v>
      </c>
      <c r="I149" s="273">
        <f t="shared" si="30"/>
        <v>0</v>
      </c>
      <c r="J149" s="50">
        <f t="shared" si="30"/>
        <v>0</v>
      </c>
      <c r="K149" s="273">
        <f t="shared" si="30"/>
        <v>0</v>
      </c>
      <c r="L149" s="273">
        <f t="shared" si="30"/>
        <v>0</v>
      </c>
      <c r="M149" s="273">
        <f t="shared" si="30"/>
        <v>0</v>
      </c>
      <c r="N149" s="273">
        <f t="shared" si="30"/>
        <v>0</v>
      </c>
      <c r="O149" s="273">
        <f t="shared" si="30"/>
        <v>0</v>
      </c>
      <c r="P149" s="273">
        <f t="shared" si="30"/>
        <v>0</v>
      </c>
      <c r="Q149" s="273">
        <f t="shared" si="30"/>
        <v>0</v>
      </c>
      <c r="R149" s="273">
        <f t="shared" si="30"/>
        <v>0</v>
      </c>
      <c r="S149" s="273">
        <f t="shared" si="30"/>
        <v>0</v>
      </c>
      <c r="T149" s="273">
        <f t="shared" si="30"/>
        <v>0</v>
      </c>
      <c r="U149" s="273">
        <f t="shared" si="30"/>
        <v>0</v>
      </c>
      <c r="V149" s="273">
        <f t="shared" si="30"/>
        <v>0</v>
      </c>
      <c r="W149" s="273">
        <f t="shared" si="30"/>
        <v>587740.57999999996</v>
      </c>
      <c r="X149" s="37"/>
      <c r="Y149" s="279"/>
      <c r="Z149" s="279"/>
      <c r="AA149" s="279"/>
      <c r="AB149" s="279"/>
      <c r="AC149" s="279"/>
      <c r="AD149" s="279"/>
      <c r="AE149" s="279"/>
      <c r="AF149" s="279"/>
      <c r="AG149" s="15"/>
    </row>
    <row r="150" spans="1:33" x14ac:dyDescent="0.3">
      <c r="A150" s="425" t="s">
        <v>553</v>
      </c>
      <c r="B150" s="426"/>
      <c r="C150" s="273"/>
      <c r="D150" s="273"/>
      <c r="E150" s="273"/>
      <c r="F150" s="273"/>
      <c r="G150" s="273"/>
      <c r="H150" s="273"/>
      <c r="I150" s="273"/>
      <c r="J150" s="50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37"/>
      <c r="Y150" s="279"/>
      <c r="Z150" s="279"/>
      <c r="AA150" s="279"/>
      <c r="AB150" s="279"/>
      <c r="AC150" s="279"/>
      <c r="AD150" s="279"/>
      <c r="AE150" s="279"/>
      <c r="AF150" s="279"/>
      <c r="AG150" s="15"/>
    </row>
    <row r="151" spans="1:33" x14ac:dyDescent="0.3">
      <c r="A151" s="259">
        <f>A148+1</f>
        <v>94</v>
      </c>
      <c r="B151" s="20" t="s">
        <v>552</v>
      </c>
      <c r="C151" s="273">
        <f t="shared" ref="C151:C166" si="31">D151+K151+L151+N151+R151+S151+U151+V151+W151</f>
        <v>166592.82</v>
      </c>
      <c r="D151" s="273"/>
      <c r="E151" s="273"/>
      <c r="F151" s="273"/>
      <c r="G151" s="273"/>
      <c r="H151" s="273"/>
      <c r="I151" s="273"/>
      <c r="J151" s="50"/>
      <c r="K151" s="273"/>
      <c r="L151" s="273"/>
      <c r="M151" s="273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>
        <f>SUM(X151:AF151)</f>
        <v>166592.82</v>
      </c>
      <c r="X151" s="37"/>
      <c r="Y151" s="279"/>
      <c r="Z151" s="279"/>
      <c r="AA151" s="279"/>
      <c r="AB151" s="279"/>
      <c r="AC151" s="279"/>
      <c r="AE151" s="279">
        <v>166592.82</v>
      </c>
      <c r="AF151" s="279"/>
      <c r="AG151" s="15"/>
    </row>
    <row r="152" spans="1:33" x14ac:dyDescent="0.3">
      <c r="A152" s="259">
        <f t="shared" ref="A152:A166" si="32">A151+1</f>
        <v>95</v>
      </c>
      <c r="B152" s="20" t="s">
        <v>571</v>
      </c>
      <c r="C152" s="273">
        <f t="shared" si="31"/>
        <v>70691.03</v>
      </c>
      <c r="D152" s="273"/>
      <c r="E152" s="273"/>
      <c r="F152" s="273"/>
      <c r="G152" s="273"/>
      <c r="H152" s="273"/>
      <c r="I152" s="273"/>
      <c r="J152" s="50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>
        <f>SUM(Y152:AF152)</f>
        <v>70691.03</v>
      </c>
      <c r="Y152" s="279"/>
      <c r="Z152" s="279"/>
      <c r="AA152" s="279"/>
      <c r="AB152" s="37">
        <v>70691.03</v>
      </c>
      <c r="AC152" s="279"/>
      <c r="AD152" s="279"/>
      <c r="AE152" s="279"/>
      <c r="AF152" s="279"/>
      <c r="AG152" s="15"/>
    </row>
    <row r="153" spans="1:33" x14ac:dyDescent="0.3">
      <c r="A153" s="259">
        <f t="shared" si="32"/>
        <v>96</v>
      </c>
      <c r="B153" s="20" t="s">
        <v>572</v>
      </c>
      <c r="C153" s="273">
        <f t="shared" si="31"/>
        <v>1469311.36</v>
      </c>
      <c r="D153" s="273"/>
      <c r="E153" s="273"/>
      <c r="F153" s="273"/>
      <c r="G153" s="273"/>
      <c r="H153" s="273"/>
      <c r="I153" s="273"/>
      <c r="J153" s="50"/>
      <c r="K153" s="273"/>
      <c r="L153" s="273"/>
      <c r="M153" s="273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>
        <f>SUM(X153:AF153)</f>
        <v>1469311.36</v>
      </c>
      <c r="X153" s="37"/>
      <c r="Y153" s="279"/>
      <c r="Z153" s="279"/>
      <c r="AA153" s="279"/>
      <c r="AB153" s="279"/>
      <c r="AC153" s="279"/>
      <c r="AD153" s="279"/>
      <c r="AF153" s="279">
        <v>1469311.36</v>
      </c>
      <c r="AG153" s="15"/>
    </row>
    <row r="154" spans="1:33" x14ac:dyDescent="0.3">
      <c r="A154" s="259">
        <f t="shared" si="32"/>
        <v>97</v>
      </c>
      <c r="B154" s="20" t="s">
        <v>573</v>
      </c>
      <c r="C154" s="273">
        <f t="shared" si="31"/>
        <v>104134.33</v>
      </c>
      <c r="D154" s="273"/>
      <c r="E154" s="273"/>
      <c r="F154" s="273"/>
      <c r="G154" s="273"/>
      <c r="H154" s="273"/>
      <c r="I154" s="273"/>
      <c r="J154" s="50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>
        <f t="shared" ref="W154:W163" si="33">SUM(Y154:AF154)</f>
        <v>104134.33</v>
      </c>
      <c r="Y154" s="279"/>
      <c r="Z154" s="279"/>
      <c r="AA154" s="279"/>
      <c r="AB154" s="37">
        <v>104134.33</v>
      </c>
      <c r="AC154" s="279"/>
      <c r="AD154" s="279"/>
      <c r="AE154" s="279"/>
      <c r="AF154" s="279"/>
      <c r="AG154" s="15"/>
    </row>
    <row r="155" spans="1:33" x14ac:dyDescent="0.3">
      <c r="A155" s="259">
        <f t="shared" si="32"/>
        <v>98</v>
      </c>
      <c r="B155" s="20" t="s">
        <v>574</v>
      </c>
      <c r="C155" s="273">
        <f t="shared" si="31"/>
        <v>1444649.53</v>
      </c>
      <c r="D155" s="273"/>
      <c r="E155" s="273"/>
      <c r="F155" s="273"/>
      <c r="G155" s="273"/>
      <c r="H155" s="273"/>
      <c r="I155" s="273"/>
      <c r="J155" s="50"/>
      <c r="K155" s="273"/>
      <c r="L155" s="273"/>
      <c r="M155" s="273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>
        <f t="shared" si="33"/>
        <v>1444649.53</v>
      </c>
      <c r="Y155" s="279"/>
      <c r="Z155" s="279"/>
      <c r="AA155" s="279"/>
      <c r="AB155" s="37"/>
      <c r="AC155" s="279"/>
      <c r="AD155" s="279"/>
      <c r="AE155" s="279">
        <v>1444649.53</v>
      </c>
      <c r="AF155" s="279"/>
      <c r="AG155" s="15"/>
    </row>
    <row r="156" spans="1:33" x14ac:dyDescent="0.3">
      <c r="A156" s="259">
        <f t="shared" si="32"/>
        <v>99</v>
      </c>
      <c r="B156" s="20" t="s">
        <v>575</v>
      </c>
      <c r="C156" s="273">
        <f t="shared" si="31"/>
        <v>103913.86</v>
      </c>
      <c r="D156" s="273"/>
      <c r="E156" s="273"/>
      <c r="F156" s="273"/>
      <c r="G156" s="273"/>
      <c r="H156" s="273"/>
      <c r="I156" s="273"/>
      <c r="J156" s="50"/>
      <c r="K156" s="273"/>
      <c r="L156" s="273"/>
      <c r="M156" s="273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>
        <f t="shared" si="33"/>
        <v>103913.86</v>
      </c>
      <c r="Y156" s="279"/>
      <c r="Z156" s="279"/>
      <c r="AA156" s="279"/>
      <c r="AB156" s="37">
        <v>103913.86</v>
      </c>
      <c r="AC156" s="279"/>
      <c r="AD156" s="279"/>
      <c r="AE156" s="279"/>
      <c r="AF156" s="279"/>
      <c r="AG156" s="15"/>
    </row>
    <row r="157" spans="1:33" x14ac:dyDescent="0.3">
      <c r="A157" s="259">
        <f t="shared" si="32"/>
        <v>100</v>
      </c>
      <c r="B157" s="20" t="s">
        <v>576</v>
      </c>
      <c r="C157" s="273">
        <f t="shared" si="31"/>
        <v>551760.11</v>
      </c>
      <c r="D157" s="273"/>
      <c r="E157" s="273"/>
      <c r="F157" s="273"/>
      <c r="G157" s="273"/>
      <c r="H157" s="273"/>
      <c r="I157" s="273"/>
      <c r="J157" s="50"/>
      <c r="K157" s="273"/>
      <c r="L157" s="273"/>
      <c r="M157" s="273"/>
      <c r="N157" s="273"/>
      <c r="O157" s="273"/>
      <c r="P157" s="273"/>
      <c r="Q157" s="273"/>
      <c r="R157" s="273"/>
      <c r="S157" s="273"/>
      <c r="T157" s="273"/>
      <c r="U157" s="273"/>
      <c r="V157" s="273"/>
      <c r="W157" s="273">
        <f t="shared" si="33"/>
        <v>551760.11</v>
      </c>
      <c r="Y157" s="279"/>
      <c r="Z157" s="279"/>
      <c r="AA157" s="279"/>
      <c r="AB157" s="37"/>
      <c r="AC157" s="279"/>
      <c r="AD157" s="279"/>
      <c r="AE157" s="279">
        <v>551760.11</v>
      </c>
      <c r="AF157" s="279"/>
      <c r="AG157" s="15"/>
    </row>
    <row r="158" spans="1:33" x14ac:dyDescent="0.3">
      <c r="A158" s="259">
        <f t="shared" si="32"/>
        <v>101</v>
      </c>
      <c r="B158" s="20" t="s">
        <v>577</v>
      </c>
      <c r="C158" s="273">
        <f t="shared" si="31"/>
        <v>283358.82</v>
      </c>
      <c r="D158" s="273"/>
      <c r="E158" s="273"/>
      <c r="F158" s="273"/>
      <c r="G158" s="273"/>
      <c r="H158" s="273"/>
      <c r="I158" s="273"/>
      <c r="J158" s="50"/>
      <c r="K158" s="273"/>
      <c r="L158" s="273"/>
      <c r="M158" s="273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>
        <f t="shared" si="33"/>
        <v>283358.82</v>
      </c>
      <c r="Y158" s="279"/>
      <c r="Z158" s="279"/>
      <c r="AA158" s="279"/>
      <c r="AB158" s="37"/>
      <c r="AC158" s="279"/>
      <c r="AE158" s="279">
        <v>283358.82</v>
      </c>
      <c r="AF158" s="279"/>
      <c r="AG158" s="15"/>
    </row>
    <row r="159" spans="1:33" x14ac:dyDescent="0.3">
      <c r="A159" s="259">
        <f t="shared" si="32"/>
        <v>102</v>
      </c>
      <c r="B159" s="20" t="s">
        <v>578</v>
      </c>
      <c r="C159" s="273">
        <f t="shared" si="31"/>
        <v>225087.2</v>
      </c>
      <c r="D159" s="273"/>
      <c r="E159" s="273"/>
      <c r="F159" s="273"/>
      <c r="G159" s="273"/>
      <c r="H159" s="273"/>
      <c r="I159" s="273"/>
      <c r="J159" s="50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>
        <f t="shared" si="33"/>
        <v>225087.2</v>
      </c>
      <c r="Y159" s="279"/>
      <c r="Z159" s="279"/>
      <c r="AA159" s="279"/>
      <c r="AB159" s="37"/>
      <c r="AC159" s="279"/>
      <c r="AE159" s="279">
        <v>225087.2</v>
      </c>
      <c r="AF159" s="279"/>
      <c r="AG159" s="15"/>
    </row>
    <row r="160" spans="1:33" x14ac:dyDescent="0.3">
      <c r="A160" s="259">
        <f t="shared" si="32"/>
        <v>103</v>
      </c>
      <c r="B160" s="20" t="s">
        <v>579</v>
      </c>
      <c r="C160" s="273">
        <f t="shared" si="31"/>
        <v>551760.11</v>
      </c>
      <c r="D160" s="273"/>
      <c r="E160" s="273"/>
      <c r="F160" s="273"/>
      <c r="G160" s="273"/>
      <c r="H160" s="273"/>
      <c r="I160" s="273"/>
      <c r="J160" s="50"/>
      <c r="K160" s="273"/>
      <c r="L160" s="273"/>
      <c r="M160" s="273"/>
      <c r="N160" s="273"/>
      <c r="O160" s="273"/>
      <c r="P160" s="273"/>
      <c r="Q160" s="273"/>
      <c r="R160" s="273"/>
      <c r="S160" s="273"/>
      <c r="T160" s="273"/>
      <c r="U160" s="273"/>
      <c r="V160" s="273"/>
      <c r="W160" s="273">
        <f t="shared" si="33"/>
        <v>551760.11</v>
      </c>
      <c r="Y160" s="279"/>
      <c r="Z160" s="279"/>
      <c r="AA160" s="279"/>
      <c r="AB160" s="37"/>
      <c r="AC160" s="279"/>
      <c r="AE160" s="279"/>
      <c r="AF160" s="279">
        <v>551760.11</v>
      </c>
      <c r="AG160" s="15"/>
    </row>
    <row r="161" spans="1:33" x14ac:dyDescent="0.3">
      <c r="A161" s="259">
        <f t="shared" si="32"/>
        <v>104</v>
      </c>
      <c r="B161" s="20" t="s">
        <v>580</v>
      </c>
      <c r="C161" s="273">
        <f t="shared" si="31"/>
        <v>279213.73</v>
      </c>
      <c r="D161" s="273"/>
      <c r="E161" s="273"/>
      <c r="F161" s="273"/>
      <c r="G161" s="273"/>
      <c r="H161" s="273"/>
      <c r="I161" s="273"/>
      <c r="J161" s="50"/>
      <c r="K161" s="273"/>
      <c r="L161" s="273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>
        <f t="shared" si="33"/>
        <v>279213.73</v>
      </c>
      <c r="Y161" s="279"/>
      <c r="Z161" s="279"/>
      <c r="AA161" s="279"/>
      <c r="AB161" s="37"/>
      <c r="AC161" s="279"/>
      <c r="AE161" s="279">
        <v>279213.73</v>
      </c>
      <c r="AF161" s="279"/>
      <c r="AG161" s="15"/>
    </row>
    <row r="162" spans="1:33" x14ac:dyDescent="0.3">
      <c r="A162" s="259">
        <f t="shared" si="32"/>
        <v>105</v>
      </c>
      <c r="B162" s="20" t="s">
        <v>581</v>
      </c>
      <c r="C162" s="273">
        <f t="shared" si="31"/>
        <v>551760.11</v>
      </c>
      <c r="D162" s="273"/>
      <c r="E162" s="273"/>
      <c r="F162" s="273"/>
      <c r="G162" s="273"/>
      <c r="H162" s="273"/>
      <c r="I162" s="273"/>
      <c r="J162" s="50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>
        <f t="shared" si="33"/>
        <v>551760.11</v>
      </c>
      <c r="Y162" s="279"/>
      <c r="Z162" s="279"/>
      <c r="AA162" s="279"/>
      <c r="AB162" s="37"/>
      <c r="AC162" s="279"/>
      <c r="AE162" s="279"/>
      <c r="AF162" s="279">
        <v>551760.11</v>
      </c>
      <c r="AG162" s="15"/>
    </row>
    <row r="163" spans="1:33" x14ac:dyDescent="0.3">
      <c r="A163" s="259">
        <f t="shared" si="32"/>
        <v>106</v>
      </c>
      <c r="B163" s="20" t="s">
        <v>582</v>
      </c>
      <c r="C163" s="273">
        <f t="shared" si="31"/>
        <v>189312.7</v>
      </c>
      <c r="D163" s="273"/>
      <c r="E163" s="273"/>
      <c r="F163" s="273"/>
      <c r="G163" s="273"/>
      <c r="H163" s="273"/>
      <c r="I163" s="273"/>
      <c r="J163" s="50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>
        <f t="shared" si="33"/>
        <v>189312.7</v>
      </c>
      <c r="Y163" s="279"/>
      <c r="Z163" s="279"/>
      <c r="AA163" s="279"/>
      <c r="AB163" s="37">
        <v>189312.7</v>
      </c>
      <c r="AC163" s="279"/>
      <c r="AE163" s="279"/>
      <c r="AF163" s="279"/>
      <c r="AG163" s="15"/>
    </row>
    <row r="164" spans="1:33" x14ac:dyDescent="0.3">
      <c r="A164" s="259">
        <f t="shared" si="32"/>
        <v>107</v>
      </c>
      <c r="B164" s="20" t="s">
        <v>583</v>
      </c>
      <c r="C164" s="273">
        <f t="shared" si="31"/>
        <v>106536.02</v>
      </c>
      <c r="D164" s="273"/>
      <c r="E164" s="273"/>
      <c r="F164" s="273"/>
      <c r="G164" s="273"/>
      <c r="H164" s="273"/>
      <c r="I164" s="273"/>
      <c r="J164" s="50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  <c r="V164" s="273"/>
      <c r="W164" s="273">
        <f>SUM(X164:AF164)</f>
        <v>106536.02</v>
      </c>
      <c r="X164" s="37"/>
      <c r="Y164" s="279">
        <v>106536.02</v>
      </c>
      <c r="Z164" s="279"/>
      <c r="AA164" s="279"/>
      <c r="AB164" s="279"/>
      <c r="AC164" s="279"/>
      <c r="AE164" s="279"/>
      <c r="AF164" s="279"/>
      <c r="AG164" s="15"/>
    </row>
    <row r="165" spans="1:33" x14ac:dyDescent="0.3">
      <c r="A165" s="259">
        <f t="shared" si="32"/>
        <v>108</v>
      </c>
      <c r="B165" s="20" t="s">
        <v>584</v>
      </c>
      <c r="C165" s="273">
        <f t="shared" si="31"/>
        <v>273361.01</v>
      </c>
      <c r="D165" s="273"/>
      <c r="E165" s="273"/>
      <c r="F165" s="273"/>
      <c r="G165" s="273"/>
      <c r="H165" s="273"/>
      <c r="I165" s="273"/>
      <c r="J165" s="50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>
        <f>SUM(X165:AF165)</f>
        <v>273361.01</v>
      </c>
      <c r="X165" s="37"/>
      <c r="Y165" s="279"/>
      <c r="Z165" s="279"/>
      <c r="AA165" s="279"/>
      <c r="AB165" s="279"/>
      <c r="AC165" s="279"/>
      <c r="AE165" s="279">
        <v>273361.01</v>
      </c>
      <c r="AF165" s="279"/>
      <c r="AG165" s="15"/>
    </row>
    <row r="166" spans="1:33" x14ac:dyDescent="0.3">
      <c r="A166" s="259">
        <f t="shared" si="32"/>
        <v>109</v>
      </c>
      <c r="B166" s="20" t="s">
        <v>585</v>
      </c>
      <c r="C166" s="273">
        <f t="shared" si="31"/>
        <v>119220.67</v>
      </c>
      <c r="D166" s="273"/>
      <c r="E166" s="273"/>
      <c r="F166" s="273"/>
      <c r="G166" s="273"/>
      <c r="H166" s="273"/>
      <c r="I166" s="273"/>
      <c r="J166" s="50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>
        <f>SUM(X166:AF166)</f>
        <v>119220.67</v>
      </c>
      <c r="X166" s="37"/>
      <c r="Y166" s="279">
        <v>119220.67</v>
      </c>
      <c r="Z166" s="279"/>
      <c r="AA166" s="279"/>
      <c r="AB166" s="279"/>
      <c r="AC166" s="279"/>
      <c r="AD166" s="279"/>
      <c r="AE166" s="279"/>
      <c r="AF166" s="279"/>
      <c r="AG166" s="15"/>
    </row>
    <row r="167" spans="1:33" x14ac:dyDescent="0.3">
      <c r="A167" s="259"/>
      <c r="B167" s="20" t="s">
        <v>208</v>
      </c>
      <c r="C167" s="273">
        <f t="shared" ref="C167:W167" si="34">SUM(C151:C166)</f>
        <v>6490663.4100000001</v>
      </c>
      <c r="D167" s="273">
        <f t="shared" si="34"/>
        <v>0</v>
      </c>
      <c r="E167" s="273">
        <f t="shared" si="34"/>
        <v>0</v>
      </c>
      <c r="F167" s="273">
        <f t="shared" si="34"/>
        <v>0</v>
      </c>
      <c r="G167" s="273">
        <f t="shared" si="34"/>
        <v>0</v>
      </c>
      <c r="H167" s="273">
        <f t="shared" si="34"/>
        <v>0</v>
      </c>
      <c r="I167" s="273">
        <f t="shared" si="34"/>
        <v>0</v>
      </c>
      <c r="J167" s="50">
        <f t="shared" si="34"/>
        <v>0</v>
      </c>
      <c r="K167" s="273">
        <f t="shared" si="34"/>
        <v>0</v>
      </c>
      <c r="L167" s="273">
        <f t="shared" si="34"/>
        <v>0</v>
      </c>
      <c r="M167" s="273">
        <f t="shared" si="34"/>
        <v>0</v>
      </c>
      <c r="N167" s="273">
        <f t="shared" si="34"/>
        <v>0</v>
      </c>
      <c r="O167" s="273">
        <f t="shared" si="34"/>
        <v>0</v>
      </c>
      <c r="P167" s="273">
        <f t="shared" si="34"/>
        <v>0</v>
      </c>
      <c r="Q167" s="273">
        <f t="shared" si="34"/>
        <v>0</v>
      </c>
      <c r="R167" s="273">
        <f t="shared" si="34"/>
        <v>0</v>
      </c>
      <c r="S167" s="273">
        <f t="shared" si="34"/>
        <v>0</v>
      </c>
      <c r="T167" s="273">
        <f t="shared" si="34"/>
        <v>0</v>
      </c>
      <c r="U167" s="273">
        <f t="shared" si="34"/>
        <v>0</v>
      </c>
      <c r="V167" s="273">
        <f t="shared" si="34"/>
        <v>0</v>
      </c>
      <c r="W167" s="273">
        <f t="shared" si="34"/>
        <v>6490663.4100000001</v>
      </c>
      <c r="X167" s="37"/>
      <c r="Y167" s="279"/>
      <c r="Z167" s="279"/>
      <c r="AA167" s="279"/>
      <c r="AB167" s="279"/>
      <c r="AC167" s="279"/>
      <c r="AD167" s="279"/>
      <c r="AE167" s="279"/>
      <c r="AF167" s="279"/>
      <c r="AG167" s="15"/>
    </row>
    <row r="168" spans="1:33" x14ac:dyDescent="0.3">
      <c r="A168" s="317" t="s">
        <v>586</v>
      </c>
      <c r="B168" s="318"/>
      <c r="C168" s="273"/>
      <c r="D168" s="273"/>
      <c r="E168" s="273"/>
      <c r="F168" s="273"/>
      <c r="G168" s="273"/>
      <c r="H168" s="273"/>
      <c r="I168" s="273"/>
      <c r="J168" s="50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283"/>
      <c r="Y168" s="15"/>
      <c r="Z168" s="15"/>
      <c r="AA168" s="15"/>
      <c r="AB168" s="15"/>
      <c r="AC168" s="15"/>
      <c r="AD168" s="15"/>
      <c r="AE168" s="15"/>
      <c r="AF168" s="15"/>
      <c r="AG168" s="15"/>
    </row>
    <row r="169" spans="1:33" x14ac:dyDescent="0.3">
      <c r="A169" s="259">
        <f>A166+1</f>
        <v>110</v>
      </c>
      <c r="B169" s="20" t="s">
        <v>587</v>
      </c>
      <c r="C169" s="273">
        <f t="shared" ref="C169:C201" si="35">D169+K169+L169+N169+R169+S169+U169+V169+W169</f>
        <v>197473.36</v>
      </c>
      <c r="D169" s="273"/>
      <c r="E169" s="273"/>
      <c r="F169" s="273"/>
      <c r="G169" s="273"/>
      <c r="H169" s="273"/>
      <c r="I169" s="273"/>
      <c r="J169" s="50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>
        <f>SUM(Y169:AG169)</f>
        <v>197473.36</v>
      </c>
      <c r="Y169" s="19"/>
      <c r="Z169" s="19"/>
      <c r="AA169" s="19"/>
      <c r="AB169" s="37"/>
      <c r="AD169" s="19">
        <v>197473.36</v>
      </c>
      <c r="AE169" s="15"/>
      <c r="AF169" s="15"/>
      <c r="AG169" s="15"/>
    </row>
    <row r="170" spans="1:33" x14ac:dyDescent="0.3">
      <c r="A170" s="259">
        <f t="shared" ref="A170:A201" si="36">A169+1</f>
        <v>111</v>
      </c>
      <c r="B170" s="20" t="s">
        <v>588</v>
      </c>
      <c r="C170" s="273">
        <f t="shared" si="35"/>
        <v>196526.74</v>
      </c>
      <c r="D170" s="273"/>
      <c r="E170" s="273"/>
      <c r="F170" s="273"/>
      <c r="G170" s="273"/>
      <c r="H170" s="273"/>
      <c r="I170" s="273"/>
      <c r="J170" s="50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>
        <f>SUM(Y170:AG170)</f>
        <v>196526.74</v>
      </c>
      <c r="Y170" s="15"/>
      <c r="Z170" s="15"/>
      <c r="AA170" s="15"/>
      <c r="AB170" s="283"/>
      <c r="AD170" s="19">
        <v>196526.74</v>
      </c>
      <c r="AE170" s="19"/>
      <c r="AF170" s="19"/>
      <c r="AG170" s="15"/>
    </row>
    <row r="171" spans="1:33" x14ac:dyDescent="0.3">
      <c r="A171" s="259">
        <f t="shared" si="36"/>
        <v>112</v>
      </c>
      <c r="B171" s="20" t="s">
        <v>589</v>
      </c>
      <c r="C171" s="273">
        <f t="shared" si="35"/>
        <v>112804.1</v>
      </c>
      <c r="D171" s="273"/>
      <c r="E171" s="273"/>
      <c r="F171" s="273"/>
      <c r="G171" s="273"/>
      <c r="H171" s="273"/>
      <c r="I171" s="273"/>
      <c r="J171" s="50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>
        <f>SUM(Y171:AG171)</f>
        <v>112804.1</v>
      </c>
      <c r="Y171" s="15"/>
      <c r="Z171" s="15"/>
      <c r="AA171" s="15"/>
      <c r="AB171" s="283"/>
      <c r="AD171" s="19">
        <v>112804.1</v>
      </c>
      <c r="AE171" s="19"/>
      <c r="AF171" s="19"/>
      <c r="AG171" s="15"/>
    </row>
    <row r="172" spans="1:33" x14ac:dyDescent="0.3">
      <c r="A172" s="259">
        <f t="shared" si="36"/>
        <v>113</v>
      </c>
      <c r="B172" s="20" t="s">
        <v>590</v>
      </c>
      <c r="C172" s="273">
        <f t="shared" si="35"/>
        <v>108952.06</v>
      </c>
      <c r="D172" s="273"/>
      <c r="E172" s="273"/>
      <c r="F172" s="273"/>
      <c r="G172" s="273"/>
      <c r="H172" s="273"/>
      <c r="I172" s="273"/>
      <c r="J172" s="50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>
        <f>SUM(Y172:AG172)</f>
        <v>108952.06</v>
      </c>
      <c r="Y172" s="15"/>
      <c r="Z172" s="15"/>
      <c r="AA172" s="15"/>
      <c r="AB172" s="37"/>
      <c r="AD172" s="19">
        <v>108952.06</v>
      </c>
      <c r="AE172" s="15"/>
      <c r="AF172" s="19"/>
      <c r="AG172" s="19"/>
    </row>
    <row r="173" spans="1:33" x14ac:dyDescent="0.3">
      <c r="A173" s="259">
        <f t="shared" si="36"/>
        <v>114</v>
      </c>
      <c r="B173" s="20" t="s">
        <v>591</v>
      </c>
      <c r="C173" s="273">
        <f t="shared" si="35"/>
        <v>197210.4</v>
      </c>
      <c r="D173" s="273"/>
      <c r="E173" s="273"/>
      <c r="F173" s="273"/>
      <c r="G173" s="273"/>
      <c r="H173" s="273"/>
      <c r="I173" s="273"/>
      <c r="J173" s="50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  <c r="V173" s="273"/>
      <c r="W173" s="273">
        <f>SUM(Y173:AG173)</f>
        <v>197210.4</v>
      </c>
      <c r="Y173" s="19"/>
      <c r="Z173" s="19"/>
      <c r="AA173" s="19"/>
      <c r="AB173" s="37"/>
      <c r="AD173" s="19">
        <v>197210.4</v>
      </c>
      <c r="AE173" s="19"/>
      <c r="AF173" s="19"/>
      <c r="AG173" s="19"/>
    </row>
    <row r="174" spans="1:33" x14ac:dyDescent="0.3">
      <c r="A174" s="259">
        <f t="shared" si="36"/>
        <v>115</v>
      </c>
      <c r="B174" s="20" t="s">
        <v>592</v>
      </c>
      <c r="C174" s="273">
        <f t="shared" si="35"/>
        <v>204753.67</v>
      </c>
      <c r="D174" s="273"/>
      <c r="E174" s="273"/>
      <c r="F174" s="273"/>
      <c r="G174" s="273"/>
      <c r="H174" s="273"/>
      <c r="I174" s="273"/>
      <c r="J174" s="50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>
        <f t="shared" ref="W174:W184" si="37">SUM(Y174:AG174)</f>
        <v>204753.67</v>
      </c>
      <c r="Y174" s="15"/>
      <c r="Z174" s="15"/>
      <c r="AA174" s="15"/>
      <c r="AB174" s="283"/>
      <c r="AD174" s="19">
        <v>204753.67</v>
      </c>
      <c r="AE174" s="19"/>
      <c r="AF174" s="19"/>
      <c r="AG174" s="15"/>
    </row>
    <row r="175" spans="1:33" x14ac:dyDescent="0.3">
      <c r="A175" s="259">
        <f t="shared" si="36"/>
        <v>116</v>
      </c>
      <c r="B175" s="20" t="s">
        <v>593</v>
      </c>
      <c r="C175" s="273">
        <f t="shared" si="35"/>
        <v>115979.05</v>
      </c>
      <c r="D175" s="273"/>
      <c r="E175" s="273"/>
      <c r="F175" s="273"/>
      <c r="G175" s="273"/>
      <c r="H175" s="273"/>
      <c r="I175" s="273"/>
      <c r="J175" s="50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>
        <f t="shared" si="37"/>
        <v>115979.05</v>
      </c>
      <c r="Y175" s="15"/>
      <c r="Z175" s="15"/>
      <c r="AA175" s="15"/>
      <c r="AB175" s="283"/>
      <c r="AD175" s="19">
        <v>115979.05</v>
      </c>
      <c r="AE175" s="19"/>
      <c r="AF175" s="19"/>
      <c r="AG175" s="15"/>
    </row>
    <row r="176" spans="1:33" x14ac:dyDescent="0.3">
      <c r="A176" s="259">
        <f t="shared" si="36"/>
        <v>117</v>
      </c>
      <c r="B176" s="20" t="s">
        <v>594</v>
      </c>
      <c r="C176" s="273">
        <f t="shared" si="35"/>
        <v>111824.09</v>
      </c>
      <c r="D176" s="273"/>
      <c r="E176" s="273"/>
      <c r="F176" s="273"/>
      <c r="G176" s="273"/>
      <c r="H176" s="273"/>
      <c r="I176" s="273"/>
      <c r="J176" s="50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>
        <f t="shared" si="37"/>
        <v>111824.09</v>
      </c>
      <c r="Y176" s="19"/>
      <c r="Z176" s="19"/>
      <c r="AA176" s="19"/>
      <c r="AB176" s="37"/>
      <c r="AD176" s="19">
        <v>111824.09</v>
      </c>
      <c r="AE176" s="19"/>
      <c r="AF176" s="19"/>
      <c r="AG176" s="15"/>
    </row>
    <row r="177" spans="1:33" x14ac:dyDescent="0.3">
      <c r="A177" s="259">
        <f t="shared" si="36"/>
        <v>118</v>
      </c>
      <c r="B177" s="20" t="s">
        <v>595</v>
      </c>
      <c r="C177" s="273">
        <f t="shared" si="35"/>
        <v>196158.62</v>
      </c>
      <c r="D177" s="273"/>
      <c r="E177" s="273"/>
      <c r="F177" s="273"/>
      <c r="G177" s="273"/>
      <c r="H177" s="273"/>
      <c r="I177" s="273"/>
      <c r="J177" s="50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  <c r="V177" s="273"/>
      <c r="W177" s="273">
        <f t="shared" si="37"/>
        <v>196158.62</v>
      </c>
      <c r="Y177" s="15"/>
      <c r="Z177" s="15"/>
      <c r="AA177" s="15"/>
      <c r="AB177" s="283"/>
      <c r="AD177" s="19">
        <v>196158.62</v>
      </c>
      <c r="AE177" s="19"/>
      <c r="AF177" s="19"/>
      <c r="AG177" s="15"/>
    </row>
    <row r="178" spans="1:33" x14ac:dyDescent="0.3">
      <c r="A178" s="259">
        <f t="shared" si="36"/>
        <v>119</v>
      </c>
      <c r="B178" s="20" t="s">
        <v>596</v>
      </c>
      <c r="C178" s="273">
        <f t="shared" si="35"/>
        <v>127407.67999999999</v>
      </c>
      <c r="D178" s="273"/>
      <c r="E178" s="273"/>
      <c r="F178" s="273"/>
      <c r="G178" s="273"/>
      <c r="H178" s="273"/>
      <c r="I178" s="273"/>
      <c r="J178" s="50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  <c r="V178" s="273"/>
      <c r="W178" s="273">
        <f t="shared" si="37"/>
        <v>127407.67999999999</v>
      </c>
      <c r="Y178" s="15"/>
      <c r="Z178" s="15"/>
      <c r="AA178" s="15"/>
      <c r="AB178" s="37"/>
      <c r="AD178" s="19">
        <v>127407.67999999999</v>
      </c>
      <c r="AE178" s="19"/>
      <c r="AF178" s="19"/>
      <c r="AG178" s="15"/>
    </row>
    <row r="179" spans="1:33" x14ac:dyDescent="0.3">
      <c r="A179" s="259">
        <f t="shared" si="36"/>
        <v>120</v>
      </c>
      <c r="B179" s="20" t="s">
        <v>597</v>
      </c>
      <c r="C179" s="273">
        <f t="shared" si="35"/>
        <v>218723.14</v>
      </c>
      <c r="D179" s="273"/>
      <c r="E179" s="273"/>
      <c r="F179" s="273"/>
      <c r="G179" s="273"/>
      <c r="H179" s="273"/>
      <c r="I179" s="273"/>
      <c r="J179" s="50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>
        <f t="shared" si="37"/>
        <v>218723.14</v>
      </c>
      <c r="Y179" s="19"/>
      <c r="Z179" s="19"/>
      <c r="AA179" s="15"/>
      <c r="AB179" s="37"/>
      <c r="AD179" s="19">
        <v>218723.14</v>
      </c>
      <c r="AE179" s="19"/>
      <c r="AF179" s="19"/>
      <c r="AG179" s="15"/>
    </row>
    <row r="180" spans="1:33" x14ac:dyDescent="0.3">
      <c r="A180" s="259">
        <f t="shared" si="36"/>
        <v>121</v>
      </c>
      <c r="B180" s="20" t="s">
        <v>598</v>
      </c>
      <c r="C180" s="273">
        <f t="shared" si="35"/>
        <v>218723.14</v>
      </c>
      <c r="D180" s="273"/>
      <c r="E180" s="273"/>
      <c r="F180" s="273"/>
      <c r="G180" s="273"/>
      <c r="H180" s="273"/>
      <c r="I180" s="273"/>
      <c r="J180" s="50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  <c r="V180" s="273"/>
      <c r="W180" s="273">
        <f t="shared" si="37"/>
        <v>218723.14</v>
      </c>
      <c r="Y180" s="19"/>
      <c r="Z180" s="26"/>
      <c r="AA180" s="19"/>
      <c r="AB180" s="37"/>
      <c r="AD180" s="19">
        <v>218723.14</v>
      </c>
      <c r="AE180" s="19"/>
      <c r="AF180" s="19"/>
      <c r="AG180" s="15"/>
    </row>
    <row r="181" spans="1:33" x14ac:dyDescent="0.3">
      <c r="A181" s="259">
        <f t="shared" si="36"/>
        <v>122</v>
      </c>
      <c r="B181" s="20" t="s">
        <v>599</v>
      </c>
      <c r="C181" s="273">
        <f t="shared" si="35"/>
        <v>432222.13</v>
      </c>
      <c r="D181" s="273"/>
      <c r="E181" s="273"/>
      <c r="F181" s="273"/>
      <c r="G181" s="273"/>
      <c r="H181" s="273"/>
      <c r="I181" s="273"/>
      <c r="J181" s="50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  <c r="V181" s="273"/>
      <c r="W181" s="273">
        <f t="shared" si="37"/>
        <v>432222.13</v>
      </c>
      <c r="Y181" s="19"/>
      <c r="Z181" s="19"/>
      <c r="AA181" s="19"/>
      <c r="AB181" s="37"/>
      <c r="AD181" s="19">
        <v>432222.13</v>
      </c>
      <c r="AE181" s="19"/>
      <c r="AF181" s="19"/>
      <c r="AG181" s="15"/>
    </row>
    <row r="182" spans="1:33" x14ac:dyDescent="0.3">
      <c r="A182" s="259">
        <f t="shared" si="36"/>
        <v>123</v>
      </c>
      <c r="B182" s="20" t="s">
        <v>600</v>
      </c>
      <c r="C182" s="273">
        <f t="shared" si="35"/>
        <v>345655.27</v>
      </c>
      <c r="D182" s="273"/>
      <c r="E182" s="273"/>
      <c r="F182" s="273"/>
      <c r="G182" s="273"/>
      <c r="H182" s="273"/>
      <c r="I182" s="273"/>
      <c r="J182" s="50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  <c r="V182" s="273"/>
      <c r="W182" s="273">
        <f t="shared" si="37"/>
        <v>345655.27</v>
      </c>
      <c r="Y182" s="19"/>
      <c r="Z182" s="19"/>
      <c r="AA182" s="19"/>
      <c r="AB182" s="37"/>
      <c r="AD182" s="19">
        <v>345655.27</v>
      </c>
      <c r="AE182" s="19"/>
      <c r="AF182" s="15"/>
      <c r="AG182" s="15"/>
    </row>
    <row r="183" spans="1:33" x14ac:dyDescent="0.3">
      <c r="A183" s="259">
        <f t="shared" si="36"/>
        <v>124</v>
      </c>
      <c r="B183" s="20" t="s">
        <v>601</v>
      </c>
      <c r="C183" s="273">
        <f t="shared" si="35"/>
        <v>245254.18</v>
      </c>
      <c r="D183" s="273"/>
      <c r="E183" s="273"/>
      <c r="F183" s="273"/>
      <c r="G183" s="273"/>
      <c r="H183" s="273"/>
      <c r="I183" s="273"/>
      <c r="J183" s="50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  <c r="V183" s="273"/>
      <c r="W183" s="273">
        <f t="shared" si="37"/>
        <v>245254.18</v>
      </c>
      <c r="Y183" s="15"/>
      <c r="Z183" s="15"/>
      <c r="AA183" s="15"/>
      <c r="AB183" s="283"/>
      <c r="AD183" s="19">
        <v>245254.18</v>
      </c>
      <c r="AE183" s="19"/>
      <c r="AF183" s="19"/>
      <c r="AG183" s="15"/>
    </row>
    <row r="184" spans="1:33" x14ac:dyDescent="0.3">
      <c r="A184" s="259">
        <f t="shared" si="36"/>
        <v>125</v>
      </c>
      <c r="B184" s="20" t="s">
        <v>602</v>
      </c>
      <c r="C184" s="273">
        <f t="shared" si="35"/>
        <v>245254.18</v>
      </c>
      <c r="D184" s="273"/>
      <c r="E184" s="273"/>
      <c r="F184" s="273"/>
      <c r="G184" s="273"/>
      <c r="H184" s="273"/>
      <c r="I184" s="273"/>
      <c r="J184" s="50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  <c r="V184" s="273"/>
      <c r="W184" s="273">
        <f t="shared" si="37"/>
        <v>245254.18</v>
      </c>
      <c r="Y184" s="15"/>
      <c r="Z184" s="15"/>
      <c r="AA184" s="15"/>
      <c r="AB184" s="283"/>
      <c r="AD184" s="19">
        <v>245254.18</v>
      </c>
      <c r="AE184" s="19"/>
      <c r="AF184" s="19"/>
      <c r="AG184" s="15"/>
    </row>
    <row r="185" spans="1:33" x14ac:dyDescent="0.3">
      <c r="A185" s="259">
        <f t="shared" si="36"/>
        <v>126</v>
      </c>
      <c r="B185" s="20" t="s">
        <v>603</v>
      </c>
      <c r="C185" s="273">
        <f t="shared" si="35"/>
        <v>130000</v>
      </c>
      <c r="D185" s="273"/>
      <c r="E185" s="273"/>
      <c r="F185" s="273"/>
      <c r="G185" s="273"/>
      <c r="H185" s="273"/>
      <c r="I185" s="273"/>
      <c r="J185" s="50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  <c r="V185" s="273"/>
      <c r="W185" s="273">
        <v>130000</v>
      </c>
      <c r="Y185" s="15"/>
      <c r="Z185" s="15"/>
      <c r="AA185" s="15"/>
      <c r="AB185" s="283">
        <v>130000</v>
      </c>
      <c r="AD185" s="15"/>
      <c r="AE185" s="15"/>
      <c r="AF185" s="15"/>
      <c r="AG185" s="15"/>
    </row>
    <row r="186" spans="1:33" x14ac:dyDescent="0.3">
      <c r="A186" s="259">
        <f t="shared" si="36"/>
        <v>127</v>
      </c>
      <c r="B186" s="20" t="s">
        <v>604</v>
      </c>
      <c r="C186" s="273">
        <f t="shared" si="35"/>
        <v>112412.06</v>
      </c>
      <c r="D186" s="273"/>
      <c r="E186" s="273"/>
      <c r="F186" s="273"/>
      <c r="G186" s="273"/>
      <c r="H186" s="273"/>
      <c r="I186" s="273"/>
      <c r="J186" s="50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  <c r="V186" s="273"/>
      <c r="W186" s="273">
        <f t="shared" ref="W186:W200" si="38">SUM(Y186:AG186)</f>
        <v>112412.06</v>
      </c>
      <c r="Y186" s="19"/>
      <c r="Z186" s="19"/>
      <c r="AA186" s="19"/>
      <c r="AB186" s="37">
        <v>112412.06</v>
      </c>
      <c r="AD186" s="19"/>
      <c r="AE186" s="19"/>
      <c r="AF186" s="19"/>
      <c r="AG186" s="19"/>
    </row>
    <row r="187" spans="1:33" x14ac:dyDescent="0.3">
      <c r="A187" s="259">
        <f t="shared" si="36"/>
        <v>128</v>
      </c>
      <c r="B187" s="20" t="s">
        <v>605</v>
      </c>
      <c r="C187" s="273">
        <f t="shared" si="35"/>
        <v>274782.07</v>
      </c>
      <c r="D187" s="273"/>
      <c r="E187" s="273"/>
      <c r="F187" s="273"/>
      <c r="G187" s="273"/>
      <c r="H187" s="273"/>
      <c r="I187" s="273"/>
      <c r="J187" s="50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  <c r="V187" s="273"/>
      <c r="W187" s="273">
        <f t="shared" si="38"/>
        <v>274782.07</v>
      </c>
      <c r="Y187" s="15"/>
      <c r="Z187" s="15"/>
      <c r="AA187" s="15"/>
      <c r="AB187" s="283"/>
      <c r="AD187" s="19">
        <v>274782.07</v>
      </c>
      <c r="AE187" s="19"/>
      <c r="AF187" s="19"/>
      <c r="AG187" s="15"/>
    </row>
    <row r="188" spans="1:33" x14ac:dyDescent="0.3">
      <c r="A188" s="259">
        <f t="shared" si="36"/>
        <v>129</v>
      </c>
      <c r="B188" s="20" t="s">
        <v>606</v>
      </c>
      <c r="C188" s="273">
        <f t="shared" si="35"/>
        <v>190722.97</v>
      </c>
      <c r="D188" s="273"/>
      <c r="E188" s="273"/>
      <c r="F188" s="273"/>
      <c r="G188" s="273"/>
      <c r="H188" s="273"/>
      <c r="I188" s="273"/>
      <c r="J188" s="50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>
        <f t="shared" si="38"/>
        <v>190722.97</v>
      </c>
      <c r="Y188" s="251"/>
      <c r="Z188" s="19"/>
      <c r="AA188" s="15"/>
      <c r="AB188" s="37"/>
      <c r="AD188" s="19">
        <v>190722.97</v>
      </c>
      <c r="AE188" s="15"/>
      <c r="AF188" s="19"/>
      <c r="AG188" s="19"/>
    </row>
    <row r="189" spans="1:33" x14ac:dyDescent="0.3">
      <c r="A189" s="259">
        <f t="shared" si="36"/>
        <v>130</v>
      </c>
      <c r="B189" s="20" t="s">
        <v>607</v>
      </c>
      <c r="C189" s="273">
        <f t="shared" si="35"/>
        <v>192229.52</v>
      </c>
      <c r="D189" s="273"/>
      <c r="E189" s="273"/>
      <c r="F189" s="273"/>
      <c r="G189" s="273"/>
      <c r="H189" s="273"/>
      <c r="I189" s="273"/>
      <c r="J189" s="50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  <c r="V189" s="273"/>
      <c r="W189" s="273">
        <f t="shared" si="38"/>
        <v>192229.52</v>
      </c>
      <c r="Y189" s="260"/>
      <c r="Z189" s="19"/>
      <c r="AA189" s="19"/>
      <c r="AB189" s="37"/>
      <c r="AD189" s="19">
        <v>192229.52</v>
      </c>
      <c r="AE189" s="19"/>
      <c r="AF189" s="19"/>
      <c r="AG189" s="19"/>
    </row>
    <row r="190" spans="1:33" x14ac:dyDescent="0.3">
      <c r="A190" s="259">
        <f t="shared" si="36"/>
        <v>131</v>
      </c>
      <c r="B190" s="20" t="s">
        <v>608</v>
      </c>
      <c r="C190" s="273">
        <f t="shared" si="35"/>
        <v>329741.15999999997</v>
      </c>
      <c r="D190" s="273"/>
      <c r="E190" s="273"/>
      <c r="F190" s="273"/>
      <c r="G190" s="273"/>
      <c r="H190" s="273"/>
      <c r="I190" s="273"/>
      <c r="J190" s="50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>
        <f t="shared" si="38"/>
        <v>329741.15999999997</v>
      </c>
      <c r="Y190" s="15"/>
      <c r="Z190" s="15"/>
      <c r="AA190" s="15"/>
      <c r="AB190" s="283"/>
      <c r="AD190" s="19">
        <v>329741.15999999997</v>
      </c>
      <c r="AE190" s="19"/>
      <c r="AF190" s="19"/>
      <c r="AG190" s="15"/>
    </row>
    <row r="191" spans="1:33" x14ac:dyDescent="0.3">
      <c r="A191" s="259">
        <f t="shared" si="36"/>
        <v>132</v>
      </c>
      <c r="B191" s="20" t="s">
        <v>609</v>
      </c>
      <c r="C191" s="273">
        <f t="shared" si="35"/>
        <v>122209.14</v>
      </c>
      <c r="D191" s="273"/>
      <c r="E191" s="273"/>
      <c r="F191" s="273"/>
      <c r="G191" s="273"/>
      <c r="H191" s="273"/>
      <c r="I191" s="273"/>
      <c r="J191" s="50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  <c r="V191" s="273"/>
      <c r="W191" s="273">
        <f t="shared" si="38"/>
        <v>122209.14</v>
      </c>
      <c r="Y191" s="15"/>
      <c r="Z191" s="15"/>
      <c r="AA191" s="15"/>
      <c r="AB191" s="283"/>
      <c r="AD191" s="19">
        <v>122209.14</v>
      </c>
      <c r="AE191" s="19"/>
      <c r="AF191" s="19"/>
      <c r="AG191" s="15"/>
    </row>
    <row r="192" spans="1:33" x14ac:dyDescent="0.3">
      <c r="A192" s="259">
        <f t="shared" si="36"/>
        <v>133</v>
      </c>
      <c r="B192" s="20" t="s">
        <v>610</v>
      </c>
      <c r="C192" s="273">
        <f t="shared" si="35"/>
        <v>104203.46</v>
      </c>
      <c r="D192" s="273"/>
      <c r="E192" s="273"/>
      <c r="F192" s="273"/>
      <c r="G192" s="273"/>
      <c r="H192" s="273"/>
      <c r="I192" s="273"/>
      <c r="J192" s="50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>
        <f t="shared" si="38"/>
        <v>104203.46</v>
      </c>
      <c r="Y192" s="273"/>
      <c r="Z192" s="19"/>
      <c r="AA192" s="15"/>
      <c r="AB192" s="37"/>
      <c r="AD192" s="19">
        <v>104203.46</v>
      </c>
      <c r="AE192" s="15"/>
      <c r="AF192" s="19"/>
      <c r="AG192" s="19"/>
    </row>
    <row r="193" spans="1:33" x14ac:dyDescent="0.3">
      <c r="A193" s="259">
        <f t="shared" si="36"/>
        <v>134</v>
      </c>
      <c r="B193" s="20" t="s">
        <v>611</v>
      </c>
      <c r="C193" s="273">
        <f t="shared" si="35"/>
        <v>329741.15999999997</v>
      </c>
      <c r="D193" s="273"/>
      <c r="E193" s="273"/>
      <c r="F193" s="273"/>
      <c r="G193" s="273"/>
      <c r="H193" s="273"/>
      <c r="I193" s="273"/>
      <c r="J193" s="50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  <c r="V193" s="273"/>
      <c r="W193" s="273">
        <f t="shared" si="38"/>
        <v>329741.15999999997</v>
      </c>
      <c r="Y193" s="15"/>
      <c r="Z193" s="15"/>
      <c r="AA193" s="15"/>
      <c r="AB193" s="283"/>
      <c r="AD193" s="19">
        <v>329741.15999999997</v>
      </c>
      <c r="AE193" s="19"/>
      <c r="AF193" s="19"/>
      <c r="AG193" s="15"/>
    </row>
    <row r="194" spans="1:33" x14ac:dyDescent="0.3">
      <c r="A194" s="259">
        <f t="shared" si="36"/>
        <v>135</v>
      </c>
      <c r="B194" s="20" t="s">
        <v>612</v>
      </c>
      <c r="C194" s="273">
        <f t="shared" si="35"/>
        <v>236695.4</v>
      </c>
      <c r="D194" s="273"/>
      <c r="E194" s="273"/>
      <c r="F194" s="273"/>
      <c r="G194" s="273"/>
      <c r="H194" s="273"/>
      <c r="I194" s="273"/>
      <c r="J194" s="50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>
        <f t="shared" si="38"/>
        <v>236695.4</v>
      </c>
      <c r="Y194" s="15"/>
      <c r="Z194" s="15"/>
      <c r="AA194" s="15"/>
      <c r="AB194" s="283"/>
      <c r="AD194" s="19">
        <v>236695.4</v>
      </c>
      <c r="AE194" s="19"/>
      <c r="AF194" s="19"/>
      <c r="AG194" s="15"/>
    </row>
    <row r="195" spans="1:33" x14ac:dyDescent="0.3">
      <c r="A195" s="259">
        <f t="shared" si="36"/>
        <v>136</v>
      </c>
      <c r="B195" s="20" t="s">
        <v>613</v>
      </c>
      <c r="C195" s="273">
        <f t="shared" si="35"/>
        <v>437334.08</v>
      </c>
      <c r="D195" s="273"/>
      <c r="E195" s="273"/>
      <c r="F195" s="273"/>
      <c r="G195" s="273"/>
      <c r="H195" s="273"/>
      <c r="I195" s="273"/>
      <c r="J195" s="50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>
        <f t="shared" si="38"/>
        <v>437334.08</v>
      </c>
      <c r="Y195" s="15"/>
      <c r="Z195" s="15"/>
      <c r="AA195" s="15"/>
      <c r="AB195" s="283"/>
      <c r="AD195" s="19">
        <v>437334.08</v>
      </c>
      <c r="AE195" s="15"/>
      <c r="AF195" s="15"/>
      <c r="AG195" s="15"/>
    </row>
    <row r="196" spans="1:33" x14ac:dyDescent="0.3">
      <c r="A196" s="259">
        <f t="shared" si="36"/>
        <v>137</v>
      </c>
      <c r="B196" s="20" t="s">
        <v>614</v>
      </c>
      <c r="C196" s="273">
        <f t="shared" si="35"/>
        <v>390722.32</v>
      </c>
      <c r="D196" s="273"/>
      <c r="E196" s="273"/>
      <c r="F196" s="273"/>
      <c r="G196" s="273"/>
      <c r="H196" s="273"/>
      <c r="I196" s="273"/>
      <c r="J196" s="50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  <c r="V196" s="273"/>
      <c r="W196" s="273">
        <f t="shared" si="38"/>
        <v>390722.32</v>
      </c>
      <c r="Y196" s="15"/>
      <c r="Z196" s="15"/>
      <c r="AA196" s="15"/>
      <c r="AB196" s="283"/>
      <c r="AD196" s="19">
        <v>390722.32</v>
      </c>
      <c r="AE196" s="19"/>
      <c r="AF196" s="15"/>
      <c r="AG196" s="15"/>
    </row>
    <row r="197" spans="1:33" x14ac:dyDescent="0.3">
      <c r="A197" s="259">
        <f t="shared" si="36"/>
        <v>138</v>
      </c>
      <c r="B197" s="20" t="s">
        <v>615</v>
      </c>
      <c r="C197" s="273">
        <f t="shared" si="35"/>
        <v>435675.11</v>
      </c>
      <c r="D197" s="273"/>
      <c r="E197" s="273"/>
      <c r="F197" s="273"/>
      <c r="G197" s="273"/>
      <c r="H197" s="273"/>
      <c r="I197" s="273"/>
      <c r="J197" s="50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>
        <f t="shared" si="38"/>
        <v>435675.11</v>
      </c>
      <c r="Y197" s="15"/>
      <c r="Z197" s="15"/>
      <c r="AA197" s="15"/>
      <c r="AB197" s="283"/>
      <c r="AD197" s="19">
        <v>435675.11</v>
      </c>
      <c r="AE197" s="19"/>
      <c r="AF197" s="15"/>
      <c r="AG197" s="15"/>
    </row>
    <row r="198" spans="1:33" x14ac:dyDescent="0.3">
      <c r="A198" s="259">
        <f t="shared" si="36"/>
        <v>139</v>
      </c>
      <c r="B198" s="20" t="s">
        <v>616</v>
      </c>
      <c r="C198" s="273">
        <f t="shared" si="35"/>
        <v>174519.6</v>
      </c>
      <c r="D198" s="273"/>
      <c r="E198" s="273"/>
      <c r="F198" s="273"/>
      <c r="G198" s="273"/>
      <c r="H198" s="273"/>
      <c r="I198" s="273"/>
      <c r="J198" s="50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>
        <f t="shared" si="38"/>
        <v>174519.6</v>
      </c>
      <c r="Y198" s="19"/>
      <c r="Z198" s="19"/>
      <c r="AA198" s="19"/>
      <c r="AB198" s="37"/>
      <c r="AD198" s="19">
        <v>174519.6</v>
      </c>
      <c r="AE198" s="19"/>
      <c r="AF198" s="19"/>
      <c r="AG198" s="15"/>
    </row>
    <row r="199" spans="1:33" x14ac:dyDescent="0.3">
      <c r="A199" s="259">
        <f t="shared" si="36"/>
        <v>140</v>
      </c>
      <c r="B199" s="20" t="s">
        <v>617</v>
      </c>
      <c r="C199" s="273">
        <f t="shared" si="35"/>
        <v>200922.52</v>
      </c>
      <c r="D199" s="273"/>
      <c r="E199" s="273"/>
      <c r="F199" s="273"/>
      <c r="G199" s="273"/>
      <c r="H199" s="273"/>
      <c r="I199" s="273"/>
      <c r="J199" s="50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>
        <f t="shared" si="38"/>
        <v>200922.52</v>
      </c>
      <c r="Y199" s="19"/>
      <c r="Z199" s="19"/>
      <c r="AA199" s="19"/>
      <c r="AB199" s="37"/>
      <c r="AD199" s="19">
        <v>200922.52</v>
      </c>
      <c r="AE199" s="19"/>
      <c r="AF199" s="19"/>
      <c r="AG199" s="15"/>
    </row>
    <row r="200" spans="1:33" x14ac:dyDescent="0.3">
      <c r="A200" s="259">
        <f t="shared" si="36"/>
        <v>141</v>
      </c>
      <c r="B200" s="20" t="s">
        <v>618</v>
      </c>
      <c r="C200" s="273">
        <f t="shared" si="35"/>
        <v>426989.76</v>
      </c>
      <c r="D200" s="273"/>
      <c r="E200" s="273"/>
      <c r="F200" s="273"/>
      <c r="G200" s="273"/>
      <c r="H200" s="273"/>
      <c r="I200" s="273"/>
      <c r="J200" s="50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>
        <f t="shared" si="38"/>
        <v>426989.76</v>
      </c>
      <c r="Y200" s="19"/>
      <c r="Z200" s="19"/>
      <c r="AA200" s="19"/>
      <c r="AB200" s="37"/>
      <c r="AD200" s="19">
        <v>426989.76</v>
      </c>
      <c r="AE200" s="19"/>
      <c r="AF200" s="19"/>
      <c r="AG200" s="15"/>
    </row>
    <row r="201" spans="1:33" x14ac:dyDescent="0.3">
      <c r="A201" s="259">
        <f t="shared" si="36"/>
        <v>142</v>
      </c>
      <c r="B201" s="20" t="s">
        <v>619</v>
      </c>
      <c r="C201" s="273">
        <f t="shared" si="35"/>
        <v>174545.03</v>
      </c>
      <c r="D201" s="273"/>
      <c r="E201" s="273"/>
      <c r="F201" s="273"/>
      <c r="G201" s="273"/>
      <c r="H201" s="273"/>
      <c r="I201" s="273"/>
      <c r="J201" s="50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>
        <f>SUM(Y201:AF201)</f>
        <v>174545.03</v>
      </c>
      <c r="Y201" s="19"/>
      <c r="Z201" s="19"/>
      <c r="AA201" s="19"/>
      <c r="AB201" s="37"/>
      <c r="AD201" s="19">
        <v>174545.03</v>
      </c>
      <c r="AE201" s="19"/>
      <c r="AF201" s="19"/>
      <c r="AG201" s="15"/>
    </row>
    <row r="202" spans="1:33" x14ac:dyDescent="0.3">
      <c r="A202" s="259"/>
      <c r="B202" s="20" t="s">
        <v>208</v>
      </c>
      <c r="C202" s="273">
        <f t="shared" ref="C202:W202" si="39">SUM(C169:C201)</f>
        <v>7538367.1700000009</v>
      </c>
      <c r="D202" s="273">
        <f t="shared" si="39"/>
        <v>0</v>
      </c>
      <c r="E202" s="273">
        <f t="shared" si="39"/>
        <v>0</v>
      </c>
      <c r="F202" s="273">
        <f t="shared" si="39"/>
        <v>0</v>
      </c>
      <c r="G202" s="273">
        <f t="shared" si="39"/>
        <v>0</v>
      </c>
      <c r="H202" s="273">
        <f t="shared" si="39"/>
        <v>0</v>
      </c>
      <c r="I202" s="273">
        <f t="shared" si="39"/>
        <v>0</v>
      </c>
      <c r="J202" s="50">
        <f t="shared" si="39"/>
        <v>0</v>
      </c>
      <c r="K202" s="273">
        <f t="shared" si="39"/>
        <v>0</v>
      </c>
      <c r="L202" s="273">
        <f t="shared" si="39"/>
        <v>0</v>
      </c>
      <c r="M202" s="273">
        <f t="shared" si="39"/>
        <v>0</v>
      </c>
      <c r="N202" s="273">
        <f t="shared" si="39"/>
        <v>0</v>
      </c>
      <c r="O202" s="273">
        <f t="shared" si="39"/>
        <v>0</v>
      </c>
      <c r="P202" s="273">
        <f t="shared" si="39"/>
        <v>0</v>
      </c>
      <c r="Q202" s="273">
        <f t="shared" si="39"/>
        <v>0</v>
      </c>
      <c r="R202" s="273">
        <f t="shared" si="39"/>
        <v>0</v>
      </c>
      <c r="S202" s="273">
        <f t="shared" si="39"/>
        <v>0</v>
      </c>
      <c r="T202" s="273">
        <f t="shared" si="39"/>
        <v>0</v>
      </c>
      <c r="U202" s="273">
        <f t="shared" si="39"/>
        <v>0</v>
      </c>
      <c r="V202" s="273">
        <f t="shared" si="39"/>
        <v>0</v>
      </c>
      <c r="W202" s="273">
        <f t="shared" si="39"/>
        <v>7538367.1700000009</v>
      </c>
      <c r="X202" s="283"/>
      <c r="Y202" s="15"/>
      <c r="Z202" s="15"/>
      <c r="AA202" s="15"/>
      <c r="AB202" s="15"/>
      <c r="AC202" s="15"/>
      <c r="AD202" s="15"/>
      <c r="AE202" s="15"/>
      <c r="AF202" s="15"/>
      <c r="AG202" s="15"/>
    </row>
    <row r="203" spans="1:33" x14ac:dyDescent="0.3">
      <c r="A203" s="317" t="s">
        <v>628</v>
      </c>
      <c r="B203" s="318"/>
      <c r="C203" s="273"/>
      <c r="D203" s="273"/>
      <c r="E203" s="273"/>
      <c r="F203" s="273"/>
      <c r="G203" s="273"/>
      <c r="H203" s="273"/>
      <c r="I203" s="273"/>
      <c r="J203" s="50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283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3" ht="31.2" x14ac:dyDescent="0.3">
      <c r="A204" s="259">
        <f>A201+1</f>
        <v>143</v>
      </c>
      <c r="B204" s="20" t="s">
        <v>629</v>
      </c>
      <c r="C204" s="273">
        <f>D204+K204+L204+N204+R204+S204+U204+V204+W204</f>
        <v>130000</v>
      </c>
      <c r="D204" s="273"/>
      <c r="E204" s="273"/>
      <c r="F204" s="273"/>
      <c r="G204" s="273"/>
      <c r="H204" s="273"/>
      <c r="I204" s="273"/>
      <c r="J204" s="50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  <c r="V204" s="273"/>
      <c r="W204" s="273">
        <v>130000</v>
      </c>
      <c r="X204" s="283"/>
      <c r="Y204" s="15"/>
      <c r="Z204" s="15"/>
      <c r="AA204" s="15"/>
      <c r="AB204" s="15">
        <v>130000</v>
      </c>
      <c r="AC204" s="15"/>
      <c r="AD204" s="15"/>
      <c r="AE204" s="15"/>
      <c r="AF204" s="15"/>
      <c r="AG204" s="15"/>
    </row>
    <row r="205" spans="1:33" x14ac:dyDescent="0.3">
      <c r="A205" s="259">
        <f>A204+1</f>
        <v>144</v>
      </c>
      <c r="B205" s="20" t="s">
        <v>634</v>
      </c>
      <c r="C205" s="273">
        <f>D205+K205+L205+N205+R205+S205+U205+V205+W205</f>
        <v>356466.67</v>
      </c>
      <c r="D205" s="273"/>
      <c r="E205" s="273"/>
      <c r="F205" s="273"/>
      <c r="G205" s="273"/>
      <c r="H205" s="273"/>
      <c r="I205" s="273"/>
      <c r="J205" s="50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>
        <f>SUM(X205:AF205)</f>
        <v>356466.67</v>
      </c>
      <c r="X205" s="283"/>
      <c r="Y205" s="19">
        <v>356466.67</v>
      </c>
      <c r="Z205" s="19"/>
      <c r="AA205" s="19"/>
      <c r="AB205" s="19"/>
      <c r="AC205" s="15"/>
      <c r="AD205" s="15"/>
      <c r="AE205" s="15"/>
      <c r="AF205" s="15"/>
      <c r="AG205" s="15"/>
    </row>
    <row r="206" spans="1:33" x14ac:dyDescent="0.3">
      <c r="A206" s="259"/>
      <c r="B206" s="20" t="s">
        <v>208</v>
      </c>
      <c r="C206" s="273">
        <f t="shared" ref="C206:W206" si="40">SUM(C204:C205)</f>
        <v>486466.67</v>
      </c>
      <c r="D206" s="273">
        <f t="shared" si="40"/>
        <v>0</v>
      </c>
      <c r="E206" s="273">
        <f t="shared" si="40"/>
        <v>0</v>
      </c>
      <c r="F206" s="273">
        <f t="shared" si="40"/>
        <v>0</v>
      </c>
      <c r="G206" s="273">
        <f t="shared" si="40"/>
        <v>0</v>
      </c>
      <c r="H206" s="273">
        <f t="shared" si="40"/>
        <v>0</v>
      </c>
      <c r="I206" s="273">
        <f t="shared" si="40"/>
        <v>0</v>
      </c>
      <c r="J206" s="50">
        <f t="shared" si="40"/>
        <v>0</v>
      </c>
      <c r="K206" s="273">
        <f t="shared" si="40"/>
        <v>0</v>
      </c>
      <c r="L206" s="273">
        <f t="shared" si="40"/>
        <v>0</v>
      </c>
      <c r="M206" s="273">
        <f t="shared" si="40"/>
        <v>0</v>
      </c>
      <c r="N206" s="273">
        <f t="shared" si="40"/>
        <v>0</v>
      </c>
      <c r="O206" s="273">
        <f t="shared" si="40"/>
        <v>0</v>
      </c>
      <c r="P206" s="273">
        <f t="shared" si="40"/>
        <v>0</v>
      </c>
      <c r="Q206" s="273">
        <f t="shared" si="40"/>
        <v>0</v>
      </c>
      <c r="R206" s="273">
        <f t="shared" si="40"/>
        <v>0</v>
      </c>
      <c r="S206" s="273">
        <f t="shared" si="40"/>
        <v>0</v>
      </c>
      <c r="T206" s="273">
        <f t="shared" si="40"/>
        <v>0</v>
      </c>
      <c r="U206" s="273">
        <f t="shared" si="40"/>
        <v>0</v>
      </c>
      <c r="V206" s="273">
        <f t="shared" si="40"/>
        <v>0</v>
      </c>
      <c r="W206" s="273">
        <f t="shared" si="40"/>
        <v>486466.67</v>
      </c>
      <c r="X206" s="283"/>
      <c r="Y206" s="19"/>
      <c r="Z206" s="19"/>
      <c r="AA206" s="19"/>
      <c r="AB206" s="19"/>
      <c r="AC206" s="15"/>
      <c r="AD206" s="15"/>
      <c r="AE206" s="15"/>
      <c r="AF206" s="15"/>
      <c r="AG206" s="15"/>
    </row>
    <row r="207" spans="1:33" x14ac:dyDescent="0.3">
      <c r="A207" s="317" t="s">
        <v>638</v>
      </c>
      <c r="B207" s="318"/>
      <c r="C207" s="273"/>
      <c r="D207" s="273"/>
      <c r="E207" s="273"/>
      <c r="F207" s="273"/>
      <c r="G207" s="273"/>
      <c r="H207" s="273"/>
      <c r="I207" s="273"/>
      <c r="J207" s="50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  <c r="V207" s="273"/>
      <c r="W207" s="273"/>
      <c r="X207" s="37"/>
      <c r="Y207" s="19"/>
      <c r="Z207" s="19"/>
      <c r="AA207" s="19"/>
      <c r="AB207" s="19"/>
      <c r="AC207" s="19"/>
      <c r="AD207" s="19"/>
      <c r="AE207" s="19"/>
      <c r="AF207" s="15"/>
      <c r="AG207" s="15"/>
    </row>
    <row r="208" spans="1:33" x14ac:dyDescent="0.3">
      <c r="A208" s="259">
        <f>A205+1</f>
        <v>145</v>
      </c>
      <c r="B208" s="20" t="s">
        <v>639</v>
      </c>
      <c r="C208" s="273">
        <f>D208+K208+L208+N208+R208+S208+U208+V208+W208</f>
        <v>13928230.800000001</v>
      </c>
      <c r="D208" s="273"/>
      <c r="E208" s="273"/>
      <c r="F208" s="273"/>
      <c r="G208" s="273"/>
      <c r="H208" s="273"/>
      <c r="I208" s="273"/>
      <c r="J208" s="50"/>
      <c r="K208" s="273"/>
      <c r="L208" s="273"/>
      <c r="M208" s="273"/>
      <c r="N208" s="273"/>
      <c r="O208" s="273"/>
      <c r="P208" s="273"/>
      <c r="Q208" s="273">
        <v>2427.9</v>
      </c>
      <c r="R208" s="273">
        <v>13928230.800000001</v>
      </c>
      <c r="S208" s="273"/>
      <c r="T208" s="273"/>
      <c r="U208" s="273"/>
      <c r="V208" s="273"/>
      <c r="W208" s="273"/>
      <c r="X208" s="283"/>
      <c r="Y208" s="15"/>
      <c r="Z208" s="15"/>
      <c r="AA208" s="15"/>
      <c r="AB208" s="15"/>
      <c r="AC208" s="15"/>
      <c r="AD208" s="15"/>
      <c r="AE208" s="15"/>
      <c r="AF208" s="15"/>
      <c r="AG208" s="15"/>
    </row>
    <row r="209" spans="1:33" x14ac:dyDescent="0.3">
      <c r="A209" s="259">
        <f>A208+1</f>
        <v>146</v>
      </c>
      <c r="B209" s="20" t="s">
        <v>640</v>
      </c>
      <c r="C209" s="273">
        <f>D209+K209+L209+N209+R209+S209+U209+V209+W209</f>
        <v>16383876</v>
      </c>
      <c r="D209" s="273"/>
      <c r="E209" s="273"/>
      <c r="F209" s="273"/>
      <c r="G209" s="273"/>
      <c r="H209" s="273"/>
      <c r="I209" s="273"/>
      <c r="J209" s="50"/>
      <c r="K209" s="273"/>
      <c r="L209" s="273"/>
      <c r="M209" s="273"/>
      <c r="N209" s="273"/>
      <c r="O209" s="273"/>
      <c r="P209" s="273"/>
      <c r="Q209" s="273">
        <v>2765</v>
      </c>
      <c r="R209" s="273">
        <v>16383876</v>
      </c>
      <c r="S209" s="273"/>
      <c r="T209" s="273"/>
      <c r="U209" s="273"/>
      <c r="V209" s="273"/>
      <c r="W209" s="273"/>
      <c r="X209" s="283"/>
      <c r="Y209" s="15"/>
      <c r="Z209" s="15"/>
      <c r="AA209" s="15"/>
      <c r="AB209" s="15"/>
      <c r="AC209" s="15"/>
      <c r="AD209" s="15"/>
      <c r="AE209" s="15"/>
      <c r="AF209" s="15"/>
      <c r="AG209" s="15"/>
    </row>
    <row r="210" spans="1:33" x14ac:dyDescent="0.3">
      <c r="A210" s="259">
        <f>A209+1</f>
        <v>147</v>
      </c>
      <c r="B210" s="20" t="s">
        <v>642</v>
      </c>
      <c r="C210" s="273">
        <f>D210+K210+L210+N210+R210+S210+U210+V210+W210</f>
        <v>15564759.6</v>
      </c>
      <c r="D210" s="273"/>
      <c r="E210" s="273"/>
      <c r="F210" s="273"/>
      <c r="G210" s="273"/>
      <c r="H210" s="273"/>
      <c r="I210" s="273"/>
      <c r="J210" s="50"/>
      <c r="K210" s="273"/>
      <c r="L210" s="273"/>
      <c r="M210" s="273"/>
      <c r="N210" s="273"/>
      <c r="O210" s="273"/>
      <c r="P210" s="273"/>
      <c r="Q210" s="273">
        <v>2765</v>
      </c>
      <c r="R210" s="273">
        <v>15564759.6</v>
      </c>
      <c r="S210" s="273"/>
      <c r="T210" s="273"/>
      <c r="U210" s="273"/>
      <c r="V210" s="273"/>
      <c r="W210" s="273"/>
      <c r="X210" s="283"/>
      <c r="Y210" s="15"/>
      <c r="Z210" s="15"/>
      <c r="AA210" s="15"/>
      <c r="AB210" s="15"/>
      <c r="AC210" s="15"/>
      <c r="AD210" s="15"/>
      <c r="AE210" s="15"/>
      <c r="AF210" s="15"/>
      <c r="AG210" s="15"/>
    </row>
    <row r="211" spans="1:33" x14ac:dyDescent="0.3">
      <c r="A211" s="259"/>
      <c r="B211" s="20" t="s">
        <v>208</v>
      </c>
      <c r="C211" s="273">
        <f t="shared" ref="C211:W211" si="41">SUM(C208:C210)</f>
        <v>45876866.399999999</v>
      </c>
      <c r="D211" s="273">
        <f t="shared" si="41"/>
        <v>0</v>
      </c>
      <c r="E211" s="273">
        <f t="shared" si="41"/>
        <v>0</v>
      </c>
      <c r="F211" s="273">
        <f t="shared" si="41"/>
        <v>0</v>
      </c>
      <c r="G211" s="273">
        <f t="shared" si="41"/>
        <v>0</v>
      </c>
      <c r="H211" s="273">
        <f t="shared" si="41"/>
        <v>0</v>
      </c>
      <c r="I211" s="273">
        <f t="shared" si="41"/>
        <v>0</v>
      </c>
      <c r="J211" s="50">
        <f t="shared" si="41"/>
        <v>0</v>
      </c>
      <c r="K211" s="273">
        <f t="shared" si="41"/>
        <v>0</v>
      </c>
      <c r="L211" s="273">
        <f t="shared" si="41"/>
        <v>0</v>
      </c>
      <c r="M211" s="273">
        <f t="shared" si="41"/>
        <v>0</v>
      </c>
      <c r="N211" s="273">
        <f t="shared" si="41"/>
        <v>0</v>
      </c>
      <c r="O211" s="273">
        <f t="shared" si="41"/>
        <v>0</v>
      </c>
      <c r="P211" s="273">
        <f t="shared" si="41"/>
        <v>0</v>
      </c>
      <c r="Q211" s="273">
        <f t="shared" si="41"/>
        <v>7957.9</v>
      </c>
      <c r="R211" s="273">
        <f t="shared" si="41"/>
        <v>45876866.399999999</v>
      </c>
      <c r="S211" s="273">
        <f t="shared" si="41"/>
        <v>0</v>
      </c>
      <c r="T211" s="273">
        <f t="shared" si="41"/>
        <v>0</v>
      </c>
      <c r="U211" s="273">
        <f t="shared" si="41"/>
        <v>0</v>
      </c>
      <c r="V211" s="273">
        <f t="shared" si="41"/>
        <v>0</v>
      </c>
      <c r="W211" s="273">
        <f t="shared" si="41"/>
        <v>0</v>
      </c>
      <c r="X211" s="37"/>
      <c r="Y211" s="19"/>
      <c r="Z211" s="19"/>
      <c r="AA211" s="19"/>
      <c r="AB211" s="19"/>
      <c r="AC211" s="19"/>
      <c r="AD211" s="19"/>
      <c r="AE211" s="19"/>
      <c r="AF211" s="15"/>
      <c r="AG211" s="15"/>
    </row>
    <row r="212" spans="1:33" x14ac:dyDescent="0.3">
      <c r="A212" s="317" t="s">
        <v>645</v>
      </c>
      <c r="B212" s="318"/>
      <c r="C212" s="273"/>
      <c r="D212" s="273"/>
      <c r="E212" s="273"/>
      <c r="F212" s="273"/>
      <c r="G212" s="273"/>
      <c r="H212" s="273"/>
      <c r="I212" s="273"/>
      <c r="J212" s="50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/>
      <c r="X212" s="37"/>
      <c r="Y212" s="19"/>
      <c r="Z212" s="19"/>
      <c r="AA212" s="19"/>
      <c r="AB212" s="19"/>
      <c r="AC212" s="19"/>
      <c r="AD212" s="19"/>
      <c r="AE212" s="19"/>
      <c r="AF212" s="15"/>
      <c r="AG212" s="15"/>
    </row>
    <row r="213" spans="1:33" ht="31.2" x14ac:dyDescent="0.3">
      <c r="A213" s="259">
        <f>A210+1</f>
        <v>148</v>
      </c>
      <c r="B213" s="20" t="s">
        <v>646</v>
      </c>
      <c r="C213" s="273">
        <f t="shared" ref="C213:C223" si="42">D213+K213+L213+N213+R213+S213+U213+V213+W213</f>
        <v>6813236.4000000004</v>
      </c>
      <c r="D213" s="273"/>
      <c r="E213" s="273"/>
      <c r="F213" s="273"/>
      <c r="G213" s="273"/>
      <c r="H213" s="273"/>
      <c r="I213" s="273"/>
      <c r="J213" s="50"/>
      <c r="K213" s="273"/>
      <c r="L213" s="273"/>
      <c r="M213" s="273"/>
      <c r="N213" s="273"/>
      <c r="O213" s="273"/>
      <c r="P213" s="273"/>
      <c r="Q213" s="273">
        <v>519.67999999999995</v>
      </c>
      <c r="R213" s="273">
        <v>6813236.4000000004</v>
      </c>
      <c r="S213" s="273"/>
      <c r="T213" s="273"/>
      <c r="U213" s="273"/>
      <c r="V213" s="273"/>
      <c r="W213" s="273"/>
      <c r="Y213" s="279"/>
      <c r="Z213" s="439"/>
      <c r="AA213" s="440"/>
      <c r="AB213" s="37">
        <v>95393.35</v>
      </c>
      <c r="AD213" s="279">
        <v>214371.46</v>
      </c>
      <c r="AE213" s="279"/>
      <c r="AF213" s="279"/>
      <c r="AG213" s="279"/>
    </row>
    <row r="214" spans="1:33" ht="31.2" x14ac:dyDescent="0.3">
      <c r="A214" s="259">
        <f t="shared" ref="A214:A223" si="43">A213+1</f>
        <v>149</v>
      </c>
      <c r="B214" s="20" t="s">
        <v>647</v>
      </c>
      <c r="C214" s="273">
        <f t="shared" si="42"/>
        <v>9470815.1999999993</v>
      </c>
      <c r="D214" s="273"/>
      <c r="E214" s="273"/>
      <c r="F214" s="273"/>
      <c r="G214" s="273"/>
      <c r="H214" s="273"/>
      <c r="I214" s="273"/>
      <c r="J214" s="50"/>
      <c r="K214" s="273"/>
      <c r="L214" s="273"/>
      <c r="M214" s="273"/>
      <c r="N214" s="273"/>
      <c r="O214" s="273"/>
      <c r="P214" s="273"/>
      <c r="Q214" s="273">
        <v>554.4</v>
      </c>
      <c r="R214" s="273">
        <v>9470815.1999999993</v>
      </c>
      <c r="S214" s="273"/>
      <c r="T214" s="273"/>
      <c r="U214" s="273"/>
      <c r="V214" s="273"/>
      <c r="W214" s="273"/>
      <c r="Y214" s="279"/>
      <c r="Z214" s="303"/>
      <c r="AA214" s="303"/>
      <c r="AB214" s="37"/>
      <c r="AD214" s="279">
        <v>177068.92</v>
      </c>
      <c r="AE214" s="279"/>
      <c r="AF214" s="279"/>
      <c r="AG214" s="279"/>
    </row>
    <row r="215" spans="1:33" x14ac:dyDescent="0.3">
      <c r="A215" s="259">
        <f t="shared" si="43"/>
        <v>150</v>
      </c>
      <c r="B215" s="20" t="s">
        <v>655</v>
      </c>
      <c r="C215" s="273">
        <f t="shared" si="42"/>
        <v>24771691.199999999</v>
      </c>
      <c r="D215" s="273"/>
      <c r="E215" s="273"/>
      <c r="F215" s="273"/>
      <c r="G215" s="273"/>
      <c r="H215" s="273"/>
      <c r="I215" s="273"/>
      <c r="J215" s="50"/>
      <c r="K215" s="273"/>
      <c r="L215" s="273"/>
      <c r="M215" s="273"/>
      <c r="N215" s="273"/>
      <c r="O215" s="273"/>
      <c r="P215" s="273"/>
      <c r="Q215" s="273">
        <f>3100</f>
        <v>3100</v>
      </c>
      <c r="R215" s="273">
        <v>24771691.199999999</v>
      </c>
      <c r="S215" s="273"/>
      <c r="T215" s="273"/>
      <c r="U215" s="273"/>
      <c r="V215" s="273"/>
      <c r="W215" s="273"/>
      <c r="Y215" s="279"/>
      <c r="Z215" s="303"/>
      <c r="AA215" s="303"/>
      <c r="AB215" s="37">
        <v>211566.49</v>
      </c>
      <c r="AD215" s="279">
        <v>391543.5</v>
      </c>
      <c r="AE215" s="279"/>
      <c r="AF215" s="279"/>
      <c r="AG215" s="279"/>
    </row>
    <row r="216" spans="1:33" ht="31.2" x14ac:dyDescent="0.3">
      <c r="A216" s="259">
        <f t="shared" si="43"/>
        <v>151</v>
      </c>
      <c r="B216" s="20" t="s">
        <v>656</v>
      </c>
      <c r="C216" s="273">
        <f t="shared" si="42"/>
        <v>17818168.800000001</v>
      </c>
      <c r="D216" s="273"/>
      <c r="E216" s="273"/>
      <c r="F216" s="273"/>
      <c r="G216" s="273"/>
      <c r="H216" s="273"/>
      <c r="I216" s="273"/>
      <c r="J216" s="50"/>
      <c r="K216" s="273"/>
      <c r="L216" s="273"/>
      <c r="M216" s="273"/>
      <c r="N216" s="273"/>
      <c r="O216" s="273"/>
      <c r="P216" s="273"/>
      <c r="Q216" s="273">
        <f>2078</f>
        <v>2078</v>
      </c>
      <c r="R216" s="273">
        <v>17818168.800000001</v>
      </c>
      <c r="S216" s="273"/>
      <c r="T216" s="273"/>
      <c r="U216" s="273"/>
      <c r="V216" s="273"/>
      <c r="W216" s="273"/>
      <c r="Y216" s="279"/>
      <c r="Z216" s="303"/>
      <c r="AA216" s="303"/>
      <c r="AB216" s="37">
        <v>169923.94</v>
      </c>
      <c r="AD216" s="279">
        <v>322697.8</v>
      </c>
      <c r="AE216" s="279"/>
      <c r="AF216" s="279"/>
      <c r="AG216" s="279"/>
    </row>
    <row r="217" spans="1:33" ht="31.2" x14ac:dyDescent="0.3">
      <c r="A217" s="259">
        <f t="shared" si="43"/>
        <v>152</v>
      </c>
      <c r="B217" s="20" t="s">
        <v>657</v>
      </c>
      <c r="C217" s="273">
        <f t="shared" si="42"/>
        <v>17602308</v>
      </c>
      <c r="D217" s="273"/>
      <c r="E217" s="273"/>
      <c r="F217" s="273"/>
      <c r="G217" s="273"/>
      <c r="H217" s="273"/>
      <c r="I217" s="273"/>
      <c r="J217" s="50"/>
      <c r="K217" s="273"/>
      <c r="L217" s="273"/>
      <c r="M217" s="273"/>
      <c r="N217" s="273"/>
      <c r="O217" s="273"/>
      <c r="P217" s="273"/>
      <c r="Q217" s="273">
        <v>2078</v>
      </c>
      <c r="R217" s="273">
        <v>17602308</v>
      </c>
      <c r="S217" s="273"/>
      <c r="T217" s="273"/>
      <c r="U217" s="273"/>
      <c r="V217" s="273"/>
      <c r="W217" s="273"/>
      <c r="Y217" s="279"/>
      <c r="Z217" s="303"/>
      <c r="AA217" s="303"/>
      <c r="AB217" s="37">
        <v>170083.96</v>
      </c>
      <c r="AD217" s="279">
        <v>322963.07</v>
      </c>
      <c r="AE217" s="279"/>
      <c r="AF217" s="279"/>
      <c r="AG217" s="279"/>
    </row>
    <row r="218" spans="1:33" x14ac:dyDescent="0.3">
      <c r="A218" s="259">
        <f t="shared" si="43"/>
        <v>153</v>
      </c>
      <c r="B218" s="20" t="s">
        <v>658</v>
      </c>
      <c r="C218" s="273">
        <f t="shared" si="42"/>
        <v>37677846</v>
      </c>
      <c r="D218" s="273"/>
      <c r="E218" s="273"/>
      <c r="F218" s="273"/>
      <c r="G218" s="273"/>
      <c r="H218" s="273"/>
      <c r="I218" s="273"/>
      <c r="J218" s="50"/>
      <c r="K218" s="273"/>
      <c r="L218" s="273"/>
      <c r="M218" s="273"/>
      <c r="N218" s="273"/>
      <c r="O218" s="273"/>
      <c r="P218" s="273"/>
      <c r="Q218" s="273">
        <v>4200</v>
      </c>
      <c r="R218" s="273">
        <v>37677846</v>
      </c>
      <c r="S218" s="273"/>
      <c r="T218" s="273"/>
      <c r="U218" s="273"/>
      <c r="V218" s="273"/>
      <c r="W218" s="273"/>
      <c r="Y218" s="279"/>
      <c r="Z218" s="303"/>
      <c r="AA218" s="303"/>
      <c r="AB218" s="37">
        <v>289142.48</v>
      </c>
      <c r="AD218" s="279">
        <v>507191.18</v>
      </c>
      <c r="AE218" s="279"/>
      <c r="AF218" s="279"/>
      <c r="AG218" s="279"/>
    </row>
    <row r="219" spans="1:33" x14ac:dyDescent="0.3">
      <c r="A219" s="259">
        <f t="shared" si="43"/>
        <v>154</v>
      </c>
      <c r="B219" s="20" t="s">
        <v>659</v>
      </c>
      <c r="C219" s="273">
        <f t="shared" si="42"/>
        <v>27058813.199999999</v>
      </c>
      <c r="D219" s="273"/>
      <c r="E219" s="273"/>
      <c r="F219" s="273"/>
      <c r="G219" s="273"/>
      <c r="H219" s="273"/>
      <c r="I219" s="273"/>
      <c r="J219" s="50"/>
      <c r="K219" s="273"/>
      <c r="L219" s="273"/>
      <c r="M219" s="273"/>
      <c r="N219" s="273"/>
      <c r="O219" s="273"/>
      <c r="P219" s="273"/>
      <c r="Q219" s="273">
        <f>5010</f>
        <v>5010</v>
      </c>
      <c r="R219" s="273">
        <v>27058813.199999999</v>
      </c>
      <c r="S219" s="273"/>
      <c r="T219" s="273"/>
      <c r="U219" s="273"/>
      <c r="V219" s="273"/>
      <c r="W219" s="273"/>
      <c r="Y219" s="279"/>
      <c r="Z219" s="303"/>
      <c r="AA219" s="303"/>
      <c r="AB219" s="37">
        <v>194211.59</v>
      </c>
      <c r="AD219" s="279">
        <v>542716.92000000004</v>
      </c>
      <c r="AE219" s="279"/>
      <c r="AF219" s="279"/>
      <c r="AG219" s="279"/>
    </row>
    <row r="220" spans="1:33" x14ac:dyDescent="0.3">
      <c r="A220" s="259">
        <f t="shared" si="43"/>
        <v>155</v>
      </c>
      <c r="B220" s="20" t="s">
        <v>678</v>
      </c>
      <c r="C220" s="273">
        <f t="shared" si="42"/>
        <v>21903838.800000001</v>
      </c>
      <c r="D220" s="273"/>
      <c r="E220" s="273"/>
      <c r="F220" s="273"/>
      <c r="G220" s="273"/>
      <c r="H220" s="273"/>
      <c r="I220" s="273"/>
      <c r="J220" s="50"/>
      <c r="K220" s="273"/>
      <c r="L220" s="273"/>
      <c r="M220" s="273"/>
      <c r="N220" s="273"/>
      <c r="O220" s="273"/>
      <c r="P220" s="273"/>
      <c r="Q220" s="273">
        <f>2686.2</f>
        <v>2686.2</v>
      </c>
      <c r="R220" s="273">
        <v>21903838.800000001</v>
      </c>
      <c r="S220" s="273"/>
      <c r="T220" s="273"/>
      <c r="U220" s="273"/>
      <c r="V220" s="273"/>
      <c r="W220" s="273"/>
      <c r="Y220" s="279"/>
      <c r="Z220" s="303"/>
      <c r="AA220" s="303"/>
      <c r="AB220" s="37">
        <v>185283.35</v>
      </c>
      <c r="AD220" s="279">
        <v>368349.77</v>
      </c>
      <c r="AE220" s="279"/>
      <c r="AF220" s="279"/>
      <c r="AG220" s="279"/>
    </row>
    <row r="221" spans="1:33" x14ac:dyDescent="0.3">
      <c r="A221" s="259">
        <f t="shared" si="43"/>
        <v>156</v>
      </c>
      <c r="B221" s="20" t="s">
        <v>680</v>
      </c>
      <c r="C221" s="273">
        <f t="shared" si="42"/>
        <v>26991446.719999999</v>
      </c>
      <c r="D221" s="273"/>
      <c r="E221" s="273"/>
      <c r="F221" s="273"/>
      <c r="G221" s="273"/>
      <c r="H221" s="273"/>
      <c r="I221" s="273"/>
      <c r="J221" s="50"/>
      <c r="K221" s="273"/>
      <c r="L221" s="273"/>
      <c r="M221" s="273"/>
      <c r="N221" s="273"/>
      <c r="O221" s="273"/>
      <c r="P221" s="273"/>
      <c r="Q221" s="273" t="s">
        <v>3400</v>
      </c>
      <c r="R221" s="273">
        <v>26991446.719999999</v>
      </c>
      <c r="S221" s="273"/>
      <c r="T221" s="273"/>
      <c r="U221" s="273"/>
      <c r="V221" s="273"/>
      <c r="W221" s="273"/>
      <c r="Y221" s="279"/>
      <c r="Z221" s="303"/>
      <c r="AA221" s="303"/>
      <c r="AB221" s="37">
        <v>249612.83</v>
      </c>
      <c r="AD221" s="279">
        <v>454834.12</v>
      </c>
      <c r="AE221" s="279"/>
      <c r="AF221" s="279"/>
      <c r="AG221" s="279"/>
    </row>
    <row r="222" spans="1:33" x14ac:dyDescent="0.3">
      <c r="A222" s="259">
        <f t="shared" si="43"/>
        <v>157</v>
      </c>
      <c r="B222" s="20" t="s">
        <v>699</v>
      </c>
      <c r="C222" s="273">
        <f t="shared" si="42"/>
        <v>19882172.399999999</v>
      </c>
      <c r="D222" s="273"/>
      <c r="E222" s="273"/>
      <c r="F222" s="273"/>
      <c r="G222" s="273"/>
      <c r="H222" s="273"/>
      <c r="I222" s="273"/>
      <c r="J222" s="50"/>
      <c r="K222" s="273"/>
      <c r="L222" s="273"/>
      <c r="M222" s="273"/>
      <c r="N222" s="273"/>
      <c r="O222" s="273"/>
      <c r="P222" s="273"/>
      <c r="Q222" s="273">
        <v>2881</v>
      </c>
      <c r="R222" s="273">
        <v>19882172.399999999</v>
      </c>
      <c r="S222" s="273"/>
      <c r="T222" s="273"/>
      <c r="U222" s="273"/>
      <c r="V222" s="273"/>
      <c r="W222" s="273"/>
      <c r="Y222" s="279"/>
      <c r="Z222" s="303"/>
      <c r="AA222" s="303"/>
      <c r="AB222" s="37">
        <v>235453.45</v>
      </c>
      <c r="AD222" s="279">
        <v>442489.31</v>
      </c>
      <c r="AE222" s="279"/>
      <c r="AF222" s="279"/>
      <c r="AG222" s="279"/>
    </row>
    <row r="223" spans="1:33" x14ac:dyDescent="0.3">
      <c r="A223" s="259">
        <f t="shared" si="43"/>
        <v>158</v>
      </c>
      <c r="B223" s="20" t="s">
        <v>701</v>
      </c>
      <c r="C223" s="273">
        <f t="shared" si="42"/>
        <v>19882172.399999999</v>
      </c>
      <c r="D223" s="273"/>
      <c r="E223" s="273"/>
      <c r="F223" s="273"/>
      <c r="G223" s="273"/>
      <c r="H223" s="273"/>
      <c r="I223" s="273"/>
      <c r="J223" s="50"/>
      <c r="K223" s="273"/>
      <c r="L223" s="273"/>
      <c r="M223" s="273"/>
      <c r="N223" s="273"/>
      <c r="O223" s="273"/>
      <c r="P223" s="273"/>
      <c r="Q223" s="273">
        <f>2881</f>
        <v>2881</v>
      </c>
      <c r="R223" s="273">
        <v>19882172.399999999</v>
      </c>
      <c r="S223" s="273"/>
      <c r="T223" s="273"/>
      <c r="U223" s="273"/>
      <c r="V223" s="273"/>
      <c r="W223" s="273"/>
      <c r="Y223" s="279"/>
      <c r="Z223" s="303"/>
      <c r="AA223" s="303"/>
      <c r="AB223" s="37">
        <v>211014.26</v>
      </c>
      <c r="AD223" s="279">
        <v>382288.55</v>
      </c>
      <c r="AE223" s="279"/>
      <c r="AF223" s="279"/>
      <c r="AG223" s="279"/>
    </row>
    <row r="224" spans="1:33" x14ac:dyDescent="0.3">
      <c r="A224" s="259"/>
      <c r="B224" s="20" t="s">
        <v>208</v>
      </c>
      <c r="C224" s="273">
        <f t="shared" ref="C224:W224" si="44">SUM(C213:C223)</f>
        <v>229872509.12</v>
      </c>
      <c r="D224" s="273">
        <f t="shared" si="44"/>
        <v>0</v>
      </c>
      <c r="E224" s="273">
        <f t="shared" si="44"/>
        <v>0</v>
      </c>
      <c r="F224" s="273">
        <f t="shared" si="44"/>
        <v>0</v>
      </c>
      <c r="G224" s="273">
        <f t="shared" si="44"/>
        <v>0</v>
      </c>
      <c r="H224" s="273">
        <f t="shared" si="44"/>
        <v>0</v>
      </c>
      <c r="I224" s="273">
        <f t="shared" si="44"/>
        <v>0</v>
      </c>
      <c r="J224" s="50">
        <f t="shared" si="44"/>
        <v>0</v>
      </c>
      <c r="K224" s="273">
        <f t="shared" si="44"/>
        <v>0</v>
      </c>
      <c r="L224" s="273">
        <f t="shared" si="44"/>
        <v>0</v>
      </c>
      <c r="M224" s="273">
        <f t="shared" si="44"/>
        <v>0</v>
      </c>
      <c r="N224" s="273">
        <f t="shared" si="44"/>
        <v>0</v>
      </c>
      <c r="O224" s="273">
        <f t="shared" si="44"/>
        <v>0</v>
      </c>
      <c r="P224" s="273">
        <f t="shared" si="44"/>
        <v>0</v>
      </c>
      <c r="Q224" s="273">
        <f t="shared" si="44"/>
        <v>25988.280000000002</v>
      </c>
      <c r="R224" s="273">
        <f t="shared" si="44"/>
        <v>229872509.12</v>
      </c>
      <c r="S224" s="273">
        <f t="shared" si="44"/>
        <v>0</v>
      </c>
      <c r="T224" s="273">
        <f t="shared" si="44"/>
        <v>0</v>
      </c>
      <c r="U224" s="273">
        <f t="shared" si="44"/>
        <v>0</v>
      </c>
      <c r="V224" s="273">
        <f t="shared" si="44"/>
        <v>0</v>
      </c>
      <c r="W224" s="273">
        <f t="shared" si="44"/>
        <v>0</v>
      </c>
      <c r="Y224" s="279"/>
      <c r="Z224" s="251"/>
      <c r="AA224" s="251"/>
      <c r="AB224" s="37"/>
      <c r="AC224" s="279"/>
      <c r="AD224" s="279"/>
      <c r="AE224" s="279"/>
      <c r="AF224" s="279"/>
      <c r="AG224" s="15"/>
    </row>
    <row r="225" spans="1:33" x14ac:dyDescent="0.3">
      <c r="A225" s="317" t="s">
        <v>708</v>
      </c>
      <c r="B225" s="318"/>
      <c r="C225" s="273"/>
      <c r="D225" s="273"/>
      <c r="E225" s="273"/>
      <c r="F225" s="273"/>
      <c r="G225" s="273"/>
      <c r="H225" s="273"/>
      <c r="I225" s="273"/>
      <c r="J225" s="50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273"/>
      <c r="W225" s="273"/>
      <c r="X225" s="37"/>
      <c r="Y225" s="279"/>
      <c r="Z225" s="251"/>
      <c r="AA225" s="251"/>
      <c r="AB225" s="279"/>
      <c r="AC225" s="279"/>
      <c r="AD225" s="279"/>
      <c r="AE225" s="279"/>
      <c r="AF225" s="279"/>
      <c r="AG225" s="15"/>
    </row>
    <row r="226" spans="1:33" x14ac:dyDescent="0.3">
      <c r="A226" s="259">
        <f>A223+1</f>
        <v>159</v>
      </c>
      <c r="B226" s="20" t="s">
        <v>709</v>
      </c>
      <c r="C226" s="273">
        <f>D226+K226+L226+N226+R226+S226+U226+V226+W226</f>
        <v>18087649.199999999</v>
      </c>
      <c r="D226" s="273"/>
      <c r="E226" s="273"/>
      <c r="F226" s="273"/>
      <c r="G226" s="273"/>
      <c r="H226" s="273"/>
      <c r="I226" s="273"/>
      <c r="J226" s="50"/>
      <c r="K226" s="273"/>
      <c r="L226" s="273"/>
      <c r="M226" s="273"/>
      <c r="N226" s="273"/>
      <c r="O226" s="273"/>
      <c r="P226" s="273"/>
      <c r="Q226" s="273">
        <v>5532.5</v>
      </c>
      <c r="R226" s="273">
        <v>18087649.199999999</v>
      </c>
      <c r="S226" s="273"/>
      <c r="T226" s="273"/>
      <c r="U226" s="273"/>
      <c r="V226" s="273"/>
      <c r="W226" s="273"/>
      <c r="X226" s="283"/>
      <c r="Y226" s="17"/>
      <c r="Z226" s="17"/>
      <c r="AA226" s="17"/>
      <c r="AB226" s="17"/>
      <c r="AC226" s="17"/>
      <c r="AD226" s="17"/>
      <c r="AE226" s="17"/>
      <c r="AF226" s="17"/>
      <c r="AG226" s="15"/>
    </row>
    <row r="227" spans="1:33" x14ac:dyDescent="0.3">
      <c r="A227" s="259">
        <f>A226+1</f>
        <v>160</v>
      </c>
      <c r="B227" s="20" t="s">
        <v>710</v>
      </c>
      <c r="C227" s="273">
        <f>D227+K227+L227+N227+R227+S227+U227+V227+W227</f>
        <v>38042328</v>
      </c>
      <c r="D227" s="273"/>
      <c r="E227" s="273"/>
      <c r="F227" s="273"/>
      <c r="G227" s="273"/>
      <c r="H227" s="273"/>
      <c r="I227" s="273"/>
      <c r="J227" s="50"/>
      <c r="K227" s="273"/>
      <c r="L227" s="273"/>
      <c r="M227" s="273"/>
      <c r="N227" s="273"/>
      <c r="O227" s="273"/>
      <c r="P227" s="273"/>
      <c r="Q227" s="273">
        <f>6120</f>
        <v>6120</v>
      </c>
      <c r="R227" s="273">
        <v>38042328</v>
      </c>
      <c r="S227" s="273"/>
      <c r="T227" s="273"/>
      <c r="U227" s="273"/>
      <c r="V227" s="273"/>
      <c r="W227" s="273"/>
      <c r="X227" s="283"/>
      <c r="Y227" s="17"/>
      <c r="Z227" s="17"/>
      <c r="AA227" s="17"/>
      <c r="AB227" s="17"/>
      <c r="AC227" s="17"/>
      <c r="AD227" s="17"/>
      <c r="AE227" s="17"/>
      <c r="AF227" s="17"/>
      <c r="AG227" s="15"/>
    </row>
    <row r="228" spans="1:33" x14ac:dyDescent="0.3">
      <c r="A228" s="259">
        <f>A227+1</f>
        <v>161</v>
      </c>
      <c r="B228" s="20" t="s">
        <v>711</v>
      </c>
      <c r="C228" s="273">
        <f>D228+K228+L228+N228+R228+S228+U228+V228+W228</f>
        <v>182039</v>
      </c>
      <c r="D228" s="273"/>
      <c r="E228" s="273"/>
      <c r="F228" s="273"/>
      <c r="G228" s="273"/>
      <c r="H228" s="273"/>
      <c r="I228" s="273"/>
      <c r="J228" s="50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>
        <v>182039</v>
      </c>
      <c r="X228" s="283"/>
      <c r="Y228" s="17"/>
      <c r="Z228" s="17"/>
      <c r="AA228" s="17"/>
      <c r="AB228" s="17"/>
      <c r="AC228" s="17"/>
      <c r="AD228" s="17"/>
      <c r="AE228" s="279"/>
      <c r="AF228" s="17">
        <v>182039</v>
      </c>
      <c r="AG228" s="15"/>
    </row>
    <row r="229" spans="1:33" x14ac:dyDescent="0.3">
      <c r="A229" s="259"/>
      <c r="B229" s="20" t="s">
        <v>208</v>
      </c>
      <c r="C229" s="273">
        <f t="shared" ref="C229:W229" si="45">SUM(C226:C228)</f>
        <v>56312016.200000003</v>
      </c>
      <c r="D229" s="273">
        <f t="shared" si="45"/>
        <v>0</v>
      </c>
      <c r="E229" s="273">
        <f t="shared" si="45"/>
        <v>0</v>
      </c>
      <c r="F229" s="273">
        <f t="shared" si="45"/>
        <v>0</v>
      </c>
      <c r="G229" s="273">
        <f t="shared" si="45"/>
        <v>0</v>
      </c>
      <c r="H229" s="273">
        <f t="shared" si="45"/>
        <v>0</v>
      </c>
      <c r="I229" s="273">
        <f t="shared" si="45"/>
        <v>0</v>
      </c>
      <c r="J229" s="50">
        <f t="shared" si="45"/>
        <v>0</v>
      </c>
      <c r="K229" s="273">
        <f t="shared" si="45"/>
        <v>0</v>
      </c>
      <c r="L229" s="273">
        <f t="shared" si="45"/>
        <v>0</v>
      </c>
      <c r="M229" s="273">
        <f t="shared" si="45"/>
        <v>0</v>
      </c>
      <c r="N229" s="273">
        <f t="shared" si="45"/>
        <v>0</v>
      </c>
      <c r="O229" s="273">
        <f t="shared" si="45"/>
        <v>0</v>
      </c>
      <c r="P229" s="273">
        <f t="shared" si="45"/>
        <v>0</v>
      </c>
      <c r="Q229" s="273">
        <f t="shared" si="45"/>
        <v>11652.5</v>
      </c>
      <c r="R229" s="273">
        <f t="shared" si="45"/>
        <v>56129977.200000003</v>
      </c>
      <c r="S229" s="273">
        <f t="shared" si="45"/>
        <v>0</v>
      </c>
      <c r="T229" s="273">
        <f t="shared" si="45"/>
        <v>0</v>
      </c>
      <c r="U229" s="273">
        <f t="shared" si="45"/>
        <v>0</v>
      </c>
      <c r="V229" s="273">
        <f t="shared" si="45"/>
        <v>0</v>
      </c>
      <c r="W229" s="273">
        <f t="shared" si="45"/>
        <v>182039</v>
      </c>
      <c r="X229" s="283"/>
      <c r="Y229" s="17"/>
      <c r="Z229" s="17"/>
      <c r="AA229" s="17"/>
      <c r="AB229" s="17"/>
      <c r="AC229" s="17"/>
      <c r="AD229" s="17"/>
      <c r="AE229" s="279"/>
      <c r="AF229" s="17"/>
      <c r="AG229" s="15"/>
    </row>
    <row r="230" spans="1:33" x14ac:dyDescent="0.3">
      <c r="A230" s="425" t="s">
        <v>718</v>
      </c>
      <c r="B230" s="426"/>
      <c r="C230" s="273"/>
      <c r="D230" s="273"/>
      <c r="E230" s="273"/>
      <c r="F230" s="273"/>
      <c r="G230" s="273"/>
      <c r="H230" s="273"/>
      <c r="I230" s="273"/>
      <c r="J230" s="50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  <c r="V230" s="273"/>
      <c r="W230" s="273"/>
      <c r="X230" s="283"/>
      <c r="Y230" s="15"/>
      <c r="Z230" s="15"/>
      <c r="AA230" s="15"/>
      <c r="AB230" s="15"/>
      <c r="AC230" s="15"/>
      <c r="AD230" s="15"/>
      <c r="AE230" s="15"/>
      <c r="AF230" s="15"/>
      <c r="AG230" s="15"/>
    </row>
    <row r="231" spans="1:33" x14ac:dyDescent="0.3">
      <c r="A231" s="259">
        <f>A228+1</f>
        <v>162</v>
      </c>
      <c r="B231" s="20" t="s">
        <v>726</v>
      </c>
      <c r="C231" s="273">
        <f>D231+K231+L231+N231+R231+S231+U231+V231+W231</f>
        <v>4846857.5999999996</v>
      </c>
      <c r="D231" s="273"/>
      <c r="E231" s="273"/>
      <c r="F231" s="273"/>
      <c r="G231" s="273"/>
      <c r="H231" s="273"/>
      <c r="I231" s="273"/>
      <c r="J231" s="50"/>
      <c r="K231" s="273"/>
      <c r="L231" s="273"/>
      <c r="M231" s="273"/>
      <c r="N231" s="273"/>
      <c r="O231" s="273"/>
      <c r="P231" s="273"/>
      <c r="Q231" s="273">
        <v>648.29999999999995</v>
      </c>
      <c r="R231" s="273">
        <v>4846857.5999999996</v>
      </c>
      <c r="S231" s="273"/>
      <c r="T231" s="273"/>
      <c r="U231" s="273"/>
      <c r="V231" s="273"/>
      <c r="W231" s="273"/>
      <c r="X231" s="37">
        <v>98364.53</v>
      </c>
      <c r="Y231" s="279"/>
      <c r="Z231" s="279"/>
      <c r="AA231" s="279"/>
      <c r="AB231" s="279"/>
      <c r="AC231" s="279"/>
      <c r="AD231" s="279">
        <v>206630.28</v>
      </c>
      <c r="AE231" s="17"/>
      <c r="AF231" s="17"/>
      <c r="AG231" s="17"/>
    </row>
    <row r="232" spans="1:33" x14ac:dyDescent="0.3">
      <c r="A232" s="259">
        <f>A231+1</f>
        <v>163</v>
      </c>
      <c r="B232" s="20" t="s">
        <v>732</v>
      </c>
      <c r="C232" s="273">
        <f>D232+K232+L232+N232+R232+S232+U232+V232+W232</f>
        <v>4237155.5999999996</v>
      </c>
      <c r="D232" s="273"/>
      <c r="E232" s="273"/>
      <c r="F232" s="273"/>
      <c r="G232" s="273"/>
      <c r="H232" s="273"/>
      <c r="I232" s="273"/>
      <c r="J232" s="50"/>
      <c r="K232" s="273"/>
      <c r="L232" s="273"/>
      <c r="M232" s="273"/>
      <c r="N232" s="273"/>
      <c r="O232" s="273"/>
      <c r="P232" s="273"/>
      <c r="Q232" s="273">
        <v>531.4</v>
      </c>
      <c r="R232" s="273">
        <v>4237155.5999999996</v>
      </c>
      <c r="S232" s="273"/>
      <c r="T232" s="273"/>
      <c r="U232" s="273"/>
      <c r="V232" s="273"/>
      <c r="W232" s="273"/>
      <c r="X232" s="283"/>
      <c r="Y232" s="251">
        <v>129926.95</v>
      </c>
      <c r="Z232" s="18">
        <v>109800.07</v>
      </c>
      <c r="AA232" s="17"/>
      <c r="AB232" s="17"/>
      <c r="AC232" s="17"/>
      <c r="AD232" s="17"/>
      <c r="AE232" s="17"/>
      <c r="AF232" s="17"/>
      <c r="AG232" s="17"/>
    </row>
    <row r="233" spans="1:33" x14ac:dyDescent="0.3">
      <c r="A233" s="259">
        <f>A232+1</f>
        <v>164</v>
      </c>
      <c r="B233" s="20" t="s">
        <v>733</v>
      </c>
      <c r="C233" s="273">
        <f>D233+K233+L233+N233+R233+S233+U233+V233+W233</f>
        <v>4820659.2</v>
      </c>
      <c r="D233" s="273"/>
      <c r="E233" s="273"/>
      <c r="F233" s="273"/>
      <c r="G233" s="273"/>
      <c r="H233" s="273"/>
      <c r="I233" s="273"/>
      <c r="J233" s="50"/>
      <c r="K233" s="273"/>
      <c r="L233" s="273"/>
      <c r="M233" s="273"/>
      <c r="N233" s="273"/>
      <c r="O233" s="273"/>
      <c r="P233" s="273"/>
      <c r="Q233" s="273">
        <v>669.2</v>
      </c>
      <c r="R233" s="273">
        <v>4820659.2</v>
      </c>
      <c r="S233" s="273"/>
      <c r="T233" s="273"/>
      <c r="U233" s="273"/>
      <c r="V233" s="273"/>
      <c r="W233" s="273"/>
      <c r="X233" s="283"/>
      <c r="Y233" s="273"/>
      <c r="Z233" s="16"/>
      <c r="AA233" s="17"/>
      <c r="AB233" s="17"/>
      <c r="AC233" s="279"/>
      <c r="AD233" s="279"/>
      <c r="AE233" s="17"/>
      <c r="AF233" s="17"/>
      <c r="AG233" s="17"/>
    </row>
    <row r="234" spans="1:33" x14ac:dyDescent="0.3">
      <c r="A234" s="259">
        <f>A233+1</f>
        <v>165</v>
      </c>
      <c r="B234" s="20" t="s">
        <v>735</v>
      </c>
      <c r="C234" s="273">
        <f>D234+K234+L234+N234+R234+S234+U234+V234+W234</f>
        <v>4855225.2</v>
      </c>
      <c r="D234" s="273"/>
      <c r="E234" s="273"/>
      <c r="F234" s="273"/>
      <c r="G234" s="273"/>
      <c r="H234" s="273"/>
      <c r="I234" s="273"/>
      <c r="J234" s="50"/>
      <c r="K234" s="273"/>
      <c r="L234" s="273"/>
      <c r="M234" s="273"/>
      <c r="N234" s="273"/>
      <c r="O234" s="273"/>
      <c r="P234" s="273"/>
      <c r="Q234" s="273">
        <v>669.2</v>
      </c>
      <c r="R234" s="273">
        <v>4855225.2</v>
      </c>
      <c r="S234" s="273"/>
      <c r="T234" s="273"/>
      <c r="U234" s="273"/>
      <c r="V234" s="273"/>
      <c r="W234" s="273"/>
      <c r="X234" s="283"/>
      <c r="Y234" s="273"/>
      <c r="Z234" s="16"/>
      <c r="AA234" s="17"/>
      <c r="AB234" s="17"/>
      <c r="AC234" s="17"/>
      <c r="AD234" s="279">
        <v>234479.44</v>
      </c>
      <c r="AE234" s="17"/>
      <c r="AF234" s="17"/>
      <c r="AG234" s="17"/>
    </row>
    <row r="235" spans="1:33" x14ac:dyDescent="0.3">
      <c r="A235" s="259"/>
      <c r="B235" s="20" t="s">
        <v>208</v>
      </c>
      <c r="C235" s="273">
        <f t="shared" ref="C235:W235" si="46">SUM(C231:C234)</f>
        <v>18759897.599999998</v>
      </c>
      <c r="D235" s="273">
        <f t="shared" si="46"/>
        <v>0</v>
      </c>
      <c r="E235" s="273">
        <f t="shared" si="46"/>
        <v>0</v>
      </c>
      <c r="F235" s="273">
        <f t="shared" si="46"/>
        <v>0</v>
      </c>
      <c r="G235" s="273">
        <f t="shared" si="46"/>
        <v>0</v>
      </c>
      <c r="H235" s="273">
        <f t="shared" si="46"/>
        <v>0</v>
      </c>
      <c r="I235" s="273">
        <f t="shared" si="46"/>
        <v>0</v>
      </c>
      <c r="J235" s="50">
        <f t="shared" si="46"/>
        <v>0</v>
      </c>
      <c r="K235" s="273">
        <f t="shared" si="46"/>
        <v>0</v>
      </c>
      <c r="L235" s="273">
        <f t="shared" si="46"/>
        <v>0</v>
      </c>
      <c r="M235" s="273">
        <f t="shared" si="46"/>
        <v>0</v>
      </c>
      <c r="N235" s="273">
        <f t="shared" si="46"/>
        <v>0</v>
      </c>
      <c r="O235" s="273">
        <f t="shared" si="46"/>
        <v>0</v>
      </c>
      <c r="P235" s="273">
        <f t="shared" si="46"/>
        <v>0</v>
      </c>
      <c r="Q235" s="273">
        <f t="shared" si="46"/>
        <v>2518.1</v>
      </c>
      <c r="R235" s="273">
        <f t="shared" si="46"/>
        <v>18759897.599999998</v>
      </c>
      <c r="S235" s="273">
        <f t="shared" si="46"/>
        <v>0</v>
      </c>
      <c r="T235" s="273">
        <f t="shared" si="46"/>
        <v>0</v>
      </c>
      <c r="U235" s="273">
        <f t="shared" si="46"/>
        <v>0</v>
      </c>
      <c r="V235" s="273">
        <f t="shared" si="46"/>
        <v>0</v>
      </c>
      <c r="W235" s="273">
        <f t="shared" si="46"/>
        <v>0</v>
      </c>
      <c r="X235" s="269"/>
      <c r="Y235" s="269"/>
      <c r="Z235" s="7"/>
      <c r="AA235" s="13"/>
      <c r="AB235" s="13"/>
      <c r="AC235" s="13"/>
      <c r="AD235" s="13"/>
      <c r="AE235" s="13"/>
      <c r="AF235" s="13"/>
      <c r="AG235" s="13"/>
    </row>
    <row r="236" spans="1:33" x14ac:dyDescent="0.3">
      <c r="A236" s="435" t="s">
        <v>3149</v>
      </c>
      <c r="B236" s="436"/>
      <c r="C236" s="251">
        <f t="shared" ref="C236:W236" si="47">C235+C229+C224+C211+C206+C202+C167+C149+C143+C139</f>
        <v>449489086.07000005</v>
      </c>
      <c r="D236" s="251">
        <f t="shared" si="47"/>
        <v>1440976.95</v>
      </c>
      <c r="E236" s="251">
        <f t="shared" si="47"/>
        <v>1440976.95</v>
      </c>
      <c r="F236" s="251">
        <f t="shared" si="47"/>
        <v>0</v>
      </c>
      <c r="G236" s="251">
        <f t="shared" si="47"/>
        <v>0</v>
      </c>
      <c r="H236" s="251">
        <f t="shared" si="47"/>
        <v>0</v>
      </c>
      <c r="I236" s="251">
        <f t="shared" si="47"/>
        <v>0</v>
      </c>
      <c r="J236" s="57">
        <f t="shared" si="47"/>
        <v>0</v>
      </c>
      <c r="K236" s="251">
        <f t="shared" si="47"/>
        <v>0</v>
      </c>
      <c r="L236" s="251">
        <f t="shared" si="47"/>
        <v>0</v>
      </c>
      <c r="M236" s="251">
        <f t="shared" si="47"/>
        <v>0</v>
      </c>
      <c r="N236" s="251">
        <f t="shared" si="47"/>
        <v>0</v>
      </c>
      <c r="O236" s="251">
        <f t="shared" si="47"/>
        <v>654</v>
      </c>
      <c r="P236" s="251">
        <f t="shared" si="47"/>
        <v>5434599.5999999996</v>
      </c>
      <c r="Q236" s="251">
        <f t="shared" si="47"/>
        <v>60131.790000000008</v>
      </c>
      <c r="R236" s="251">
        <f t="shared" si="47"/>
        <v>426808706.53999996</v>
      </c>
      <c r="S236" s="251">
        <f t="shared" si="47"/>
        <v>0</v>
      </c>
      <c r="T236" s="251">
        <f t="shared" si="47"/>
        <v>0</v>
      </c>
      <c r="U236" s="251">
        <f t="shared" si="47"/>
        <v>0</v>
      </c>
      <c r="V236" s="251">
        <f t="shared" si="47"/>
        <v>0</v>
      </c>
      <c r="W236" s="251">
        <f t="shared" si="47"/>
        <v>15804802.98</v>
      </c>
      <c r="X236" s="269"/>
      <c r="Y236" s="269"/>
      <c r="Z236" s="7"/>
      <c r="AA236" s="13"/>
      <c r="AB236" s="13"/>
      <c r="AC236" s="13"/>
      <c r="AD236" s="13"/>
      <c r="AE236" s="13"/>
      <c r="AF236" s="13"/>
      <c r="AG236" s="13"/>
    </row>
    <row r="237" spans="1:33" x14ac:dyDescent="0.3">
      <c r="A237" s="303" t="s">
        <v>742</v>
      </c>
      <c r="B237" s="303"/>
      <c r="C237" s="303"/>
      <c r="D237" s="303"/>
      <c r="E237" s="303"/>
      <c r="F237" s="303"/>
      <c r="G237" s="303"/>
      <c r="H237" s="303"/>
      <c r="I237" s="303"/>
      <c r="J237" s="303"/>
      <c r="K237" s="303"/>
      <c r="L237" s="303"/>
      <c r="M237" s="303"/>
      <c r="N237" s="303"/>
      <c r="O237" s="303"/>
      <c r="P237" s="303"/>
      <c r="Q237" s="303"/>
      <c r="R237" s="303"/>
      <c r="S237" s="303"/>
      <c r="T237" s="303"/>
      <c r="U237" s="303"/>
      <c r="V237" s="303"/>
      <c r="W237" s="303"/>
      <c r="X237" s="89"/>
      <c r="Y237" s="90"/>
      <c r="Z237" s="90"/>
      <c r="AA237" s="90"/>
      <c r="AB237" s="90"/>
      <c r="AC237" s="251"/>
      <c r="AD237" s="251"/>
      <c r="AE237" s="251"/>
      <c r="AF237" s="91"/>
      <c r="AG237" s="13"/>
    </row>
    <row r="238" spans="1:33" x14ac:dyDescent="0.3">
      <c r="A238" s="433" t="s">
        <v>746</v>
      </c>
      <c r="B238" s="434"/>
      <c r="C238" s="273"/>
      <c r="D238" s="273"/>
      <c r="E238" s="273"/>
      <c r="F238" s="273"/>
      <c r="G238" s="273"/>
      <c r="H238" s="273"/>
      <c r="I238" s="273"/>
      <c r="J238" s="50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  <c r="V238" s="273"/>
      <c r="W238" s="273"/>
      <c r="X238" s="271"/>
      <c r="Y238" s="271"/>
      <c r="Z238" s="271"/>
      <c r="AA238" s="271"/>
      <c r="AB238" s="271"/>
      <c r="AC238" s="269"/>
      <c r="AD238" s="84"/>
      <c r="AE238" s="82"/>
      <c r="AF238" s="82"/>
      <c r="AG238" s="13"/>
    </row>
    <row r="239" spans="1:33" x14ac:dyDescent="0.3">
      <c r="A239" s="259">
        <f>A234+1</f>
        <v>166</v>
      </c>
      <c r="B239" s="20" t="s">
        <v>752</v>
      </c>
      <c r="C239" s="273">
        <f>D239+K239+L239+N239+P239+R239+S239+U239+W239</f>
        <v>25043773.879999999</v>
      </c>
      <c r="D239" s="273"/>
      <c r="E239" s="273"/>
      <c r="F239" s="273"/>
      <c r="G239" s="273"/>
      <c r="H239" s="273"/>
      <c r="I239" s="273"/>
      <c r="J239" s="50"/>
      <c r="K239" s="273"/>
      <c r="L239" s="273"/>
      <c r="M239" s="273"/>
      <c r="N239" s="273"/>
      <c r="O239" s="273"/>
      <c r="P239" s="273"/>
      <c r="Q239" s="273">
        <v>3403.03</v>
      </c>
      <c r="R239" s="273">
        <v>25043773.879999999</v>
      </c>
      <c r="S239" s="273"/>
      <c r="T239" s="273"/>
      <c r="U239" s="273"/>
      <c r="V239" s="273"/>
      <c r="W239" s="273"/>
      <c r="X239" s="271"/>
      <c r="Y239" s="271"/>
      <c r="Z239" s="271"/>
      <c r="AA239" s="271"/>
      <c r="AB239" s="271"/>
      <c r="AC239" s="269"/>
      <c r="AD239" s="84"/>
      <c r="AE239" s="82"/>
      <c r="AF239" s="82"/>
      <c r="AG239" s="13"/>
    </row>
    <row r="240" spans="1:33" x14ac:dyDescent="0.3">
      <c r="A240" s="259">
        <f>A239+1</f>
        <v>167</v>
      </c>
      <c r="B240" s="20" t="s">
        <v>760</v>
      </c>
      <c r="C240" s="273">
        <f>D240+K240+L240+N240+P240+R240+S240+U240+W240</f>
        <v>7929399.5999999996</v>
      </c>
      <c r="D240" s="273"/>
      <c r="E240" s="273"/>
      <c r="F240" s="273"/>
      <c r="G240" s="273"/>
      <c r="H240" s="273"/>
      <c r="I240" s="273"/>
      <c r="J240" s="50"/>
      <c r="K240" s="273"/>
      <c r="L240" s="273"/>
      <c r="M240" s="273"/>
      <c r="N240" s="273"/>
      <c r="O240" s="273"/>
      <c r="P240" s="273"/>
      <c r="Q240" s="273">
        <v>1255</v>
      </c>
      <c r="R240" s="273">
        <v>7929399.5999999996</v>
      </c>
      <c r="S240" s="273"/>
      <c r="T240" s="273"/>
      <c r="U240" s="273"/>
      <c r="V240" s="273"/>
      <c r="W240" s="273"/>
      <c r="X240" s="271"/>
      <c r="Y240" s="271"/>
      <c r="Z240" s="271"/>
      <c r="AA240" s="271"/>
      <c r="AB240" s="271"/>
      <c r="AC240" s="269"/>
      <c r="AD240" s="84"/>
      <c r="AE240" s="82"/>
      <c r="AF240" s="82"/>
      <c r="AG240" s="13"/>
    </row>
    <row r="241" spans="1:33" x14ac:dyDescent="0.3">
      <c r="A241" s="259">
        <f>A240+1</f>
        <v>168</v>
      </c>
      <c r="B241" s="124" t="s">
        <v>774</v>
      </c>
      <c r="C241" s="273">
        <f>D241+K241+L241+N241+P241+R241+S241+U241+W241</f>
        <v>28902192</v>
      </c>
      <c r="D241" s="273"/>
      <c r="E241" s="273"/>
      <c r="F241" s="273"/>
      <c r="G241" s="273"/>
      <c r="H241" s="273"/>
      <c r="I241" s="273"/>
      <c r="J241" s="50"/>
      <c r="K241" s="273"/>
      <c r="L241" s="273"/>
      <c r="M241" s="273"/>
      <c r="N241" s="273"/>
      <c r="O241" s="273"/>
      <c r="P241" s="273"/>
      <c r="Q241" s="12">
        <v>2064</v>
      </c>
      <c r="R241" s="11">
        <v>28902192</v>
      </c>
      <c r="S241" s="273"/>
      <c r="T241" s="273"/>
      <c r="U241" s="273"/>
      <c r="V241" s="273"/>
      <c r="W241" s="273"/>
      <c r="X241" s="271"/>
      <c r="Y241" s="271"/>
      <c r="Z241" s="271"/>
      <c r="AA241" s="271"/>
      <c r="AB241" s="271"/>
      <c r="AC241" s="269"/>
      <c r="AD241" s="84"/>
      <c r="AE241" s="82"/>
      <c r="AF241" s="82"/>
      <c r="AG241" s="13"/>
    </row>
    <row r="242" spans="1:33" x14ac:dyDescent="0.3">
      <c r="A242" s="259">
        <f>A241+1</f>
        <v>169</v>
      </c>
      <c r="B242" s="124" t="s">
        <v>845</v>
      </c>
      <c r="C242" s="273">
        <f>D242+K242+L242+N242+P242+R242+S242+U242+W242</f>
        <v>5531298</v>
      </c>
      <c r="D242" s="273"/>
      <c r="E242" s="273"/>
      <c r="F242" s="273"/>
      <c r="G242" s="273"/>
      <c r="H242" s="273"/>
      <c r="I242" s="273"/>
      <c r="J242" s="50"/>
      <c r="K242" s="273"/>
      <c r="L242" s="273"/>
      <c r="M242" s="273">
        <v>886</v>
      </c>
      <c r="N242" s="273">
        <v>5531298</v>
      </c>
      <c r="O242" s="273"/>
      <c r="P242" s="273"/>
      <c r="Q242" s="273"/>
      <c r="R242" s="273"/>
      <c r="S242" s="273"/>
      <c r="T242" s="273"/>
      <c r="U242" s="273"/>
      <c r="V242" s="273"/>
      <c r="W242" s="273"/>
      <c r="X242" s="271"/>
      <c r="Y242" s="271"/>
      <c r="Z242" s="271"/>
      <c r="AA242" s="271"/>
      <c r="AB242" s="271"/>
      <c r="AC242" s="269"/>
      <c r="AD242" s="84"/>
      <c r="AE242" s="82"/>
      <c r="AF242" s="82"/>
      <c r="AG242" s="13"/>
    </row>
    <row r="243" spans="1:33" x14ac:dyDescent="0.3">
      <c r="A243" s="259">
        <f>A242+1</f>
        <v>170</v>
      </c>
      <c r="B243" s="20" t="s">
        <v>848</v>
      </c>
      <c r="C243" s="273">
        <f>D243+K243+L243+N243+P243+R243+S243+U243+W243</f>
        <v>11119332.6</v>
      </c>
      <c r="D243" s="273">
        <f>E243+F243+G243+H243+I243</f>
        <v>4482252.5999999996</v>
      </c>
      <c r="E243" s="273">
        <v>4482252.5999999996</v>
      </c>
      <c r="F243" s="273"/>
      <c r="G243" s="273"/>
      <c r="H243" s="273"/>
      <c r="I243" s="273"/>
      <c r="J243" s="50"/>
      <c r="K243" s="273"/>
      <c r="L243" s="273"/>
      <c r="M243" s="273">
        <v>820</v>
      </c>
      <c r="N243" s="273">
        <v>6637080</v>
      </c>
      <c r="O243" s="273"/>
      <c r="P243" s="273"/>
      <c r="Q243" s="273"/>
      <c r="R243" s="273"/>
      <c r="S243" s="273"/>
      <c r="T243" s="273"/>
      <c r="U243" s="273"/>
      <c r="V243" s="273"/>
      <c r="W243" s="273"/>
      <c r="X243" s="271"/>
      <c r="Y243" s="271"/>
      <c r="Z243" s="271"/>
      <c r="AA243" s="271"/>
      <c r="AB243" s="271"/>
      <c r="AC243" s="269"/>
      <c r="AD243" s="84"/>
      <c r="AE243" s="82"/>
      <c r="AF243" s="82"/>
      <c r="AG243" s="13"/>
    </row>
    <row r="244" spans="1:33" x14ac:dyDescent="0.3">
      <c r="A244" s="259"/>
      <c r="B244" s="20" t="s">
        <v>208</v>
      </c>
      <c r="C244" s="273">
        <f t="shared" ref="C244:W244" si="48">SUM(C239:C243)</f>
        <v>78525996.079999983</v>
      </c>
      <c r="D244" s="273">
        <f t="shared" si="48"/>
        <v>4482252.5999999996</v>
      </c>
      <c r="E244" s="273">
        <f t="shared" si="48"/>
        <v>4482252.5999999996</v>
      </c>
      <c r="F244" s="273">
        <f t="shared" si="48"/>
        <v>0</v>
      </c>
      <c r="G244" s="273">
        <f t="shared" si="48"/>
        <v>0</v>
      </c>
      <c r="H244" s="273">
        <f t="shared" si="48"/>
        <v>0</v>
      </c>
      <c r="I244" s="273">
        <f t="shared" si="48"/>
        <v>0</v>
      </c>
      <c r="J244" s="50">
        <f t="shared" si="48"/>
        <v>0</v>
      </c>
      <c r="K244" s="273">
        <f t="shared" si="48"/>
        <v>0</v>
      </c>
      <c r="L244" s="273">
        <f t="shared" si="48"/>
        <v>0</v>
      </c>
      <c r="M244" s="273">
        <f t="shared" si="48"/>
        <v>1706</v>
      </c>
      <c r="N244" s="273">
        <f t="shared" si="48"/>
        <v>12168378</v>
      </c>
      <c r="O244" s="273">
        <f t="shared" si="48"/>
        <v>0</v>
      </c>
      <c r="P244" s="273">
        <f t="shared" si="48"/>
        <v>0</v>
      </c>
      <c r="Q244" s="273">
        <f t="shared" si="48"/>
        <v>6722.0300000000007</v>
      </c>
      <c r="R244" s="273">
        <f t="shared" si="48"/>
        <v>61875365.479999997</v>
      </c>
      <c r="S244" s="273">
        <f t="shared" si="48"/>
        <v>0</v>
      </c>
      <c r="T244" s="273">
        <f t="shared" si="48"/>
        <v>0</v>
      </c>
      <c r="U244" s="273">
        <f t="shared" si="48"/>
        <v>0</v>
      </c>
      <c r="V244" s="273">
        <f t="shared" si="48"/>
        <v>0</v>
      </c>
      <c r="W244" s="273">
        <f t="shared" si="48"/>
        <v>0</v>
      </c>
      <c r="X244" s="271"/>
      <c r="Y244" s="271"/>
      <c r="Z244" s="271"/>
      <c r="AA244" s="271"/>
      <c r="AB244" s="271"/>
      <c r="AC244" s="269"/>
      <c r="AD244" s="84"/>
      <c r="AE244" s="82"/>
      <c r="AF244" s="82"/>
      <c r="AG244" s="13"/>
    </row>
    <row r="245" spans="1:33" x14ac:dyDescent="0.3">
      <c r="A245" s="317" t="s">
        <v>880</v>
      </c>
      <c r="B245" s="318"/>
      <c r="C245" s="273"/>
      <c r="D245" s="273"/>
      <c r="E245" s="273"/>
      <c r="F245" s="273"/>
      <c r="G245" s="273"/>
      <c r="H245" s="273"/>
      <c r="I245" s="273"/>
      <c r="J245" s="50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  <c r="V245" s="273"/>
      <c r="W245" s="273"/>
      <c r="X245" s="271"/>
      <c r="Y245" s="271"/>
      <c r="Z245" s="271"/>
      <c r="AA245" s="271"/>
      <c r="AB245" s="271"/>
      <c r="AC245" s="269"/>
      <c r="AD245" s="84"/>
      <c r="AE245" s="82"/>
      <c r="AF245" s="82"/>
      <c r="AG245" s="13"/>
    </row>
    <row r="246" spans="1:33" x14ac:dyDescent="0.3">
      <c r="A246" s="10">
        <f>A243+1</f>
        <v>171</v>
      </c>
      <c r="B246" s="20" t="s">
        <v>888</v>
      </c>
      <c r="C246" s="273">
        <f>D246+K246+L246+N246+P246+R246+S246+U246+W246</f>
        <v>3227150.14</v>
      </c>
      <c r="D246" s="273"/>
      <c r="E246" s="273"/>
      <c r="F246" s="273"/>
      <c r="G246" s="273"/>
      <c r="H246" s="273"/>
      <c r="I246" s="273"/>
      <c r="J246" s="50"/>
      <c r="K246" s="273"/>
      <c r="L246" s="273"/>
      <c r="M246" s="273"/>
      <c r="N246" s="273"/>
      <c r="O246" s="273"/>
      <c r="P246" s="273"/>
      <c r="Q246" s="273">
        <v>362.8</v>
      </c>
      <c r="R246" s="273">
        <v>3227150.14</v>
      </c>
      <c r="S246" s="273"/>
      <c r="T246" s="273"/>
      <c r="U246" s="273"/>
      <c r="V246" s="273"/>
      <c r="W246" s="273"/>
      <c r="X246" s="271"/>
      <c r="Y246" s="271"/>
      <c r="Z246" s="271"/>
      <c r="AA246" s="271"/>
      <c r="AB246" s="271"/>
      <c r="AC246" s="269"/>
      <c r="AD246" s="84"/>
      <c r="AE246" s="82"/>
      <c r="AF246" s="82"/>
      <c r="AG246" s="13"/>
    </row>
    <row r="247" spans="1:33" x14ac:dyDescent="0.3">
      <c r="A247" s="259">
        <f>A246+1</f>
        <v>172</v>
      </c>
      <c r="B247" s="20" t="s">
        <v>892</v>
      </c>
      <c r="C247" s="273">
        <f>D247+K247+L247+N247+P247+R247+S247+U247+W247</f>
        <v>9148813.7599999998</v>
      </c>
      <c r="D247" s="273"/>
      <c r="E247" s="273"/>
      <c r="F247" s="273"/>
      <c r="G247" s="273"/>
      <c r="H247" s="273"/>
      <c r="I247" s="273"/>
      <c r="J247" s="50"/>
      <c r="K247" s="273"/>
      <c r="L247" s="273"/>
      <c r="M247" s="273"/>
      <c r="N247" s="273"/>
      <c r="O247" s="273"/>
      <c r="P247" s="273"/>
      <c r="Q247" s="273">
        <v>1136.0999999999999</v>
      </c>
      <c r="R247" s="273">
        <v>9148813.7599999998</v>
      </c>
      <c r="S247" s="273"/>
      <c r="T247" s="273"/>
      <c r="U247" s="273"/>
      <c r="V247" s="273"/>
      <c r="W247" s="273"/>
      <c r="X247" s="271"/>
      <c r="Y247" s="271"/>
      <c r="Z247" s="335"/>
      <c r="AA247" s="335"/>
      <c r="AB247" s="271"/>
      <c r="AC247" s="269"/>
      <c r="AD247" s="84"/>
      <c r="AE247" s="82"/>
      <c r="AF247" s="82"/>
      <c r="AG247" s="13"/>
    </row>
    <row r="248" spans="1:33" x14ac:dyDescent="0.3">
      <c r="A248" s="259">
        <f>A247+1</f>
        <v>173</v>
      </c>
      <c r="B248" s="20" t="s">
        <v>915</v>
      </c>
      <c r="C248" s="273">
        <f>D248+K248+L248+N248+P248+R248+S248+U248+W248</f>
        <v>6292722.8799999999</v>
      </c>
      <c r="D248" s="273"/>
      <c r="E248" s="273"/>
      <c r="F248" s="273"/>
      <c r="G248" s="273"/>
      <c r="H248" s="273"/>
      <c r="I248" s="273"/>
      <c r="J248" s="50"/>
      <c r="K248" s="273"/>
      <c r="L248" s="273"/>
      <c r="M248" s="273"/>
      <c r="N248" s="273"/>
      <c r="O248" s="273"/>
      <c r="P248" s="273"/>
      <c r="Q248" s="273">
        <v>700.3</v>
      </c>
      <c r="R248" s="273">
        <v>6292722.8799999999</v>
      </c>
      <c r="S248" s="273"/>
      <c r="T248" s="273"/>
      <c r="U248" s="273"/>
      <c r="V248" s="273"/>
      <c r="W248" s="273"/>
      <c r="X248" s="271"/>
      <c r="Y248" s="271"/>
      <c r="Z248" s="271"/>
      <c r="AA248" s="271"/>
      <c r="AB248" s="271"/>
      <c r="AC248" s="269"/>
      <c r="AD248" s="84"/>
      <c r="AE248" s="82"/>
      <c r="AF248" s="82"/>
      <c r="AG248" s="13"/>
    </row>
    <row r="249" spans="1:33" x14ac:dyDescent="0.3">
      <c r="A249" s="259">
        <f>A248+1</f>
        <v>174</v>
      </c>
      <c r="B249" s="20" t="s">
        <v>921</v>
      </c>
      <c r="C249" s="273">
        <f>D249+K249+L249+N249+P249+R249+S249+U249+W249</f>
        <v>4588888.8</v>
      </c>
      <c r="D249" s="273"/>
      <c r="E249" s="273"/>
      <c r="F249" s="273"/>
      <c r="G249" s="273"/>
      <c r="H249" s="273"/>
      <c r="I249" s="273"/>
      <c r="J249" s="50"/>
      <c r="K249" s="273"/>
      <c r="L249" s="273"/>
      <c r="M249" s="273"/>
      <c r="N249" s="273"/>
      <c r="O249" s="273"/>
      <c r="P249" s="273"/>
      <c r="Q249" s="273">
        <v>588</v>
      </c>
      <c r="R249" s="273">
        <v>4588888.8</v>
      </c>
      <c r="S249" s="273"/>
      <c r="T249" s="273"/>
      <c r="U249" s="273"/>
      <c r="V249" s="273"/>
      <c r="W249" s="273"/>
      <c r="X249" s="271"/>
      <c r="Y249" s="271"/>
      <c r="Z249" s="271"/>
      <c r="AA249" s="271"/>
      <c r="AB249" s="271"/>
      <c r="AC249" s="269"/>
      <c r="AD249" s="84"/>
      <c r="AE249" s="82"/>
      <c r="AF249" s="82"/>
      <c r="AG249" s="13"/>
    </row>
    <row r="250" spans="1:33" x14ac:dyDescent="0.3">
      <c r="A250" s="259"/>
      <c r="B250" s="20" t="s">
        <v>208</v>
      </c>
      <c r="C250" s="273">
        <f t="shared" ref="C250:W250" si="49">SUM(C246:C249)</f>
        <v>23257575.580000002</v>
      </c>
      <c r="D250" s="273">
        <f t="shared" si="49"/>
        <v>0</v>
      </c>
      <c r="E250" s="273">
        <f t="shared" si="49"/>
        <v>0</v>
      </c>
      <c r="F250" s="273">
        <f t="shared" si="49"/>
        <v>0</v>
      </c>
      <c r="G250" s="273">
        <f t="shared" si="49"/>
        <v>0</v>
      </c>
      <c r="H250" s="273">
        <f t="shared" si="49"/>
        <v>0</v>
      </c>
      <c r="I250" s="273">
        <f t="shared" si="49"/>
        <v>0</v>
      </c>
      <c r="J250" s="50">
        <f t="shared" si="49"/>
        <v>0</v>
      </c>
      <c r="K250" s="273">
        <f t="shared" si="49"/>
        <v>0</v>
      </c>
      <c r="L250" s="273">
        <f t="shared" si="49"/>
        <v>0</v>
      </c>
      <c r="M250" s="273">
        <f t="shared" si="49"/>
        <v>0</v>
      </c>
      <c r="N250" s="273">
        <f t="shared" si="49"/>
        <v>0</v>
      </c>
      <c r="O250" s="273">
        <f t="shared" si="49"/>
        <v>0</v>
      </c>
      <c r="P250" s="273">
        <f t="shared" si="49"/>
        <v>0</v>
      </c>
      <c r="Q250" s="273">
        <f t="shared" si="49"/>
        <v>2787.2</v>
      </c>
      <c r="R250" s="273">
        <f t="shared" si="49"/>
        <v>23257575.580000002</v>
      </c>
      <c r="S250" s="273">
        <f t="shared" si="49"/>
        <v>0</v>
      </c>
      <c r="T250" s="273">
        <f t="shared" si="49"/>
        <v>0</v>
      </c>
      <c r="U250" s="273">
        <f t="shared" si="49"/>
        <v>0</v>
      </c>
      <c r="V250" s="273">
        <f t="shared" si="49"/>
        <v>0</v>
      </c>
      <c r="W250" s="273">
        <f t="shared" si="49"/>
        <v>0</v>
      </c>
      <c r="X250" s="271"/>
      <c r="Y250" s="271"/>
      <c r="Z250" s="271"/>
      <c r="AA250" s="271"/>
      <c r="AB250" s="271"/>
      <c r="AC250" s="269"/>
      <c r="AD250" s="84"/>
      <c r="AE250" s="82"/>
      <c r="AF250" s="82"/>
      <c r="AG250" s="13"/>
    </row>
    <row r="251" spans="1:33" x14ac:dyDescent="0.3">
      <c r="A251" s="317" t="s">
        <v>933</v>
      </c>
      <c r="B251" s="318"/>
      <c r="C251" s="273"/>
      <c r="D251" s="273"/>
      <c r="E251" s="273"/>
      <c r="F251" s="273"/>
      <c r="G251" s="273"/>
      <c r="H251" s="273"/>
      <c r="I251" s="273"/>
      <c r="J251" s="50"/>
      <c r="K251" s="273"/>
      <c r="L251" s="273"/>
      <c r="M251" s="273"/>
      <c r="N251" s="273"/>
      <c r="O251" s="273"/>
      <c r="P251" s="273"/>
      <c r="Q251" s="273"/>
      <c r="R251" s="273"/>
      <c r="S251" s="273"/>
      <c r="T251" s="273"/>
      <c r="U251" s="273"/>
      <c r="V251" s="273"/>
      <c r="W251" s="273"/>
      <c r="X251" s="271"/>
      <c r="Y251" s="271"/>
      <c r="Z251" s="271"/>
      <c r="AA251" s="271"/>
      <c r="AB251" s="271"/>
      <c r="AC251" s="269"/>
      <c r="AD251" s="84"/>
      <c r="AE251" s="82"/>
      <c r="AF251" s="82"/>
      <c r="AG251" s="13"/>
    </row>
    <row r="252" spans="1:33" x14ac:dyDescent="0.3">
      <c r="A252" s="259">
        <f>A249+1</f>
        <v>175</v>
      </c>
      <c r="B252" s="20" t="s">
        <v>942</v>
      </c>
      <c r="C252" s="273">
        <f>D252+K252+L252+N252+P252+R252+S252+U252+W252</f>
        <v>7585811.3600000003</v>
      </c>
      <c r="D252" s="273"/>
      <c r="E252" s="273"/>
      <c r="F252" s="273"/>
      <c r="G252" s="273"/>
      <c r="H252" s="273"/>
      <c r="I252" s="273"/>
      <c r="J252" s="50"/>
      <c r="K252" s="273"/>
      <c r="L252" s="273"/>
      <c r="M252" s="273"/>
      <c r="N252" s="273"/>
      <c r="O252" s="273"/>
      <c r="P252" s="273"/>
      <c r="Q252" s="273">
        <v>1596.25</v>
      </c>
      <c r="R252" s="273">
        <v>7585811.3600000003</v>
      </c>
      <c r="S252" s="273"/>
      <c r="T252" s="273"/>
      <c r="U252" s="273"/>
      <c r="V252" s="273"/>
      <c r="W252" s="273"/>
      <c r="X252" s="271"/>
      <c r="Y252" s="271"/>
      <c r="Z252" s="271"/>
      <c r="AA252" s="271"/>
      <c r="AB252" s="271"/>
      <c r="AC252" s="269"/>
      <c r="AD252" s="84"/>
      <c r="AE252" s="82"/>
      <c r="AF252" s="82"/>
      <c r="AG252" s="13"/>
    </row>
    <row r="253" spans="1:33" x14ac:dyDescent="0.3">
      <c r="A253" s="259"/>
      <c r="B253" s="20" t="s">
        <v>208</v>
      </c>
      <c r="C253" s="273">
        <f t="shared" ref="C253:W253" si="50">SUM(C252:C252)</f>
        <v>7585811.3600000003</v>
      </c>
      <c r="D253" s="273">
        <f t="shared" si="50"/>
        <v>0</v>
      </c>
      <c r="E253" s="273">
        <f t="shared" si="50"/>
        <v>0</v>
      </c>
      <c r="F253" s="273">
        <f t="shared" si="50"/>
        <v>0</v>
      </c>
      <c r="G253" s="273">
        <f t="shared" si="50"/>
        <v>0</v>
      </c>
      <c r="H253" s="273">
        <f t="shared" si="50"/>
        <v>0</v>
      </c>
      <c r="I253" s="273">
        <f t="shared" si="50"/>
        <v>0</v>
      </c>
      <c r="J253" s="50">
        <f t="shared" si="50"/>
        <v>0</v>
      </c>
      <c r="K253" s="273">
        <f t="shared" si="50"/>
        <v>0</v>
      </c>
      <c r="L253" s="273">
        <f t="shared" si="50"/>
        <v>0</v>
      </c>
      <c r="M253" s="273">
        <f t="shared" si="50"/>
        <v>0</v>
      </c>
      <c r="N253" s="273">
        <f t="shared" si="50"/>
        <v>0</v>
      </c>
      <c r="O253" s="273">
        <f t="shared" si="50"/>
        <v>0</v>
      </c>
      <c r="P253" s="273">
        <f t="shared" si="50"/>
        <v>0</v>
      </c>
      <c r="Q253" s="273">
        <f t="shared" si="50"/>
        <v>1596.25</v>
      </c>
      <c r="R253" s="273">
        <f t="shared" si="50"/>
        <v>7585811.3600000003</v>
      </c>
      <c r="S253" s="273">
        <f t="shared" si="50"/>
        <v>0</v>
      </c>
      <c r="T253" s="273">
        <f t="shared" si="50"/>
        <v>0</v>
      </c>
      <c r="U253" s="273">
        <f t="shared" si="50"/>
        <v>0</v>
      </c>
      <c r="V253" s="273">
        <f t="shared" si="50"/>
        <v>0</v>
      </c>
      <c r="W253" s="273">
        <f t="shared" si="50"/>
        <v>0</v>
      </c>
      <c r="X253" s="271"/>
      <c r="Y253" s="271"/>
      <c r="Z253" s="271"/>
      <c r="AA253" s="271"/>
      <c r="AB253" s="271"/>
      <c r="AC253" s="269"/>
      <c r="AD253" s="84"/>
      <c r="AE253" s="82"/>
      <c r="AF253" s="82"/>
      <c r="AG253" s="13"/>
    </row>
    <row r="254" spans="1:33" x14ac:dyDescent="0.3">
      <c r="A254" s="317" t="s">
        <v>958</v>
      </c>
      <c r="B254" s="318"/>
      <c r="C254" s="273"/>
      <c r="D254" s="273"/>
      <c r="E254" s="273"/>
      <c r="F254" s="273"/>
      <c r="G254" s="273"/>
      <c r="H254" s="273"/>
      <c r="I254" s="273"/>
      <c r="J254" s="50"/>
      <c r="K254" s="273"/>
      <c r="L254" s="273"/>
      <c r="M254" s="273"/>
      <c r="N254" s="273"/>
      <c r="O254" s="273"/>
      <c r="P254" s="273"/>
      <c r="Q254" s="273"/>
      <c r="R254" s="273"/>
      <c r="S254" s="273"/>
      <c r="T254" s="273"/>
      <c r="U254" s="273"/>
      <c r="V254" s="273"/>
      <c r="W254" s="273"/>
      <c r="X254" s="271"/>
      <c r="Y254" s="271"/>
      <c r="Z254" s="271"/>
      <c r="AA254" s="271"/>
      <c r="AB254" s="271"/>
      <c r="AC254" s="269"/>
      <c r="AD254" s="84"/>
      <c r="AE254" s="82"/>
      <c r="AF254" s="82"/>
      <c r="AG254" s="13"/>
    </row>
    <row r="255" spans="1:33" x14ac:dyDescent="0.3">
      <c r="A255" s="259">
        <f>A252+1</f>
        <v>176</v>
      </c>
      <c r="B255" s="20" t="s">
        <v>959</v>
      </c>
      <c r="C255" s="273">
        <f>D255+K255+L255+N255+P255+R255+S255+U255+W255</f>
        <v>9829612.8000000007</v>
      </c>
      <c r="D255" s="273"/>
      <c r="E255" s="273"/>
      <c r="F255" s="273"/>
      <c r="G255" s="273"/>
      <c r="H255" s="273"/>
      <c r="I255" s="273"/>
      <c r="J255" s="50"/>
      <c r="K255" s="273"/>
      <c r="L255" s="273"/>
      <c r="M255" s="273"/>
      <c r="N255" s="273"/>
      <c r="O255" s="273"/>
      <c r="P255" s="273"/>
      <c r="Q255" s="273"/>
      <c r="R255" s="273">
        <v>9829612.8000000007</v>
      </c>
      <c r="S255" s="273"/>
      <c r="T255" s="273"/>
      <c r="U255" s="273"/>
      <c r="V255" s="273"/>
      <c r="W255" s="273"/>
      <c r="X255" s="271"/>
      <c r="Y255" s="271"/>
      <c r="Z255" s="271"/>
      <c r="AA255" s="271"/>
      <c r="AB255" s="271"/>
      <c r="AC255" s="269"/>
      <c r="AD255" s="84"/>
      <c r="AE255" s="82"/>
      <c r="AF255" s="82"/>
      <c r="AG255" s="13"/>
    </row>
    <row r="256" spans="1:33" x14ac:dyDescent="0.3">
      <c r="A256" s="259">
        <f>A255+1</f>
        <v>177</v>
      </c>
      <c r="B256" s="20" t="s">
        <v>960</v>
      </c>
      <c r="C256" s="273">
        <f>D256+K256+L256+N256+P256+R256+S256+U256+W256</f>
        <v>10171066.800000001</v>
      </c>
      <c r="D256" s="273"/>
      <c r="E256" s="273"/>
      <c r="F256" s="273"/>
      <c r="G256" s="273"/>
      <c r="H256" s="273"/>
      <c r="I256" s="273"/>
      <c r="J256" s="50"/>
      <c r="K256" s="273"/>
      <c r="L256" s="273"/>
      <c r="M256" s="273"/>
      <c r="N256" s="273"/>
      <c r="O256" s="273"/>
      <c r="P256" s="273"/>
      <c r="Q256" s="273"/>
      <c r="R256" s="273">
        <v>10171066.800000001</v>
      </c>
      <c r="S256" s="273"/>
      <c r="T256" s="273"/>
      <c r="U256" s="273"/>
      <c r="V256" s="273"/>
      <c r="W256" s="273"/>
      <c r="X256" s="271"/>
      <c r="Y256" s="271"/>
      <c r="Z256" s="271"/>
      <c r="AA256" s="271"/>
      <c r="AB256" s="271"/>
      <c r="AC256" s="269"/>
      <c r="AD256" s="84"/>
      <c r="AE256" s="82"/>
      <c r="AF256" s="82"/>
      <c r="AG256" s="13"/>
    </row>
    <row r="257" spans="1:33" x14ac:dyDescent="0.3">
      <c r="A257" s="259"/>
      <c r="B257" s="20" t="s">
        <v>208</v>
      </c>
      <c r="C257" s="273">
        <f t="shared" ref="C257:W257" si="51">SUM(C255:C256)</f>
        <v>20000679.600000001</v>
      </c>
      <c r="D257" s="273">
        <f t="shared" si="51"/>
        <v>0</v>
      </c>
      <c r="E257" s="273">
        <f t="shared" si="51"/>
        <v>0</v>
      </c>
      <c r="F257" s="273">
        <f t="shared" si="51"/>
        <v>0</v>
      </c>
      <c r="G257" s="273">
        <f t="shared" si="51"/>
        <v>0</v>
      </c>
      <c r="H257" s="273">
        <f t="shared" si="51"/>
        <v>0</v>
      </c>
      <c r="I257" s="273">
        <f t="shared" si="51"/>
        <v>0</v>
      </c>
      <c r="J257" s="50">
        <f t="shared" si="51"/>
        <v>0</v>
      </c>
      <c r="K257" s="273">
        <f t="shared" si="51"/>
        <v>0</v>
      </c>
      <c r="L257" s="273">
        <f t="shared" si="51"/>
        <v>0</v>
      </c>
      <c r="M257" s="273">
        <f t="shared" si="51"/>
        <v>0</v>
      </c>
      <c r="N257" s="273">
        <f t="shared" si="51"/>
        <v>0</v>
      </c>
      <c r="O257" s="273">
        <f t="shared" si="51"/>
        <v>0</v>
      </c>
      <c r="P257" s="273">
        <f t="shared" si="51"/>
        <v>0</v>
      </c>
      <c r="Q257" s="273">
        <f t="shared" si="51"/>
        <v>0</v>
      </c>
      <c r="R257" s="273">
        <f t="shared" si="51"/>
        <v>20000679.600000001</v>
      </c>
      <c r="S257" s="273">
        <f t="shared" si="51"/>
        <v>0</v>
      </c>
      <c r="T257" s="273">
        <f t="shared" si="51"/>
        <v>0</v>
      </c>
      <c r="U257" s="273">
        <f t="shared" si="51"/>
        <v>0</v>
      </c>
      <c r="V257" s="273">
        <f t="shared" si="51"/>
        <v>0</v>
      </c>
      <c r="W257" s="273">
        <f t="shared" si="51"/>
        <v>0</v>
      </c>
      <c r="X257" s="271"/>
      <c r="Y257" s="271"/>
      <c r="Z257" s="271"/>
      <c r="AA257" s="271"/>
      <c r="AB257" s="271"/>
      <c r="AC257" s="269"/>
      <c r="AD257" s="84"/>
      <c r="AE257" s="82"/>
      <c r="AF257" s="82"/>
      <c r="AG257" s="13"/>
    </row>
    <row r="258" spans="1:33" x14ac:dyDescent="0.3">
      <c r="A258" s="317" t="s">
        <v>961</v>
      </c>
      <c r="B258" s="318"/>
      <c r="C258" s="273"/>
      <c r="D258" s="273"/>
      <c r="E258" s="273"/>
      <c r="F258" s="273"/>
      <c r="G258" s="273"/>
      <c r="H258" s="273"/>
      <c r="I258" s="273"/>
      <c r="J258" s="50"/>
      <c r="K258" s="273"/>
      <c r="L258" s="273"/>
      <c r="M258" s="273"/>
      <c r="N258" s="273"/>
      <c r="O258" s="273"/>
      <c r="P258" s="273"/>
      <c r="Q258" s="273"/>
      <c r="R258" s="273"/>
      <c r="S258" s="273"/>
      <c r="T258" s="273"/>
      <c r="U258" s="273"/>
      <c r="V258" s="273"/>
      <c r="W258" s="273"/>
      <c r="X258" s="271"/>
      <c r="Y258" s="271"/>
      <c r="Z258" s="271"/>
      <c r="AA258" s="271"/>
      <c r="AB258" s="271"/>
      <c r="AC258" s="269"/>
      <c r="AD258" s="84"/>
      <c r="AE258" s="82"/>
      <c r="AF258" s="82"/>
      <c r="AG258" s="13"/>
    </row>
    <row r="259" spans="1:33" x14ac:dyDescent="0.3">
      <c r="A259" s="259">
        <f>A256+1</f>
        <v>178</v>
      </c>
      <c r="B259" s="20" t="s">
        <v>970</v>
      </c>
      <c r="C259" s="273">
        <f>D259+K259+L259+N259+P259+R259+S259+U259+W259</f>
        <v>10909440</v>
      </c>
      <c r="D259" s="273"/>
      <c r="E259" s="273"/>
      <c r="F259" s="273"/>
      <c r="G259" s="273"/>
      <c r="H259" s="273"/>
      <c r="I259" s="273"/>
      <c r="J259" s="50"/>
      <c r="K259" s="273"/>
      <c r="L259" s="273"/>
      <c r="M259" s="273"/>
      <c r="N259" s="273"/>
      <c r="O259" s="273"/>
      <c r="P259" s="273"/>
      <c r="Q259" s="273">
        <v>2182.5</v>
      </c>
      <c r="R259" s="273">
        <v>10909440</v>
      </c>
      <c r="S259" s="273"/>
      <c r="T259" s="273"/>
      <c r="U259" s="273"/>
      <c r="V259" s="273"/>
      <c r="W259" s="273"/>
      <c r="X259" s="271"/>
      <c r="Y259" s="271"/>
      <c r="Z259" s="271"/>
      <c r="AA259" s="271"/>
      <c r="AB259" s="271"/>
      <c r="AC259" s="269"/>
      <c r="AD259" s="84"/>
      <c r="AE259" s="82"/>
      <c r="AF259" s="82"/>
      <c r="AG259" s="13"/>
    </row>
    <row r="260" spans="1:33" x14ac:dyDescent="0.3">
      <c r="A260" s="259">
        <f>A259+1</f>
        <v>179</v>
      </c>
      <c r="B260" s="20" t="s">
        <v>990</v>
      </c>
      <c r="C260" s="273">
        <f>D260+K260+L260+N260+P260+R260+S260+U260+W260</f>
        <v>13467360.060000001</v>
      </c>
      <c r="D260" s="273"/>
      <c r="E260" s="273"/>
      <c r="F260" s="273"/>
      <c r="G260" s="273"/>
      <c r="H260" s="273"/>
      <c r="I260" s="273"/>
      <c r="J260" s="50"/>
      <c r="K260" s="273"/>
      <c r="L260" s="273"/>
      <c r="M260" s="273"/>
      <c r="N260" s="273"/>
      <c r="O260" s="273"/>
      <c r="P260" s="273"/>
      <c r="Q260" s="273">
        <v>2391.8000000000002</v>
      </c>
      <c r="R260" s="273">
        <v>13467360.060000001</v>
      </c>
      <c r="S260" s="273"/>
      <c r="T260" s="273"/>
      <c r="U260" s="273"/>
      <c r="V260" s="273"/>
      <c r="W260" s="273"/>
      <c r="X260" s="271"/>
      <c r="Y260" s="271"/>
      <c r="Z260" s="271"/>
      <c r="AA260" s="271"/>
      <c r="AB260" s="271"/>
      <c r="AC260" s="269"/>
      <c r="AD260" s="84"/>
      <c r="AE260" s="82"/>
      <c r="AF260" s="82"/>
      <c r="AG260" s="13"/>
    </row>
    <row r="261" spans="1:33" x14ac:dyDescent="0.3">
      <c r="A261" s="259"/>
      <c r="B261" s="20" t="s">
        <v>208</v>
      </c>
      <c r="C261" s="273">
        <f t="shared" ref="C261:W261" si="52">SUM(C259:C260)</f>
        <v>24376800.060000002</v>
      </c>
      <c r="D261" s="273">
        <f t="shared" si="52"/>
        <v>0</v>
      </c>
      <c r="E261" s="273">
        <f t="shared" si="52"/>
        <v>0</v>
      </c>
      <c r="F261" s="273">
        <f t="shared" si="52"/>
        <v>0</v>
      </c>
      <c r="G261" s="273">
        <f t="shared" si="52"/>
        <v>0</v>
      </c>
      <c r="H261" s="273">
        <f t="shared" si="52"/>
        <v>0</v>
      </c>
      <c r="I261" s="273">
        <f t="shared" si="52"/>
        <v>0</v>
      </c>
      <c r="J261" s="50">
        <f t="shared" si="52"/>
        <v>0</v>
      </c>
      <c r="K261" s="273">
        <f t="shared" si="52"/>
        <v>0</v>
      </c>
      <c r="L261" s="273">
        <f t="shared" si="52"/>
        <v>0</v>
      </c>
      <c r="M261" s="273">
        <f t="shared" si="52"/>
        <v>0</v>
      </c>
      <c r="N261" s="273">
        <f t="shared" si="52"/>
        <v>0</v>
      </c>
      <c r="O261" s="273">
        <f t="shared" si="52"/>
        <v>0</v>
      </c>
      <c r="P261" s="273">
        <f t="shared" si="52"/>
        <v>0</v>
      </c>
      <c r="Q261" s="273">
        <f t="shared" si="52"/>
        <v>4574.3</v>
      </c>
      <c r="R261" s="273">
        <f t="shared" si="52"/>
        <v>24376800.060000002</v>
      </c>
      <c r="S261" s="273">
        <f t="shared" si="52"/>
        <v>0</v>
      </c>
      <c r="T261" s="273">
        <f t="shared" si="52"/>
        <v>0</v>
      </c>
      <c r="U261" s="273">
        <f t="shared" si="52"/>
        <v>0</v>
      </c>
      <c r="V261" s="273">
        <f t="shared" si="52"/>
        <v>0</v>
      </c>
      <c r="W261" s="273">
        <f t="shared" si="52"/>
        <v>0</v>
      </c>
      <c r="X261" s="271"/>
      <c r="Y261" s="271"/>
      <c r="Z261" s="271"/>
      <c r="AA261" s="271"/>
      <c r="AB261" s="271"/>
      <c r="AC261" s="269"/>
      <c r="AD261" s="84"/>
      <c r="AE261" s="82"/>
      <c r="AF261" s="82"/>
      <c r="AG261" s="13"/>
    </row>
    <row r="262" spans="1:33" x14ac:dyDescent="0.3">
      <c r="A262" s="431" t="s">
        <v>1035</v>
      </c>
      <c r="B262" s="432"/>
      <c r="C262" s="273"/>
      <c r="D262" s="273"/>
      <c r="E262" s="273"/>
      <c r="F262" s="273"/>
      <c r="G262" s="273"/>
      <c r="H262" s="273"/>
      <c r="I262" s="273"/>
      <c r="J262" s="50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271"/>
      <c r="Y262" s="271"/>
      <c r="Z262" s="271"/>
      <c r="AA262" s="271"/>
      <c r="AB262" s="271"/>
      <c r="AC262" s="269"/>
      <c r="AD262" s="84"/>
      <c r="AE262" s="82"/>
      <c r="AF262" s="82"/>
      <c r="AG262" s="13"/>
    </row>
    <row r="263" spans="1:33" x14ac:dyDescent="0.3">
      <c r="A263" s="259">
        <f>A260+1</f>
        <v>180</v>
      </c>
      <c r="B263" s="20" t="s">
        <v>1042</v>
      </c>
      <c r="C263" s="273">
        <f t="shared" ref="C263:C276" si="53">D263+K263+L263+N263+P263+R263+S263+U263+W263</f>
        <v>192553</v>
      </c>
      <c r="D263" s="273"/>
      <c r="E263" s="273"/>
      <c r="F263" s="273"/>
      <c r="G263" s="273"/>
      <c r="H263" s="273"/>
      <c r="I263" s="273"/>
      <c r="J263" s="50"/>
      <c r="K263" s="273"/>
      <c r="L263" s="273"/>
      <c r="M263" s="273"/>
      <c r="N263" s="273"/>
      <c r="O263" s="273"/>
      <c r="P263" s="273"/>
      <c r="Q263" s="273"/>
      <c r="R263" s="273"/>
      <c r="S263" s="273"/>
      <c r="T263" s="273"/>
      <c r="U263" s="273"/>
      <c r="V263" s="273"/>
      <c r="W263" s="273">
        <f t="shared" ref="W263:W271" si="54">SUM(Y263:AH263)</f>
        <v>192553</v>
      </c>
      <c r="Y263" s="271"/>
      <c r="Z263" s="271"/>
      <c r="AA263" s="271"/>
      <c r="AB263" s="271"/>
      <c r="AD263" s="269">
        <v>192553</v>
      </c>
      <c r="AE263" s="84"/>
      <c r="AF263" s="82"/>
      <c r="AG263" s="13"/>
    </row>
    <row r="264" spans="1:33" x14ac:dyDescent="0.3">
      <c r="A264" s="259">
        <f t="shared" ref="A264:A276" si="55">A263+1</f>
        <v>181</v>
      </c>
      <c r="B264" s="20" t="s">
        <v>1043</v>
      </c>
      <c r="C264" s="273">
        <f t="shared" si="53"/>
        <v>139640.56</v>
      </c>
      <c r="D264" s="273"/>
      <c r="E264" s="273"/>
      <c r="F264" s="273"/>
      <c r="G264" s="273"/>
      <c r="H264" s="273"/>
      <c r="I264" s="273"/>
      <c r="J264" s="50"/>
      <c r="K264" s="273"/>
      <c r="L264" s="273"/>
      <c r="M264" s="273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>
        <f t="shared" si="54"/>
        <v>139640.56</v>
      </c>
      <c r="Y264" s="271"/>
      <c r="Z264" s="271"/>
      <c r="AA264" s="271"/>
      <c r="AB264" s="271"/>
      <c r="AD264" s="269">
        <v>139640.56</v>
      </c>
      <c r="AE264" s="84"/>
      <c r="AF264" s="82"/>
      <c r="AG264" s="13"/>
    </row>
    <row r="265" spans="1:33" x14ac:dyDescent="0.3">
      <c r="A265" s="259">
        <f t="shared" si="55"/>
        <v>182</v>
      </c>
      <c r="B265" s="20" t="s">
        <v>1044</v>
      </c>
      <c r="C265" s="273">
        <f t="shared" si="53"/>
        <v>141468.95000000001</v>
      </c>
      <c r="D265" s="273"/>
      <c r="E265" s="273"/>
      <c r="F265" s="273"/>
      <c r="G265" s="273"/>
      <c r="H265" s="273"/>
      <c r="I265" s="273"/>
      <c r="J265" s="50"/>
      <c r="K265" s="273"/>
      <c r="L265" s="273"/>
      <c r="M265" s="273"/>
      <c r="N265" s="273"/>
      <c r="O265" s="273"/>
      <c r="P265" s="273"/>
      <c r="Q265" s="273"/>
      <c r="R265" s="273"/>
      <c r="S265" s="273"/>
      <c r="T265" s="273"/>
      <c r="U265" s="273"/>
      <c r="V265" s="273"/>
      <c r="W265" s="273">
        <f t="shared" si="54"/>
        <v>141468.95000000001</v>
      </c>
      <c r="Y265" s="271"/>
      <c r="Z265" s="271"/>
      <c r="AA265" s="271"/>
      <c r="AB265" s="271"/>
      <c r="AD265" s="269">
        <v>141468.95000000001</v>
      </c>
      <c r="AE265" s="84"/>
      <c r="AF265" s="82"/>
      <c r="AG265" s="13"/>
    </row>
    <row r="266" spans="1:33" x14ac:dyDescent="0.3">
      <c r="A266" s="259">
        <f t="shared" si="55"/>
        <v>183</v>
      </c>
      <c r="B266" s="20" t="s">
        <v>1045</v>
      </c>
      <c r="C266" s="273">
        <f t="shared" si="53"/>
        <v>143702.12</v>
      </c>
      <c r="D266" s="273"/>
      <c r="E266" s="273"/>
      <c r="F266" s="273"/>
      <c r="G266" s="273"/>
      <c r="H266" s="273"/>
      <c r="I266" s="273"/>
      <c r="J266" s="50"/>
      <c r="K266" s="273"/>
      <c r="L266" s="273"/>
      <c r="M266" s="273"/>
      <c r="N266" s="273"/>
      <c r="O266" s="273"/>
      <c r="P266" s="273"/>
      <c r="Q266" s="273"/>
      <c r="R266" s="273"/>
      <c r="S266" s="273"/>
      <c r="T266" s="273"/>
      <c r="U266" s="273"/>
      <c r="V266" s="273"/>
      <c r="W266" s="273">
        <f t="shared" si="54"/>
        <v>143702.12</v>
      </c>
      <c r="Y266" s="271"/>
      <c r="Z266" s="271"/>
      <c r="AA266" s="271"/>
      <c r="AB266" s="271"/>
      <c r="AD266" s="269">
        <v>143702.12</v>
      </c>
      <c r="AE266" s="84"/>
      <c r="AF266" s="82"/>
      <c r="AG266" s="13"/>
    </row>
    <row r="267" spans="1:33" x14ac:dyDescent="0.3">
      <c r="A267" s="259">
        <f t="shared" si="55"/>
        <v>184</v>
      </c>
      <c r="B267" s="20" t="s">
        <v>1046</v>
      </c>
      <c r="C267" s="273">
        <f t="shared" si="53"/>
        <v>180152.84</v>
      </c>
      <c r="D267" s="273"/>
      <c r="E267" s="273"/>
      <c r="F267" s="273"/>
      <c r="G267" s="273"/>
      <c r="H267" s="273"/>
      <c r="I267" s="273"/>
      <c r="J267" s="50"/>
      <c r="K267" s="273"/>
      <c r="L267" s="273"/>
      <c r="M267" s="273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>
        <f t="shared" si="54"/>
        <v>180152.84</v>
      </c>
      <c r="Y267" s="271"/>
      <c r="Z267" s="271"/>
      <c r="AA267" s="271"/>
      <c r="AB267" s="271"/>
      <c r="AD267" s="269">
        <v>180152.84</v>
      </c>
      <c r="AE267" s="84"/>
      <c r="AF267" s="82"/>
      <c r="AG267" s="13"/>
    </row>
    <row r="268" spans="1:33" x14ac:dyDescent="0.3">
      <c r="A268" s="259">
        <f t="shared" si="55"/>
        <v>185</v>
      </c>
      <c r="B268" s="20" t="s">
        <v>1047</v>
      </c>
      <c r="C268" s="273">
        <f t="shared" si="53"/>
        <v>180460.94</v>
      </c>
      <c r="D268" s="273"/>
      <c r="E268" s="273"/>
      <c r="F268" s="273"/>
      <c r="G268" s="273"/>
      <c r="H268" s="273"/>
      <c r="I268" s="273"/>
      <c r="J268" s="50"/>
      <c r="K268" s="273"/>
      <c r="L268" s="273"/>
      <c r="M268" s="273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>
        <f t="shared" si="54"/>
        <v>180460.94</v>
      </c>
      <c r="Y268" s="271"/>
      <c r="Z268" s="271"/>
      <c r="AA268" s="271"/>
      <c r="AB268" s="271"/>
      <c r="AD268" s="269">
        <v>180460.94</v>
      </c>
      <c r="AE268" s="84"/>
      <c r="AF268" s="82"/>
      <c r="AG268" s="13"/>
    </row>
    <row r="269" spans="1:33" x14ac:dyDescent="0.3">
      <c r="A269" s="259">
        <f t="shared" si="55"/>
        <v>186</v>
      </c>
      <c r="B269" s="20" t="s">
        <v>1048</v>
      </c>
      <c r="C269" s="273">
        <f t="shared" si="53"/>
        <v>203073.5</v>
      </c>
      <c r="D269" s="273"/>
      <c r="E269" s="273"/>
      <c r="F269" s="273"/>
      <c r="G269" s="273"/>
      <c r="H269" s="273"/>
      <c r="I269" s="273"/>
      <c r="J269" s="50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>
        <f t="shared" si="54"/>
        <v>203073.5</v>
      </c>
      <c r="Y269" s="271"/>
      <c r="Z269" s="271"/>
      <c r="AA269" s="271"/>
      <c r="AB269" s="271"/>
      <c r="AD269" s="269">
        <v>203073.5</v>
      </c>
      <c r="AE269" s="84"/>
      <c r="AF269" s="82"/>
      <c r="AG269" s="13"/>
    </row>
    <row r="270" spans="1:33" x14ac:dyDescent="0.3">
      <c r="A270" s="259">
        <f t="shared" si="55"/>
        <v>187</v>
      </c>
      <c r="B270" s="20" t="s">
        <v>1049</v>
      </c>
      <c r="C270" s="273">
        <f t="shared" si="53"/>
        <v>206031.43</v>
      </c>
      <c r="D270" s="273"/>
      <c r="E270" s="273"/>
      <c r="F270" s="273"/>
      <c r="G270" s="273"/>
      <c r="H270" s="273"/>
      <c r="I270" s="273"/>
      <c r="J270" s="50"/>
      <c r="K270" s="273"/>
      <c r="L270" s="273"/>
      <c r="M270" s="273"/>
      <c r="N270" s="273"/>
      <c r="O270" s="273"/>
      <c r="P270" s="273"/>
      <c r="Q270" s="273"/>
      <c r="R270" s="273"/>
      <c r="S270" s="273"/>
      <c r="T270" s="273"/>
      <c r="U270" s="273"/>
      <c r="V270" s="273"/>
      <c r="W270" s="273">
        <f t="shared" si="54"/>
        <v>206031.43</v>
      </c>
      <c r="Y270" s="271"/>
      <c r="Z270" s="271"/>
      <c r="AA270" s="271"/>
      <c r="AB270" s="271"/>
      <c r="AD270" s="269">
        <v>206031.43</v>
      </c>
      <c r="AE270" s="84"/>
      <c r="AF270" s="82"/>
      <c r="AG270" s="13"/>
    </row>
    <row r="271" spans="1:33" x14ac:dyDescent="0.3">
      <c r="A271" s="259">
        <f t="shared" si="55"/>
        <v>188</v>
      </c>
      <c r="B271" s="20" t="s">
        <v>1050</v>
      </c>
      <c r="C271" s="273">
        <f t="shared" si="53"/>
        <v>204028.93</v>
      </c>
      <c r="D271" s="273"/>
      <c r="E271" s="273"/>
      <c r="F271" s="273"/>
      <c r="G271" s="273"/>
      <c r="H271" s="273"/>
      <c r="I271" s="273"/>
      <c r="J271" s="50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>
        <f t="shared" si="54"/>
        <v>204028.93</v>
      </c>
      <c r="Y271" s="271"/>
      <c r="Z271" s="271"/>
      <c r="AA271" s="271"/>
      <c r="AB271" s="271"/>
      <c r="AD271" s="269">
        <v>204028.93</v>
      </c>
      <c r="AE271" s="84"/>
      <c r="AF271" s="82"/>
      <c r="AG271" s="13"/>
    </row>
    <row r="272" spans="1:33" x14ac:dyDescent="0.3">
      <c r="A272" s="259">
        <f t="shared" si="55"/>
        <v>189</v>
      </c>
      <c r="B272" s="20" t="s">
        <v>3534</v>
      </c>
      <c r="C272" s="273">
        <f t="shared" si="53"/>
        <v>2568765.6</v>
      </c>
      <c r="D272" s="273"/>
      <c r="E272" s="273"/>
      <c r="F272" s="273"/>
      <c r="G272" s="273"/>
      <c r="H272" s="273"/>
      <c r="I272" s="273"/>
      <c r="J272" s="50"/>
      <c r="K272" s="273"/>
      <c r="L272" s="273"/>
      <c r="M272" s="273"/>
      <c r="N272" s="273">
        <v>2568765.6</v>
      </c>
      <c r="O272" s="273"/>
      <c r="P272" s="273"/>
      <c r="Q272" s="273"/>
      <c r="R272" s="273"/>
      <c r="S272" s="273"/>
      <c r="T272" s="273"/>
      <c r="U272" s="273"/>
      <c r="V272" s="273"/>
      <c r="W272" s="273"/>
      <c r="Y272" s="271"/>
      <c r="Z272" s="271"/>
      <c r="AA272" s="271"/>
      <c r="AB272" s="271"/>
      <c r="AD272" s="269"/>
      <c r="AE272" s="84"/>
      <c r="AF272" s="82"/>
      <c r="AG272" s="13"/>
    </row>
    <row r="273" spans="1:33" x14ac:dyDescent="0.3">
      <c r="A273" s="259">
        <f t="shared" si="55"/>
        <v>190</v>
      </c>
      <c r="B273" s="20" t="s">
        <v>1051</v>
      </c>
      <c r="C273" s="273">
        <f t="shared" si="53"/>
        <v>206031.43</v>
      </c>
      <c r="D273" s="273"/>
      <c r="E273" s="273"/>
      <c r="F273" s="273"/>
      <c r="G273" s="273"/>
      <c r="H273" s="273"/>
      <c r="I273" s="273"/>
      <c r="J273" s="50"/>
      <c r="K273" s="273"/>
      <c r="L273" s="273"/>
      <c r="M273" s="273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>
        <f>SUM(Y273:AH273)</f>
        <v>206031.43</v>
      </c>
      <c r="Y273" s="271"/>
      <c r="Z273" s="271"/>
      <c r="AA273" s="271"/>
      <c r="AB273" s="271"/>
      <c r="AD273" s="269">
        <v>206031.43</v>
      </c>
      <c r="AE273" s="84"/>
      <c r="AF273" s="82"/>
      <c r="AG273" s="13"/>
    </row>
    <row r="274" spans="1:33" x14ac:dyDescent="0.3">
      <c r="A274" s="259">
        <f t="shared" si="55"/>
        <v>191</v>
      </c>
      <c r="B274" s="20" t="s">
        <v>1052</v>
      </c>
      <c r="C274" s="273">
        <f t="shared" si="53"/>
        <v>206031.43</v>
      </c>
      <c r="D274" s="273"/>
      <c r="E274" s="273"/>
      <c r="F274" s="273"/>
      <c r="G274" s="273"/>
      <c r="H274" s="273"/>
      <c r="I274" s="273"/>
      <c r="J274" s="50"/>
      <c r="K274" s="273"/>
      <c r="L274" s="273"/>
      <c r="M274" s="273"/>
      <c r="N274" s="273"/>
      <c r="O274" s="273"/>
      <c r="P274" s="273"/>
      <c r="Q274" s="273"/>
      <c r="R274" s="273"/>
      <c r="S274" s="273"/>
      <c r="T274" s="273"/>
      <c r="U274" s="273"/>
      <c r="V274" s="273"/>
      <c r="W274" s="273">
        <f>SUM(Y274:AH274)</f>
        <v>206031.43</v>
      </c>
      <c r="Y274" s="271"/>
      <c r="Z274" s="271"/>
      <c r="AA274" s="271"/>
      <c r="AB274" s="271"/>
      <c r="AD274" s="269">
        <v>206031.43</v>
      </c>
      <c r="AE274" s="84"/>
      <c r="AF274" s="82"/>
      <c r="AG274" s="13"/>
    </row>
    <row r="275" spans="1:33" x14ac:dyDescent="0.3">
      <c r="A275" s="259">
        <f t="shared" si="55"/>
        <v>192</v>
      </c>
      <c r="B275" s="20" t="s">
        <v>1053</v>
      </c>
      <c r="C275" s="273">
        <f t="shared" si="53"/>
        <v>206031.43</v>
      </c>
      <c r="D275" s="273"/>
      <c r="E275" s="273"/>
      <c r="F275" s="273"/>
      <c r="G275" s="273"/>
      <c r="H275" s="273"/>
      <c r="I275" s="273"/>
      <c r="J275" s="50"/>
      <c r="K275" s="273"/>
      <c r="L275" s="273"/>
      <c r="M275" s="273"/>
      <c r="N275" s="273"/>
      <c r="O275" s="273"/>
      <c r="P275" s="273"/>
      <c r="Q275" s="273"/>
      <c r="R275" s="273"/>
      <c r="S275" s="273"/>
      <c r="T275" s="273"/>
      <c r="U275" s="273"/>
      <c r="V275" s="273"/>
      <c r="W275" s="273">
        <f>SUM(Y275:AH275)</f>
        <v>206031.43</v>
      </c>
      <c r="Y275" s="271"/>
      <c r="Z275" s="271"/>
      <c r="AA275" s="271"/>
      <c r="AB275" s="271"/>
      <c r="AD275" s="269">
        <v>206031.43</v>
      </c>
      <c r="AE275" s="84"/>
      <c r="AF275" s="82"/>
      <c r="AG275" s="13"/>
    </row>
    <row r="276" spans="1:33" x14ac:dyDescent="0.3">
      <c r="A276" s="259">
        <f t="shared" si="55"/>
        <v>193</v>
      </c>
      <c r="B276" s="20" t="s">
        <v>1054</v>
      </c>
      <c r="C276" s="273">
        <f t="shared" si="53"/>
        <v>149267.99</v>
      </c>
      <c r="D276" s="273"/>
      <c r="E276" s="273"/>
      <c r="F276" s="273"/>
      <c r="G276" s="273"/>
      <c r="H276" s="273"/>
      <c r="I276" s="273"/>
      <c r="J276" s="50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>
        <f>SUM(Y276:AH276)</f>
        <v>149267.99</v>
      </c>
      <c r="Y276" s="271"/>
      <c r="Z276" s="271"/>
      <c r="AA276" s="271"/>
      <c r="AB276" s="271"/>
      <c r="AD276" s="269">
        <v>149267.99</v>
      </c>
      <c r="AE276" s="84"/>
      <c r="AF276" s="82"/>
      <c r="AG276" s="13"/>
    </row>
    <row r="277" spans="1:33" x14ac:dyDescent="0.3">
      <c r="A277" s="259"/>
      <c r="B277" s="20" t="s">
        <v>208</v>
      </c>
      <c r="C277" s="273">
        <f t="shared" ref="C277:W277" si="56">SUM(C263:C276)</f>
        <v>4927240.1499999994</v>
      </c>
      <c r="D277" s="273">
        <f t="shared" si="56"/>
        <v>0</v>
      </c>
      <c r="E277" s="273">
        <f t="shared" si="56"/>
        <v>0</v>
      </c>
      <c r="F277" s="273">
        <f t="shared" si="56"/>
        <v>0</v>
      </c>
      <c r="G277" s="273">
        <f t="shared" si="56"/>
        <v>0</v>
      </c>
      <c r="H277" s="273">
        <f t="shared" si="56"/>
        <v>0</v>
      </c>
      <c r="I277" s="273">
        <f t="shared" si="56"/>
        <v>0</v>
      </c>
      <c r="J277" s="50">
        <f t="shared" si="56"/>
        <v>0</v>
      </c>
      <c r="K277" s="273">
        <f t="shared" si="56"/>
        <v>0</v>
      </c>
      <c r="L277" s="273">
        <f t="shared" si="56"/>
        <v>0</v>
      </c>
      <c r="M277" s="273">
        <f t="shared" si="56"/>
        <v>0</v>
      </c>
      <c r="N277" s="273">
        <f t="shared" si="56"/>
        <v>2568765.6</v>
      </c>
      <c r="O277" s="273">
        <f t="shared" si="56"/>
        <v>0</v>
      </c>
      <c r="P277" s="273">
        <f t="shared" si="56"/>
        <v>0</v>
      </c>
      <c r="Q277" s="273">
        <f t="shared" si="56"/>
        <v>0</v>
      </c>
      <c r="R277" s="273">
        <f t="shared" si="56"/>
        <v>0</v>
      </c>
      <c r="S277" s="273">
        <f t="shared" si="56"/>
        <v>0</v>
      </c>
      <c r="T277" s="273">
        <f t="shared" si="56"/>
        <v>0</v>
      </c>
      <c r="U277" s="273">
        <f t="shared" si="56"/>
        <v>0</v>
      </c>
      <c r="V277" s="273">
        <f t="shared" si="56"/>
        <v>0</v>
      </c>
      <c r="W277" s="273">
        <f t="shared" si="56"/>
        <v>2358474.5499999998</v>
      </c>
      <c r="X277" s="271"/>
      <c r="Y277" s="271"/>
      <c r="Z277" s="271"/>
      <c r="AA277" s="271"/>
      <c r="AB277" s="271"/>
      <c r="AD277" s="269"/>
      <c r="AE277" s="84"/>
      <c r="AF277" s="82"/>
      <c r="AG277" s="13"/>
    </row>
    <row r="278" spans="1:33" x14ac:dyDescent="0.3">
      <c r="A278" s="317" t="s">
        <v>1056</v>
      </c>
      <c r="B278" s="318"/>
      <c r="C278" s="273"/>
      <c r="D278" s="273"/>
      <c r="E278" s="273"/>
      <c r="F278" s="273"/>
      <c r="G278" s="273"/>
      <c r="H278" s="273"/>
      <c r="I278" s="273"/>
      <c r="J278" s="50"/>
      <c r="K278" s="273"/>
      <c r="L278" s="273"/>
      <c r="M278" s="273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/>
      <c r="X278" s="271"/>
      <c r="Y278" s="271"/>
      <c r="Z278" s="271"/>
      <c r="AA278" s="271"/>
      <c r="AB278" s="271"/>
      <c r="AC278" s="269"/>
      <c r="AD278" s="84"/>
      <c r="AE278" s="82"/>
      <c r="AF278" s="82"/>
      <c r="AG278" s="13"/>
    </row>
    <row r="279" spans="1:33" x14ac:dyDescent="0.3">
      <c r="A279" s="259">
        <f>A276+1</f>
        <v>194</v>
      </c>
      <c r="B279" s="20" t="s">
        <v>1057</v>
      </c>
      <c r="C279" s="273">
        <f t="shared" ref="C279:C302" si="57">D279+K279+L279+N279+P279+R279+S279+U279+W279</f>
        <v>130000</v>
      </c>
      <c r="D279" s="273"/>
      <c r="E279" s="273"/>
      <c r="F279" s="273"/>
      <c r="G279" s="273"/>
      <c r="H279" s="273"/>
      <c r="I279" s="273"/>
      <c r="J279" s="50"/>
      <c r="K279" s="273"/>
      <c r="L279" s="273"/>
      <c r="M279" s="273"/>
      <c r="N279" s="273"/>
      <c r="O279" s="273"/>
      <c r="P279" s="273"/>
      <c r="Q279" s="273"/>
      <c r="R279" s="273"/>
      <c r="S279" s="273"/>
      <c r="T279" s="273"/>
      <c r="U279" s="273"/>
      <c r="V279" s="273"/>
      <c r="W279" s="273">
        <v>130000</v>
      </c>
      <c r="Y279" s="271"/>
      <c r="Z279" s="271"/>
      <c r="AA279" s="271"/>
      <c r="AB279" s="271"/>
      <c r="AC279" s="269"/>
      <c r="AD279" s="84"/>
      <c r="AE279" s="82"/>
      <c r="AF279" s="82"/>
      <c r="AG279" s="13"/>
    </row>
    <row r="280" spans="1:33" x14ac:dyDescent="0.3">
      <c r="A280" s="259">
        <f t="shared" ref="A280:A302" si="58">A279+1</f>
        <v>195</v>
      </c>
      <c r="B280" s="20" t="s">
        <v>1058</v>
      </c>
      <c r="C280" s="273">
        <f t="shared" si="57"/>
        <v>130000</v>
      </c>
      <c r="D280" s="273"/>
      <c r="E280" s="273"/>
      <c r="F280" s="273"/>
      <c r="G280" s="273"/>
      <c r="H280" s="273"/>
      <c r="I280" s="273"/>
      <c r="J280" s="50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>
        <v>130000</v>
      </c>
      <c r="Y280" s="271"/>
      <c r="Z280" s="271"/>
      <c r="AA280" s="271"/>
      <c r="AB280" s="271"/>
      <c r="AC280" s="269"/>
      <c r="AD280" s="84"/>
      <c r="AE280" s="82"/>
      <c r="AF280" s="82"/>
      <c r="AG280" s="13"/>
    </row>
    <row r="281" spans="1:33" x14ac:dyDescent="0.3">
      <c r="A281" s="259">
        <f t="shared" si="58"/>
        <v>196</v>
      </c>
      <c r="B281" s="20" t="s">
        <v>1059</v>
      </c>
      <c r="C281" s="273">
        <f t="shared" si="57"/>
        <v>92528.27</v>
      </c>
      <c r="D281" s="273"/>
      <c r="E281" s="273"/>
      <c r="F281" s="273"/>
      <c r="G281" s="273"/>
      <c r="H281" s="273"/>
      <c r="I281" s="273"/>
      <c r="J281" s="50"/>
      <c r="K281" s="273"/>
      <c r="L281" s="273"/>
      <c r="M281" s="273"/>
      <c r="N281" s="273"/>
      <c r="O281" s="273"/>
      <c r="P281" s="273"/>
      <c r="Q281" s="273"/>
      <c r="R281" s="273"/>
      <c r="S281" s="273"/>
      <c r="T281" s="273"/>
      <c r="U281" s="273"/>
      <c r="V281" s="273"/>
      <c r="W281" s="273">
        <f>SUM(Y281:AH281)</f>
        <v>92528.27</v>
      </c>
      <c r="Y281" s="271"/>
      <c r="Z281" s="271"/>
      <c r="AA281" s="271"/>
      <c r="AB281" s="271">
        <v>92528.27</v>
      </c>
      <c r="AD281" s="269"/>
      <c r="AE281" s="84"/>
      <c r="AF281" s="82"/>
      <c r="AG281" s="82"/>
    </row>
    <row r="282" spans="1:33" x14ac:dyDescent="0.3">
      <c r="A282" s="259">
        <f t="shared" si="58"/>
        <v>197</v>
      </c>
      <c r="B282" s="20" t="s">
        <v>1060</v>
      </c>
      <c r="C282" s="273">
        <f t="shared" si="57"/>
        <v>242721.35</v>
      </c>
      <c r="D282" s="273"/>
      <c r="E282" s="273"/>
      <c r="F282" s="273"/>
      <c r="G282" s="273"/>
      <c r="H282" s="273"/>
      <c r="I282" s="273"/>
      <c r="J282" s="50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>
        <f>SUM(Y282:AH282)</f>
        <v>242721.35</v>
      </c>
      <c r="Y282" s="271"/>
      <c r="Z282" s="271"/>
      <c r="AA282" s="271"/>
      <c r="AB282" s="271"/>
      <c r="AD282" s="269"/>
      <c r="AE282" s="84">
        <v>242721.35</v>
      </c>
      <c r="AF282" s="82"/>
      <c r="AG282" s="82"/>
    </row>
    <row r="283" spans="1:33" x14ac:dyDescent="0.3">
      <c r="A283" s="259">
        <f t="shared" si="58"/>
        <v>198</v>
      </c>
      <c r="B283" s="20" t="s">
        <v>1061</v>
      </c>
      <c r="C283" s="273">
        <f t="shared" si="57"/>
        <v>208626.54</v>
      </c>
      <c r="D283" s="273"/>
      <c r="E283" s="273"/>
      <c r="F283" s="273"/>
      <c r="G283" s="273"/>
      <c r="H283" s="273"/>
      <c r="I283" s="273"/>
      <c r="J283" s="50"/>
      <c r="K283" s="273"/>
      <c r="L283" s="273"/>
      <c r="M283" s="273"/>
      <c r="N283" s="273"/>
      <c r="O283" s="273"/>
      <c r="P283" s="273"/>
      <c r="Q283" s="273"/>
      <c r="R283" s="273"/>
      <c r="S283" s="273"/>
      <c r="T283" s="273"/>
      <c r="U283" s="273"/>
      <c r="V283" s="273"/>
      <c r="W283" s="273">
        <f>SUM(Y283:AH283)</f>
        <v>208626.54</v>
      </c>
      <c r="Y283" s="271"/>
      <c r="Z283" s="110"/>
      <c r="AA283" s="271"/>
      <c r="AB283" s="271"/>
      <c r="AD283" s="269"/>
      <c r="AE283" s="84">
        <v>208626.54</v>
      </c>
      <c r="AF283" s="82"/>
      <c r="AG283" s="82"/>
    </row>
    <row r="284" spans="1:33" x14ac:dyDescent="0.3">
      <c r="A284" s="259">
        <f t="shared" si="58"/>
        <v>199</v>
      </c>
      <c r="B284" s="20" t="s">
        <v>1062</v>
      </c>
      <c r="C284" s="273">
        <f t="shared" si="57"/>
        <v>320369.53000000003</v>
      </c>
      <c r="D284" s="273"/>
      <c r="E284" s="273"/>
      <c r="F284" s="273"/>
      <c r="G284" s="273"/>
      <c r="H284" s="273"/>
      <c r="I284" s="273"/>
      <c r="J284" s="50"/>
      <c r="K284" s="273"/>
      <c r="L284" s="273"/>
      <c r="M284" s="273"/>
      <c r="N284" s="273"/>
      <c r="O284" s="273"/>
      <c r="P284" s="273"/>
      <c r="Q284" s="273"/>
      <c r="R284" s="273"/>
      <c r="S284" s="273"/>
      <c r="T284" s="273"/>
      <c r="U284" s="273"/>
      <c r="V284" s="273"/>
      <c r="W284" s="273">
        <f>SUM(Y284:AH284)</f>
        <v>320369.53000000003</v>
      </c>
      <c r="Y284" s="271"/>
      <c r="Z284" s="271"/>
      <c r="AA284" s="271"/>
      <c r="AB284" s="271"/>
      <c r="AD284" s="269">
        <v>320369.53000000003</v>
      </c>
      <c r="AE284" s="84"/>
      <c r="AF284" s="82"/>
      <c r="AG284" s="82"/>
    </row>
    <row r="285" spans="1:33" x14ac:dyDescent="0.3">
      <c r="A285" s="259">
        <f t="shared" si="58"/>
        <v>200</v>
      </c>
      <c r="B285" s="20" t="s">
        <v>1063</v>
      </c>
      <c r="C285" s="273">
        <f t="shared" si="57"/>
        <v>192573.14</v>
      </c>
      <c r="D285" s="273"/>
      <c r="E285" s="273"/>
      <c r="F285" s="273"/>
      <c r="G285" s="273"/>
      <c r="H285" s="273"/>
      <c r="I285" s="273"/>
      <c r="J285" s="50"/>
      <c r="K285" s="273"/>
      <c r="L285" s="273"/>
      <c r="M285" s="273"/>
      <c r="N285" s="273"/>
      <c r="O285" s="273"/>
      <c r="P285" s="273"/>
      <c r="Q285" s="273"/>
      <c r="R285" s="273"/>
      <c r="S285" s="273"/>
      <c r="T285" s="273"/>
      <c r="U285" s="273"/>
      <c r="V285" s="273"/>
      <c r="W285" s="273">
        <f>SUM(Y285:AH285)</f>
        <v>192573.14</v>
      </c>
      <c r="Y285" s="271"/>
      <c r="Z285" s="110"/>
      <c r="AA285" s="271"/>
      <c r="AB285" s="271"/>
      <c r="AD285" s="269"/>
      <c r="AE285" s="84"/>
      <c r="AF285" s="82"/>
      <c r="AG285" s="82">
        <v>192573.14</v>
      </c>
    </row>
    <row r="286" spans="1:33" x14ac:dyDescent="0.3">
      <c r="A286" s="259">
        <f t="shared" si="58"/>
        <v>201</v>
      </c>
      <c r="B286" s="20" t="s">
        <v>1064</v>
      </c>
      <c r="C286" s="273">
        <f t="shared" si="57"/>
        <v>130000</v>
      </c>
      <c r="D286" s="273"/>
      <c r="E286" s="273"/>
      <c r="F286" s="273"/>
      <c r="G286" s="273"/>
      <c r="H286" s="273"/>
      <c r="I286" s="273"/>
      <c r="J286" s="50"/>
      <c r="K286" s="273"/>
      <c r="L286" s="273"/>
      <c r="M286" s="273"/>
      <c r="N286" s="273"/>
      <c r="O286" s="273"/>
      <c r="P286" s="273"/>
      <c r="Q286" s="273"/>
      <c r="R286" s="273"/>
      <c r="S286" s="273"/>
      <c r="T286" s="273"/>
      <c r="U286" s="273"/>
      <c r="V286" s="273"/>
      <c r="W286" s="273">
        <v>130000</v>
      </c>
      <c r="Y286" s="271"/>
      <c r="Z286" s="271"/>
      <c r="AA286" s="271"/>
      <c r="AB286" s="271"/>
      <c r="AD286" s="269"/>
      <c r="AE286" s="84"/>
      <c r="AF286" s="82"/>
      <c r="AG286" s="82"/>
    </row>
    <row r="287" spans="1:33" x14ac:dyDescent="0.3">
      <c r="A287" s="259">
        <f t="shared" si="58"/>
        <v>202</v>
      </c>
      <c r="B287" s="20" t="s">
        <v>1065</v>
      </c>
      <c r="C287" s="273">
        <f t="shared" si="57"/>
        <v>130000</v>
      </c>
      <c r="D287" s="273"/>
      <c r="E287" s="273"/>
      <c r="F287" s="273"/>
      <c r="G287" s="273"/>
      <c r="H287" s="273"/>
      <c r="I287" s="273"/>
      <c r="J287" s="50"/>
      <c r="K287" s="273"/>
      <c r="L287" s="273"/>
      <c r="M287" s="273"/>
      <c r="N287" s="273"/>
      <c r="O287" s="273"/>
      <c r="P287" s="273"/>
      <c r="Q287" s="273"/>
      <c r="R287" s="273"/>
      <c r="S287" s="273"/>
      <c r="T287" s="273"/>
      <c r="U287" s="273"/>
      <c r="V287" s="273"/>
      <c r="W287" s="273">
        <f>SUM(Y287:AH287)</f>
        <v>130000</v>
      </c>
      <c r="Y287" s="271"/>
      <c r="Z287" s="110"/>
      <c r="AA287" s="271"/>
      <c r="AB287" s="271">
        <v>130000</v>
      </c>
      <c r="AD287" s="269"/>
      <c r="AE287" s="84"/>
      <c r="AF287" s="82"/>
      <c r="AG287" s="82"/>
    </row>
    <row r="288" spans="1:33" x14ac:dyDescent="0.3">
      <c r="A288" s="259">
        <f t="shared" si="58"/>
        <v>203</v>
      </c>
      <c r="B288" s="20" t="s">
        <v>1066</v>
      </c>
      <c r="C288" s="273">
        <f t="shared" si="57"/>
        <v>283528.14</v>
      </c>
      <c r="D288" s="273"/>
      <c r="E288" s="273"/>
      <c r="F288" s="273"/>
      <c r="G288" s="273"/>
      <c r="H288" s="273"/>
      <c r="I288" s="273"/>
      <c r="J288" s="50"/>
      <c r="K288" s="273"/>
      <c r="L288" s="273"/>
      <c r="M288" s="273"/>
      <c r="N288" s="273"/>
      <c r="O288" s="273"/>
      <c r="P288" s="273"/>
      <c r="Q288" s="273"/>
      <c r="R288" s="273"/>
      <c r="S288" s="273"/>
      <c r="T288" s="273"/>
      <c r="U288" s="273"/>
      <c r="V288" s="273"/>
      <c r="W288" s="273">
        <f>SUM(Y288:AH288)</f>
        <v>283528.14</v>
      </c>
      <c r="Y288" s="271"/>
      <c r="Z288" s="110"/>
      <c r="AA288" s="271"/>
      <c r="AB288" s="271">
        <v>108773.35</v>
      </c>
      <c r="AD288" s="269">
        <v>174754.79</v>
      </c>
      <c r="AE288" s="84"/>
      <c r="AF288" s="82"/>
      <c r="AG288" s="82"/>
    </row>
    <row r="289" spans="1:33" x14ac:dyDescent="0.3">
      <c r="A289" s="259">
        <f t="shared" si="58"/>
        <v>204</v>
      </c>
      <c r="B289" s="20" t="s">
        <v>1067</v>
      </c>
      <c r="C289" s="273">
        <f t="shared" si="57"/>
        <v>143343.73000000001</v>
      </c>
      <c r="D289" s="273"/>
      <c r="E289" s="273"/>
      <c r="F289" s="273"/>
      <c r="G289" s="273"/>
      <c r="H289" s="273"/>
      <c r="I289" s="273"/>
      <c r="J289" s="50"/>
      <c r="K289" s="273"/>
      <c r="L289" s="273"/>
      <c r="M289" s="273"/>
      <c r="N289" s="273"/>
      <c r="O289" s="273"/>
      <c r="P289" s="273"/>
      <c r="Q289" s="273"/>
      <c r="R289" s="273"/>
      <c r="S289" s="273"/>
      <c r="T289" s="273"/>
      <c r="U289" s="273"/>
      <c r="V289" s="273"/>
      <c r="W289" s="273">
        <f>SUM(Y289:AH289)</f>
        <v>143343.73000000001</v>
      </c>
      <c r="Y289" s="271"/>
      <c r="Z289" s="110"/>
      <c r="AA289" s="271"/>
      <c r="AB289" s="271">
        <v>143343.73000000001</v>
      </c>
      <c r="AD289" s="269"/>
      <c r="AE289" s="84"/>
      <c r="AF289" s="82"/>
      <c r="AG289" s="82"/>
    </row>
    <row r="290" spans="1:33" x14ac:dyDescent="0.3">
      <c r="A290" s="259">
        <f t="shared" si="58"/>
        <v>205</v>
      </c>
      <c r="B290" s="20" t="s">
        <v>1068</v>
      </c>
      <c r="C290" s="273">
        <f t="shared" si="57"/>
        <v>136432.01999999999</v>
      </c>
      <c r="D290" s="273"/>
      <c r="E290" s="273"/>
      <c r="F290" s="273"/>
      <c r="G290" s="273"/>
      <c r="H290" s="273"/>
      <c r="I290" s="273"/>
      <c r="J290" s="50"/>
      <c r="K290" s="273"/>
      <c r="L290" s="273"/>
      <c r="M290" s="273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>
        <f>SUM(Y290:AH290)</f>
        <v>136432.01999999999</v>
      </c>
      <c r="Y290" s="271"/>
      <c r="Z290" s="110"/>
      <c r="AA290" s="271"/>
      <c r="AB290" s="271">
        <v>136432.01999999999</v>
      </c>
      <c r="AD290" s="269"/>
      <c r="AE290" s="84"/>
      <c r="AF290" s="82"/>
      <c r="AG290" s="82"/>
    </row>
    <row r="291" spans="1:33" x14ac:dyDescent="0.3">
      <c r="A291" s="259">
        <f t="shared" si="58"/>
        <v>206</v>
      </c>
      <c r="B291" s="20" t="s">
        <v>1069</v>
      </c>
      <c r="C291" s="273">
        <f t="shared" si="57"/>
        <v>130000</v>
      </c>
      <c r="D291" s="273"/>
      <c r="E291" s="273"/>
      <c r="F291" s="273"/>
      <c r="G291" s="273"/>
      <c r="H291" s="273"/>
      <c r="I291" s="273"/>
      <c r="J291" s="50"/>
      <c r="K291" s="273"/>
      <c r="L291" s="273"/>
      <c r="M291" s="273"/>
      <c r="N291" s="273"/>
      <c r="O291" s="273"/>
      <c r="P291" s="273"/>
      <c r="Q291" s="273"/>
      <c r="R291" s="273"/>
      <c r="S291" s="273"/>
      <c r="T291" s="273"/>
      <c r="U291" s="273"/>
      <c r="V291" s="273"/>
      <c r="W291" s="273">
        <v>130000</v>
      </c>
      <c r="Y291" s="269"/>
      <c r="Z291" s="269"/>
      <c r="AA291" s="269"/>
      <c r="AB291" s="269"/>
      <c r="AD291" s="269"/>
      <c r="AE291" s="7"/>
      <c r="AF291" s="13"/>
      <c r="AG291" s="82"/>
    </row>
    <row r="292" spans="1:33" x14ac:dyDescent="0.3">
      <c r="A292" s="259">
        <f t="shared" si="58"/>
        <v>207</v>
      </c>
      <c r="B292" s="20" t="s">
        <v>1070</v>
      </c>
      <c r="C292" s="273">
        <f t="shared" si="57"/>
        <v>198293.32</v>
      </c>
      <c r="D292" s="273"/>
      <c r="E292" s="273"/>
      <c r="F292" s="273"/>
      <c r="G292" s="273"/>
      <c r="H292" s="273"/>
      <c r="I292" s="273"/>
      <c r="J292" s="50"/>
      <c r="K292" s="273"/>
      <c r="L292" s="273"/>
      <c r="M292" s="273"/>
      <c r="N292" s="273"/>
      <c r="O292" s="273"/>
      <c r="P292" s="273"/>
      <c r="Q292" s="273"/>
      <c r="R292" s="273"/>
      <c r="S292" s="273"/>
      <c r="T292" s="273"/>
      <c r="U292" s="273"/>
      <c r="V292" s="273"/>
      <c r="W292" s="273">
        <f t="shared" ref="W292:W302" si="59">SUM(Y292:AH292)</f>
        <v>198293.32</v>
      </c>
      <c r="Y292" s="271"/>
      <c r="Z292" s="271"/>
      <c r="AA292" s="271"/>
      <c r="AB292" s="271"/>
      <c r="AD292" s="269"/>
      <c r="AE292" s="84">
        <v>198293.32</v>
      </c>
      <c r="AF292" s="82"/>
      <c r="AG292" s="82"/>
    </row>
    <row r="293" spans="1:33" x14ac:dyDescent="0.3">
      <c r="A293" s="259">
        <f t="shared" si="58"/>
        <v>208</v>
      </c>
      <c r="B293" s="20" t="s">
        <v>1071</v>
      </c>
      <c r="C293" s="273">
        <f t="shared" si="57"/>
        <v>248818.34</v>
      </c>
      <c r="D293" s="273"/>
      <c r="E293" s="273"/>
      <c r="F293" s="273"/>
      <c r="G293" s="273"/>
      <c r="H293" s="273"/>
      <c r="I293" s="273"/>
      <c r="J293" s="50"/>
      <c r="K293" s="273"/>
      <c r="L293" s="273"/>
      <c r="M293" s="273"/>
      <c r="N293" s="273"/>
      <c r="O293" s="273"/>
      <c r="P293" s="273"/>
      <c r="Q293" s="273"/>
      <c r="R293" s="273"/>
      <c r="S293" s="273"/>
      <c r="T293" s="273"/>
      <c r="U293" s="273"/>
      <c r="V293" s="273"/>
      <c r="W293" s="273">
        <f t="shared" si="59"/>
        <v>248818.34</v>
      </c>
      <c r="Y293" s="271"/>
      <c r="Z293" s="271"/>
      <c r="AA293" s="271"/>
      <c r="AB293" s="271">
        <v>248818.34</v>
      </c>
      <c r="AD293" s="269"/>
      <c r="AE293" s="84"/>
      <c r="AF293" s="82"/>
      <c r="AG293" s="82"/>
    </row>
    <row r="294" spans="1:33" x14ac:dyDescent="0.3">
      <c r="A294" s="259">
        <f t="shared" si="58"/>
        <v>209</v>
      </c>
      <c r="B294" s="20" t="s">
        <v>1072</v>
      </c>
      <c r="C294" s="273">
        <f t="shared" si="57"/>
        <v>163933.35999999999</v>
      </c>
      <c r="D294" s="273"/>
      <c r="E294" s="273"/>
      <c r="F294" s="273"/>
      <c r="G294" s="273"/>
      <c r="H294" s="273"/>
      <c r="I294" s="273"/>
      <c r="J294" s="50"/>
      <c r="K294" s="273"/>
      <c r="L294" s="273"/>
      <c r="M294" s="273"/>
      <c r="N294" s="273"/>
      <c r="O294" s="273"/>
      <c r="P294" s="273"/>
      <c r="Q294" s="273"/>
      <c r="R294" s="273"/>
      <c r="S294" s="273"/>
      <c r="T294" s="273"/>
      <c r="U294" s="273"/>
      <c r="V294" s="273"/>
      <c r="W294" s="273">
        <f t="shared" si="59"/>
        <v>163933.35999999999</v>
      </c>
      <c r="Y294" s="271"/>
      <c r="Z294" s="271"/>
      <c r="AA294" s="271"/>
      <c r="AB294" s="271">
        <v>163933.35999999999</v>
      </c>
      <c r="AD294" s="269"/>
      <c r="AE294" s="84"/>
      <c r="AF294" s="82"/>
      <c r="AG294" s="82"/>
    </row>
    <row r="295" spans="1:33" x14ac:dyDescent="0.3">
      <c r="A295" s="259">
        <f t="shared" si="58"/>
        <v>210</v>
      </c>
      <c r="B295" s="20" t="s">
        <v>1073</v>
      </c>
      <c r="C295" s="273">
        <f t="shared" si="57"/>
        <v>163933.35999999999</v>
      </c>
      <c r="D295" s="273"/>
      <c r="E295" s="273"/>
      <c r="F295" s="273"/>
      <c r="G295" s="273"/>
      <c r="H295" s="273"/>
      <c r="I295" s="273"/>
      <c r="J295" s="50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>
        <f t="shared" si="59"/>
        <v>163933.35999999999</v>
      </c>
      <c r="Y295" s="271"/>
      <c r="Z295" s="271"/>
      <c r="AA295" s="271"/>
      <c r="AB295" s="271">
        <v>163933.35999999999</v>
      </c>
      <c r="AD295" s="269"/>
      <c r="AE295" s="84"/>
      <c r="AF295" s="82"/>
      <c r="AG295" s="82"/>
    </row>
    <row r="296" spans="1:33" x14ac:dyDescent="0.3">
      <c r="A296" s="259">
        <f t="shared" si="58"/>
        <v>211</v>
      </c>
      <c r="B296" s="20" t="s">
        <v>1075</v>
      </c>
      <c r="C296" s="273">
        <f t="shared" si="57"/>
        <v>248371.09</v>
      </c>
      <c r="D296" s="273"/>
      <c r="E296" s="273"/>
      <c r="F296" s="273"/>
      <c r="G296" s="273"/>
      <c r="H296" s="273"/>
      <c r="I296" s="273"/>
      <c r="J296" s="50"/>
      <c r="K296" s="273"/>
      <c r="L296" s="273"/>
      <c r="M296" s="273"/>
      <c r="N296" s="273"/>
      <c r="O296" s="273"/>
      <c r="P296" s="273"/>
      <c r="Q296" s="273"/>
      <c r="R296" s="273"/>
      <c r="S296" s="273"/>
      <c r="T296" s="273"/>
      <c r="U296" s="273"/>
      <c r="V296" s="273"/>
      <c r="W296" s="273">
        <f t="shared" si="59"/>
        <v>248371.09</v>
      </c>
      <c r="Y296" s="271"/>
      <c r="Z296" s="271"/>
      <c r="AA296" s="271"/>
      <c r="AB296" s="271"/>
      <c r="AD296" s="269">
        <v>248371.09</v>
      </c>
      <c r="AE296" s="84"/>
      <c r="AF296" s="82"/>
      <c r="AG296" s="82"/>
    </row>
    <row r="297" spans="1:33" x14ac:dyDescent="0.3">
      <c r="A297" s="259">
        <f t="shared" si="58"/>
        <v>212</v>
      </c>
      <c r="B297" s="20" t="s">
        <v>1076</v>
      </c>
      <c r="C297" s="273">
        <f t="shared" si="57"/>
        <v>330120.14</v>
      </c>
      <c r="D297" s="273"/>
      <c r="E297" s="273"/>
      <c r="F297" s="273"/>
      <c r="G297" s="273"/>
      <c r="H297" s="273"/>
      <c r="I297" s="273"/>
      <c r="J297" s="50"/>
      <c r="K297" s="273"/>
      <c r="L297" s="273"/>
      <c r="M297" s="273"/>
      <c r="N297" s="273"/>
      <c r="O297" s="273"/>
      <c r="P297" s="273"/>
      <c r="Q297" s="273"/>
      <c r="R297" s="273"/>
      <c r="S297" s="273"/>
      <c r="T297" s="273"/>
      <c r="U297" s="273"/>
      <c r="V297" s="273"/>
      <c r="W297" s="273">
        <f t="shared" si="59"/>
        <v>330120.14</v>
      </c>
      <c r="Y297" s="271"/>
      <c r="Z297" s="271"/>
      <c r="AA297" s="271"/>
      <c r="AB297" s="271">
        <v>118447.84</v>
      </c>
      <c r="AD297" s="269">
        <v>211672.3</v>
      </c>
      <c r="AE297" s="84"/>
      <c r="AF297" s="82"/>
      <c r="AG297" s="82"/>
    </row>
    <row r="298" spans="1:33" x14ac:dyDescent="0.3">
      <c r="A298" s="259">
        <f t="shared" si="58"/>
        <v>213</v>
      </c>
      <c r="B298" s="20" t="s">
        <v>1077</v>
      </c>
      <c r="C298" s="273">
        <f t="shared" si="57"/>
        <v>330584.14</v>
      </c>
      <c r="D298" s="273"/>
      <c r="E298" s="273"/>
      <c r="F298" s="273"/>
      <c r="G298" s="273"/>
      <c r="H298" s="273"/>
      <c r="I298" s="273"/>
      <c r="J298" s="50"/>
      <c r="K298" s="273"/>
      <c r="L298" s="273"/>
      <c r="M298" s="273"/>
      <c r="N298" s="273"/>
      <c r="O298" s="273"/>
      <c r="P298" s="273"/>
      <c r="Q298" s="273"/>
      <c r="R298" s="273"/>
      <c r="S298" s="273"/>
      <c r="T298" s="273"/>
      <c r="U298" s="273"/>
      <c r="V298" s="273"/>
      <c r="W298" s="273">
        <f t="shared" si="59"/>
        <v>330584.14</v>
      </c>
      <c r="Y298" s="271"/>
      <c r="Z298" s="271"/>
      <c r="AA298" s="271"/>
      <c r="AB298" s="271">
        <v>118438.54</v>
      </c>
      <c r="AD298" s="269">
        <v>212145.6</v>
      </c>
      <c r="AE298" s="84"/>
      <c r="AF298" s="82"/>
      <c r="AG298" s="82"/>
    </row>
    <row r="299" spans="1:33" x14ac:dyDescent="0.3">
      <c r="A299" s="259">
        <f t="shared" si="58"/>
        <v>214</v>
      </c>
      <c r="B299" s="20" t="s">
        <v>1078</v>
      </c>
      <c r="C299" s="273">
        <f t="shared" si="57"/>
        <v>204940.94</v>
      </c>
      <c r="D299" s="273"/>
      <c r="E299" s="273"/>
      <c r="F299" s="273"/>
      <c r="G299" s="273"/>
      <c r="H299" s="273"/>
      <c r="I299" s="273"/>
      <c r="J299" s="50"/>
      <c r="K299" s="273"/>
      <c r="L299" s="273"/>
      <c r="M299" s="273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>
        <f t="shared" si="59"/>
        <v>204940.94</v>
      </c>
      <c r="Y299" s="271"/>
      <c r="Z299" s="271"/>
      <c r="AA299" s="271"/>
      <c r="AB299" s="271"/>
      <c r="AD299" s="269">
        <v>204940.94</v>
      </c>
      <c r="AE299" s="84"/>
      <c r="AF299" s="82"/>
      <c r="AG299" s="82"/>
    </row>
    <row r="300" spans="1:33" x14ac:dyDescent="0.3">
      <c r="A300" s="259">
        <f t="shared" si="58"/>
        <v>215</v>
      </c>
      <c r="B300" s="20" t="s">
        <v>1079</v>
      </c>
      <c r="C300" s="273">
        <f t="shared" si="57"/>
        <v>204940.94</v>
      </c>
      <c r="D300" s="273"/>
      <c r="E300" s="273"/>
      <c r="F300" s="273"/>
      <c r="G300" s="273"/>
      <c r="H300" s="273"/>
      <c r="I300" s="273"/>
      <c r="J300" s="50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>
        <f t="shared" si="59"/>
        <v>204940.94</v>
      </c>
      <c r="Y300" s="271"/>
      <c r="Z300" s="271"/>
      <c r="AA300" s="271"/>
      <c r="AB300" s="271"/>
      <c r="AD300" s="269">
        <v>204940.94</v>
      </c>
      <c r="AE300" s="84"/>
      <c r="AF300" s="82"/>
      <c r="AG300" s="82"/>
    </row>
    <row r="301" spans="1:33" x14ac:dyDescent="0.3">
      <c r="A301" s="259">
        <f t="shared" si="58"/>
        <v>216</v>
      </c>
      <c r="B301" s="20" t="s">
        <v>1080</v>
      </c>
      <c r="C301" s="273">
        <f t="shared" si="57"/>
        <v>204940.94</v>
      </c>
      <c r="D301" s="273"/>
      <c r="E301" s="273"/>
      <c r="F301" s="273"/>
      <c r="G301" s="273"/>
      <c r="H301" s="273"/>
      <c r="I301" s="273"/>
      <c r="J301" s="50"/>
      <c r="K301" s="273"/>
      <c r="L301" s="273"/>
      <c r="M301" s="273"/>
      <c r="N301" s="273"/>
      <c r="O301" s="273"/>
      <c r="P301" s="273"/>
      <c r="Q301" s="273"/>
      <c r="R301" s="273"/>
      <c r="S301" s="273"/>
      <c r="T301" s="273"/>
      <c r="U301" s="273"/>
      <c r="V301" s="273"/>
      <c r="W301" s="273">
        <f t="shared" si="59"/>
        <v>204940.94</v>
      </c>
      <c r="Y301" s="271"/>
      <c r="Z301" s="271"/>
      <c r="AA301" s="271"/>
      <c r="AB301" s="271"/>
      <c r="AD301" s="269">
        <v>204940.94</v>
      </c>
      <c r="AE301" s="84"/>
      <c r="AF301" s="82"/>
      <c r="AG301" s="82"/>
    </row>
    <row r="302" spans="1:33" x14ac:dyDescent="0.3">
      <c r="A302" s="259">
        <f t="shared" si="58"/>
        <v>217</v>
      </c>
      <c r="B302" s="20" t="s">
        <v>1081</v>
      </c>
      <c r="C302" s="273">
        <f t="shared" si="57"/>
        <v>118227.25</v>
      </c>
      <c r="D302" s="273"/>
      <c r="E302" s="273"/>
      <c r="F302" s="273"/>
      <c r="G302" s="273"/>
      <c r="H302" s="273"/>
      <c r="I302" s="273"/>
      <c r="J302" s="50"/>
      <c r="K302" s="273"/>
      <c r="L302" s="273"/>
      <c r="M302" s="273"/>
      <c r="N302" s="273"/>
      <c r="O302" s="273"/>
      <c r="P302" s="273"/>
      <c r="Q302" s="273"/>
      <c r="R302" s="273"/>
      <c r="S302" s="273"/>
      <c r="T302" s="273"/>
      <c r="U302" s="273"/>
      <c r="V302" s="273"/>
      <c r="W302" s="273">
        <f t="shared" si="59"/>
        <v>118227.25</v>
      </c>
      <c r="Y302" s="271"/>
      <c r="Z302" s="110"/>
      <c r="AA302" s="271"/>
      <c r="AB302" s="271">
        <v>118227.25</v>
      </c>
      <c r="AD302" s="269"/>
      <c r="AE302" s="84"/>
      <c r="AF302" s="82"/>
      <c r="AG302" s="82"/>
    </row>
    <row r="303" spans="1:33" x14ac:dyDescent="0.3">
      <c r="A303" s="259"/>
      <c r="B303" s="20" t="s">
        <v>208</v>
      </c>
      <c r="C303" s="273">
        <f t="shared" ref="C303:W303" si="60">SUM(C279:C302)</f>
        <v>4687226.54</v>
      </c>
      <c r="D303" s="273">
        <f t="shared" si="60"/>
        <v>0</v>
      </c>
      <c r="E303" s="273">
        <f t="shared" si="60"/>
        <v>0</v>
      </c>
      <c r="F303" s="273">
        <f t="shared" si="60"/>
        <v>0</v>
      </c>
      <c r="G303" s="273">
        <f t="shared" si="60"/>
        <v>0</v>
      </c>
      <c r="H303" s="273">
        <f t="shared" si="60"/>
        <v>0</v>
      </c>
      <c r="I303" s="273">
        <f t="shared" si="60"/>
        <v>0</v>
      </c>
      <c r="J303" s="50">
        <f t="shared" si="60"/>
        <v>0</v>
      </c>
      <c r="K303" s="273">
        <f t="shared" si="60"/>
        <v>0</v>
      </c>
      <c r="L303" s="273">
        <f t="shared" si="60"/>
        <v>0</v>
      </c>
      <c r="M303" s="273">
        <f t="shared" si="60"/>
        <v>0</v>
      </c>
      <c r="N303" s="273">
        <f t="shared" si="60"/>
        <v>0</v>
      </c>
      <c r="O303" s="273">
        <f t="shared" si="60"/>
        <v>0</v>
      </c>
      <c r="P303" s="273">
        <f t="shared" si="60"/>
        <v>0</v>
      </c>
      <c r="Q303" s="273">
        <f t="shared" si="60"/>
        <v>0</v>
      </c>
      <c r="R303" s="273">
        <f t="shared" si="60"/>
        <v>0</v>
      </c>
      <c r="S303" s="273">
        <f t="shared" si="60"/>
        <v>0</v>
      </c>
      <c r="T303" s="273">
        <f t="shared" si="60"/>
        <v>0</v>
      </c>
      <c r="U303" s="273">
        <f t="shared" si="60"/>
        <v>0</v>
      </c>
      <c r="V303" s="273">
        <f t="shared" si="60"/>
        <v>0</v>
      </c>
      <c r="W303" s="273">
        <f t="shared" si="60"/>
        <v>4687226.54</v>
      </c>
      <c r="X303" s="271"/>
      <c r="Y303" s="271"/>
      <c r="Z303" s="271"/>
      <c r="AA303" s="271"/>
      <c r="AB303" s="271"/>
      <c r="AC303" s="269"/>
      <c r="AD303" s="84"/>
      <c r="AE303" s="82"/>
      <c r="AF303" s="82"/>
      <c r="AG303" s="13"/>
    </row>
    <row r="304" spans="1:33" s="36" customFormat="1" x14ac:dyDescent="0.3">
      <c r="A304" s="374" t="s">
        <v>1082</v>
      </c>
      <c r="B304" s="375"/>
      <c r="C304" s="273"/>
      <c r="D304" s="273"/>
      <c r="E304" s="273"/>
      <c r="F304" s="273"/>
      <c r="G304" s="273"/>
      <c r="H304" s="273"/>
      <c r="I304" s="273"/>
      <c r="J304" s="50"/>
      <c r="K304" s="273"/>
      <c r="L304" s="273"/>
      <c r="M304" s="273"/>
      <c r="N304" s="273"/>
      <c r="O304" s="273"/>
      <c r="P304" s="273"/>
      <c r="Q304" s="273"/>
      <c r="R304" s="273"/>
      <c r="S304" s="273"/>
      <c r="T304" s="273"/>
      <c r="U304" s="273"/>
      <c r="V304" s="273"/>
      <c r="W304" s="273"/>
      <c r="X304" s="271"/>
      <c r="Y304" s="271"/>
      <c r="Z304" s="271"/>
      <c r="AA304" s="271"/>
      <c r="AB304" s="269"/>
      <c r="AC304" s="84"/>
      <c r="AD304" s="82"/>
      <c r="AE304" s="82"/>
      <c r="AF304" s="13"/>
    </row>
    <row r="305" spans="1:33" s="36" customFormat="1" x14ac:dyDescent="0.3">
      <c r="A305" s="10">
        <f>A302+1</f>
        <v>218</v>
      </c>
      <c r="B305" s="124" t="s">
        <v>3546</v>
      </c>
      <c r="C305" s="273">
        <f>D305+K305+L305+N305+P305+R305+S305+U305+W305</f>
        <v>70020219</v>
      </c>
      <c r="D305" s="273"/>
      <c r="E305" s="273"/>
      <c r="F305" s="273"/>
      <c r="G305" s="273"/>
      <c r="H305" s="273"/>
      <c r="I305" s="273"/>
      <c r="J305" s="50"/>
      <c r="K305" s="273"/>
      <c r="L305" s="273"/>
      <c r="M305" s="273">
        <v>1341</v>
      </c>
      <c r="N305" s="273">
        <v>8634699</v>
      </c>
      <c r="O305" s="273"/>
      <c r="P305" s="273"/>
      <c r="Q305" s="273">
        <v>7320</v>
      </c>
      <c r="R305" s="273">
        <v>61385520</v>
      </c>
      <c r="S305" s="273"/>
      <c r="T305" s="273"/>
      <c r="U305" s="273"/>
      <c r="V305" s="273"/>
      <c r="W305" s="273"/>
      <c r="X305" s="271"/>
      <c r="Y305" s="271"/>
      <c r="Z305" s="271"/>
      <c r="AA305" s="271"/>
      <c r="AB305" s="269"/>
      <c r="AC305" s="84"/>
      <c r="AD305" s="82"/>
      <c r="AE305" s="82"/>
      <c r="AF305" s="13"/>
    </row>
    <row r="306" spans="1:33" s="36" customFormat="1" x14ac:dyDescent="0.3">
      <c r="A306" s="10"/>
      <c r="B306" s="124" t="s">
        <v>208</v>
      </c>
      <c r="C306" s="273">
        <f t="shared" ref="C306:W306" si="61">C305</f>
        <v>70020219</v>
      </c>
      <c r="D306" s="273">
        <f t="shared" si="61"/>
        <v>0</v>
      </c>
      <c r="E306" s="273">
        <f t="shared" si="61"/>
        <v>0</v>
      </c>
      <c r="F306" s="273">
        <f t="shared" si="61"/>
        <v>0</v>
      </c>
      <c r="G306" s="273">
        <f t="shared" si="61"/>
        <v>0</v>
      </c>
      <c r="H306" s="273">
        <f t="shared" si="61"/>
        <v>0</v>
      </c>
      <c r="I306" s="273">
        <f t="shared" si="61"/>
        <v>0</v>
      </c>
      <c r="J306" s="50">
        <f t="shared" si="61"/>
        <v>0</v>
      </c>
      <c r="K306" s="273">
        <f t="shared" si="61"/>
        <v>0</v>
      </c>
      <c r="L306" s="273">
        <f t="shared" si="61"/>
        <v>0</v>
      </c>
      <c r="M306" s="273">
        <f t="shared" si="61"/>
        <v>1341</v>
      </c>
      <c r="N306" s="273">
        <f t="shared" si="61"/>
        <v>8634699</v>
      </c>
      <c r="O306" s="273">
        <f t="shared" si="61"/>
        <v>0</v>
      </c>
      <c r="P306" s="273">
        <f t="shared" si="61"/>
        <v>0</v>
      </c>
      <c r="Q306" s="273">
        <f t="shared" si="61"/>
        <v>7320</v>
      </c>
      <c r="R306" s="273">
        <f t="shared" si="61"/>
        <v>61385520</v>
      </c>
      <c r="S306" s="273">
        <f t="shared" si="61"/>
        <v>0</v>
      </c>
      <c r="T306" s="273">
        <f t="shared" si="61"/>
        <v>0</v>
      </c>
      <c r="U306" s="273">
        <f t="shared" si="61"/>
        <v>0</v>
      </c>
      <c r="V306" s="273">
        <f t="shared" si="61"/>
        <v>0</v>
      </c>
      <c r="W306" s="273">
        <f t="shared" si="61"/>
        <v>0</v>
      </c>
      <c r="X306" s="271"/>
      <c r="Y306" s="271"/>
      <c r="Z306" s="271"/>
      <c r="AA306" s="271"/>
      <c r="AB306" s="269"/>
      <c r="AC306" s="84"/>
      <c r="AD306" s="82"/>
      <c r="AE306" s="82"/>
      <c r="AF306" s="13"/>
    </row>
    <row r="307" spans="1:33" x14ac:dyDescent="0.3">
      <c r="A307" s="317" t="s">
        <v>1084</v>
      </c>
      <c r="B307" s="318"/>
      <c r="C307" s="251">
        <f t="shared" ref="C307:W307" si="62">C306+C303+C277+C261+C257+C253+C250+C244</f>
        <v>233381548.37</v>
      </c>
      <c r="D307" s="251">
        <f t="shared" si="62"/>
        <v>4482252.5999999996</v>
      </c>
      <c r="E307" s="251">
        <f t="shared" si="62"/>
        <v>4482252.5999999996</v>
      </c>
      <c r="F307" s="251">
        <f t="shared" si="62"/>
        <v>0</v>
      </c>
      <c r="G307" s="251">
        <f t="shared" si="62"/>
        <v>0</v>
      </c>
      <c r="H307" s="251">
        <f t="shared" si="62"/>
        <v>0</v>
      </c>
      <c r="I307" s="251">
        <f t="shared" si="62"/>
        <v>0</v>
      </c>
      <c r="J307" s="57">
        <f t="shared" si="62"/>
        <v>0</v>
      </c>
      <c r="K307" s="251">
        <f t="shared" si="62"/>
        <v>0</v>
      </c>
      <c r="L307" s="251">
        <f t="shared" si="62"/>
        <v>0</v>
      </c>
      <c r="M307" s="251">
        <f t="shared" si="62"/>
        <v>3047</v>
      </c>
      <c r="N307" s="251">
        <f t="shared" si="62"/>
        <v>23371842.600000001</v>
      </c>
      <c r="O307" s="251">
        <f t="shared" si="62"/>
        <v>0</v>
      </c>
      <c r="P307" s="251">
        <f t="shared" si="62"/>
        <v>0</v>
      </c>
      <c r="Q307" s="251">
        <f t="shared" si="62"/>
        <v>22999.78</v>
      </c>
      <c r="R307" s="251">
        <f t="shared" si="62"/>
        <v>198481752.07999998</v>
      </c>
      <c r="S307" s="251">
        <f t="shared" si="62"/>
        <v>0</v>
      </c>
      <c r="T307" s="251">
        <f t="shared" si="62"/>
        <v>0</v>
      </c>
      <c r="U307" s="251">
        <f t="shared" si="62"/>
        <v>0</v>
      </c>
      <c r="V307" s="251">
        <f t="shared" si="62"/>
        <v>0</v>
      </c>
      <c r="W307" s="251">
        <f t="shared" si="62"/>
        <v>7045701.0899999999</v>
      </c>
      <c r="X307" s="271"/>
      <c r="Y307" s="271"/>
      <c r="Z307" s="271"/>
      <c r="AA307" s="271"/>
      <c r="AB307" s="271"/>
      <c r="AC307" s="269"/>
      <c r="AD307" s="84"/>
      <c r="AE307" s="82"/>
      <c r="AF307" s="82"/>
      <c r="AG307" s="13"/>
    </row>
    <row r="308" spans="1:33" ht="15.75" customHeight="1" x14ac:dyDescent="0.3">
      <c r="A308" s="441" t="s">
        <v>1085</v>
      </c>
      <c r="B308" s="442"/>
      <c r="C308" s="442"/>
      <c r="D308" s="442"/>
      <c r="E308" s="442"/>
      <c r="F308" s="442"/>
      <c r="G308" s="442"/>
      <c r="H308" s="442"/>
      <c r="I308" s="442"/>
      <c r="J308" s="442"/>
      <c r="K308" s="442"/>
      <c r="L308" s="442"/>
      <c r="M308" s="442"/>
      <c r="N308" s="442"/>
      <c r="O308" s="442"/>
      <c r="P308" s="442"/>
      <c r="Q308" s="442"/>
      <c r="R308" s="442"/>
      <c r="S308" s="442"/>
      <c r="T308" s="442"/>
      <c r="U308" s="442"/>
      <c r="V308" s="442"/>
      <c r="W308" s="443"/>
      <c r="X308" s="271"/>
      <c r="Y308" s="269"/>
      <c r="Z308" s="7"/>
      <c r="AA308" s="13"/>
      <c r="AB308" s="13"/>
      <c r="AC308" s="13"/>
      <c r="AD308" s="13"/>
    </row>
    <row r="309" spans="1:33" x14ac:dyDescent="0.3">
      <c r="A309" s="317" t="s">
        <v>1086</v>
      </c>
      <c r="B309" s="318"/>
      <c r="C309" s="273"/>
      <c r="D309" s="273"/>
      <c r="E309" s="273"/>
      <c r="F309" s="273"/>
      <c r="G309" s="273"/>
      <c r="H309" s="273"/>
      <c r="I309" s="273"/>
      <c r="J309" s="50"/>
      <c r="K309" s="273"/>
      <c r="L309" s="273"/>
      <c r="M309" s="273"/>
      <c r="N309" s="273"/>
      <c r="O309" s="273"/>
      <c r="P309" s="273"/>
      <c r="Q309" s="273"/>
      <c r="R309" s="273"/>
      <c r="S309" s="273"/>
      <c r="T309" s="273"/>
      <c r="U309" s="273"/>
      <c r="V309" s="273"/>
      <c r="W309" s="273"/>
      <c r="X309" s="271"/>
      <c r="Y309" s="269"/>
      <c r="Z309" s="7"/>
      <c r="AA309" s="13"/>
      <c r="AB309" s="13"/>
      <c r="AC309" s="13"/>
      <c r="AD309" s="13"/>
    </row>
    <row r="310" spans="1:33" x14ac:dyDescent="0.3">
      <c r="A310" s="10">
        <f>A305+1</f>
        <v>219</v>
      </c>
      <c r="B310" s="20" t="s">
        <v>1091</v>
      </c>
      <c r="C310" s="273">
        <f>D310+K310+L310+N310+P310+R310+U310+S310+V310+W310</f>
        <v>4451317.2</v>
      </c>
      <c r="D310" s="273"/>
      <c r="E310" s="273"/>
      <c r="F310" s="273"/>
      <c r="G310" s="273"/>
      <c r="H310" s="273"/>
      <c r="I310" s="273"/>
      <c r="J310" s="50"/>
      <c r="K310" s="273"/>
      <c r="L310" s="273"/>
      <c r="M310" s="273"/>
      <c r="N310" s="273"/>
      <c r="O310" s="273"/>
      <c r="P310" s="273"/>
      <c r="Q310" s="273">
        <v>560</v>
      </c>
      <c r="R310" s="273">
        <v>4451317.2</v>
      </c>
      <c r="S310" s="273"/>
      <c r="T310" s="273"/>
      <c r="U310" s="273"/>
      <c r="V310" s="273"/>
      <c r="W310" s="273"/>
      <c r="X310" s="271"/>
      <c r="Y310" s="269"/>
      <c r="Z310" s="7"/>
      <c r="AA310" s="13"/>
      <c r="AB310" s="13"/>
      <c r="AC310" s="13"/>
      <c r="AD310" s="13"/>
    </row>
    <row r="311" spans="1:33" x14ac:dyDescent="0.3">
      <c r="A311" s="259">
        <f>A310+1</f>
        <v>220</v>
      </c>
      <c r="B311" s="20" t="s">
        <v>1093</v>
      </c>
      <c r="C311" s="273">
        <f>D311+K311+L311+N311+P311+R311+U311+S311+V311+W311</f>
        <v>4308062.4000000004</v>
      </c>
      <c r="D311" s="273"/>
      <c r="E311" s="273"/>
      <c r="F311" s="273"/>
      <c r="G311" s="273"/>
      <c r="H311" s="273"/>
      <c r="I311" s="273"/>
      <c r="J311" s="50"/>
      <c r="K311" s="273"/>
      <c r="L311" s="273"/>
      <c r="M311" s="273"/>
      <c r="N311" s="273"/>
      <c r="O311" s="273"/>
      <c r="P311" s="273"/>
      <c r="Q311" s="273">
        <v>591.29999999999995</v>
      </c>
      <c r="R311" s="273">
        <v>4308062.4000000004</v>
      </c>
      <c r="S311" s="273"/>
      <c r="T311" s="273"/>
      <c r="U311" s="273"/>
      <c r="V311" s="273"/>
      <c r="W311" s="273"/>
      <c r="X311" s="271"/>
      <c r="Y311" s="269"/>
      <c r="Z311" s="7"/>
      <c r="AA311" s="13"/>
      <c r="AB311" s="13"/>
      <c r="AC311" s="13"/>
      <c r="AD311" s="13"/>
    </row>
    <row r="312" spans="1:33" x14ac:dyDescent="0.3">
      <c r="A312" s="259">
        <f>A311+1</f>
        <v>221</v>
      </c>
      <c r="B312" s="20" t="s">
        <v>1094</v>
      </c>
      <c r="C312" s="273">
        <f>D312+K312+L312+N312+P312+R312+U312+S312+V312+W312</f>
        <v>4552503.5999999996</v>
      </c>
      <c r="D312" s="273"/>
      <c r="E312" s="273"/>
      <c r="F312" s="273"/>
      <c r="G312" s="273"/>
      <c r="H312" s="273"/>
      <c r="I312" s="273"/>
      <c r="J312" s="50"/>
      <c r="K312" s="273"/>
      <c r="L312" s="273"/>
      <c r="M312" s="273"/>
      <c r="N312" s="273"/>
      <c r="O312" s="273"/>
      <c r="P312" s="273"/>
      <c r="Q312" s="273">
        <v>591.29999999999995</v>
      </c>
      <c r="R312" s="273">
        <v>4552503.5999999996</v>
      </c>
      <c r="S312" s="273"/>
      <c r="T312" s="273"/>
      <c r="U312" s="273"/>
      <c r="V312" s="273"/>
      <c r="W312" s="273"/>
      <c r="X312" s="271"/>
      <c r="Y312" s="269"/>
      <c r="Z312" s="7"/>
      <c r="AA312" s="13"/>
      <c r="AB312" s="13"/>
      <c r="AC312" s="13"/>
      <c r="AD312" s="13"/>
    </row>
    <row r="313" spans="1:33" x14ac:dyDescent="0.3">
      <c r="A313" s="259">
        <f>A312+1</f>
        <v>222</v>
      </c>
      <c r="B313" s="20" t="s">
        <v>1095</v>
      </c>
      <c r="C313" s="273">
        <f>D313+K313+L313+N313+P313+R313+U313+S313+V313+W313</f>
        <v>6215103.5999999996</v>
      </c>
      <c r="D313" s="273"/>
      <c r="E313" s="273"/>
      <c r="F313" s="273"/>
      <c r="G313" s="273"/>
      <c r="H313" s="273"/>
      <c r="I313" s="273"/>
      <c r="J313" s="50"/>
      <c r="K313" s="273"/>
      <c r="L313" s="273"/>
      <c r="M313" s="273"/>
      <c r="N313" s="273"/>
      <c r="O313" s="273"/>
      <c r="P313" s="273"/>
      <c r="Q313" s="273">
        <v>760.5</v>
      </c>
      <c r="R313" s="273">
        <v>6215103.5999999996</v>
      </c>
      <c r="S313" s="273"/>
      <c r="T313" s="273"/>
      <c r="U313" s="273"/>
      <c r="V313" s="273"/>
      <c r="W313" s="273"/>
      <c r="X313" s="271"/>
      <c r="Y313" s="269"/>
      <c r="Z313" s="7"/>
      <c r="AA313" s="13"/>
      <c r="AB313" s="13"/>
      <c r="AC313" s="13"/>
      <c r="AD313" s="13"/>
    </row>
    <row r="314" spans="1:33" x14ac:dyDescent="0.3">
      <c r="A314" s="259">
        <f>A313+1</f>
        <v>223</v>
      </c>
      <c r="B314" s="20" t="s">
        <v>1096</v>
      </c>
      <c r="C314" s="273">
        <f>D314+K314+L314+N314+P314+R314+U314+S314+V314+W314</f>
        <v>6241214.4000000004</v>
      </c>
      <c r="D314" s="273"/>
      <c r="E314" s="273"/>
      <c r="F314" s="273"/>
      <c r="G314" s="273"/>
      <c r="H314" s="273"/>
      <c r="I314" s="273"/>
      <c r="J314" s="50"/>
      <c r="K314" s="273"/>
      <c r="L314" s="273"/>
      <c r="M314" s="273"/>
      <c r="N314" s="273"/>
      <c r="O314" s="273"/>
      <c r="P314" s="273"/>
      <c r="Q314" s="273">
        <v>760.5</v>
      </c>
      <c r="R314" s="273">
        <v>6241214.4000000004</v>
      </c>
      <c r="S314" s="273"/>
      <c r="T314" s="273"/>
      <c r="U314" s="273"/>
      <c r="V314" s="273"/>
      <c r="W314" s="273"/>
      <c r="X314" s="271"/>
      <c r="Y314" s="269"/>
      <c r="Z314" s="7"/>
      <c r="AA314" s="13"/>
      <c r="AB314" s="13"/>
      <c r="AC314" s="13"/>
      <c r="AD314" s="13"/>
    </row>
    <row r="315" spans="1:33" x14ac:dyDescent="0.3">
      <c r="A315" s="259"/>
      <c r="B315" s="20" t="s">
        <v>208</v>
      </c>
      <c r="C315" s="273">
        <f t="shared" ref="C315:W315" si="63">SUM(C310:C314)</f>
        <v>25768201.200000003</v>
      </c>
      <c r="D315" s="273">
        <f t="shared" si="63"/>
        <v>0</v>
      </c>
      <c r="E315" s="273">
        <f t="shared" si="63"/>
        <v>0</v>
      </c>
      <c r="F315" s="273">
        <f t="shared" si="63"/>
        <v>0</v>
      </c>
      <c r="G315" s="273">
        <f t="shared" si="63"/>
        <v>0</v>
      </c>
      <c r="H315" s="273">
        <f t="shared" si="63"/>
        <v>0</v>
      </c>
      <c r="I315" s="273">
        <f t="shared" si="63"/>
        <v>0</v>
      </c>
      <c r="J315" s="50">
        <f t="shared" si="63"/>
        <v>0</v>
      </c>
      <c r="K315" s="273">
        <f t="shared" si="63"/>
        <v>0</v>
      </c>
      <c r="L315" s="273">
        <f t="shared" si="63"/>
        <v>0</v>
      </c>
      <c r="M315" s="273">
        <f t="shared" si="63"/>
        <v>0</v>
      </c>
      <c r="N315" s="273">
        <f t="shared" si="63"/>
        <v>0</v>
      </c>
      <c r="O315" s="273">
        <f t="shared" si="63"/>
        <v>0</v>
      </c>
      <c r="P315" s="273">
        <f t="shared" si="63"/>
        <v>0</v>
      </c>
      <c r="Q315" s="273">
        <f t="shared" si="63"/>
        <v>3263.6</v>
      </c>
      <c r="R315" s="273">
        <f t="shared" si="63"/>
        <v>25768201.200000003</v>
      </c>
      <c r="S315" s="273">
        <f t="shared" si="63"/>
        <v>0</v>
      </c>
      <c r="T315" s="273">
        <f t="shared" si="63"/>
        <v>0</v>
      </c>
      <c r="U315" s="273">
        <f t="shared" si="63"/>
        <v>0</v>
      </c>
      <c r="V315" s="273">
        <f t="shared" si="63"/>
        <v>0</v>
      </c>
      <c r="W315" s="273">
        <f t="shared" si="63"/>
        <v>0</v>
      </c>
      <c r="X315" s="271"/>
      <c r="Y315" s="269"/>
      <c r="Z315" s="7"/>
      <c r="AA315" s="13"/>
      <c r="AB315" s="13"/>
      <c r="AC315" s="13"/>
      <c r="AD315" s="13"/>
    </row>
    <row r="316" spans="1:33" x14ac:dyDescent="0.3">
      <c r="A316" s="317" t="s">
        <v>1112</v>
      </c>
      <c r="B316" s="318"/>
      <c r="C316" s="273"/>
      <c r="D316" s="273"/>
      <c r="E316" s="273"/>
      <c r="F316" s="273"/>
      <c r="G316" s="273"/>
      <c r="H316" s="273"/>
      <c r="I316" s="273"/>
      <c r="J316" s="50"/>
      <c r="K316" s="273"/>
      <c r="L316" s="273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1"/>
      <c r="Y316" s="269"/>
      <c r="Z316" s="7"/>
      <c r="AA316" s="13"/>
      <c r="AB316" s="13"/>
      <c r="AC316" s="13"/>
      <c r="AD316" s="13"/>
    </row>
    <row r="317" spans="1:33" x14ac:dyDescent="0.3">
      <c r="A317" s="259">
        <f>A314+1</f>
        <v>224</v>
      </c>
      <c r="B317" s="20" t="s">
        <v>1124</v>
      </c>
      <c r="C317" s="273">
        <f>D317+K317+L317+N317+P317+R317+U317+S317+V317+W317</f>
        <v>1989626.4</v>
      </c>
      <c r="D317" s="273"/>
      <c r="E317" s="273"/>
      <c r="F317" s="273"/>
      <c r="G317" s="273"/>
      <c r="H317" s="273"/>
      <c r="I317" s="273"/>
      <c r="J317" s="50"/>
      <c r="K317" s="273"/>
      <c r="L317" s="273"/>
      <c r="M317" s="273"/>
      <c r="N317" s="273"/>
      <c r="O317" s="273"/>
      <c r="P317" s="273"/>
      <c r="Q317" s="273">
        <v>430</v>
      </c>
      <c r="R317" s="273">
        <v>1989626.4</v>
      </c>
      <c r="S317" s="273"/>
      <c r="T317" s="273"/>
      <c r="U317" s="273"/>
      <c r="V317" s="273"/>
      <c r="W317" s="273"/>
      <c r="X317" s="271"/>
      <c r="Y317" s="269"/>
      <c r="Z317" s="84"/>
      <c r="AA317" s="82"/>
      <c r="AB317" s="82"/>
      <c r="AC317" s="13"/>
      <c r="AD317" s="13"/>
    </row>
    <row r="318" spans="1:33" x14ac:dyDescent="0.3">
      <c r="A318" s="259"/>
      <c r="B318" s="20" t="s">
        <v>208</v>
      </c>
      <c r="C318" s="273">
        <f t="shared" ref="C318:W318" si="64">SUM(C317:C317)</f>
        <v>1989626.4</v>
      </c>
      <c r="D318" s="273">
        <f t="shared" si="64"/>
        <v>0</v>
      </c>
      <c r="E318" s="273">
        <f t="shared" si="64"/>
        <v>0</v>
      </c>
      <c r="F318" s="273">
        <f t="shared" si="64"/>
        <v>0</v>
      </c>
      <c r="G318" s="273">
        <f t="shared" si="64"/>
        <v>0</v>
      </c>
      <c r="H318" s="273">
        <f t="shared" si="64"/>
        <v>0</v>
      </c>
      <c r="I318" s="273">
        <f t="shared" si="64"/>
        <v>0</v>
      </c>
      <c r="J318" s="50">
        <f t="shared" si="64"/>
        <v>0</v>
      </c>
      <c r="K318" s="273">
        <f t="shared" si="64"/>
        <v>0</v>
      </c>
      <c r="L318" s="273">
        <f t="shared" si="64"/>
        <v>0</v>
      </c>
      <c r="M318" s="273">
        <f t="shared" si="64"/>
        <v>0</v>
      </c>
      <c r="N318" s="273">
        <f t="shared" si="64"/>
        <v>0</v>
      </c>
      <c r="O318" s="273">
        <f t="shared" si="64"/>
        <v>0</v>
      </c>
      <c r="P318" s="273">
        <f t="shared" si="64"/>
        <v>0</v>
      </c>
      <c r="Q318" s="273">
        <f t="shared" si="64"/>
        <v>430</v>
      </c>
      <c r="R318" s="273">
        <f t="shared" si="64"/>
        <v>1989626.4</v>
      </c>
      <c r="S318" s="273">
        <f t="shared" si="64"/>
        <v>0</v>
      </c>
      <c r="T318" s="273">
        <f t="shared" si="64"/>
        <v>0</v>
      </c>
      <c r="U318" s="273">
        <f t="shared" si="64"/>
        <v>0</v>
      </c>
      <c r="V318" s="273">
        <f t="shared" si="64"/>
        <v>0</v>
      </c>
      <c r="W318" s="273">
        <f t="shared" si="64"/>
        <v>0</v>
      </c>
      <c r="X318" s="271"/>
      <c r="Y318" s="269"/>
      <c r="Z318" s="84"/>
      <c r="AA318" s="82"/>
      <c r="AB318" s="82"/>
      <c r="AC318" s="13"/>
      <c r="AD318" s="13"/>
    </row>
    <row r="319" spans="1:33" x14ac:dyDescent="0.3">
      <c r="A319" s="317" t="s">
        <v>1129</v>
      </c>
      <c r="B319" s="318"/>
      <c r="C319" s="273"/>
      <c r="D319" s="273"/>
      <c r="E319" s="273"/>
      <c r="F319" s="273"/>
      <c r="G319" s="273"/>
      <c r="H319" s="273"/>
      <c r="I319" s="273"/>
      <c r="J319" s="50"/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/>
      <c r="X319" s="271"/>
      <c r="Y319" s="269"/>
      <c r="Z319" s="84"/>
      <c r="AA319" s="82"/>
      <c r="AB319" s="82"/>
      <c r="AC319" s="13"/>
      <c r="AD319" s="13"/>
    </row>
    <row r="320" spans="1:33" x14ac:dyDescent="0.3">
      <c r="A320" s="259">
        <f>A317+1</f>
        <v>225</v>
      </c>
      <c r="B320" s="20" t="s">
        <v>1149</v>
      </c>
      <c r="C320" s="273">
        <f t="shared" ref="C320:C359" si="65">D320+K320+L320+N320+P320+R320+U320+S320+V320+W320</f>
        <v>4690050</v>
      </c>
      <c r="D320" s="273"/>
      <c r="E320" s="273"/>
      <c r="F320" s="273"/>
      <c r="G320" s="273"/>
      <c r="H320" s="273"/>
      <c r="I320" s="273"/>
      <c r="J320" s="50"/>
      <c r="K320" s="273"/>
      <c r="L320" s="273"/>
      <c r="M320" s="273"/>
      <c r="N320" s="273"/>
      <c r="O320" s="273"/>
      <c r="P320" s="273"/>
      <c r="Q320" s="273">
        <v>3857</v>
      </c>
      <c r="R320" s="273">
        <v>4690050</v>
      </c>
      <c r="S320" s="273"/>
      <c r="T320" s="273"/>
      <c r="U320" s="273"/>
      <c r="V320" s="273"/>
      <c r="W320" s="273"/>
      <c r="X320" s="271"/>
      <c r="Y320" s="269"/>
      <c r="Z320" s="7"/>
      <c r="AA320" s="13"/>
      <c r="AB320" s="13"/>
      <c r="AC320" s="13"/>
      <c r="AD320" s="13"/>
    </row>
    <row r="321" spans="1:33" x14ac:dyDescent="0.3">
      <c r="A321" s="259">
        <f t="shared" ref="A321:A359" si="66">A320+1</f>
        <v>226</v>
      </c>
      <c r="B321" s="20" t="s">
        <v>1151</v>
      </c>
      <c r="C321" s="273">
        <f t="shared" si="65"/>
        <v>12819744</v>
      </c>
      <c r="D321" s="273"/>
      <c r="E321" s="273"/>
      <c r="F321" s="273"/>
      <c r="G321" s="273"/>
      <c r="H321" s="273"/>
      <c r="I321" s="273"/>
      <c r="J321" s="50"/>
      <c r="K321" s="273"/>
      <c r="L321" s="273"/>
      <c r="M321" s="273"/>
      <c r="N321" s="273"/>
      <c r="O321" s="273"/>
      <c r="P321" s="273"/>
      <c r="Q321" s="273">
        <v>3856</v>
      </c>
      <c r="R321" s="273">
        <v>12819744</v>
      </c>
      <c r="S321" s="273"/>
      <c r="T321" s="273"/>
      <c r="U321" s="273"/>
      <c r="V321" s="273"/>
      <c r="W321" s="273"/>
      <c r="X321" s="271"/>
      <c r="Y321" s="269"/>
      <c r="Z321" s="7"/>
      <c r="AA321" s="13"/>
      <c r="AB321" s="13"/>
      <c r="AC321" s="13"/>
      <c r="AD321" s="13"/>
    </row>
    <row r="322" spans="1:33" x14ac:dyDescent="0.3">
      <c r="A322" s="259">
        <f t="shared" si="66"/>
        <v>227</v>
      </c>
      <c r="B322" s="20" t="s">
        <v>1153</v>
      </c>
      <c r="C322" s="273">
        <f t="shared" si="65"/>
        <v>5714776.7999999998</v>
      </c>
      <c r="D322" s="273"/>
      <c r="E322" s="273"/>
      <c r="F322" s="273"/>
      <c r="G322" s="273"/>
      <c r="H322" s="273"/>
      <c r="I322" s="273"/>
      <c r="J322" s="50"/>
      <c r="K322" s="273"/>
      <c r="L322" s="273"/>
      <c r="M322" s="273"/>
      <c r="N322" s="273"/>
      <c r="O322" s="273"/>
      <c r="P322" s="273"/>
      <c r="Q322" s="273">
        <v>6250</v>
      </c>
      <c r="R322" s="273">
        <v>5714776.7999999998</v>
      </c>
      <c r="S322" s="273"/>
      <c r="T322" s="273"/>
      <c r="U322" s="273"/>
      <c r="V322" s="273"/>
      <c r="W322" s="273"/>
      <c r="X322" s="271"/>
      <c r="Y322" s="269"/>
      <c r="Z322" s="7"/>
      <c r="AA322" s="13"/>
      <c r="AB322" s="13"/>
      <c r="AC322" s="13"/>
      <c r="AD322" s="13"/>
    </row>
    <row r="323" spans="1:33" x14ac:dyDescent="0.3">
      <c r="A323" s="259">
        <f t="shared" si="66"/>
        <v>228</v>
      </c>
      <c r="B323" s="20" t="s">
        <v>1154</v>
      </c>
      <c r="C323" s="273">
        <f t="shared" si="65"/>
        <v>9440697.5999999996</v>
      </c>
      <c r="D323" s="273"/>
      <c r="E323" s="273"/>
      <c r="F323" s="273"/>
      <c r="G323" s="273"/>
      <c r="H323" s="273"/>
      <c r="I323" s="273"/>
      <c r="J323" s="50"/>
      <c r="K323" s="273"/>
      <c r="L323" s="273"/>
      <c r="M323" s="273"/>
      <c r="N323" s="273"/>
      <c r="O323" s="273"/>
      <c r="P323" s="273"/>
      <c r="Q323" s="273">
        <v>5578</v>
      </c>
      <c r="R323" s="273">
        <v>9440697.5999999996</v>
      </c>
      <c r="S323" s="273"/>
      <c r="T323" s="273"/>
      <c r="U323" s="273"/>
      <c r="V323" s="273"/>
      <c r="W323" s="273"/>
      <c r="X323" s="271"/>
      <c r="Y323" s="269"/>
      <c r="Z323" s="7"/>
      <c r="AA323" s="13"/>
      <c r="AB323" s="13"/>
      <c r="AC323" s="13"/>
      <c r="AD323" s="13"/>
    </row>
    <row r="324" spans="1:33" x14ac:dyDescent="0.3">
      <c r="A324" s="259">
        <f t="shared" si="66"/>
        <v>229</v>
      </c>
      <c r="B324" s="20" t="s">
        <v>1157</v>
      </c>
      <c r="C324" s="273">
        <f t="shared" si="65"/>
        <v>17249850</v>
      </c>
      <c r="D324" s="273"/>
      <c r="E324" s="273"/>
      <c r="F324" s="273"/>
      <c r="G324" s="273"/>
      <c r="H324" s="273"/>
      <c r="I324" s="273"/>
      <c r="J324" s="50"/>
      <c r="K324" s="273"/>
      <c r="L324" s="273"/>
      <c r="M324" s="273"/>
      <c r="N324" s="273"/>
      <c r="O324" s="261"/>
      <c r="P324" s="273"/>
      <c r="Q324" s="273">
        <v>3504</v>
      </c>
      <c r="R324" s="273">
        <v>17249850</v>
      </c>
      <c r="S324" s="273"/>
      <c r="T324" s="273"/>
      <c r="U324" s="273"/>
      <c r="V324" s="273"/>
      <c r="W324" s="273"/>
      <c r="X324" s="271"/>
      <c r="Y324" s="269"/>
      <c r="Z324" s="7"/>
      <c r="AA324" s="13"/>
      <c r="AB324" s="271"/>
      <c r="AC324" s="13"/>
      <c r="AG324" s="13"/>
    </row>
    <row r="325" spans="1:33" x14ac:dyDescent="0.3">
      <c r="A325" s="259">
        <f t="shared" si="66"/>
        <v>230</v>
      </c>
      <c r="B325" s="20" t="s">
        <v>1160</v>
      </c>
      <c r="C325" s="273">
        <f t="shared" si="65"/>
        <v>8487530.4000000004</v>
      </c>
      <c r="D325" s="273"/>
      <c r="E325" s="273"/>
      <c r="F325" s="273"/>
      <c r="G325" s="273"/>
      <c r="H325" s="273"/>
      <c r="I325" s="273"/>
      <c r="J325" s="50"/>
      <c r="K325" s="273"/>
      <c r="L325" s="273"/>
      <c r="M325" s="273"/>
      <c r="N325" s="273"/>
      <c r="O325" s="273"/>
      <c r="P325" s="273"/>
      <c r="Q325" s="273">
        <v>1495</v>
      </c>
      <c r="R325" s="273">
        <v>8487530.4000000004</v>
      </c>
      <c r="S325" s="273"/>
      <c r="T325" s="273"/>
      <c r="U325" s="273"/>
      <c r="V325" s="273"/>
      <c r="W325" s="273"/>
      <c r="X325" s="271"/>
      <c r="Y325" s="269"/>
      <c r="Z325" s="7"/>
      <c r="AA325" s="13"/>
      <c r="AB325" s="13"/>
      <c r="AC325" s="13"/>
      <c r="AG325" s="13"/>
    </row>
    <row r="326" spans="1:33" x14ac:dyDescent="0.3">
      <c r="A326" s="259">
        <f t="shared" si="66"/>
        <v>231</v>
      </c>
      <c r="B326" s="20" t="s">
        <v>1192</v>
      </c>
      <c r="C326" s="273">
        <f t="shared" si="65"/>
        <v>5409187.2599999998</v>
      </c>
      <c r="D326" s="273"/>
      <c r="E326" s="273"/>
      <c r="F326" s="273"/>
      <c r="G326" s="273"/>
      <c r="H326" s="273"/>
      <c r="I326" s="273"/>
      <c r="J326" s="50"/>
      <c r="K326" s="273"/>
      <c r="L326" s="273"/>
      <c r="M326" s="273"/>
      <c r="N326" s="273"/>
      <c r="O326" s="273"/>
      <c r="P326" s="273"/>
      <c r="Q326" s="273">
        <v>547</v>
      </c>
      <c r="R326" s="273">
        <v>5409187.2599999998</v>
      </c>
      <c r="S326" s="273"/>
      <c r="T326" s="273"/>
      <c r="U326" s="273"/>
      <c r="V326" s="273"/>
      <c r="W326" s="273"/>
      <c r="X326" s="271"/>
      <c r="Y326" s="271"/>
      <c r="Z326" s="271"/>
      <c r="AA326" s="271"/>
      <c r="AB326" s="271"/>
      <c r="AC326" s="13"/>
      <c r="AG326" s="13"/>
    </row>
    <row r="327" spans="1:33" x14ac:dyDescent="0.3">
      <c r="A327" s="259">
        <f t="shared" si="66"/>
        <v>232</v>
      </c>
      <c r="B327" s="20" t="s">
        <v>1197</v>
      </c>
      <c r="C327" s="273">
        <f t="shared" si="65"/>
        <v>5649800.6900000004</v>
      </c>
      <c r="D327" s="273"/>
      <c r="E327" s="273"/>
      <c r="F327" s="273"/>
      <c r="G327" s="273"/>
      <c r="H327" s="273"/>
      <c r="I327" s="273"/>
      <c r="J327" s="50"/>
      <c r="K327" s="273"/>
      <c r="L327" s="273"/>
      <c r="M327" s="273"/>
      <c r="N327" s="273"/>
      <c r="O327" s="273"/>
      <c r="P327" s="273"/>
      <c r="Q327" s="273">
        <v>546.72</v>
      </c>
      <c r="R327" s="273">
        <v>5649800.6900000004</v>
      </c>
      <c r="S327" s="273"/>
      <c r="T327" s="273"/>
      <c r="U327" s="273"/>
      <c r="V327" s="273"/>
      <c r="W327" s="273"/>
      <c r="X327" s="271"/>
      <c r="Y327" s="271"/>
      <c r="Z327" s="271"/>
      <c r="AA327" s="271"/>
      <c r="AB327" s="271"/>
      <c r="AC327" s="13"/>
      <c r="AG327" s="13"/>
    </row>
    <row r="328" spans="1:33" x14ac:dyDescent="0.3">
      <c r="A328" s="259">
        <f t="shared" si="66"/>
        <v>233</v>
      </c>
      <c r="B328" s="20" t="s">
        <v>1204</v>
      </c>
      <c r="C328" s="273">
        <f t="shared" si="65"/>
        <v>5857737.5999999996</v>
      </c>
      <c r="D328" s="273"/>
      <c r="E328" s="273"/>
      <c r="F328" s="273"/>
      <c r="G328" s="273"/>
      <c r="H328" s="273"/>
      <c r="I328" s="273"/>
      <c r="J328" s="50"/>
      <c r="K328" s="273"/>
      <c r="L328" s="273"/>
      <c r="M328" s="273"/>
      <c r="N328" s="273"/>
      <c r="O328" s="261"/>
      <c r="P328" s="273"/>
      <c r="Q328" s="273">
        <v>1650</v>
      </c>
      <c r="R328" s="273">
        <v>5857737.5999999996</v>
      </c>
      <c r="S328" s="273"/>
      <c r="T328" s="273"/>
      <c r="U328" s="273"/>
      <c r="V328" s="273"/>
      <c r="W328" s="273"/>
      <c r="X328" s="271"/>
      <c r="Y328" s="271"/>
      <c r="Z328" s="271"/>
      <c r="AA328" s="271"/>
      <c r="AB328" s="271"/>
      <c r="AC328" s="13"/>
      <c r="AG328" s="13"/>
    </row>
    <row r="329" spans="1:33" x14ac:dyDescent="0.3">
      <c r="A329" s="259">
        <f t="shared" si="66"/>
        <v>234</v>
      </c>
      <c r="B329" s="20" t="s">
        <v>1217</v>
      </c>
      <c r="C329" s="273">
        <f t="shared" si="65"/>
        <v>182039</v>
      </c>
      <c r="D329" s="273"/>
      <c r="E329" s="273"/>
      <c r="F329" s="273"/>
      <c r="G329" s="273"/>
      <c r="H329" s="273"/>
      <c r="I329" s="273"/>
      <c r="J329" s="50"/>
      <c r="K329" s="273"/>
      <c r="L329" s="273"/>
      <c r="M329" s="273"/>
      <c r="N329" s="273"/>
      <c r="O329" s="273"/>
      <c r="P329" s="273"/>
      <c r="Q329" s="273">
        <v>13</v>
      </c>
      <c r="R329" s="273">
        <f>14003*Q329</f>
        <v>182039</v>
      </c>
      <c r="S329" s="273"/>
      <c r="T329" s="273"/>
      <c r="U329" s="273"/>
      <c r="V329" s="273"/>
      <c r="W329" s="273"/>
      <c r="X329" s="271"/>
      <c r="Y329" s="271"/>
      <c r="Z329" s="271"/>
      <c r="AA329" s="271"/>
      <c r="AB329" s="271"/>
      <c r="AC329" s="13"/>
      <c r="AG329" s="13"/>
    </row>
    <row r="330" spans="1:33" x14ac:dyDescent="0.3">
      <c r="A330" s="259">
        <f t="shared" si="66"/>
        <v>235</v>
      </c>
      <c r="B330" s="20" t="s">
        <v>1237</v>
      </c>
      <c r="C330" s="273">
        <f t="shared" si="65"/>
        <v>2757116.4</v>
      </c>
      <c r="D330" s="273"/>
      <c r="E330" s="273"/>
      <c r="F330" s="273"/>
      <c r="G330" s="273"/>
      <c r="H330" s="273"/>
      <c r="I330" s="273"/>
      <c r="J330" s="50"/>
      <c r="K330" s="273"/>
      <c r="L330" s="273"/>
      <c r="M330" s="273"/>
      <c r="N330" s="273"/>
      <c r="O330" s="273"/>
      <c r="P330" s="273"/>
      <c r="Q330" s="273">
        <v>560.79999999999995</v>
      </c>
      <c r="R330" s="273">
        <v>2757116.4</v>
      </c>
      <c r="S330" s="273"/>
      <c r="T330" s="273"/>
      <c r="U330" s="273"/>
      <c r="V330" s="273"/>
      <c r="W330" s="273"/>
      <c r="X330" s="271"/>
      <c r="Y330" s="269"/>
      <c r="Z330" s="7"/>
      <c r="AA330" s="13"/>
      <c r="AB330" s="13"/>
      <c r="AC330" s="13"/>
      <c r="AG330" s="13"/>
    </row>
    <row r="331" spans="1:33" x14ac:dyDescent="0.3">
      <c r="A331" s="259">
        <f t="shared" si="66"/>
        <v>236</v>
      </c>
      <c r="B331" s="20" t="s">
        <v>1243</v>
      </c>
      <c r="C331" s="273">
        <f t="shared" si="65"/>
        <v>2711164.46</v>
      </c>
      <c r="D331" s="273"/>
      <c r="E331" s="273"/>
      <c r="F331" s="273"/>
      <c r="G331" s="273"/>
      <c r="H331" s="273"/>
      <c r="I331" s="273"/>
      <c r="J331" s="50"/>
      <c r="K331" s="273"/>
      <c r="L331" s="273"/>
      <c r="M331" s="273"/>
      <c r="N331" s="273"/>
      <c r="O331" s="273"/>
      <c r="P331" s="273"/>
      <c r="Q331" s="273">
        <v>560.79999999999995</v>
      </c>
      <c r="R331" s="273">
        <v>2711164.46</v>
      </c>
      <c r="S331" s="273"/>
      <c r="T331" s="273"/>
      <c r="U331" s="273"/>
      <c r="V331" s="273"/>
      <c r="W331" s="273"/>
      <c r="X331" s="271"/>
      <c r="Y331" s="271"/>
      <c r="Z331" s="271"/>
      <c r="AA331" s="271"/>
      <c r="AB331" s="271"/>
      <c r="AC331" s="13"/>
      <c r="AG331" s="13"/>
    </row>
    <row r="332" spans="1:33" x14ac:dyDescent="0.3">
      <c r="A332" s="259">
        <f t="shared" si="66"/>
        <v>237</v>
      </c>
      <c r="B332" s="20" t="s">
        <v>1247</v>
      </c>
      <c r="C332" s="273">
        <f t="shared" si="65"/>
        <v>182039</v>
      </c>
      <c r="D332" s="273"/>
      <c r="E332" s="273"/>
      <c r="F332" s="273"/>
      <c r="G332" s="273"/>
      <c r="H332" s="273"/>
      <c r="I332" s="273"/>
      <c r="J332" s="50"/>
      <c r="K332" s="273"/>
      <c r="L332" s="273"/>
      <c r="M332" s="273"/>
      <c r="N332" s="273"/>
      <c r="O332" s="273"/>
      <c r="P332" s="143"/>
      <c r="Q332" s="273">
        <v>13</v>
      </c>
      <c r="R332" s="273">
        <f>14003*Q332</f>
        <v>182039</v>
      </c>
      <c r="S332" s="273"/>
      <c r="T332" s="273"/>
      <c r="U332" s="273"/>
      <c r="V332" s="273"/>
      <c r="W332" s="273"/>
      <c r="X332" s="271"/>
      <c r="Y332" s="271"/>
      <c r="Z332" s="271"/>
      <c r="AA332" s="271"/>
      <c r="AB332" s="271"/>
      <c r="AC332" s="13"/>
      <c r="AG332" s="13"/>
    </row>
    <row r="333" spans="1:33" x14ac:dyDescent="0.3">
      <c r="A333" s="259">
        <f t="shared" si="66"/>
        <v>238</v>
      </c>
      <c r="B333" s="20" t="s">
        <v>1248</v>
      </c>
      <c r="C333" s="273">
        <f t="shared" si="65"/>
        <v>182039</v>
      </c>
      <c r="D333" s="273"/>
      <c r="E333" s="273"/>
      <c r="F333" s="273"/>
      <c r="G333" s="273"/>
      <c r="H333" s="273"/>
      <c r="I333" s="273"/>
      <c r="J333" s="50"/>
      <c r="K333" s="273"/>
      <c r="L333" s="273"/>
      <c r="M333" s="273"/>
      <c r="N333" s="273"/>
      <c r="O333" s="261"/>
      <c r="P333" s="273"/>
      <c r="Q333" s="273">
        <v>13</v>
      </c>
      <c r="R333" s="273">
        <f>14003*Q333</f>
        <v>182039</v>
      </c>
      <c r="S333" s="273"/>
      <c r="T333" s="273"/>
      <c r="U333" s="273"/>
      <c r="V333" s="273"/>
      <c r="W333" s="273"/>
      <c r="X333" s="271"/>
      <c r="Y333" s="271"/>
      <c r="Z333" s="271"/>
      <c r="AA333" s="271"/>
      <c r="AB333" s="271"/>
      <c r="AC333" s="13"/>
      <c r="AG333" s="13"/>
    </row>
    <row r="334" spans="1:33" x14ac:dyDescent="0.3">
      <c r="A334" s="259">
        <f t="shared" si="66"/>
        <v>239</v>
      </c>
      <c r="B334" s="20" t="s">
        <v>1264</v>
      </c>
      <c r="C334" s="273">
        <f t="shared" si="65"/>
        <v>182039</v>
      </c>
      <c r="D334" s="273"/>
      <c r="E334" s="273"/>
      <c r="F334" s="273"/>
      <c r="G334" s="273"/>
      <c r="H334" s="273"/>
      <c r="I334" s="273"/>
      <c r="J334" s="50"/>
      <c r="K334" s="273"/>
      <c r="L334" s="273"/>
      <c r="M334" s="273"/>
      <c r="N334" s="273"/>
      <c r="O334" s="273"/>
      <c r="P334" s="273"/>
      <c r="Q334" s="273">
        <v>13</v>
      </c>
      <c r="R334" s="273">
        <f>14003*Q334</f>
        <v>182039</v>
      </c>
      <c r="S334" s="273"/>
      <c r="T334" s="273"/>
      <c r="U334" s="273"/>
      <c r="V334" s="273"/>
      <c r="W334" s="273"/>
      <c r="X334" s="271"/>
      <c r="Y334" s="271"/>
      <c r="Z334" s="271"/>
      <c r="AA334" s="271"/>
      <c r="AB334" s="13"/>
      <c r="AC334" s="13"/>
      <c r="AG334" s="13"/>
    </row>
    <row r="335" spans="1:33" x14ac:dyDescent="0.3">
      <c r="A335" s="259">
        <f t="shared" si="66"/>
        <v>240</v>
      </c>
      <c r="B335" s="20" t="s">
        <v>1266</v>
      </c>
      <c r="C335" s="273">
        <f t="shared" si="65"/>
        <v>6908722.7999999998</v>
      </c>
      <c r="D335" s="273"/>
      <c r="E335" s="273"/>
      <c r="F335" s="273"/>
      <c r="G335" s="273"/>
      <c r="H335" s="273"/>
      <c r="I335" s="273"/>
      <c r="J335" s="50"/>
      <c r="K335" s="273"/>
      <c r="L335" s="273"/>
      <c r="M335" s="273"/>
      <c r="N335" s="273"/>
      <c r="O335" s="273"/>
      <c r="P335" s="273"/>
      <c r="Q335" s="273">
        <v>2440</v>
      </c>
      <c r="R335" s="273">
        <v>6908722.7999999998</v>
      </c>
      <c r="S335" s="273"/>
      <c r="T335" s="273"/>
      <c r="U335" s="273"/>
      <c r="V335" s="273"/>
      <c r="W335" s="273"/>
      <c r="X335" s="271"/>
      <c r="Y335" s="271"/>
      <c r="Z335" s="271"/>
      <c r="AA335" s="271"/>
      <c r="AB335" s="13"/>
      <c r="AC335" s="13"/>
      <c r="AG335" s="13"/>
    </row>
    <row r="336" spans="1:33" x14ac:dyDescent="0.3">
      <c r="A336" s="259">
        <f t="shared" si="66"/>
        <v>241</v>
      </c>
      <c r="B336" s="20" t="s">
        <v>1272</v>
      </c>
      <c r="C336" s="273">
        <f t="shared" si="65"/>
        <v>18157602</v>
      </c>
      <c r="D336" s="273"/>
      <c r="E336" s="273"/>
      <c r="F336" s="273"/>
      <c r="G336" s="273"/>
      <c r="H336" s="273"/>
      <c r="I336" s="273"/>
      <c r="J336" s="50"/>
      <c r="K336" s="273"/>
      <c r="L336" s="273"/>
      <c r="M336" s="273"/>
      <c r="N336" s="273"/>
      <c r="O336" s="273"/>
      <c r="P336" s="273"/>
      <c r="Q336" s="273">
        <v>2570</v>
      </c>
      <c r="R336" s="273">
        <v>18157602</v>
      </c>
      <c r="S336" s="273"/>
      <c r="T336" s="273"/>
      <c r="U336" s="273"/>
      <c r="V336" s="273"/>
      <c r="W336" s="273"/>
      <c r="X336" s="271"/>
      <c r="Y336" s="271"/>
      <c r="Z336" s="271"/>
      <c r="AA336" s="271"/>
      <c r="AB336" s="271"/>
      <c r="AC336" s="13"/>
      <c r="AG336" s="13"/>
    </row>
    <row r="337" spans="1:35" x14ac:dyDescent="0.3">
      <c r="A337" s="259">
        <f t="shared" si="66"/>
        <v>242</v>
      </c>
      <c r="B337" s="20" t="s">
        <v>1274</v>
      </c>
      <c r="C337" s="273">
        <f t="shared" si="65"/>
        <v>2757116.4</v>
      </c>
      <c r="D337" s="273"/>
      <c r="E337" s="273"/>
      <c r="F337" s="273"/>
      <c r="G337" s="273"/>
      <c r="H337" s="273"/>
      <c r="I337" s="273"/>
      <c r="J337" s="50"/>
      <c r="K337" s="273"/>
      <c r="L337" s="273"/>
      <c r="M337" s="273"/>
      <c r="N337" s="273"/>
      <c r="O337" s="273"/>
      <c r="P337" s="273"/>
      <c r="Q337" s="273">
        <v>506.8</v>
      </c>
      <c r="R337" s="273">
        <v>2757116.4</v>
      </c>
      <c r="S337" s="273"/>
      <c r="T337" s="273"/>
      <c r="U337" s="273"/>
      <c r="V337" s="273"/>
      <c r="W337" s="273"/>
      <c r="X337" s="271"/>
      <c r="Y337" s="271"/>
      <c r="Z337" s="271"/>
      <c r="AA337" s="271"/>
      <c r="AB337" s="271"/>
      <c r="AC337" s="13"/>
      <c r="AG337" s="13"/>
    </row>
    <row r="338" spans="1:35" x14ac:dyDescent="0.3">
      <c r="A338" s="259">
        <f t="shared" si="66"/>
        <v>243</v>
      </c>
      <c r="B338" s="20" t="s">
        <v>1277</v>
      </c>
      <c r="C338" s="273">
        <f t="shared" si="65"/>
        <v>182039</v>
      </c>
      <c r="D338" s="273"/>
      <c r="E338" s="273"/>
      <c r="F338" s="273"/>
      <c r="G338" s="273"/>
      <c r="H338" s="273"/>
      <c r="I338" s="273"/>
      <c r="J338" s="50"/>
      <c r="K338" s="273"/>
      <c r="L338" s="273"/>
      <c r="M338" s="273"/>
      <c r="N338" s="273"/>
      <c r="O338" s="273"/>
      <c r="P338" s="273"/>
      <c r="Q338" s="273">
        <v>13</v>
      </c>
      <c r="R338" s="273">
        <f>14003*Q338</f>
        <v>182039</v>
      </c>
      <c r="S338" s="273"/>
      <c r="T338" s="273"/>
      <c r="U338" s="273"/>
      <c r="V338" s="273"/>
      <c r="W338" s="273"/>
      <c r="X338" s="271"/>
      <c r="Y338" s="271"/>
      <c r="Z338" s="271"/>
      <c r="AA338" s="271"/>
      <c r="AB338" s="271"/>
      <c r="AC338" s="13"/>
      <c r="AG338" s="13"/>
    </row>
    <row r="339" spans="1:35" x14ac:dyDescent="0.3">
      <c r="A339" s="259">
        <f t="shared" si="66"/>
        <v>244</v>
      </c>
      <c r="B339" s="20" t="s">
        <v>1278</v>
      </c>
      <c r="C339" s="273">
        <f t="shared" si="65"/>
        <v>182039</v>
      </c>
      <c r="D339" s="273"/>
      <c r="E339" s="273"/>
      <c r="F339" s="273"/>
      <c r="G339" s="273"/>
      <c r="H339" s="273"/>
      <c r="I339" s="273"/>
      <c r="J339" s="50"/>
      <c r="K339" s="273"/>
      <c r="L339" s="273"/>
      <c r="M339" s="273"/>
      <c r="N339" s="273"/>
      <c r="O339" s="273"/>
      <c r="P339" s="273"/>
      <c r="Q339" s="273">
        <v>13</v>
      </c>
      <c r="R339" s="273">
        <f>14003*Q339</f>
        <v>182039</v>
      </c>
      <c r="S339" s="273"/>
      <c r="T339" s="273"/>
      <c r="U339" s="273"/>
      <c r="V339" s="273"/>
      <c r="W339" s="273"/>
      <c r="X339" s="271"/>
      <c r="Y339" s="271"/>
      <c r="Z339" s="271"/>
      <c r="AA339" s="271"/>
      <c r="AB339" s="271"/>
      <c r="AC339" s="13"/>
      <c r="AG339" s="13"/>
    </row>
    <row r="340" spans="1:35" x14ac:dyDescent="0.3">
      <c r="A340" s="259">
        <f t="shared" si="66"/>
        <v>245</v>
      </c>
      <c r="B340" s="20" t="s">
        <v>1280</v>
      </c>
      <c r="C340" s="273">
        <f t="shared" si="65"/>
        <v>182039</v>
      </c>
      <c r="D340" s="273"/>
      <c r="E340" s="273"/>
      <c r="F340" s="273"/>
      <c r="G340" s="273"/>
      <c r="H340" s="273"/>
      <c r="I340" s="273"/>
      <c r="J340" s="50"/>
      <c r="K340" s="273"/>
      <c r="L340" s="273"/>
      <c r="M340" s="273"/>
      <c r="N340" s="273"/>
      <c r="O340" s="273"/>
      <c r="P340" s="273"/>
      <c r="Q340" s="273">
        <v>13</v>
      </c>
      <c r="R340" s="273">
        <f>14003*Q340</f>
        <v>182039</v>
      </c>
      <c r="S340" s="273"/>
      <c r="T340" s="273"/>
      <c r="U340" s="273"/>
      <c r="V340" s="273"/>
      <c r="W340" s="273"/>
      <c r="X340" s="271"/>
      <c r="Y340" s="269"/>
      <c r="Z340" s="7"/>
      <c r="AA340" s="13"/>
      <c r="AB340" s="13"/>
      <c r="AC340" s="13"/>
      <c r="AG340" s="13"/>
    </row>
    <row r="341" spans="1:35" x14ac:dyDescent="0.3">
      <c r="A341" s="259">
        <f t="shared" si="66"/>
        <v>246</v>
      </c>
      <c r="B341" s="20" t="s">
        <v>1347</v>
      </c>
      <c r="C341" s="273">
        <f t="shared" si="65"/>
        <v>26701450</v>
      </c>
      <c r="D341" s="273"/>
      <c r="E341" s="273"/>
      <c r="F341" s="273"/>
      <c r="G341" s="273"/>
      <c r="H341" s="273"/>
      <c r="I341" s="273"/>
      <c r="J341" s="50"/>
      <c r="K341" s="273"/>
      <c r="L341" s="273"/>
      <c r="M341" s="273"/>
      <c r="N341" s="273"/>
      <c r="O341" s="273"/>
      <c r="P341" s="273"/>
      <c r="Q341" s="273">
        <v>2000</v>
      </c>
      <c r="R341" s="273">
        <v>26701450</v>
      </c>
      <c r="S341" s="273"/>
      <c r="T341" s="273"/>
      <c r="U341" s="273"/>
      <c r="V341" s="273"/>
      <c r="W341" s="273"/>
      <c r="X341" s="271"/>
      <c r="Y341" s="271"/>
      <c r="Z341" s="271"/>
      <c r="AA341" s="271"/>
      <c r="AB341" s="271"/>
      <c r="AC341" s="13"/>
      <c r="AG341" s="13"/>
    </row>
    <row r="342" spans="1:35" x14ac:dyDescent="0.3">
      <c r="A342" s="259">
        <f t="shared" si="66"/>
        <v>247</v>
      </c>
      <c r="B342" s="20" t="s">
        <v>1349</v>
      </c>
      <c r="C342" s="273">
        <f t="shared" si="65"/>
        <v>19258617.600000001</v>
      </c>
      <c r="D342" s="273"/>
      <c r="E342" s="273"/>
      <c r="F342" s="273"/>
      <c r="G342" s="273"/>
      <c r="H342" s="273"/>
      <c r="I342" s="273"/>
      <c r="J342" s="50"/>
      <c r="K342" s="273"/>
      <c r="L342" s="273"/>
      <c r="M342" s="273"/>
      <c r="N342" s="273"/>
      <c r="O342" s="273"/>
      <c r="P342" s="273"/>
      <c r="Q342" s="273">
        <v>2000</v>
      </c>
      <c r="R342" s="273">
        <v>19258617.600000001</v>
      </c>
      <c r="S342" s="273"/>
      <c r="T342" s="273"/>
      <c r="U342" s="273"/>
      <c r="V342" s="273"/>
      <c r="W342" s="273"/>
      <c r="X342" s="271"/>
      <c r="Y342" s="271"/>
      <c r="Z342" s="271"/>
      <c r="AA342" s="271"/>
      <c r="AB342" s="271"/>
      <c r="AC342" s="13"/>
      <c r="AG342" s="13"/>
    </row>
    <row r="343" spans="1:35" x14ac:dyDescent="0.3">
      <c r="A343" s="259">
        <f t="shared" si="66"/>
        <v>248</v>
      </c>
      <c r="B343" s="20" t="s">
        <v>1350</v>
      </c>
      <c r="C343" s="273">
        <f t="shared" si="65"/>
        <v>2543479.75</v>
      </c>
      <c r="D343" s="273"/>
      <c r="E343" s="273"/>
      <c r="F343" s="273"/>
      <c r="G343" s="273"/>
      <c r="H343" s="273"/>
      <c r="I343" s="273"/>
      <c r="J343" s="50"/>
      <c r="K343" s="273"/>
      <c r="L343" s="273"/>
      <c r="M343" s="273"/>
      <c r="N343" s="273"/>
      <c r="O343" s="273"/>
      <c r="P343" s="273"/>
      <c r="Q343" s="273">
        <v>850</v>
      </c>
      <c r="R343" s="273">
        <v>2543479.75</v>
      </c>
      <c r="S343" s="273"/>
      <c r="T343" s="273"/>
      <c r="U343" s="273"/>
      <c r="V343" s="273"/>
      <c r="W343" s="273"/>
      <c r="X343" s="271"/>
      <c r="Y343" s="271"/>
      <c r="Z343" s="271"/>
      <c r="AA343" s="271"/>
      <c r="AB343" s="271"/>
      <c r="AC343" s="13"/>
      <c r="AG343" s="13"/>
    </row>
    <row r="344" spans="1:35" x14ac:dyDescent="0.3">
      <c r="A344" s="259">
        <f t="shared" si="66"/>
        <v>249</v>
      </c>
      <c r="B344" s="20" t="s">
        <v>1352</v>
      </c>
      <c r="C344" s="273">
        <f t="shared" si="65"/>
        <v>4317070.8</v>
      </c>
      <c r="D344" s="273"/>
      <c r="E344" s="273"/>
      <c r="F344" s="273"/>
      <c r="G344" s="273"/>
      <c r="H344" s="273"/>
      <c r="I344" s="273"/>
      <c r="J344" s="50"/>
      <c r="K344" s="273"/>
      <c r="L344" s="273"/>
      <c r="M344" s="273"/>
      <c r="N344" s="273"/>
      <c r="O344" s="273"/>
      <c r="P344" s="273"/>
      <c r="Q344" s="273">
        <v>600</v>
      </c>
      <c r="R344" s="273">
        <v>4317070.8</v>
      </c>
      <c r="S344" s="273"/>
      <c r="T344" s="273"/>
      <c r="U344" s="273"/>
      <c r="V344" s="273"/>
      <c r="W344" s="273"/>
      <c r="X344" s="271"/>
      <c r="Y344" s="271"/>
      <c r="Z344" s="271"/>
      <c r="AA344" s="271"/>
      <c r="AB344" s="271"/>
      <c r="AC344" s="13"/>
      <c r="AG344" s="13"/>
    </row>
    <row r="345" spans="1:35" x14ac:dyDescent="0.3">
      <c r="A345" s="259">
        <f t="shared" si="66"/>
        <v>250</v>
      </c>
      <c r="B345" s="20" t="s">
        <v>1362</v>
      </c>
      <c r="C345" s="273">
        <f t="shared" si="65"/>
        <v>25246108</v>
      </c>
      <c r="D345" s="273"/>
      <c r="E345" s="273"/>
      <c r="F345" s="273"/>
      <c r="G345" s="273"/>
      <c r="H345" s="273"/>
      <c r="I345" s="273"/>
      <c r="J345" s="50"/>
      <c r="K345" s="273"/>
      <c r="L345" s="273"/>
      <c r="M345" s="273"/>
      <c r="N345" s="273"/>
      <c r="O345" s="273"/>
      <c r="P345" s="273"/>
      <c r="Q345" s="273">
        <v>2000</v>
      </c>
      <c r="R345" s="273">
        <v>25246108</v>
      </c>
      <c r="S345" s="273"/>
      <c r="T345" s="273"/>
      <c r="U345" s="273"/>
      <c r="V345" s="273"/>
      <c r="W345" s="273"/>
      <c r="X345" s="271"/>
      <c r="Y345" s="271"/>
      <c r="Z345" s="271"/>
      <c r="AA345" s="271"/>
      <c r="AB345" s="13"/>
      <c r="AC345" s="13"/>
      <c r="AG345" s="13"/>
    </row>
    <row r="346" spans="1:35" s="36" customFormat="1" x14ac:dyDescent="0.3">
      <c r="A346" s="10">
        <f t="shared" si="66"/>
        <v>251</v>
      </c>
      <c r="B346" s="124" t="s">
        <v>1408</v>
      </c>
      <c r="C346" s="273">
        <f t="shared" si="65"/>
        <v>12159042</v>
      </c>
      <c r="D346" s="273"/>
      <c r="E346" s="273"/>
      <c r="F346" s="273"/>
      <c r="G346" s="273"/>
      <c r="H346" s="273"/>
      <c r="I346" s="273"/>
      <c r="J346" s="273"/>
      <c r="K346" s="273"/>
      <c r="L346" s="273"/>
      <c r="M346" s="273"/>
      <c r="N346" s="273"/>
      <c r="O346" s="273"/>
      <c r="P346" s="273"/>
      <c r="Q346" s="273">
        <v>1655</v>
      </c>
      <c r="R346" s="273">
        <v>12159042</v>
      </c>
      <c r="S346" s="273"/>
      <c r="T346" s="273"/>
      <c r="U346" s="273"/>
      <c r="V346" s="273"/>
      <c r="W346" s="273">
        <f>SUM(X346:AG346)</f>
        <v>0</v>
      </c>
      <c r="Y346" s="82"/>
      <c r="Z346" s="82"/>
      <c r="AA346" s="13"/>
      <c r="AB346" s="271"/>
      <c r="AD346" s="84"/>
      <c r="AH346" s="13"/>
      <c r="AI346" s="13"/>
    </row>
    <row r="347" spans="1:35" x14ac:dyDescent="0.3">
      <c r="A347" s="10">
        <f t="shared" si="66"/>
        <v>252</v>
      </c>
      <c r="B347" s="20" t="s">
        <v>1412</v>
      </c>
      <c r="C347" s="273">
        <f t="shared" si="65"/>
        <v>12159042</v>
      </c>
      <c r="D347" s="273"/>
      <c r="E347" s="273"/>
      <c r="F347" s="273"/>
      <c r="G347" s="273"/>
      <c r="H347" s="273"/>
      <c r="I347" s="273"/>
      <c r="J347" s="50"/>
      <c r="K347" s="273"/>
      <c r="L347" s="273"/>
      <c r="M347" s="273"/>
      <c r="N347" s="273"/>
      <c r="O347" s="273"/>
      <c r="P347" s="273"/>
      <c r="Q347" s="273">
        <v>1655</v>
      </c>
      <c r="R347" s="273">
        <v>12159042</v>
      </c>
      <c r="S347" s="273"/>
      <c r="T347" s="273"/>
      <c r="U347" s="273"/>
      <c r="V347" s="273"/>
      <c r="W347" s="273"/>
      <c r="X347" s="271"/>
      <c r="Y347" s="269"/>
      <c r="Z347" s="84"/>
      <c r="AA347" s="82"/>
      <c r="AB347" s="82"/>
      <c r="AC347" s="13"/>
      <c r="AG347" s="13"/>
    </row>
    <row r="348" spans="1:35" x14ac:dyDescent="0.3">
      <c r="A348" s="10">
        <f t="shared" si="66"/>
        <v>253</v>
      </c>
      <c r="B348" s="20" t="s">
        <v>1413</v>
      </c>
      <c r="C348" s="273">
        <f t="shared" si="65"/>
        <v>182039</v>
      </c>
      <c r="D348" s="273"/>
      <c r="E348" s="273"/>
      <c r="F348" s="273"/>
      <c r="G348" s="273"/>
      <c r="H348" s="273"/>
      <c r="I348" s="273"/>
      <c r="J348" s="50"/>
      <c r="K348" s="273"/>
      <c r="L348" s="273"/>
      <c r="M348" s="273"/>
      <c r="N348" s="273"/>
      <c r="O348" s="273"/>
      <c r="P348" s="273"/>
      <c r="Q348" s="273">
        <v>13</v>
      </c>
      <c r="R348" s="273">
        <f>14003*Q348</f>
        <v>182039</v>
      </c>
      <c r="S348" s="273"/>
      <c r="T348" s="273"/>
      <c r="U348" s="273"/>
      <c r="V348" s="273"/>
      <c r="W348" s="273"/>
      <c r="X348" s="271"/>
      <c r="Y348" s="269"/>
      <c r="Z348" s="84"/>
      <c r="AA348" s="82"/>
      <c r="AB348" s="82"/>
      <c r="AC348" s="13"/>
      <c r="AG348" s="13"/>
    </row>
    <row r="349" spans="1:35" x14ac:dyDescent="0.3">
      <c r="A349" s="10">
        <f t="shared" si="66"/>
        <v>254</v>
      </c>
      <c r="B349" s="20" t="s">
        <v>1414</v>
      </c>
      <c r="C349" s="273">
        <f t="shared" si="65"/>
        <v>12159042</v>
      </c>
      <c r="D349" s="273"/>
      <c r="E349" s="273"/>
      <c r="F349" s="273"/>
      <c r="G349" s="273"/>
      <c r="H349" s="273"/>
      <c r="I349" s="273"/>
      <c r="J349" s="50"/>
      <c r="K349" s="273"/>
      <c r="L349" s="273"/>
      <c r="M349" s="273"/>
      <c r="N349" s="273"/>
      <c r="O349" s="273"/>
      <c r="P349" s="273"/>
      <c r="Q349" s="273">
        <v>1655</v>
      </c>
      <c r="R349" s="273">
        <v>12159042</v>
      </c>
      <c r="S349" s="273"/>
      <c r="T349" s="273"/>
      <c r="U349" s="273"/>
      <c r="V349" s="273"/>
      <c r="W349" s="273"/>
      <c r="X349" s="271"/>
      <c r="Y349" s="269"/>
      <c r="Z349" s="84"/>
      <c r="AA349" s="82"/>
      <c r="AB349" s="82"/>
      <c r="AC349" s="13"/>
      <c r="AG349" s="13"/>
    </row>
    <row r="350" spans="1:35" x14ac:dyDescent="0.3">
      <c r="A350" s="10">
        <f t="shared" si="66"/>
        <v>255</v>
      </c>
      <c r="B350" s="20" t="s">
        <v>1422</v>
      </c>
      <c r="C350" s="273">
        <f t="shared" si="65"/>
        <v>3595148.4</v>
      </c>
      <c r="D350" s="273"/>
      <c r="E350" s="273"/>
      <c r="F350" s="273"/>
      <c r="G350" s="273"/>
      <c r="H350" s="273"/>
      <c r="I350" s="273"/>
      <c r="J350" s="50"/>
      <c r="K350" s="273"/>
      <c r="L350" s="273"/>
      <c r="M350" s="273"/>
      <c r="N350" s="273"/>
      <c r="O350" s="273"/>
      <c r="P350" s="273"/>
      <c r="Q350" s="273">
        <v>650</v>
      </c>
      <c r="R350" s="273">
        <v>3595148.4</v>
      </c>
      <c r="S350" s="273"/>
      <c r="T350" s="273"/>
      <c r="U350" s="273"/>
      <c r="V350" s="273"/>
      <c r="W350" s="273"/>
      <c r="X350" s="271"/>
      <c r="Y350" s="269"/>
      <c r="Z350" s="84"/>
      <c r="AA350" s="82"/>
      <c r="AB350" s="82"/>
      <c r="AC350" s="13"/>
      <c r="AG350" s="13"/>
    </row>
    <row r="351" spans="1:35" x14ac:dyDescent="0.3">
      <c r="A351" s="10">
        <f t="shared" si="66"/>
        <v>256</v>
      </c>
      <c r="B351" s="20" t="s">
        <v>1426</v>
      </c>
      <c r="C351" s="273">
        <f t="shared" si="65"/>
        <v>10889048.4</v>
      </c>
      <c r="D351" s="273"/>
      <c r="E351" s="273"/>
      <c r="F351" s="273"/>
      <c r="G351" s="273"/>
      <c r="H351" s="273"/>
      <c r="I351" s="273"/>
      <c r="J351" s="50"/>
      <c r="K351" s="273"/>
      <c r="L351" s="273"/>
      <c r="M351" s="273"/>
      <c r="N351" s="273"/>
      <c r="O351" s="273"/>
      <c r="P351" s="273"/>
      <c r="Q351" s="273">
        <v>725</v>
      </c>
      <c r="R351" s="273">
        <v>10889048.4</v>
      </c>
      <c r="S351" s="273"/>
      <c r="T351" s="273"/>
      <c r="U351" s="273"/>
      <c r="V351" s="273"/>
      <c r="W351" s="273"/>
      <c r="X351" s="271"/>
      <c r="Y351" s="269"/>
      <c r="Z351" s="84"/>
      <c r="AA351" s="82"/>
      <c r="AB351" s="82"/>
      <c r="AC351" s="13"/>
      <c r="AG351" s="13"/>
    </row>
    <row r="352" spans="1:35" x14ac:dyDescent="0.3">
      <c r="A352" s="259">
        <f t="shared" si="66"/>
        <v>257</v>
      </c>
      <c r="B352" s="20" t="s">
        <v>1427</v>
      </c>
      <c r="C352" s="273">
        <f t="shared" si="65"/>
        <v>11641658.4</v>
      </c>
      <c r="D352" s="273"/>
      <c r="E352" s="273"/>
      <c r="F352" s="273"/>
      <c r="G352" s="273"/>
      <c r="H352" s="273"/>
      <c r="I352" s="273"/>
      <c r="J352" s="50"/>
      <c r="K352" s="273"/>
      <c r="L352" s="273"/>
      <c r="M352" s="273"/>
      <c r="N352" s="273"/>
      <c r="O352" s="273"/>
      <c r="P352" s="273"/>
      <c r="Q352" s="273">
        <v>725</v>
      </c>
      <c r="R352" s="273">
        <v>11641658.4</v>
      </c>
      <c r="S352" s="273"/>
      <c r="T352" s="273"/>
      <c r="U352" s="273"/>
      <c r="V352" s="273"/>
      <c r="W352" s="273"/>
      <c r="X352" s="271"/>
      <c r="Y352" s="269"/>
      <c r="Z352" s="84"/>
      <c r="AA352" s="82"/>
      <c r="AB352" s="82"/>
      <c r="AC352" s="13"/>
      <c r="AG352" s="13"/>
    </row>
    <row r="353" spans="1:33" x14ac:dyDescent="0.3">
      <c r="A353" s="259">
        <f t="shared" si="66"/>
        <v>258</v>
      </c>
      <c r="B353" s="20" t="s">
        <v>1431</v>
      </c>
      <c r="C353" s="273">
        <f t="shared" si="65"/>
        <v>4749018.08</v>
      </c>
      <c r="D353" s="273"/>
      <c r="E353" s="273"/>
      <c r="F353" s="273"/>
      <c r="G353" s="273"/>
      <c r="H353" s="273"/>
      <c r="I353" s="273"/>
      <c r="J353" s="50"/>
      <c r="K353" s="273"/>
      <c r="L353" s="273"/>
      <c r="M353" s="273"/>
      <c r="N353" s="273"/>
      <c r="O353" s="273"/>
      <c r="P353" s="273"/>
      <c r="Q353" s="273">
        <v>962.4</v>
      </c>
      <c r="R353" s="273">
        <v>4749018.08</v>
      </c>
      <c r="S353" s="273"/>
      <c r="T353" s="273"/>
      <c r="U353" s="273"/>
      <c r="V353" s="273"/>
      <c r="W353" s="273"/>
      <c r="X353" s="271"/>
      <c r="Y353" s="269"/>
      <c r="Z353" s="84"/>
      <c r="AA353" s="82"/>
      <c r="AB353" s="82"/>
      <c r="AC353" s="13"/>
      <c r="AG353" s="13"/>
    </row>
    <row r="354" spans="1:33" x14ac:dyDescent="0.3">
      <c r="A354" s="259">
        <f t="shared" si="66"/>
        <v>259</v>
      </c>
      <c r="B354" s="20" t="s">
        <v>1446</v>
      </c>
      <c r="C354" s="273">
        <f t="shared" si="65"/>
        <v>4910853.5999999996</v>
      </c>
      <c r="D354" s="273"/>
      <c r="E354" s="273"/>
      <c r="F354" s="273"/>
      <c r="G354" s="273"/>
      <c r="H354" s="273"/>
      <c r="I354" s="273"/>
      <c r="J354" s="50"/>
      <c r="K354" s="273"/>
      <c r="L354" s="273"/>
      <c r="M354" s="273"/>
      <c r="N354" s="273"/>
      <c r="O354" s="273"/>
      <c r="P354" s="273"/>
      <c r="Q354" s="273">
        <v>1532.4</v>
      </c>
      <c r="R354" s="273">
        <v>4910853.5999999996</v>
      </c>
      <c r="S354" s="273"/>
      <c r="T354" s="273"/>
      <c r="U354" s="273"/>
      <c r="V354" s="273"/>
      <c r="W354" s="273"/>
      <c r="X354" s="271"/>
      <c r="Y354" s="269"/>
      <c r="Z354" s="84"/>
      <c r="AA354" s="82"/>
      <c r="AB354" s="82"/>
      <c r="AC354" s="13"/>
      <c r="AG354" s="13"/>
    </row>
    <row r="355" spans="1:33" x14ac:dyDescent="0.3">
      <c r="A355" s="259">
        <f t="shared" si="66"/>
        <v>260</v>
      </c>
      <c r="B355" s="20" t="s">
        <v>1461</v>
      </c>
      <c r="C355" s="273">
        <f t="shared" si="65"/>
        <v>10954962</v>
      </c>
      <c r="D355" s="273"/>
      <c r="E355" s="273"/>
      <c r="F355" s="273"/>
      <c r="G355" s="273"/>
      <c r="H355" s="273"/>
      <c r="I355" s="273"/>
      <c r="J355" s="50"/>
      <c r="K355" s="273"/>
      <c r="L355" s="273"/>
      <c r="M355" s="273"/>
      <c r="N355" s="273"/>
      <c r="O355" s="273"/>
      <c r="P355" s="273"/>
      <c r="Q355" s="273">
        <v>2000</v>
      </c>
      <c r="R355" s="273">
        <v>10954962</v>
      </c>
      <c r="S355" s="273"/>
      <c r="T355" s="273"/>
      <c r="U355" s="273"/>
      <c r="V355" s="273"/>
      <c r="W355" s="273"/>
      <c r="X355" s="271"/>
      <c r="Y355" s="269"/>
      <c r="Z355" s="84"/>
      <c r="AA355" s="82"/>
      <c r="AB355" s="82"/>
      <c r="AC355" s="13"/>
      <c r="AG355" s="13"/>
    </row>
    <row r="356" spans="1:33" x14ac:dyDescent="0.3">
      <c r="A356" s="259">
        <f t="shared" si="66"/>
        <v>261</v>
      </c>
      <c r="B356" s="20" t="s">
        <v>1463</v>
      </c>
      <c r="C356" s="273">
        <f t="shared" si="65"/>
        <v>10855045.199999999</v>
      </c>
      <c r="D356" s="273"/>
      <c r="E356" s="273"/>
      <c r="F356" s="273"/>
      <c r="G356" s="273"/>
      <c r="H356" s="273"/>
      <c r="I356" s="273"/>
      <c r="J356" s="50"/>
      <c r="K356" s="273"/>
      <c r="L356" s="273"/>
      <c r="M356" s="273"/>
      <c r="N356" s="273"/>
      <c r="O356" s="273"/>
      <c r="P356" s="273"/>
      <c r="Q356" s="273">
        <v>1350</v>
      </c>
      <c r="R356" s="273">
        <v>10855045.199999999</v>
      </c>
      <c r="S356" s="273"/>
      <c r="T356" s="273"/>
      <c r="U356" s="273"/>
      <c r="V356" s="273"/>
      <c r="W356" s="273"/>
      <c r="X356" s="271"/>
      <c r="Y356" s="269"/>
      <c r="Z356" s="84"/>
      <c r="AA356" s="82"/>
      <c r="AB356" s="82"/>
      <c r="AC356" s="13"/>
      <c r="AG356" s="13"/>
    </row>
    <row r="357" spans="1:33" x14ac:dyDescent="0.3">
      <c r="A357" s="259">
        <f t="shared" si="66"/>
        <v>262</v>
      </c>
      <c r="B357" s="20" t="s">
        <v>1465</v>
      </c>
      <c r="C357" s="273">
        <f t="shared" si="65"/>
        <v>10855045.199999999</v>
      </c>
      <c r="D357" s="273"/>
      <c r="E357" s="273"/>
      <c r="F357" s="273"/>
      <c r="G357" s="273"/>
      <c r="H357" s="273"/>
      <c r="I357" s="273"/>
      <c r="J357" s="50"/>
      <c r="K357" s="273"/>
      <c r="L357" s="273"/>
      <c r="M357" s="273"/>
      <c r="N357" s="273"/>
      <c r="O357" s="273"/>
      <c r="P357" s="273"/>
      <c r="Q357" s="273">
        <v>1350</v>
      </c>
      <c r="R357" s="273">
        <v>10855045.199999999</v>
      </c>
      <c r="S357" s="273"/>
      <c r="T357" s="273"/>
      <c r="U357" s="273"/>
      <c r="V357" s="273"/>
      <c r="W357" s="273"/>
      <c r="X357" s="271"/>
      <c r="Y357" s="269"/>
      <c r="Z357" s="84"/>
      <c r="AA357" s="82"/>
      <c r="AB357" s="82"/>
      <c r="AC357" s="13"/>
      <c r="AG357" s="13"/>
    </row>
    <row r="358" spans="1:33" x14ac:dyDescent="0.3">
      <c r="A358" s="259">
        <f t="shared" si="66"/>
        <v>263</v>
      </c>
      <c r="B358" s="20" t="s">
        <v>1487</v>
      </c>
      <c r="C358" s="273">
        <f t="shared" si="65"/>
        <v>2887561.92</v>
      </c>
      <c r="D358" s="273"/>
      <c r="E358" s="273"/>
      <c r="F358" s="273"/>
      <c r="G358" s="273"/>
      <c r="H358" s="273"/>
      <c r="I358" s="273"/>
      <c r="J358" s="50"/>
      <c r="K358" s="273"/>
      <c r="L358" s="273"/>
      <c r="M358" s="273"/>
      <c r="N358" s="273"/>
      <c r="O358" s="273"/>
      <c r="P358" s="273"/>
      <c r="Q358" s="273">
        <v>490.1</v>
      </c>
      <c r="R358" s="273">
        <v>2887561.92</v>
      </c>
      <c r="S358" s="273"/>
      <c r="T358" s="273"/>
      <c r="U358" s="273"/>
      <c r="V358" s="273"/>
      <c r="W358" s="273"/>
      <c r="X358" s="271"/>
      <c r="Y358" s="269"/>
      <c r="Z358" s="84"/>
      <c r="AA358" s="82"/>
      <c r="AB358" s="82"/>
      <c r="AC358" s="13"/>
      <c r="AG358" s="13"/>
    </row>
    <row r="359" spans="1:33" x14ac:dyDescent="0.3">
      <c r="A359" s="259">
        <f t="shared" si="66"/>
        <v>264</v>
      </c>
      <c r="B359" s="20" t="s">
        <v>1491</v>
      </c>
      <c r="C359" s="273">
        <f t="shared" si="65"/>
        <v>2343294</v>
      </c>
      <c r="D359" s="273"/>
      <c r="E359" s="273"/>
      <c r="F359" s="273"/>
      <c r="G359" s="273"/>
      <c r="H359" s="273"/>
      <c r="I359" s="273"/>
      <c r="J359" s="50"/>
      <c r="K359" s="273"/>
      <c r="L359" s="273"/>
      <c r="M359" s="273"/>
      <c r="N359" s="273"/>
      <c r="O359" s="273"/>
      <c r="P359" s="273"/>
      <c r="Q359" s="273">
        <v>345</v>
      </c>
      <c r="R359" s="273">
        <v>2343294</v>
      </c>
      <c r="S359" s="273"/>
      <c r="T359" s="273"/>
      <c r="U359" s="273"/>
      <c r="V359" s="273"/>
      <c r="W359" s="273"/>
      <c r="X359" s="271"/>
      <c r="Y359" s="269"/>
      <c r="Z359" s="84"/>
      <c r="AA359" s="82"/>
      <c r="AB359" s="82"/>
      <c r="AC359" s="13"/>
      <c r="AG359" s="13"/>
    </row>
    <row r="360" spans="1:33" x14ac:dyDescent="0.3">
      <c r="A360" s="259"/>
      <c r="B360" s="20" t="s">
        <v>208</v>
      </c>
      <c r="C360" s="273">
        <f t="shared" ref="C360:W360" si="67">SUM(C320:C359)</f>
        <v>298292895.76000005</v>
      </c>
      <c r="D360" s="273">
        <f t="shared" si="67"/>
        <v>0</v>
      </c>
      <c r="E360" s="273">
        <f t="shared" si="67"/>
        <v>0</v>
      </c>
      <c r="F360" s="273">
        <f t="shared" si="67"/>
        <v>0</v>
      </c>
      <c r="G360" s="273">
        <f t="shared" si="67"/>
        <v>0</v>
      </c>
      <c r="H360" s="273">
        <f t="shared" si="67"/>
        <v>0</v>
      </c>
      <c r="I360" s="273">
        <f t="shared" si="67"/>
        <v>0</v>
      </c>
      <c r="J360" s="50">
        <f t="shared" si="67"/>
        <v>0</v>
      </c>
      <c r="K360" s="273">
        <f t="shared" si="67"/>
        <v>0</v>
      </c>
      <c r="L360" s="273">
        <f t="shared" si="67"/>
        <v>0</v>
      </c>
      <c r="M360" s="273">
        <f t="shared" si="67"/>
        <v>0</v>
      </c>
      <c r="N360" s="273">
        <f t="shared" si="67"/>
        <v>0</v>
      </c>
      <c r="O360" s="273">
        <f t="shared" si="67"/>
        <v>0</v>
      </c>
      <c r="P360" s="273">
        <f t="shared" si="67"/>
        <v>0</v>
      </c>
      <c r="Q360" s="273">
        <f t="shared" si="67"/>
        <v>56571.020000000004</v>
      </c>
      <c r="R360" s="273">
        <f t="shared" si="67"/>
        <v>298292895.76000005</v>
      </c>
      <c r="S360" s="273">
        <f t="shared" si="67"/>
        <v>0</v>
      </c>
      <c r="T360" s="273">
        <f t="shared" si="67"/>
        <v>0</v>
      </c>
      <c r="U360" s="273">
        <f t="shared" si="67"/>
        <v>0</v>
      </c>
      <c r="V360" s="273">
        <f t="shared" si="67"/>
        <v>0</v>
      </c>
      <c r="W360" s="273">
        <f t="shared" si="67"/>
        <v>0</v>
      </c>
      <c r="X360" s="271"/>
      <c r="Y360" s="269"/>
      <c r="Z360" s="84"/>
      <c r="AA360" s="82"/>
      <c r="AB360" s="82"/>
      <c r="AC360" s="13"/>
      <c r="AG360" s="13"/>
    </row>
    <row r="361" spans="1:33" x14ac:dyDescent="0.3">
      <c r="A361" s="317" t="s">
        <v>1499</v>
      </c>
      <c r="B361" s="318"/>
      <c r="C361" s="273"/>
      <c r="D361" s="273"/>
      <c r="E361" s="273"/>
      <c r="F361" s="273"/>
      <c r="G361" s="273"/>
      <c r="H361" s="273"/>
      <c r="I361" s="273"/>
      <c r="J361" s="50"/>
      <c r="K361" s="273"/>
      <c r="L361" s="273"/>
      <c r="M361" s="273"/>
      <c r="N361" s="273"/>
      <c r="O361" s="273"/>
      <c r="P361" s="273"/>
      <c r="Q361" s="273"/>
      <c r="R361" s="273"/>
      <c r="S361" s="273"/>
      <c r="T361" s="273"/>
      <c r="U361" s="273"/>
      <c r="V361" s="273"/>
      <c r="W361" s="273"/>
      <c r="X361" s="271"/>
      <c r="Y361" s="269"/>
      <c r="Z361" s="7"/>
      <c r="AA361" s="13"/>
      <c r="AB361" s="13"/>
      <c r="AC361" s="13"/>
      <c r="AG361" s="13"/>
    </row>
    <row r="362" spans="1:33" ht="31.2" x14ac:dyDescent="0.3">
      <c r="A362" s="259">
        <f>A359+1</f>
        <v>265</v>
      </c>
      <c r="B362" s="20" t="s">
        <v>1500</v>
      </c>
      <c r="C362" s="273">
        <f>D362+K362+L362+N362+P362+R362+U362+S362+V362+W362</f>
        <v>515484.38</v>
      </c>
      <c r="D362" s="273"/>
      <c r="E362" s="273"/>
      <c r="F362" s="273"/>
      <c r="G362" s="273"/>
      <c r="H362" s="273"/>
      <c r="I362" s="273"/>
      <c r="J362" s="50"/>
      <c r="K362" s="273"/>
      <c r="L362" s="273"/>
      <c r="M362" s="273"/>
      <c r="N362" s="273"/>
      <c r="O362" s="273"/>
      <c r="P362" s="273"/>
      <c r="Q362" s="273"/>
      <c r="R362" s="273"/>
      <c r="S362" s="273"/>
      <c r="T362" s="273"/>
      <c r="U362" s="273"/>
      <c r="V362" s="273"/>
      <c r="W362" s="273">
        <f>SUM(X362:AF362)</f>
        <v>515484.38</v>
      </c>
      <c r="X362" s="271"/>
      <c r="Y362" s="269"/>
      <c r="Z362" s="84"/>
      <c r="AB362" s="82"/>
      <c r="AC362" s="13"/>
      <c r="AF362" s="82">
        <v>515484.38</v>
      </c>
      <c r="AG362" s="13" t="s">
        <v>1407</v>
      </c>
    </row>
    <row r="363" spans="1:33" x14ac:dyDescent="0.3">
      <c r="A363" s="259">
        <f>A362+1</f>
        <v>266</v>
      </c>
      <c r="B363" s="20" t="s">
        <v>1501</v>
      </c>
      <c r="C363" s="273">
        <f>D363+K363+L363+N363+P363+R363+U363+S363+V363+W363</f>
        <v>514282.82</v>
      </c>
      <c r="D363" s="273"/>
      <c r="E363" s="273"/>
      <c r="F363" s="273"/>
      <c r="G363" s="273"/>
      <c r="H363" s="273"/>
      <c r="I363" s="273"/>
      <c r="J363" s="50"/>
      <c r="K363" s="273"/>
      <c r="L363" s="273"/>
      <c r="M363" s="273"/>
      <c r="N363" s="273"/>
      <c r="O363" s="273"/>
      <c r="P363" s="273"/>
      <c r="Q363" s="273"/>
      <c r="R363" s="273"/>
      <c r="S363" s="273"/>
      <c r="T363" s="273"/>
      <c r="U363" s="273"/>
      <c r="V363" s="273"/>
      <c r="W363" s="273">
        <f>SUM(X363:AF363)</f>
        <v>514282.82</v>
      </c>
      <c r="X363" s="271"/>
      <c r="Y363" s="269"/>
      <c r="Z363" s="84"/>
      <c r="AB363" s="82"/>
      <c r="AC363" s="13"/>
      <c r="AF363" s="82">
        <v>514282.82</v>
      </c>
      <c r="AG363" s="13" t="s">
        <v>1407</v>
      </c>
    </row>
    <row r="364" spans="1:33" x14ac:dyDescent="0.3">
      <c r="A364" s="259">
        <f>A363+1</f>
        <v>267</v>
      </c>
      <c r="B364" s="20" t="s">
        <v>1502</v>
      </c>
      <c r="C364" s="273">
        <f>D364+K364+L364+N364+P364+R364+U364+S364+V364+W364</f>
        <v>510531.05</v>
      </c>
      <c r="D364" s="273"/>
      <c r="E364" s="273"/>
      <c r="F364" s="273"/>
      <c r="G364" s="273"/>
      <c r="H364" s="273"/>
      <c r="I364" s="273"/>
      <c r="J364" s="50"/>
      <c r="K364" s="273"/>
      <c r="L364" s="273"/>
      <c r="M364" s="273"/>
      <c r="N364" s="273"/>
      <c r="O364" s="273"/>
      <c r="P364" s="273"/>
      <c r="Q364" s="273"/>
      <c r="R364" s="273"/>
      <c r="S364" s="273"/>
      <c r="T364" s="273"/>
      <c r="U364" s="273"/>
      <c r="V364" s="273"/>
      <c r="W364" s="273">
        <f>SUM(X364:AF364)</f>
        <v>510531.05</v>
      </c>
      <c r="X364" s="271"/>
      <c r="Y364" s="269"/>
      <c r="Z364" s="84"/>
      <c r="AB364" s="82"/>
      <c r="AC364" s="13"/>
      <c r="AF364" s="82">
        <v>510531.05</v>
      </c>
      <c r="AG364" s="13" t="s">
        <v>1407</v>
      </c>
    </row>
    <row r="365" spans="1:33" x14ac:dyDescent="0.3">
      <c r="A365" s="259">
        <f>A364+1</f>
        <v>268</v>
      </c>
      <c r="B365" s="20" t="s">
        <v>1503</v>
      </c>
      <c r="C365" s="273">
        <f>D365+K365+L365+N365+P365+R365+U365+S365+V365+W365</f>
        <v>459921.25</v>
      </c>
      <c r="D365" s="273"/>
      <c r="E365" s="273"/>
      <c r="F365" s="273"/>
      <c r="G365" s="273"/>
      <c r="H365" s="273"/>
      <c r="I365" s="273"/>
      <c r="J365" s="50"/>
      <c r="K365" s="273"/>
      <c r="L365" s="273"/>
      <c r="M365" s="273"/>
      <c r="N365" s="273"/>
      <c r="O365" s="273"/>
      <c r="P365" s="273"/>
      <c r="Q365" s="273"/>
      <c r="R365" s="273"/>
      <c r="S365" s="273"/>
      <c r="T365" s="273"/>
      <c r="U365" s="273"/>
      <c r="V365" s="273"/>
      <c r="W365" s="273">
        <f>SUM(X365:AF365)</f>
        <v>459921.25</v>
      </c>
      <c r="X365" s="271"/>
      <c r="Y365" s="269"/>
      <c r="Z365" s="84"/>
      <c r="AB365" s="82"/>
      <c r="AC365" s="13"/>
      <c r="AF365" s="82">
        <v>459921.25</v>
      </c>
      <c r="AG365" s="13" t="s">
        <v>1407</v>
      </c>
    </row>
    <row r="366" spans="1:33" x14ac:dyDescent="0.3">
      <c r="A366" s="259"/>
      <c r="B366" s="20" t="s">
        <v>208</v>
      </c>
      <c r="C366" s="273">
        <f t="shared" ref="C366:W366" si="68">SUM(C362:C365)</f>
        <v>2000219.5</v>
      </c>
      <c r="D366" s="273">
        <f t="shared" si="68"/>
        <v>0</v>
      </c>
      <c r="E366" s="273">
        <f t="shared" si="68"/>
        <v>0</v>
      </c>
      <c r="F366" s="273">
        <f t="shared" si="68"/>
        <v>0</v>
      </c>
      <c r="G366" s="273">
        <f t="shared" si="68"/>
        <v>0</v>
      </c>
      <c r="H366" s="273">
        <f t="shared" si="68"/>
        <v>0</v>
      </c>
      <c r="I366" s="273">
        <f t="shared" si="68"/>
        <v>0</v>
      </c>
      <c r="J366" s="50">
        <f t="shared" si="68"/>
        <v>0</v>
      </c>
      <c r="K366" s="273">
        <f t="shared" si="68"/>
        <v>0</v>
      </c>
      <c r="L366" s="273">
        <f t="shared" si="68"/>
        <v>0</v>
      </c>
      <c r="M366" s="273">
        <f t="shared" si="68"/>
        <v>0</v>
      </c>
      <c r="N366" s="273">
        <f t="shared" si="68"/>
        <v>0</v>
      </c>
      <c r="O366" s="273">
        <f t="shared" si="68"/>
        <v>0</v>
      </c>
      <c r="P366" s="273">
        <f t="shared" si="68"/>
        <v>0</v>
      </c>
      <c r="Q366" s="273">
        <f t="shared" si="68"/>
        <v>0</v>
      </c>
      <c r="R366" s="273">
        <f t="shared" si="68"/>
        <v>0</v>
      </c>
      <c r="S366" s="273">
        <f t="shared" si="68"/>
        <v>0</v>
      </c>
      <c r="T366" s="273">
        <f t="shared" si="68"/>
        <v>0</v>
      </c>
      <c r="U366" s="273">
        <f t="shared" si="68"/>
        <v>0</v>
      </c>
      <c r="V366" s="273">
        <f t="shared" si="68"/>
        <v>0</v>
      </c>
      <c r="W366" s="273">
        <f t="shared" si="68"/>
        <v>2000219.5</v>
      </c>
      <c r="X366" s="271"/>
      <c r="Y366" s="269"/>
      <c r="Z366" s="84"/>
      <c r="AA366" s="82"/>
      <c r="AB366" s="82"/>
      <c r="AC366" s="13"/>
      <c r="AG366" s="13"/>
    </row>
    <row r="367" spans="1:33" x14ac:dyDescent="0.3">
      <c r="A367" s="317" t="s">
        <v>1504</v>
      </c>
      <c r="B367" s="318"/>
      <c r="C367" s="273"/>
      <c r="D367" s="273"/>
      <c r="E367" s="273"/>
      <c r="F367" s="273"/>
      <c r="G367" s="273"/>
      <c r="H367" s="273"/>
      <c r="I367" s="273"/>
      <c r="J367" s="50"/>
      <c r="K367" s="273"/>
      <c r="L367" s="273"/>
      <c r="M367" s="273"/>
      <c r="N367" s="273"/>
      <c r="O367" s="273"/>
      <c r="P367" s="273"/>
      <c r="Q367" s="273"/>
      <c r="R367" s="273"/>
      <c r="S367" s="273"/>
      <c r="T367" s="273"/>
      <c r="U367" s="273"/>
      <c r="V367" s="273"/>
      <c r="W367" s="273"/>
      <c r="X367" s="271"/>
      <c r="Y367" s="269"/>
      <c r="Z367" s="84"/>
      <c r="AA367" s="82"/>
      <c r="AB367" s="82"/>
      <c r="AC367" s="13"/>
      <c r="AG367" s="13"/>
    </row>
    <row r="368" spans="1:33" x14ac:dyDescent="0.3">
      <c r="A368" s="259">
        <f>A365+1</f>
        <v>269</v>
      </c>
      <c r="B368" s="20" t="s">
        <v>1510</v>
      </c>
      <c r="C368" s="273">
        <f>D368+K368+L368+N368+P368+R368+U368+S368+V368+W368</f>
        <v>24368436.629999999</v>
      </c>
      <c r="D368" s="273"/>
      <c r="E368" s="273"/>
      <c r="F368" s="273"/>
      <c r="G368" s="273"/>
      <c r="H368" s="273"/>
      <c r="I368" s="273"/>
      <c r="J368" s="50"/>
      <c r="K368" s="273"/>
      <c r="L368" s="273"/>
      <c r="M368" s="273"/>
      <c r="N368" s="273">
        <v>473965.09</v>
      </c>
      <c r="O368" s="273"/>
      <c r="P368" s="273"/>
      <c r="Q368" s="273">
        <v>2942</v>
      </c>
      <c r="R368" s="273">
        <v>23894471.539999999</v>
      </c>
      <c r="S368" s="273"/>
      <c r="T368" s="273"/>
      <c r="U368" s="273"/>
      <c r="V368" s="273"/>
      <c r="W368" s="273"/>
      <c r="X368" s="271"/>
      <c r="Y368" s="269">
        <v>473965.09</v>
      </c>
      <c r="Z368" s="7"/>
      <c r="AA368" s="13"/>
      <c r="AB368" s="13"/>
      <c r="AC368" s="13"/>
      <c r="AG368" s="13"/>
    </row>
    <row r="369" spans="1:34" x14ac:dyDescent="0.3">
      <c r="A369" s="259"/>
      <c r="B369" s="20" t="s">
        <v>208</v>
      </c>
      <c r="C369" s="273">
        <f t="shared" ref="C369:W369" si="69">SUM(C368:C368)</f>
        <v>24368436.629999999</v>
      </c>
      <c r="D369" s="273">
        <f t="shared" si="69"/>
        <v>0</v>
      </c>
      <c r="E369" s="273">
        <f t="shared" si="69"/>
        <v>0</v>
      </c>
      <c r="F369" s="273">
        <f t="shared" si="69"/>
        <v>0</v>
      </c>
      <c r="G369" s="273">
        <f t="shared" si="69"/>
        <v>0</v>
      </c>
      <c r="H369" s="273">
        <f t="shared" si="69"/>
        <v>0</v>
      </c>
      <c r="I369" s="273">
        <f t="shared" si="69"/>
        <v>0</v>
      </c>
      <c r="J369" s="50">
        <f t="shared" si="69"/>
        <v>0</v>
      </c>
      <c r="K369" s="273">
        <f t="shared" si="69"/>
        <v>0</v>
      </c>
      <c r="L369" s="273">
        <f t="shared" si="69"/>
        <v>0</v>
      </c>
      <c r="M369" s="273">
        <f t="shared" si="69"/>
        <v>0</v>
      </c>
      <c r="N369" s="273">
        <f t="shared" si="69"/>
        <v>473965.09</v>
      </c>
      <c r="O369" s="273">
        <f t="shared" si="69"/>
        <v>0</v>
      </c>
      <c r="P369" s="273">
        <f t="shared" si="69"/>
        <v>0</v>
      </c>
      <c r="Q369" s="273">
        <f t="shared" si="69"/>
        <v>2942</v>
      </c>
      <c r="R369" s="273">
        <f t="shared" si="69"/>
        <v>23894471.539999999</v>
      </c>
      <c r="S369" s="273">
        <f t="shared" si="69"/>
        <v>0</v>
      </c>
      <c r="T369" s="273">
        <f t="shared" si="69"/>
        <v>0</v>
      </c>
      <c r="U369" s="273">
        <f t="shared" si="69"/>
        <v>0</v>
      </c>
      <c r="V369" s="273">
        <f t="shared" si="69"/>
        <v>0</v>
      </c>
      <c r="W369" s="273">
        <f t="shared" si="69"/>
        <v>0</v>
      </c>
      <c r="X369" s="271"/>
      <c r="Y369" s="269"/>
      <c r="Z369" s="7"/>
      <c r="AA369" s="13"/>
      <c r="AB369" s="13"/>
      <c r="AC369" s="13"/>
      <c r="AG369" s="13"/>
    </row>
    <row r="370" spans="1:34" x14ac:dyDescent="0.3">
      <c r="A370" s="317" t="s">
        <v>1515</v>
      </c>
      <c r="B370" s="318"/>
      <c r="C370" s="273"/>
      <c r="D370" s="273"/>
      <c r="E370" s="273"/>
      <c r="F370" s="273"/>
      <c r="G370" s="273"/>
      <c r="H370" s="273"/>
      <c r="I370" s="273"/>
      <c r="J370" s="50"/>
      <c r="K370" s="273"/>
      <c r="L370" s="273"/>
      <c r="M370" s="273"/>
      <c r="N370" s="273"/>
      <c r="O370" s="273"/>
      <c r="P370" s="273"/>
      <c r="Q370" s="273"/>
      <c r="R370" s="273"/>
      <c r="S370" s="273"/>
      <c r="T370" s="273"/>
      <c r="U370" s="273"/>
      <c r="V370" s="273"/>
      <c r="W370" s="273"/>
      <c r="X370" s="271"/>
      <c r="Y370" s="271"/>
      <c r="Z370" s="84"/>
      <c r="AA370" s="82"/>
      <c r="AB370" s="82"/>
      <c r="AC370" s="13"/>
      <c r="AG370" s="13"/>
    </row>
    <row r="371" spans="1:34" x14ac:dyDescent="0.3">
      <c r="A371" s="259">
        <f>A368+1</f>
        <v>270</v>
      </c>
      <c r="B371" s="20" t="s">
        <v>1516</v>
      </c>
      <c r="C371" s="273">
        <f>D371+K371+L371+N371+P371+R371+U371+S371+V371+W371</f>
        <v>4163802.98</v>
      </c>
      <c r="D371" s="273"/>
      <c r="E371" s="273"/>
      <c r="F371" s="273"/>
      <c r="G371" s="273"/>
      <c r="H371" s="273"/>
      <c r="I371" s="273"/>
      <c r="J371" s="50"/>
      <c r="K371" s="273"/>
      <c r="L371" s="273"/>
      <c r="M371" s="273"/>
      <c r="N371" s="273"/>
      <c r="O371" s="273"/>
      <c r="P371" s="273"/>
      <c r="Q371" s="273">
        <v>637.04</v>
      </c>
      <c r="R371" s="273">
        <v>4163802.98</v>
      </c>
      <c r="S371" s="273"/>
      <c r="T371" s="273"/>
      <c r="U371" s="273"/>
      <c r="V371" s="273"/>
      <c r="W371" s="273"/>
      <c r="X371" s="271"/>
      <c r="Y371" s="271"/>
      <c r="Z371" s="84"/>
      <c r="AA371" s="82"/>
      <c r="AB371" s="82"/>
      <c r="AC371" s="13"/>
      <c r="AG371" s="13"/>
    </row>
    <row r="372" spans="1:34" x14ac:dyDescent="0.3">
      <c r="A372" s="259"/>
      <c r="B372" s="20" t="s">
        <v>208</v>
      </c>
      <c r="C372" s="273">
        <f t="shared" ref="C372:W372" si="70">C371</f>
        <v>4163802.98</v>
      </c>
      <c r="D372" s="273">
        <f t="shared" si="70"/>
        <v>0</v>
      </c>
      <c r="E372" s="273">
        <f t="shared" si="70"/>
        <v>0</v>
      </c>
      <c r="F372" s="273">
        <f t="shared" si="70"/>
        <v>0</v>
      </c>
      <c r="G372" s="273">
        <f t="shared" si="70"/>
        <v>0</v>
      </c>
      <c r="H372" s="273">
        <f t="shared" si="70"/>
        <v>0</v>
      </c>
      <c r="I372" s="273">
        <f t="shared" si="70"/>
        <v>0</v>
      </c>
      <c r="J372" s="50">
        <f t="shared" si="70"/>
        <v>0</v>
      </c>
      <c r="K372" s="273">
        <f t="shared" si="70"/>
        <v>0</v>
      </c>
      <c r="L372" s="273">
        <f t="shared" si="70"/>
        <v>0</v>
      </c>
      <c r="M372" s="273">
        <f t="shared" si="70"/>
        <v>0</v>
      </c>
      <c r="N372" s="273">
        <f t="shared" si="70"/>
        <v>0</v>
      </c>
      <c r="O372" s="273">
        <f t="shared" si="70"/>
        <v>0</v>
      </c>
      <c r="P372" s="273">
        <f t="shared" si="70"/>
        <v>0</v>
      </c>
      <c r="Q372" s="273">
        <f t="shared" si="70"/>
        <v>637.04</v>
      </c>
      <c r="R372" s="273">
        <f t="shared" si="70"/>
        <v>4163802.98</v>
      </c>
      <c r="S372" s="273">
        <f t="shared" si="70"/>
        <v>0</v>
      </c>
      <c r="T372" s="273">
        <f t="shared" si="70"/>
        <v>0</v>
      </c>
      <c r="U372" s="273">
        <f t="shared" si="70"/>
        <v>0</v>
      </c>
      <c r="V372" s="273">
        <f t="shared" si="70"/>
        <v>0</v>
      </c>
      <c r="W372" s="273">
        <f t="shared" si="70"/>
        <v>0</v>
      </c>
      <c r="X372" s="271"/>
      <c r="Y372" s="271"/>
      <c r="Z372" s="84"/>
      <c r="AA372" s="82"/>
      <c r="AB372" s="82"/>
      <c r="AC372" s="13"/>
      <c r="AG372" s="13"/>
    </row>
    <row r="373" spans="1:34" x14ac:dyDescent="0.3">
      <c r="A373" s="317" t="s">
        <v>1517</v>
      </c>
      <c r="B373" s="318"/>
      <c r="C373" s="273"/>
      <c r="D373" s="273"/>
      <c r="E373" s="273"/>
      <c r="F373" s="273"/>
      <c r="G373" s="273"/>
      <c r="H373" s="273"/>
      <c r="I373" s="273"/>
      <c r="J373" s="50"/>
      <c r="K373" s="273"/>
      <c r="L373" s="273"/>
      <c r="M373" s="273"/>
      <c r="N373" s="273"/>
      <c r="O373" s="273"/>
      <c r="P373" s="273"/>
      <c r="Q373" s="273"/>
      <c r="R373" s="273"/>
      <c r="S373" s="273"/>
      <c r="T373" s="273"/>
      <c r="U373" s="273"/>
      <c r="V373" s="273"/>
      <c r="W373" s="273"/>
      <c r="X373" s="271"/>
      <c r="Y373" s="271"/>
      <c r="Z373" s="84"/>
      <c r="AA373" s="82"/>
      <c r="AB373" s="82"/>
      <c r="AC373" s="13"/>
      <c r="AG373" s="13"/>
    </row>
    <row r="374" spans="1:34" x14ac:dyDescent="0.3">
      <c r="A374" s="259">
        <f>A371+1</f>
        <v>271</v>
      </c>
      <c r="B374" s="20" t="s">
        <v>1518</v>
      </c>
      <c r="C374" s="273">
        <f>D374+K374+L374+N374+P374+R374+U374+S374+V374+W374</f>
        <v>16084653.220000001</v>
      </c>
      <c r="D374" s="273"/>
      <c r="E374" s="273"/>
      <c r="F374" s="273"/>
      <c r="G374" s="273"/>
      <c r="H374" s="273"/>
      <c r="I374" s="273"/>
      <c r="J374" s="50"/>
      <c r="K374" s="273"/>
      <c r="L374" s="273"/>
      <c r="M374" s="273"/>
      <c r="N374" s="273"/>
      <c r="O374" s="273"/>
      <c r="P374" s="273"/>
      <c r="Q374" s="273">
        <v>2500.6</v>
      </c>
      <c r="R374" s="273">
        <v>16084653.220000001</v>
      </c>
      <c r="S374" s="273"/>
      <c r="T374" s="273"/>
      <c r="U374" s="273"/>
      <c r="V374" s="273"/>
      <c r="W374" s="273"/>
      <c r="X374" s="271"/>
      <c r="Y374" s="271"/>
      <c r="Z374" s="84"/>
      <c r="AA374" s="82"/>
      <c r="AB374" s="82"/>
      <c r="AC374" s="13"/>
      <c r="AG374" s="13"/>
    </row>
    <row r="375" spans="1:34" x14ac:dyDescent="0.3">
      <c r="A375" s="259"/>
      <c r="B375" s="20" t="s">
        <v>208</v>
      </c>
      <c r="C375" s="273">
        <f t="shared" ref="C375:W375" si="71">C374</f>
        <v>16084653.220000001</v>
      </c>
      <c r="D375" s="273">
        <f t="shared" si="71"/>
        <v>0</v>
      </c>
      <c r="E375" s="273">
        <f t="shared" si="71"/>
        <v>0</v>
      </c>
      <c r="F375" s="273">
        <f t="shared" si="71"/>
        <v>0</v>
      </c>
      <c r="G375" s="273">
        <f t="shared" si="71"/>
        <v>0</v>
      </c>
      <c r="H375" s="273">
        <f t="shared" si="71"/>
        <v>0</v>
      </c>
      <c r="I375" s="273">
        <f t="shared" si="71"/>
        <v>0</v>
      </c>
      <c r="J375" s="50">
        <f t="shared" si="71"/>
        <v>0</v>
      </c>
      <c r="K375" s="273">
        <f t="shared" si="71"/>
        <v>0</v>
      </c>
      <c r="L375" s="273">
        <f t="shared" si="71"/>
        <v>0</v>
      </c>
      <c r="M375" s="273">
        <f t="shared" si="71"/>
        <v>0</v>
      </c>
      <c r="N375" s="273">
        <f t="shared" si="71"/>
        <v>0</v>
      </c>
      <c r="O375" s="273">
        <f t="shared" si="71"/>
        <v>0</v>
      </c>
      <c r="P375" s="273">
        <f t="shared" si="71"/>
        <v>0</v>
      </c>
      <c r="Q375" s="273">
        <f t="shared" si="71"/>
        <v>2500.6</v>
      </c>
      <c r="R375" s="273">
        <f t="shared" si="71"/>
        <v>16084653.220000001</v>
      </c>
      <c r="S375" s="273">
        <f t="shared" si="71"/>
        <v>0</v>
      </c>
      <c r="T375" s="273">
        <f t="shared" si="71"/>
        <v>0</v>
      </c>
      <c r="U375" s="273">
        <f t="shared" si="71"/>
        <v>0</v>
      </c>
      <c r="V375" s="273">
        <f t="shared" si="71"/>
        <v>0</v>
      </c>
      <c r="W375" s="273">
        <f t="shared" si="71"/>
        <v>0</v>
      </c>
      <c r="X375" s="271"/>
      <c r="Y375" s="271"/>
      <c r="Z375" s="84"/>
      <c r="AA375" s="82"/>
      <c r="AB375" s="82"/>
      <c r="AC375" s="13"/>
      <c r="AG375" s="13"/>
    </row>
    <row r="376" spans="1:34" x14ac:dyDescent="0.3">
      <c r="A376" s="317" t="s">
        <v>1519</v>
      </c>
      <c r="B376" s="318"/>
      <c r="C376" s="273"/>
      <c r="D376" s="273"/>
      <c r="E376" s="273"/>
      <c r="F376" s="273"/>
      <c r="G376" s="273"/>
      <c r="H376" s="273"/>
      <c r="I376" s="273"/>
      <c r="J376" s="50"/>
      <c r="K376" s="273"/>
      <c r="L376" s="273"/>
      <c r="M376" s="273"/>
      <c r="N376" s="273"/>
      <c r="O376" s="273"/>
      <c r="P376" s="273"/>
      <c r="Q376" s="273"/>
      <c r="R376" s="273"/>
      <c r="S376" s="273"/>
      <c r="T376" s="273"/>
      <c r="U376" s="273"/>
      <c r="V376" s="273"/>
      <c r="W376" s="273"/>
      <c r="X376" s="271"/>
      <c r="Y376" s="269"/>
      <c r="Z376" s="84"/>
      <c r="AA376" s="82"/>
      <c r="AB376" s="82"/>
      <c r="AC376" s="13"/>
      <c r="AG376" s="13"/>
    </row>
    <row r="377" spans="1:34" x14ac:dyDescent="0.3">
      <c r="A377" s="259">
        <f>A374+1</f>
        <v>272</v>
      </c>
      <c r="B377" s="20" t="s">
        <v>1521</v>
      </c>
      <c r="C377" s="273">
        <f>D377+K377+L377+N377+P377+R377+U377+S377+V377+W377</f>
        <v>255488.03999999998</v>
      </c>
      <c r="D377" s="273"/>
      <c r="E377" s="273"/>
      <c r="F377" s="273"/>
      <c r="G377" s="273"/>
      <c r="H377" s="273"/>
      <c r="I377" s="273"/>
      <c r="J377" s="50"/>
      <c r="K377" s="273"/>
      <c r="L377" s="273"/>
      <c r="M377" s="273"/>
      <c r="N377" s="273"/>
      <c r="O377" s="273"/>
      <c r="P377" s="273"/>
      <c r="Q377" s="273"/>
      <c r="R377" s="273"/>
      <c r="S377" s="273"/>
      <c r="T377" s="273"/>
      <c r="U377" s="273"/>
      <c r="V377" s="273"/>
      <c r="W377" s="273">
        <f>SUM(X377:AB377)</f>
        <v>255488.03999999998</v>
      </c>
      <c r="X377" s="271"/>
      <c r="Y377" s="269">
        <v>133970.46</v>
      </c>
      <c r="Z377" s="84"/>
      <c r="AA377" s="82"/>
      <c r="AB377" s="82">
        <v>121517.58</v>
      </c>
      <c r="AC377" s="13"/>
      <c r="AG377" s="13"/>
    </row>
    <row r="378" spans="1:34" x14ac:dyDescent="0.3">
      <c r="A378" s="259">
        <f>A377+1</f>
        <v>273</v>
      </c>
      <c r="B378" s="20" t="s">
        <v>1523</v>
      </c>
      <c r="C378" s="273">
        <f>D378+K378+L378+N378+P378+R378+U378+S378+V378+W378</f>
        <v>116697.46</v>
      </c>
      <c r="D378" s="273"/>
      <c r="E378" s="273"/>
      <c r="F378" s="273"/>
      <c r="G378" s="273"/>
      <c r="H378" s="273"/>
      <c r="I378" s="273"/>
      <c r="J378" s="50"/>
      <c r="K378" s="273"/>
      <c r="L378" s="273"/>
      <c r="M378" s="273"/>
      <c r="N378" s="273"/>
      <c r="O378" s="273"/>
      <c r="P378" s="273"/>
      <c r="Q378" s="273"/>
      <c r="R378" s="273"/>
      <c r="S378" s="273"/>
      <c r="T378" s="273"/>
      <c r="U378" s="273"/>
      <c r="V378" s="273"/>
      <c r="W378" s="273">
        <f>SUM(X378:AB378)</f>
        <v>116697.46</v>
      </c>
      <c r="X378" s="271">
        <v>116697.46</v>
      </c>
      <c r="Y378" s="269"/>
      <c r="Z378" s="84"/>
      <c r="AA378" s="82"/>
      <c r="AB378" s="82"/>
      <c r="AC378" s="13"/>
      <c r="AG378" s="13"/>
    </row>
    <row r="379" spans="1:34" x14ac:dyDescent="0.3">
      <c r="A379" s="259"/>
      <c r="B379" s="20" t="s">
        <v>208</v>
      </c>
      <c r="C379" s="273">
        <f t="shared" ref="C379:W379" si="72">SUM(C377:C378)</f>
        <v>372185.5</v>
      </c>
      <c r="D379" s="273">
        <f t="shared" si="72"/>
        <v>0</v>
      </c>
      <c r="E379" s="273">
        <f t="shared" si="72"/>
        <v>0</v>
      </c>
      <c r="F379" s="273">
        <f t="shared" si="72"/>
        <v>0</v>
      </c>
      <c r="G379" s="273">
        <f t="shared" si="72"/>
        <v>0</v>
      </c>
      <c r="H379" s="273">
        <f t="shared" si="72"/>
        <v>0</v>
      </c>
      <c r="I379" s="273">
        <f t="shared" si="72"/>
        <v>0</v>
      </c>
      <c r="J379" s="50">
        <f t="shared" si="72"/>
        <v>0</v>
      </c>
      <c r="K379" s="273">
        <f t="shared" si="72"/>
        <v>0</v>
      </c>
      <c r="L379" s="273">
        <f t="shared" si="72"/>
        <v>0</v>
      </c>
      <c r="M379" s="273">
        <f t="shared" si="72"/>
        <v>0</v>
      </c>
      <c r="N379" s="273">
        <f t="shared" si="72"/>
        <v>0</v>
      </c>
      <c r="O379" s="273">
        <f t="shared" si="72"/>
        <v>0</v>
      </c>
      <c r="P379" s="273">
        <f t="shared" si="72"/>
        <v>0</v>
      </c>
      <c r="Q379" s="273">
        <f t="shared" si="72"/>
        <v>0</v>
      </c>
      <c r="R379" s="273">
        <f t="shared" si="72"/>
        <v>0</v>
      </c>
      <c r="S379" s="273">
        <f t="shared" si="72"/>
        <v>0</v>
      </c>
      <c r="T379" s="273">
        <f t="shared" si="72"/>
        <v>0</v>
      </c>
      <c r="U379" s="273">
        <f t="shared" si="72"/>
        <v>0</v>
      </c>
      <c r="V379" s="273">
        <f t="shared" si="72"/>
        <v>0</v>
      </c>
      <c r="W379" s="273">
        <f t="shared" si="72"/>
        <v>372185.5</v>
      </c>
      <c r="X379" s="271"/>
      <c r="Y379" s="269"/>
      <c r="Z379" s="84"/>
      <c r="AA379" s="82"/>
      <c r="AB379" s="82"/>
      <c r="AC379" s="13"/>
      <c r="AG379" s="13"/>
    </row>
    <row r="380" spans="1:34" x14ac:dyDescent="0.3">
      <c r="A380" s="317" t="s">
        <v>1524</v>
      </c>
      <c r="B380" s="318"/>
      <c r="C380" s="273"/>
      <c r="D380" s="273"/>
      <c r="E380" s="273"/>
      <c r="F380" s="273"/>
      <c r="G380" s="273"/>
      <c r="H380" s="273"/>
      <c r="I380" s="273"/>
      <c r="J380" s="50"/>
      <c r="K380" s="273"/>
      <c r="L380" s="273"/>
      <c r="M380" s="273"/>
      <c r="N380" s="273"/>
      <c r="O380" s="273"/>
      <c r="P380" s="273"/>
      <c r="Q380" s="273"/>
      <c r="R380" s="273"/>
      <c r="S380" s="273"/>
      <c r="T380" s="273"/>
      <c r="U380" s="273"/>
      <c r="V380" s="273"/>
      <c r="W380" s="273"/>
      <c r="X380" s="271"/>
      <c r="Y380" s="269"/>
      <c r="Z380" s="7"/>
      <c r="AA380" s="13"/>
      <c r="AB380" s="13"/>
      <c r="AC380" s="13"/>
      <c r="AG380" s="13"/>
    </row>
    <row r="381" spans="1:34" x14ac:dyDescent="0.3">
      <c r="A381" s="259">
        <f>A378+1</f>
        <v>274</v>
      </c>
      <c r="B381" s="20" t="s">
        <v>1525</v>
      </c>
      <c r="C381" s="273">
        <f>D381+K381+L381+N381+P381+R381+U381+S381+V381+W381</f>
        <v>525349.79</v>
      </c>
      <c r="D381" s="273"/>
      <c r="E381" s="273"/>
      <c r="F381" s="273"/>
      <c r="G381" s="273"/>
      <c r="H381" s="273"/>
      <c r="I381" s="273"/>
      <c r="J381" s="50"/>
      <c r="K381" s="273"/>
      <c r="L381" s="273"/>
      <c r="M381" s="273"/>
      <c r="N381" s="273"/>
      <c r="O381" s="273"/>
      <c r="P381" s="273"/>
      <c r="Q381" s="273"/>
      <c r="R381" s="273"/>
      <c r="S381" s="273"/>
      <c r="T381" s="273"/>
      <c r="U381" s="273"/>
      <c r="V381" s="273"/>
      <c r="W381" s="273">
        <f>SUM(X381:AB381)</f>
        <v>525349.79</v>
      </c>
      <c r="X381" s="271"/>
      <c r="Y381" s="269">
        <v>147885.49</v>
      </c>
      <c r="Z381" s="7"/>
      <c r="AA381" s="82">
        <v>377464.3</v>
      </c>
      <c r="AB381" s="82"/>
      <c r="AC381" s="13"/>
      <c r="AG381" s="13"/>
    </row>
    <row r="382" spans="1:34" x14ac:dyDescent="0.3">
      <c r="A382" s="259"/>
      <c r="B382" s="20" t="s">
        <v>208</v>
      </c>
      <c r="C382" s="273">
        <f t="shared" ref="C382:W382" si="73">SUM(C381:C381)</f>
        <v>525349.79</v>
      </c>
      <c r="D382" s="273">
        <f t="shared" si="73"/>
        <v>0</v>
      </c>
      <c r="E382" s="273">
        <f t="shared" si="73"/>
        <v>0</v>
      </c>
      <c r="F382" s="273">
        <f t="shared" si="73"/>
        <v>0</v>
      </c>
      <c r="G382" s="273">
        <f t="shared" si="73"/>
        <v>0</v>
      </c>
      <c r="H382" s="273">
        <f t="shared" si="73"/>
        <v>0</v>
      </c>
      <c r="I382" s="273">
        <f t="shared" si="73"/>
        <v>0</v>
      </c>
      <c r="J382" s="50">
        <f t="shared" si="73"/>
        <v>0</v>
      </c>
      <c r="K382" s="273">
        <f t="shared" si="73"/>
        <v>0</v>
      </c>
      <c r="L382" s="273">
        <f t="shared" si="73"/>
        <v>0</v>
      </c>
      <c r="M382" s="273">
        <f t="shared" si="73"/>
        <v>0</v>
      </c>
      <c r="N382" s="273">
        <f t="shared" si="73"/>
        <v>0</v>
      </c>
      <c r="O382" s="273">
        <f t="shared" si="73"/>
        <v>0</v>
      </c>
      <c r="P382" s="273">
        <f t="shared" si="73"/>
        <v>0</v>
      </c>
      <c r="Q382" s="273">
        <f t="shared" si="73"/>
        <v>0</v>
      </c>
      <c r="R382" s="273">
        <f t="shared" si="73"/>
        <v>0</v>
      </c>
      <c r="S382" s="273">
        <f t="shared" si="73"/>
        <v>0</v>
      </c>
      <c r="T382" s="273">
        <f t="shared" si="73"/>
        <v>0</v>
      </c>
      <c r="U382" s="273">
        <f t="shared" si="73"/>
        <v>0</v>
      </c>
      <c r="V382" s="273">
        <f t="shared" si="73"/>
        <v>0</v>
      </c>
      <c r="W382" s="273">
        <f t="shared" si="73"/>
        <v>525349.79</v>
      </c>
      <c r="X382" s="271"/>
      <c r="Y382" s="269"/>
      <c r="Z382" s="7"/>
      <c r="AA382" s="13"/>
      <c r="AB382" s="13"/>
      <c r="AC382" s="13"/>
      <c r="AG382" s="13"/>
    </row>
    <row r="383" spans="1:34" x14ac:dyDescent="0.3">
      <c r="A383" s="317" t="s">
        <v>1540</v>
      </c>
      <c r="B383" s="318"/>
      <c r="C383" s="251">
        <f t="shared" ref="C383:W383" si="74">C382+C379+C375+C372+C369+C366+C360+C318+C315</f>
        <v>373565370.98000002</v>
      </c>
      <c r="D383" s="251">
        <f t="shared" si="74"/>
        <v>0</v>
      </c>
      <c r="E383" s="251">
        <f t="shared" si="74"/>
        <v>0</v>
      </c>
      <c r="F383" s="251">
        <f t="shared" si="74"/>
        <v>0</v>
      </c>
      <c r="G383" s="251">
        <f t="shared" si="74"/>
        <v>0</v>
      </c>
      <c r="H383" s="251">
        <f t="shared" si="74"/>
        <v>0</v>
      </c>
      <c r="I383" s="251">
        <f t="shared" si="74"/>
        <v>0</v>
      </c>
      <c r="J383" s="57">
        <f t="shared" si="74"/>
        <v>0</v>
      </c>
      <c r="K383" s="251">
        <f t="shared" si="74"/>
        <v>0</v>
      </c>
      <c r="L383" s="251">
        <f t="shared" si="74"/>
        <v>0</v>
      </c>
      <c r="M383" s="251">
        <f t="shared" si="74"/>
        <v>0</v>
      </c>
      <c r="N383" s="251">
        <f t="shared" si="74"/>
        <v>473965.09</v>
      </c>
      <c r="O383" s="251">
        <f t="shared" si="74"/>
        <v>0</v>
      </c>
      <c r="P383" s="251">
        <f t="shared" si="74"/>
        <v>0</v>
      </c>
      <c r="Q383" s="251">
        <f t="shared" si="74"/>
        <v>66344.260000000009</v>
      </c>
      <c r="R383" s="251">
        <f t="shared" si="74"/>
        <v>370193651.10000002</v>
      </c>
      <c r="S383" s="251">
        <f t="shared" si="74"/>
        <v>0</v>
      </c>
      <c r="T383" s="251">
        <f t="shared" si="74"/>
        <v>0</v>
      </c>
      <c r="U383" s="251">
        <f t="shared" si="74"/>
        <v>0</v>
      </c>
      <c r="V383" s="251">
        <f t="shared" si="74"/>
        <v>0</v>
      </c>
      <c r="W383" s="251">
        <f t="shared" si="74"/>
        <v>2897754.79</v>
      </c>
      <c r="X383" s="271"/>
      <c r="Y383" s="269"/>
      <c r="Z383" s="84"/>
      <c r="AA383" s="82"/>
      <c r="AB383" s="82"/>
      <c r="AC383" s="13"/>
      <c r="AD383" s="13"/>
    </row>
    <row r="384" spans="1:34" ht="15.75" customHeight="1" x14ac:dyDescent="0.3">
      <c r="A384" s="441" t="s">
        <v>1541</v>
      </c>
      <c r="B384" s="442"/>
      <c r="C384" s="442"/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3"/>
      <c r="X384" s="246"/>
      <c r="Y384" s="277"/>
      <c r="Z384" s="277"/>
      <c r="AA384" s="277"/>
      <c r="AB384" s="277"/>
      <c r="AC384" s="277"/>
      <c r="AD384" s="277"/>
      <c r="AE384" s="16"/>
      <c r="AF384" s="17"/>
      <c r="AG384" s="17"/>
      <c r="AH384" s="17"/>
    </row>
    <row r="385" spans="1:34" x14ac:dyDescent="0.3">
      <c r="A385" s="317" t="s">
        <v>1542</v>
      </c>
      <c r="B385" s="318"/>
      <c r="C385" s="273"/>
      <c r="D385" s="273"/>
      <c r="E385" s="273"/>
      <c r="F385" s="273"/>
      <c r="G385" s="273"/>
      <c r="H385" s="273"/>
      <c r="I385" s="273"/>
      <c r="J385" s="50"/>
      <c r="K385" s="273"/>
      <c r="L385" s="273"/>
      <c r="M385" s="273"/>
      <c r="N385" s="273"/>
      <c r="O385" s="273"/>
      <c r="P385" s="273"/>
      <c r="Q385" s="273"/>
      <c r="R385" s="273"/>
      <c r="S385" s="273"/>
      <c r="T385" s="273"/>
      <c r="U385" s="273"/>
      <c r="V385" s="273"/>
      <c r="W385" s="273"/>
      <c r="X385" s="283"/>
      <c r="Y385" s="273"/>
      <c r="Z385" s="273"/>
      <c r="AA385" s="273"/>
      <c r="AB385" s="273"/>
      <c r="AC385" s="273"/>
      <c r="AD385" s="273"/>
      <c r="AE385" s="16"/>
      <c r="AF385" s="17"/>
      <c r="AG385" s="17"/>
      <c r="AH385" s="17"/>
    </row>
    <row r="386" spans="1:34" s="36" customFormat="1" x14ac:dyDescent="0.3">
      <c r="A386" s="10">
        <f>A381+1</f>
        <v>275</v>
      </c>
      <c r="B386" s="124" t="s">
        <v>3563</v>
      </c>
      <c r="C386" s="273">
        <f>D386+K386+L386+N386+P386+R386+S386+U386+V386+W386</f>
        <v>21803600</v>
      </c>
      <c r="D386" s="273"/>
      <c r="E386" s="273"/>
      <c r="F386" s="273"/>
      <c r="G386" s="273"/>
      <c r="H386" s="273"/>
      <c r="I386" s="273"/>
      <c r="J386" s="273"/>
      <c r="K386" s="273"/>
      <c r="L386" s="273"/>
      <c r="M386" s="273"/>
      <c r="N386" s="273"/>
      <c r="O386" s="273"/>
      <c r="P386" s="273"/>
      <c r="Q386" s="273"/>
      <c r="R386" s="273">
        <v>21803600</v>
      </c>
      <c r="S386" s="273"/>
      <c r="T386" s="273"/>
      <c r="U386" s="273"/>
      <c r="V386" s="273"/>
      <c r="W386" s="273"/>
      <c r="X386" s="273"/>
      <c r="Y386" s="273"/>
      <c r="Z386" s="273"/>
      <c r="AA386" s="273"/>
      <c r="AB386" s="273"/>
      <c r="AC386" s="16"/>
      <c r="AD386" s="17"/>
      <c r="AE386" s="17"/>
      <c r="AF386" s="17"/>
    </row>
    <row r="387" spans="1:34" x14ac:dyDescent="0.3">
      <c r="A387" s="10">
        <f>A386+1</f>
        <v>276</v>
      </c>
      <c r="B387" s="20" t="s">
        <v>1545</v>
      </c>
      <c r="C387" s="273">
        <f>D387+K387+L387+N387+P387+R387+S387+U387+V387+W387</f>
        <v>2067908.4</v>
      </c>
      <c r="D387" s="273"/>
      <c r="E387" s="273"/>
      <c r="F387" s="273"/>
      <c r="G387" s="273"/>
      <c r="H387" s="273"/>
      <c r="I387" s="273"/>
      <c r="J387" s="50"/>
      <c r="K387" s="273"/>
      <c r="L387" s="273"/>
      <c r="M387" s="273"/>
      <c r="N387" s="273"/>
      <c r="O387" s="273"/>
      <c r="P387" s="273"/>
      <c r="Q387" s="273">
        <v>389.9</v>
      </c>
      <c r="R387" s="273">
        <v>2067908.4</v>
      </c>
      <c r="S387" s="273"/>
      <c r="T387" s="273"/>
      <c r="U387" s="273"/>
      <c r="V387" s="273"/>
      <c r="W387" s="273"/>
      <c r="X387" s="283"/>
      <c r="Y387" s="273">
        <v>99135.79</v>
      </c>
      <c r="Z387" s="273">
        <v>117063.53</v>
      </c>
      <c r="AA387" s="273">
        <v>101477.02</v>
      </c>
      <c r="AB387" s="273">
        <v>96852.2</v>
      </c>
      <c r="AC387" s="273"/>
      <c r="AD387" s="273">
        <v>181314.49</v>
      </c>
      <c r="AE387" s="16">
        <v>122781.31</v>
      </c>
      <c r="AF387" s="17">
        <v>458853.8</v>
      </c>
      <c r="AG387" s="17">
        <v>136869.79999999999</v>
      </c>
      <c r="AH387" s="17"/>
    </row>
    <row r="388" spans="1:34" x14ac:dyDescent="0.3">
      <c r="A388" s="259"/>
      <c r="B388" s="20" t="s">
        <v>208</v>
      </c>
      <c r="C388" s="273">
        <f t="shared" ref="C388:W388" si="75">SUM(C386:C387)</f>
        <v>23871508.399999999</v>
      </c>
      <c r="D388" s="273">
        <f t="shared" si="75"/>
        <v>0</v>
      </c>
      <c r="E388" s="273">
        <f t="shared" si="75"/>
        <v>0</v>
      </c>
      <c r="F388" s="273">
        <f t="shared" si="75"/>
        <v>0</v>
      </c>
      <c r="G388" s="273">
        <f t="shared" si="75"/>
        <v>0</v>
      </c>
      <c r="H388" s="273">
        <f t="shared" si="75"/>
        <v>0</v>
      </c>
      <c r="I388" s="273">
        <f t="shared" si="75"/>
        <v>0</v>
      </c>
      <c r="J388" s="273">
        <f t="shared" si="75"/>
        <v>0</v>
      </c>
      <c r="K388" s="273">
        <f t="shared" si="75"/>
        <v>0</v>
      </c>
      <c r="L388" s="273">
        <f t="shared" si="75"/>
        <v>0</v>
      </c>
      <c r="M388" s="273">
        <f t="shared" si="75"/>
        <v>0</v>
      </c>
      <c r="N388" s="273">
        <f t="shared" si="75"/>
        <v>0</v>
      </c>
      <c r="O388" s="273">
        <f t="shared" si="75"/>
        <v>0</v>
      </c>
      <c r="P388" s="273">
        <f t="shared" si="75"/>
        <v>0</v>
      </c>
      <c r="Q388" s="273">
        <f t="shared" si="75"/>
        <v>389.9</v>
      </c>
      <c r="R388" s="273">
        <f t="shared" si="75"/>
        <v>23871508.399999999</v>
      </c>
      <c r="S388" s="273">
        <f t="shared" si="75"/>
        <v>0</v>
      </c>
      <c r="T388" s="273">
        <f t="shared" si="75"/>
        <v>0</v>
      </c>
      <c r="U388" s="273">
        <f t="shared" si="75"/>
        <v>0</v>
      </c>
      <c r="V388" s="273">
        <f t="shared" si="75"/>
        <v>0</v>
      </c>
      <c r="W388" s="273">
        <f t="shared" si="75"/>
        <v>0</v>
      </c>
      <c r="X388" s="283"/>
      <c r="Y388" s="273"/>
      <c r="Z388" s="273"/>
      <c r="AA388" s="273"/>
      <c r="AB388" s="273"/>
      <c r="AC388" s="273"/>
      <c r="AD388" s="273"/>
      <c r="AE388" s="16"/>
      <c r="AF388" s="17"/>
      <c r="AG388" s="17"/>
      <c r="AH388" s="17"/>
    </row>
    <row r="389" spans="1:34" x14ac:dyDescent="0.3">
      <c r="A389" s="317" t="s">
        <v>1548</v>
      </c>
      <c r="B389" s="318"/>
      <c r="C389" s="273"/>
      <c r="D389" s="273"/>
      <c r="E389" s="273"/>
      <c r="F389" s="273"/>
      <c r="G389" s="273"/>
      <c r="H389" s="273"/>
      <c r="I389" s="273"/>
      <c r="J389" s="50"/>
      <c r="K389" s="273"/>
      <c r="L389" s="273"/>
      <c r="M389" s="273"/>
      <c r="N389" s="273"/>
      <c r="O389" s="273"/>
      <c r="P389" s="273"/>
      <c r="Q389" s="273"/>
      <c r="R389" s="273"/>
      <c r="S389" s="273"/>
      <c r="T389" s="273"/>
      <c r="U389" s="273"/>
      <c r="V389" s="273"/>
      <c r="W389" s="273"/>
      <c r="X389" s="283"/>
      <c r="Y389" s="273"/>
      <c r="Z389" s="273"/>
      <c r="AA389" s="273"/>
      <c r="AB389" s="273"/>
      <c r="AC389" s="273"/>
      <c r="AD389" s="273"/>
      <c r="AE389" s="16"/>
      <c r="AF389" s="17"/>
      <c r="AG389" s="17"/>
      <c r="AH389" s="17"/>
    </row>
    <row r="390" spans="1:34" x14ac:dyDescent="0.3">
      <c r="A390" s="259">
        <f>A387+1</f>
        <v>277</v>
      </c>
      <c r="B390" s="20" t="s">
        <v>1569</v>
      </c>
      <c r="C390" s="273">
        <f t="shared" ref="C390:C397" si="76">D390+K390+L390+N390+P390+R390+S390+U390+V390+W390</f>
        <v>28272057</v>
      </c>
      <c r="D390" s="273"/>
      <c r="E390" s="273"/>
      <c r="F390" s="273"/>
      <c r="G390" s="273"/>
      <c r="H390" s="273"/>
      <c r="I390" s="273"/>
      <c r="J390" s="50"/>
      <c r="K390" s="273"/>
      <c r="L390" s="273"/>
      <c r="M390" s="273"/>
      <c r="N390" s="273"/>
      <c r="O390" s="273"/>
      <c r="P390" s="273"/>
      <c r="Q390" s="273">
        <v>2019</v>
      </c>
      <c r="R390" s="273">
        <f>(10362+3641)*2019</f>
        <v>28272057</v>
      </c>
      <c r="S390" s="273"/>
      <c r="T390" s="273"/>
      <c r="U390" s="273"/>
      <c r="V390" s="273"/>
      <c r="W390" s="273"/>
      <c r="X390" s="283"/>
      <c r="Y390" s="273"/>
      <c r="Z390" s="273"/>
      <c r="AA390" s="273"/>
      <c r="AB390" s="273"/>
      <c r="AC390" s="273"/>
      <c r="AD390" s="273"/>
      <c r="AE390" s="16"/>
      <c r="AF390" s="17"/>
      <c r="AG390" s="17"/>
      <c r="AH390" s="17"/>
    </row>
    <row r="391" spans="1:34" x14ac:dyDescent="0.3">
      <c r="A391" s="259">
        <f t="shared" ref="A391:A397" si="77">A390+1</f>
        <v>278</v>
      </c>
      <c r="B391" s="20" t="s">
        <v>1568</v>
      </c>
      <c r="C391" s="273">
        <f t="shared" si="76"/>
        <v>130000</v>
      </c>
      <c r="D391" s="273"/>
      <c r="E391" s="273"/>
      <c r="F391" s="273"/>
      <c r="G391" s="273"/>
      <c r="H391" s="273"/>
      <c r="I391" s="273"/>
      <c r="J391" s="50"/>
      <c r="K391" s="273"/>
      <c r="L391" s="273"/>
      <c r="M391" s="273"/>
      <c r="N391" s="273"/>
      <c r="O391" s="273"/>
      <c r="P391" s="273"/>
      <c r="Q391" s="273"/>
      <c r="R391" s="273"/>
      <c r="S391" s="273"/>
      <c r="T391" s="273"/>
      <c r="U391" s="273"/>
      <c r="V391" s="273"/>
      <c r="W391" s="273">
        <v>130000</v>
      </c>
      <c r="X391" s="283"/>
      <c r="Y391" s="273"/>
      <c r="Z391" s="273"/>
      <c r="AA391" s="273"/>
      <c r="AB391" s="273"/>
      <c r="AC391" s="273"/>
      <c r="AD391" s="273"/>
      <c r="AE391" s="16"/>
      <c r="AF391" s="17"/>
      <c r="AG391" s="17"/>
      <c r="AH391" s="17"/>
    </row>
    <row r="392" spans="1:34" x14ac:dyDescent="0.3">
      <c r="A392" s="259">
        <f t="shared" si="77"/>
        <v>279</v>
      </c>
      <c r="B392" s="20" t="s">
        <v>1570</v>
      </c>
      <c r="C392" s="273">
        <f t="shared" si="76"/>
        <v>130000</v>
      </c>
      <c r="D392" s="273"/>
      <c r="E392" s="273"/>
      <c r="F392" s="273"/>
      <c r="G392" s="273"/>
      <c r="H392" s="273"/>
      <c r="I392" s="273"/>
      <c r="J392" s="50"/>
      <c r="K392" s="273"/>
      <c r="L392" s="273"/>
      <c r="M392" s="273"/>
      <c r="N392" s="273"/>
      <c r="O392" s="273"/>
      <c r="P392" s="273"/>
      <c r="Q392" s="273"/>
      <c r="R392" s="273"/>
      <c r="S392" s="273"/>
      <c r="T392" s="273"/>
      <c r="U392" s="273"/>
      <c r="V392" s="273"/>
      <c r="W392" s="273">
        <v>130000</v>
      </c>
      <c r="X392" s="283"/>
      <c r="Y392" s="273"/>
      <c r="Z392" s="273"/>
      <c r="AA392" s="273"/>
      <c r="AB392" s="273"/>
      <c r="AC392" s="273"/>
      <c r="AD392" s="273"/>
      <c r="AE392" s="16"/>
      <c r="AF392" s="17"/>
      <c r="AG392" s="17"/>
      <c r="AH392" s="17"/>
    </row>
    <row r="393" spans="1:34" x14ac:dyDescent="0.3">
      <c r="A393" s="259">
        <f t="shared" si="77"/>
        <v>280</v>
      </c>
      <c r="B393" s="20" t="s">
        <v>1571</v>
      </c>
      <c r="C393" s="273">
        <f t="shared" si="76"/>
        <v>130000</v>
      </c>
      <c r="D393" s="273"/>
      <c r="E393" s="273"/>
      <c r="F393" s="273"/>
      <c r="G393" s="273"/>
      <c r="H393" s="273"/>
      <c r="I393" s="273"/>
      <c r="J393" s="50"/>
      <c r="K393" s="273"/>
      <c r="L393" s="273"/>
      <c r="M393" s="273"/>
      <c r="N393" s="273"/>
      <c r="O393" s="273"/>
      <c r="P393" s="273"/>
      <c r="Q393" s="273"/>
      <c r="R393" s="273"/>
      <c r="S393" s="273"/>
      <c r="T393" s="273"/>
      <c r="U393" s="273"/>
      <c r="V393" s="273"/>
      <c r="W393" s="273">
        <v>130000</v>
      </c>
      <c r="X393" s="283"/>
      <c r="Y393" s="273"/>
      <c r="Z393" s="273"/>
      <c r="AA393" s="273"/>
      <c r="AB393" s="273"/>
      <c r="AC393" s="273"/>
      <c r="AD393" s="273"/>
      <c r="AE393" s="16"/>
      <c r="AF393" s="17"/>
      <c r="AG393" s="17"/>
      <c r="AH393" s="17"/>
    </row>
    <row r="394" spans="1:34" x14ac:dyDescent="0.3">
      <c r="A394" s="259">
        <f t="shared" si="77"/>
        <v>281</v>
      </c>
      <c r="B394" s="20" t="s">
        <v>1573</v>
      </c>
      <c r="C394" s="273">
        <f t="shared" si="76"/>
        <v>130000</v>
      </c>
      <c r="D394" s="273"/>
      <c r="E394" s="273"/>
      <c r="F394" s="273"/>
      <c r="G394" s="273"/>
      <c r="H394" s="273"/>
      <c r="I394" s="273"/>
      <c r="J394" s="50"/>
      <c r="K394" s="273"/>
      <c r="L394" s="273"/>
      <c r="M394" s="273"/>
      <c r="N394" s="273"/>
      <c r="O394" s="273"/>
      <c r="P394" s="273"/>
      <c r="Q394" s="273"/>
      <c r="R394" s="273"/>
      <c r="S394" s="273"/>
      <c r="T394" s="273"/>
      <c r="U394" s="273"/>
      <c r="V394" s="273"/>
      <c r="W394" s="273">
        <v>130000</v>
      </c>
      <c r="X394" s="283"/>
      <c r="Y394" s="273"/>
      <c r="Z394" s="273"/>
      <c r="AA394" s="273"/>
      <c r="AB394" s="273"/>
      <c r="AC394" s="273"/>
      <c r="AD394" s="273"/>
      <c r="AE394" s="16"/>
      <c r="AF394" s="17"/>
      <c r="AG394" s="17"/>
      <c r="AH394" s="17"/>
    </row>
    <row r="395" spans="1:34" x14ac:dyDescent="0.3">
      <c r="A395" s="259">
        <f t="shared" si="77"/>
        <v>282</v>
      </c>
      <c r="B395" s="20" t="s">
        <v>1574</v>
      </c>
      <c r="C395" s="273">
        <f t="shared" si="76"/>
        <v>130000</v>
      </c>
      <c r="D395" s="273"/>
      <c r="E395" s="273"/>
      <c r="F395" s="273"/>
      <c r="G395" s="273"/>
      <c r="H395" s="273"/>
      <c r="I395" s="273"/>
      <c r="J395" s="50"/>
      <c r="K395" s="273"/>
      <c r="L395" s="273"/>
      <c r="M395" s="273"/>
      <c r="N395" s="273"/>
      <c r="O395" s="273"/>
      <c r="P395" s="273"/>
      <c r="Q395" s="273"/>
      <c r="R395" s="273"/>
      <c r="S395" s="273"/>
      <c r="T395" s="273"/>
      <c r="U395" s="273"/>
      <c r="V395" s="273"/>
      <c r="W395" s="273">
        <v>130000</v>
      </c>
      <c r="X395" s="283"/>
      <c r="Y395" s="273"/>
      <c r="Z395" s="273"/>
      <c r="AA395" s="273"/>
      <c r="AB395" s="273"/>
      <c r="AC395" s="273"/>
      <c r="AD395" s="273"/>
      <c r="AE395" s="16"/>
      <c r="AF395" s="17"/>
      <c r="AG395" s="17"/>
      <c r="AH395" s="17"/>
    </row>
    <row r="396" spans="1:34" x14ac:dyDescent="0.3">
      <c r="A396" s="259">
        <f t="shared" si="77"/>
        <v>283</v>
      </c>
      <c r="B396" s="20" t="s">
        <v>1577</v>
      </c>
      <c r="C396" s="273">
        <f t="shared" si="76"/>
        <v>130000</v>
      </c>
      <c r="D396" s="273"/>
      <c r="E396" s="273"/>
      <c r="F396" s="273"/>
      <c r="G396" s="273"/>
      <c r="H396" s="273"/>
      <c r="I396" s="273"/>
      <c r="J396" s="50"/>
      <c r="K396" s="273"/>
      <c r="L396" s="273"/>
      <c r="M396" s="273"/>
      <c r="N396" s="273"/>
      <c r="O396" s="273"/>
      <c r="P396" s="273"/>
      <c r="Q396" s="273"/>
      <c r="R396" s="273"/>
      <c r="S396" s="273"/>
      <c r="T396" s="273"/>
      <c r="U396" s="273"/>
      <c r="V396" s="273"/>
      <c r="W396" s="273">
        <v>130000</v>
      </c>
      <c r="X396" s="283"/>
      <c r="Y396" s="273"/>
      <c r="Z396" s="273"/>
      <c r="AA396" s="273"/>
      <c r="AB396" s="273"/>
      <c r="AC396" s="273"/>
      <c r="AD396" s="273"/>
      <c r="AE396" s="16"/>
      <c r="AF396" s="17"/>
      <c r="AG396" s="17"/>
      <c r="AH396" s="17"/>
    </row>
    <row r="397" spans="1:34" x14ac:dyDescent="0.3">
      <c r="A397" s="259">
        <f t="shared" si="77"/>
        <v>284</v>
      </c>
      <c r="B397" s="20" t="s">
        <v>1578</v>
      </c>
      <c r="C397" s="273">
        <f t="shared" si="76"/>
        <v>130000</v>
      </c>
      <c r="D397" s="273"/>
      <c r="E397" s="273"/>
      <c r="F397" s="273"/>
      <c r="G397" s="273"/>
      <c r="H397" s="273"/>
      <c r="I397" s="273"/>
      <c r="J397" s="50"/>
      <c r="K397" s="273"/>
      <c r="L397" s="273"/>
      <c r="M397" s="273"/>
      <c r="N397" s="273"/>
      <c r="O397" s="273"/>
      <c r="P397" s="273"/>
      <c r="Q397" s="273"/>
      <c r="R397" s="273"/>
      <c r="S397" s="273"/>
      <c r="T397" s="273"/>
      <c r="U397" s="273"/>
      <c r="V397" s="273"/>
      <c r="W397" s="273">
        <v>130000</v>
      </c>
      <c r="X397" s="283"/>
      <c r="Y397" s="273"/>
      <c r="Z397" s="273"/>
      <c r="AA397" s="273"/>
      <c r="AB397" s="273"/>
      <c r="AC397" s="273"/>
      <c r="AD397" s="273"/>
      <c r="AE397" s="16"/>
      <c r="AF397" s="17"/>
      <c r="AG397" s="17"/>
      <c r="AH397" s="17"/>
    </row>
    <row r="398" spans="1:34" x14ac:dyDescent="0.3">
      <c r="A398" s="259"/>
      <c r="B398" s="20" t="s">
        <v>208</v>
      </c>
      <c r="C398" s="273">
        <f t="shared" ref="C398:W398" si="78">SUM(C390:C397)</f>
        <v>29182057</v>
      </c>
      <c r="D398" s="273">
        <f t="shared" si="78"/>
        <v>0</v>
      </c>
      <c r="E398" s="273">
        <f t="shared" si="78"/>
        <v>0</v>
      </c>
      <c r="F398" s="273">
        <f t="shared" si="78"/>
        <v>0</v>
      </c>
      <c r="G398" s="273">
        <f t="shared" si="78"/>
        <v>0</v>
      </c>
      <c r="H398" s="273">
        <f t="shared" si="78"/>
        <v>0</v>
      </c>
      <c r="I398" s="273">
        <f t="shared" si="78"/>
        <v>0</v>
      </c>
      <c r="J398" s="50">
        <f t="shared" si="78"/>
        <v>0</v>
      </c>
      <c r="K398" s="273">
        <f t="shared" si="78"/>
        <v>0</v>
      </c>
      <c r="L398" s="273">
        <f t="shared" si="78"/>
        <v>0</v>
      </c>
      <c r="M398" s="273">
        <f t="shared" si="78"/>
        <v>0</v>
      </c>
      <c r="N398" s="273">
        <f t="shared" si="78"/>
        <v>0</v>
      </c>
      <c r="O398" s="273">
        <f t="shared" si="78"/>
        <v>0</v>
      </c>
      <c r="P398" s="273">
        <f t="shared" si="78"/>
        <v>0</v>
      </c>
      <c r="Q398" s="273">
        <f t="shared" si="78"/>
        <v>2019</v>
      </c>
      <c r="R398" s="273">
        <f t="shared" si="78"/>
        <v>28272057</v>
      </c>
      <c r="S398" s="273">
        <f t="shared" si="78"/>
        <v>0</v>
      </c>
      <c r="T398" s="273">
        <f t="shared" si="78"/>
        <v>0</v>
      </c>
      <c r="U398" s="273">
        <f t="shared" si="78"/>
        <v>0</v>
      </c>
      <c r="V398" s="273">
        <f t="shared" si="78"/>
        <v>0</v>
      </c>
      <c r="W398" s="273">
        <f t="shared" si="78"/>
        <v>910000</v>
      </c>
      <c r="X398" s="283"/>
      <c r="Y398" s="273"/>
      <c r="Z398" s="273"/>
      <c r="AA398" s="273"/>
      <c r="AB398" s="273"/>
      <c r="AC398" s="273"/>
      <c r="AD398" s="273"/>
      <c r="AE398" s="16"/>
      <c r="AF398" s="17"/>
      <c r="AG398" s="17"/>
      <c r="AH398" s="17"/>
    </row>
    <row r="399" spans="1:34" x14ac:dyDescent="0.3">
      <c r="A399" s="317" t="s">
        <v>1581</v>
      </c>
      <c r="B399" s="318"/>
      <c r="C399" s="273"/>
      <c r="D399" s="273"/>
      <c r="E399" s="273"/>
      <c r="F399" s="273"/>
      <c r="G399" s="273"/>
      <c r="H399" s="273"/>
      <c r="I399" s="273"/>
      <c r="J399" s="50"/>
      <c r="K399" s="273"/>
      <c r="L399" s="273"/>
      <c r="M399" s="273"/>
      <c r="N399" s="273"/>
      <c r="O399" s="273"/>
      <c r="P399" s="273"/>
      <c r="Q399" s="273"/>
      <c r="R399" s="273"/>
      <c r="S399" s="273"/>
      <c r="T399" s="273"/>
      <c r="U399" s="273"/>
      <c r="V399" s="273"/>
      <c r="W399" s="273"/>
      <c r="X399" s="283"/>
      <c r="Y399" s="273"/>
      <c r="Z399" s="273"/>
      <c r="AA399" s="273"/>
      <c r="AB399" s="273"/>
      <c r="AC399" s="273"/>
      <c r="AD399" s="273"/>
      <c r="AE399" s="16"/>
      <c r="AF399" s="17"/>
      <c r="AG399" s="17"/>
      <c r="AH399" s="17"/>
    </row>
    <row r="400" spans="1:34" x14ac:dyDescent="0.3">
      <c r="A400" s="259">
        <f>A397+1</f>
        <v>285</v>
      </c>
      <c r="B400" s="20" t="s">
        <v>1582</v>
      </c>
      <c r="C400" s="273">
        <f>D400+K400+L400+N400+P400+R400+S400+U400+V400+W400</f>
        <v>4311811.2</v>
      </c>
      <c r="D400" s="273"/>
      <c r="E400" s="273"/>
      <c r="F400" s="273"/>
      <c r="G400" s="273"/>
      <c r="H400" s="273"/>
      <c r="I400" s="273"/>
      <c r="J400" s="50"/>
      <c r="K400" s="273"/>
      <c r="L400" s="273"/>
      <c r="M400" s="273"/>
      <c r="N400" s="273"/>
      <c r="O400" s="273"/>
      <c r="P400" s="273"/>
      <c r="Q400" s="273">
        <v>570</v>
      </c>
      <c r="R400" s="273">
        <v>4311811.2</v>
      </c>
      <c r="S400" s="273"/>
      <c r="T400" s="273"/>
      <c r="U400" s="273"/>
      <c r="V400" s="273"/>
      <c r="W400" s="273"/>
      <c r="X400" s="283"/>
      <c r="Y400" s="273"/>
      <c r="Z400" s="273"/>
      <c r="AA400" s="273"/>
      <c r="AB400" s="273"/>
      <c r="AC400" s="273"/>
      <c r="AD400" s="273"/>
      <c r="AE400" s="16"/>
      <c r="AF400" s="17"/>
      <c r="AG400" s="17"/>
      <c r="AH400" s="17"/>
    </row>
    <row r="401" spans="1:38" ht="31.2" x14ac:dyDescent="0.3">
      <c r="A401" s="259">
        <f>A400+1</f>
        <v>286</v>
      </c>
      <c r="B401" s="20" t="s">
        <v>1584</v>
      </c>
      <c r="C401" s="273">
        <f>D401+K401+L401+N401+P401+R401+S401+U401+V401+W401</f>
        <v>3614954.4</v>
      </c>
      <c r="D401" s="273"/>
      <c r="E401" s="273"/>
      <c r="F401" s="273"/>
      <c r="G401" s="273"/>
      <c r="H401" s="273"/>
      <c r="I401" s="273"/>
      <c r="J401" s="50"/>
      <c r="K401" s="273"/>
      <c r="L401" s="273"/>
      <c r="M401" s="273"/>
      <c r="N401" s="273"/>
      <c r="O401" s="273"/>
      <c r="P401" s="273"/>
      <c r="Q401" s="273">
        <v>679</v>
      </c>
      <c r="R401" s="273">
        <v>3614954.4</v>
      </c>
      <c r="S401" s="273"/>
      <c r="T401" s="273"/>
      <c r="U401" s="273"/>
      <c r="V401" s="273"/>
      <c r="W401" s="273"/>
      <c r="X401" s="283"/>
      <c r="Y401" s="273"/>
      <c r="Z401" s="273"/>
      <c r="AA401" s="273"/>
      <c r="AB401" s="273"/>
      <c r="AC401" s="273"/>
      <c r="AD401" s="273"/>
      <c r="AE401" s="16"/>
      <c r="AF401" s="17"/>
      <c r="AG401" s="17"/>
      <c r="AH401" s="17"/>
    </row>
    <row r="402" spans="1:38" ht="31.2" x14ac:dyDescent="0.3">
      <c r="A402" s="259">
        <f>A401+1</f>
        <v>287</v>
      </c>
      <c r="B402" s="20" t="s">
        <v>1585</v>
      </c>
      <c r="C402" s="273">
        <f>D402+K402+L402+N402+P402+R402+S402+U402+V402+W402</f>
        <v>5173819.2</v>
      </c>
      <c r="D402" s="273"/>
      <c r="E402" s="273"/>
      <c r="F402" s="273"/>
      <c r="G402" s="273"/>
      <c r="H402" s="273"/>
      <c r="I402" s="273"/>
      <c r="J402" s="50"/>
      <c r="K402" s="273"/>
      <c r="L402" s="273"/>
      <c r="M402" s="273"/>
      <c r="N402" s="273"/>
      <c r="O402" s="273"/>
      <c r="P402" s="273"/>
      <c r="Q402" s="273">
        <v>551.4</v>
      </c>
      <c r="R402" s="273">
        <v>5173819.2</v>
      </c>
      <c r="S402" s="273"/>
      <c r="T402" s="273"/>
      <c r="U402" s="273"/>
      <c r="V402" s="273"/>
      <c r="W402" s="273"/>
      <c r="X402" s="283"/>
      <c r="Y402" s="273"/>
      <c r="Z402" s="273"/>
      <c r="AA402" s="273"/>
      <c r="AB402" s="273"/>
      <c r="AC402" s="273"/>
      <c r="AD402" s="273"/>
      <c r="AE402" s="16"/>
      <c r="AF402" s="17"/>
      <c r="AG402" s="17"/>
      <c r="AH402" s="17"/>
    </row>
    <row r="403" spans="1:38" x14ac:dyDescent="0.3">
      <c r="A403" s="259">
        <f>A402+1</f>
        <v>288</v>
      </c>
      <c r="B403" s="20" t="s">
        <v>1587</v>
      </c>
      <c r="C403" s="273">
        <f>D403+K403+L403+N403+P403+R403+S403+U403+V403+W403</f>
        <v>14301961.199999999</v>
      </c>
      <c r="D403" s="273"/>
      <c r="E403" s="273"/>
      <c r="F403" s="273"/>
      <c r="G403" s="273"/>
      <c r="H403" s="273"/>
      <c r="I403" s="273"/>
      <c r="J403" s="50"/>
      <c r="K403" s="273"/>
      <c r="L403" s="273"/>
      <c r="M403" s="273"/>
      <c r="N403" s="273"/>
      <c r="O403" s="273"/>
      <c r="P403" s="273"/>
      <c r="Q403" s="273">
        <v>976</v>
      </c>
      <c r="R403" s="273">
        <v>14301961.199999999</v>
      </c>
      <c r="S403" s="273"/>
      <c r="T403" s="273"/>
      <c r="U403" s="273"/>
      <c r="V403" s="273"/>
      <c r="W403" s="273"/>
      <c r="X403" s="283"/>
      <c r="Y403" s="273"/>
      <c r="Z403" s="273"/>
      <c r="AA403" s="273"/>
      <c r="AB403" s="273"/>
      <c r="AC403" s="273"/>
      <c r="AD403" s="273"/>
      <c r="AE403" s="16"/>
      <c r="AF403" s="17"/>
      <c r="AG403" s="17"/>
      <c r="AH403" s="17"/>
    </row>
    <row r="404" spans="1:38" x14ac:dyDescent="0.3">
      <c r="A404" s="259">
        <f>A403+1</f>
        <v>289</v>
      </c>
      <c r="B404" s="20" t="s">
        <v>1588</v>
      </c>
      <c r="C404" s="273">
        <f>D404+K404+L404+N404+P404+R404+S404+U404+V404+W404</f>
        <v>4017582</v>
      </c>
      <c r="D404" s="273"/>
      <c r="E404" s="273"/>
      <c r="F404" s="273"/>
      <c r="G404" s="273"/>
      <c r="H404" s="273"/>
      <c r="I404" s="273"/>
      <c r="J404" s="50"/>
      <c r="K404" s="273"/>
      <c r="L404" s="273"/>
      <c r="M404" s="273"/>
      <c r="N404" s="273"/>
      <c r="O404" s="273"/>
      <c r="P404" s="273"/>
      <c r="Q404" s="273">
        <v>394.32</v>
      </c>
      <c r="R404" s="273">
        <v>4017582</v>
      </c>
      <c r="S404" s="273"/>
      <c r="T404" s="273"/>
      <c r="U404" s="273"/>
      <c r="V404" s="273"/>
      <c r="W404" s="273"/>
      <c r="X404" s="283"/>
      <c r="Y404" s="273"/>
      <c r="Z404" s="273"/>
      <c r="AA404" s="273"/>
      <c r="AB404" s="273"/>
      <c r="AC404" s="273"/>
      <c r="AD404" s="273"/>
      <c r="AE404" s="16"/>
      <c r="AF404" s="17"/>
      <c r="AG404" s="17"/>
      <c r="AH404" s="17"/>
    </row>
    <row r="405" spans="1:38" x14ac:dyDescent="0.3">
      <c r="A405" s="259"/>
      <c r="B405" s="20" t="s">
        <v>208</v>
      </c>
      <c r="C405" s="273">
        <f t="shared" ref="C405:V405" si="79">SUM(C400:C404)</f>
        <v>31420128</v>
      </c>
      <c r="D405" s="273">
        <f t="shared" si="79"/>
        <v>0</v>
      </c>
      <c r="E405" s="273">
        <f t="shared" si="79"/>
        <v>0</v>
      </c>
      <c r="F405" s="273">
        <f t="shared" si="79"/>
        <v>0</v>
      </c>
      <c r="G405" s="273">
        <f t="shared" si="79"/>
        <v>0</v>
      </c>
      <c r="H405" s="273">
        <f t="shared" si="79"/>
        <v>0</v>
      </c>
      <c r="I405" s="273">
        <f t="shared" si="79"/>
        <v>0</v>
      </c>
      <c r="J405" s="50">
        <f t="shared" si="79"/>
        <v>0</v>
      </c>
      <c r="K405" s="273">
        <f t="shared" si="79"/>
        <v>0</v>
      </c>
      <c r="L405" s="273">
        <f t="shared" si="79"/>
        <v>0</v>
      </c>
      <c r="M405" s="273">
        <f t="shared" si="79"/>
        <v>0</v>
      </c>
      <c r="N405" s="273">
        <f t="shared" si="79"/>
        <v>0</v>
      </c>
      <c r="O405" s="273">
        <f t="shared" si="79"/>
        <v>0</v>
      </c>
      <c r="P405" s="273">
        <f t="shared" si="79"/>
        <v>0</v>
      </c>
      <c r="Q405" s="273">
        <f t="shared" si="79"/>
        <v>3170.7200000000003</v>
      </c>
      <c r="R405" s="273">
        <f t="shared" si="79"/>
        <v>31420128</v>
      </c>
      <c r="S405" s="273">
        <f t="shared" si="79"/>
        <v>0</v>
      </c>
      <c r="T405" s="273">
        <f t="shared" si="79"/>
        <v>0</v>
      </c>
      <c r="U405" s="273">
        <f t="shared" si="79"/>
        <v>0</v>
      </c>
      <c r="V405" s="273">
        <f t="shared" si="79"/>
        <v>0</v>
      </c>
      <c r="W405" s="273">
        <f>SUM(W400:W404)</f>
        <v>0</v>
      </c>
      <c r="X405" s="269"/>
      <c r="Y405" s="269"/>
      <c r="Z405" s="269"/>
      <c r="AA405" s="269"/>
      <c r="AB405" s="269"/>
      <c r="AC405" s="269"/>
      <c r="AD405" s="269"/>
      <c r="AE405" s="84"/>
      <c r="AF405" s="82"/>
      <c r="AG405" s="82"/>
      <c r="AH405" s="82"/>
    </row>
    <row r="406" spans="1:38" x14ac:dyDescent="0.3">
      <c r="A406" s="319" t="s">
        <v>1589</v>
      </c>
      <c r="B406" s="320"/>
      <c r="C406" s="251">
        <f t="shared" ref="C406:W406" si="80">C388+C398+C405</f>
        <v>84473693.400000006</v>
      </c>
      <c r="D406" s="251">
        <f t="shared" si="80"/>
        <v>0</v>
      </c>
      <c r="E406" s="251">
        <f t="shared" si="80"/>
        <v>0</v>
      </c>
      <c r="F406" s="251">
        <f t="shared" si="80"/>
        <v>0</v>
      </c>
      <c r="G406" s="251">
        <f t="shared" si="80"/>
        <v>0</v>
      </c>
      <c r="H406" s="251">
        <f t="shared" si="80"/>
        <v>0</v>
      </c>
      <c r="I406" s="251">
        <f t="shared" si="80"/>
        <v>0</v>
      </c>
      <c r="J406" s="57">
        <f t="shared" si="80"/>
        <v>0</v>
      </c>
      <c r="K406" s="251">
        <f t="shared" si="80"/>
        <v>0</v>
      </c>
      <c r="L406" s="251">
        <f t="shared" si="80"/>
        <v>0</v>
      </c>
      <c r="M406" s="251">
        <f t="shared" si="80"/>
        <v>0</v>
      </c>
      <c r="N406" s="251">
        <f t="shared" si="80"/>
        <v>0</v>
      </c>
      <c r="O406" s="251">
        <f t="shared" si="80"/>
        <v>0</v>
      </c>
      <c r="P406" s="251">
        <f t="shared" si="80"/>
        <v>0</v>
      </c>
      <c r="Q406" s="251">
        <f t="shared" si="80"/>
        <v>5579.6200000000008</v>
      </c>
      <c r="R406" s="251">
        <f t="shared" si="80"/>
        <v>83563693.400000006</v>
      </c>
      <c r="S406" s="251">
        <f t="shared" si="80"/>
        <v>0</v>
      </c>
      <c r="T406" s="251">
        <f t="shared" si="80"/>
        <v>0</v>
      </c>
      <c r="U406" s="251">
        <f t="shared" si="80"/>
        <v>0</v>
      </c>
      <c r="V406" s="251">
        <f t="shared" si="80"/>
        <v>0</v>
      </c>
      <c r="W406" s="251">
        <f t="shared" si="80"/>
        <v>910000</v>
      </c>
      <c r="X406" s="269"/>
      <c r="Y406" s="269"/>
      <c r="Z406" s="269"/>
      <c r="AA406" s="269"/>
      <c r="AB406" s="269"/>
      <c r="AC406" s="269"/>
      <c r="AD406" s="269"/>
      <c r="AE406" s="84"/>
      <c r="AF406" s="82"/>
      <c r="AG406" s="82"/>
      <c r="AH406" s="82"/>
    </row>
    <row r="407" spans="1:38" ht="15.75" customHeight="1" x14ac:dyDescent="0.3">
      <c r="A407" s="441" t="s">
        <v>1590</v>
      </c>
      <c r="B407" s="442"/>
      <c r="C407" s="442"/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3"/>
      <c r="X407" s="283"/>
      <c r="Y407" s="273"/>
      <c r="Z407" s="273"/>
      <c r="AA407" s="273"/>
      <c r="AB407" s="273"/>
      <c r="AC407" s="273"/>
      <c r="AD407" s="273"/>
      <c r="AE407" s="273"/>
      <c r="AF407" s="273"/>
      <c r="AG407" s="14"/>
      <c r="AH407" s="15"/>
      <c r="AI407" s="15"/>
      <c r="AJ407" s="15"/>
      <c r="AK407" s="15"/>
      <c r="AL407" s="13"/>
    </row>
    <row r="408" spans="1:38" x14ac:dyDescent="0.3">
      <c r="A408" s="291" t="s">
        <v>1591</v>
      </c>
      <c r="B408" s="291"/>
      <c r="C408" s="273"/>
      <c r="D408" s="273"/>
      <c r="E408" s="273"/>
      <c r="F408" s="273"/>
      <c r="G408" s="273"/>
      <c r="H408" s="273"/>
      <c r="I408" s="273"/>
      <c r="J408" s="50"/>
      <c r="K408" s="273"/>
      <c r="L408" s="273"/>
      <c r="M408" s="273"/>
      <c r="N408" s="273"/>
      <c r="O408" s="273"/>
      <c r="P408" s="273"/>
      <c r="Q408" s="273"/>
      <c r="R408" s="273"/>
      <c r="S408" s="273"/>
      <c r="T408" s="273"/>
      <c r="U408" s="273"/>
      <c r="V408" s="273"/>
      <c r="W408" s="273"/>
      <c r="X408" s="283"/>
      <c r="Y408" s="273"/>
      <c r="Z408" s="273"/>
      <c r="AA408" s="273"/>
      <c r="AB408" s="273"/>
      <c r="AC408" s="273"/>
      <c r="AD408" s="273"/>
      <c r="AE408" s="273"/>
      <c r="AF408" s="273"/>
      <c r="AG408" s="14"/>
      <c r="AH408" s="15"/>
      <c r="AI408" s="15"/>
      <c r="AJ408" s="15"/>
      <c r="AK408" s="15"/>
      <c r="AL408" s="13"/>
    </row>
    <row r="409" spans="1:38" x14ac:dyDescent="0.3">
      <c r="A409" s="259">
        <f>A404+1</f>
        <v>290</v>
      </c>
      <c r="B409" s="20" t="s">
        <v>1592</v>
      </c>
      <c r="C409" s="273">
        <f>D409+K409+L409+N409+P409+R409+S409+U409+V409+W409</f>
        <v>228087.11</v>
      </c>
      <c r="D409" s="273"/>
      <c r="E409" s="273"/>
      <c r="F409" s="273"/>
      <c r="G409" s="273"/>
      <c r="H409" s="273"/>
      <c r="I409" s="273"/>
      <c r="J409" s="50"/>
      <c r="K409" s="273"/>
      <c r="L409" s="273"/>
      <c r="M409" s="273"/>
      <c r="N409" s="273"/>
      <c r="O409" s="273"/>
      <c r="P409" s="273"/>
      <c r="Q409" s="273"/>
      <c r="R409" s="273"/>
      <c r="S409" s="273"/>
      <c r="T409" s="273"/>
      <c r="U409" s="273"/>
      <c r="V409" s="273"/>
      <c r="W409" s="283">
        <f>SUM(X409:AG409)</f>
        <v>228087.11</v>
      </c>
      <c r="X409" s="273"/>
      <c r="Y409" s="273"/>
      <c r="AB409" s="273">
        <v>76991.11</v>
      </c>
      <c r="AD409" s="273">
        <v>151096</v>
      </c>
      <c r="AE409" s="14"/>
      <c r="AF409" s="15"/>
      <c r="AG409" s="15"/>
      <c r="AJ409" s="15"/>
      <c r="AK409" s="15"/>
      <c r="AL409" s="13" t="s">
        <v>1593</v>
      </c>
    </row>
    <row r="410" spans="1:38" x14ac:dyDescent="0.3">
      <c r="A410" s="259">
        <f>A409+1</f>
        <v>291</v>
      </c>
      <c r="B410" s="20" t="s">
        <v>1594</v>
      </c>
      <c r="C410" s="273">
        <f>D410+K410+L410+N410+P410+R410+S410+U410+V410+W410</f>
        <v>328951.58</v>
      </c>
      <c r="D410" s="273"/>
      <c r="E410" s="273"/>
      <c r="F410" s="273"/>
      <c r="G410" s="273"/>
      <c r="H410" s="273"/>
      <c r="I410" s="273"/>
      <c r="J410" s="50"/>
      <c r="K410" s="273"/>
      <c r="L410" s="273"/>
      <c r="M410" s="273"/>
      <c r="N410" s="273"/>
      <c r="O410" s="273"/>
      <c r="P410" s="273"/>
      <c r="Q410" s="273"/>
      <c r="R410" s="273"/>
      <c r="S410" s="273"/>
      <c r="T410" s="273"/>
      <c r="U410" s="273"/>
      <c r="V410" s="273"/>
      <c r="W410" s="283">
        <f t="shared" ref="W410:W411" si="81">SUM(X410:AG410)</f>
        <v>328951.58</v>
      </c>
      <c r="X410" s="273">
        <v>53951.24</v>
      </c>
      <c r="Y410" s="273"/>
      <c r="AB410" s="273">
        <v>54819.839999999997</v>
      </c>
      <c r="AD410" s="273">
        <v>116335.03999999999</v>
      </c>
      <c r="AE410" s="14"/>
      <c r="AF410" s="15"/>
      <c r="AG410" s="15">
        <v>103845.46</v>
      </c>
      <c r="AJ410" s="15"/>
      <c r="AK410" s="15"/>
      <c r="AL410" s="13"/>
    </row>
    <row r="411" spans="1:38" x14ac:dyDescent="0.3">
      <c r="A411" s="259">
        <f>A410+1</f>
        <v>292</v>
      </c>
      <c r="B411" s="20" t="s">
        <v>1595</v>
      </c>
      <c r="C411" s="273">
        <f>D411+K411+L411+N411+P411+R411+S411+U411+V411+W411</f>
        <v>139839.34</v>
      </c>
      <c r="D411" s="273"/>
      <c r="E411" s="273"/>
      <c r="F411" s="273"/>
      <c r="G411" s="273"/>
      <c r="H411" s="273"/>
      <c r="I411" s="273"/>
      <c r="J411" s="50"/>
      <c r="K411" s="273"/>
      <c r="L411" s="273"/>
      <c r="M411" s="273"/>
      <c r="N411" s="273"/>
      <c r="O411" s="273"/>
      <c r="P411" s="273"/>
      <c r="Q411" s="273"/>
      <c r="R411" s="273"/>
      <c r="S411" s="273"/>
      <c r="T411" s="273"/>
      <c r="U411" s="273"/>
      <c r="V411" s="273"/>
      <c r="W411" s="283">
        <f t="shared" si="81"/>
        <v>139839.34</v>
      </c>
      <c r="X411" s="273"/>
      <c r="Y411" s="273"/>
      <c r="AD411" s="273">
        <v>139839.34</v>
      </c>
      <c r="AE411" s="14"/>
      <c r="AF411" s="15"/>
      <c r="AG411" s="15"/>
      <c r="AJ411" s="15"/>
      <c r="AK411" s="15"/>
      <c r="AL411" s="13" t="s">
        <v>1596</v>
      </c>
    </row>
    <row r="412" spans="1:38" x14ac:dyDescent="0.3">
      <c r="A412" s="259"/>
      <c r="B412" s="20" t="s">
        <v>208</v>
      </c>
      <c r="C412" s="273">
        <f t="shared" ref="C412:W412" si="82">SUM(C409:C411)</f>
        <v>696878.02999999991</v>
      </c>
      <c r="D412" s="273">
        <f t="shared" si="82"/>
        <v>0</v>
      </c>
      <c r="E412" s="273">
        <f t="shared" si="82"/>
        <v>0</v>
      </c>
      <c r="F412" s="273">
        <f t="shared" si="82"/>
        <v>0</v>
      </c>
      <c r="G412" s="273">
        <f t="shared" si="82"/>
        <v>0</v>
      </c>
      <c r="H412" s="273">
        <f t="shared" si="82"/>
        <v>0</v>
      </c>
      <c r="I412" s="273">
        <f t="shared" si="82"/>
        <v>0</v>
      </c>
      <c r="J412" s="50">
        <f t="shared" si="82"/>
        <v>0</v>
      </c>
      <c r="K412" s="273">
        <f t="shared" si="82"/>
        <v>0</v>
      </c>
      <c r="L412" s="273">
        <f t="shared" si="82"/>
        <v>0</v>
      </c>
      <c r="M412" s="273">
        <f t="shared" si="82"/>
        <v>0</v>
      </c>
      <c r="N412" s="273">
        <f t="shared" si="82"/>
        <v>0</v>
      </c>
      <c r="O412" s="273">
        <f t="shared" si="82"/>
        <v>0</v>
      </c>
      <c r="P412" s="273">
        <f t="shared" si="82"/>
        <v>0</v>
      </c>
      <c r="Q412" s="273">
        <f t="shared" si="82"/>
        <v>0</v>
      </c>
      <c r="R412" s="273">
        <f t="shared" si="82"/>
        <v>0</v>
      </c>
      <c r="S412" s="273">
        <f t="shared" si="82"/>
        <v>0</v>
      </c>
      <c r="T412" s="273">
        <f t="shared" si="82"/>
        <v>0</v>
      </c>
      <c r="U412" s="273">
        <f t="shared" si="82"/>
        <v>0</v>
      </c>
      <c r="V412" s="273">
        <f t="shared" si="82"/>
        <v>0</v>
      </c>
      <c r="W412" s="273">
        <f t="shared" si="82"/>
        <v>696878.02999999991</v>
      </c>
      <c r="X412" s="83"/>
      <c r="Y412" s="273"/>
      <c r="Z412" s="273"/>
      <c r="AA412" s="273"/>
      <c r="AB412" s="273"/>
      <c r="AC412" s="273"/>
      <c r="AD412" s="273"/>
      <c r="AE412" s="273"/>
      <c r="AF412" s="273"/>
      <c r="AG412" s="14"/>
      <c r="AH412" s="15"/>
      <c r="AI412" s="15"/>
      <c r="AJ412" s="15"/>
      <c r="AK412" s="15"/>
      <c r="AL412" s="13"/>
    </row>
    <row r="413" spans="1:38" x14ac:dyDescent="0.3">
      <c r="A413" s="291" t="s">
        <v>1597</v>
      </c>
      <c r="B413" s="291"/>
      <c r="C413" s="273"/>
      <c r="D413" s="273"/>
      <c r="E413" s="273"/>
      <c r="F413" s="273"/>
      <c r="G413" s="273"/>
      <c r="H413" s="273"/>
      <c r="I413" s="273"/>
      <c r="J413" s="50"/>
      <c r="K413" s="273"/>
      <c r="L413" s="273"/>
      <c r="M413" s="273"/>
      <c r="N413" s="273"/>
      <c r="O413" s="273"/>
      <c r="P413" s="273"/>
      <c r="Q413" s="273"/>
      <c r="R413" s="273"/>
      <c r="S413" s="273"/>
      <c r="T413" s="273"/>
      <c r="U413" s="273"/>
      <c r="V413" s="273"/>
      <c r="W413" s="273"/>
      <c r="X413" s="283"/>
      <c r="Y413" s="273"/>
      <c r="Z413" s="273"/>
      <c r="AA413" s="273"/>
      <c r="AB413" s="273"/>
      <c r="AC413" s="273"/>
      <c r="AD413" s="273"/>
      <c r="AE413" s="273"/>
      <c r="AF413" s="273"/>
      <c r="AG413" s="14"/>
      <c r="AH413" s="15"/>
      <c r="AI413" s="15"/>
      <c r="AJ413" s="15"/>
      <c r="AK413" s="15"/>
      <c r="AL413" s="13"/>
    </row>
    <row r="414" spans="1:38" x14ac:dyDescent="0.3">
      <c r="A414" s="259">
        <f>A411+1</f>
        <v>293</v>
      </c>
      <c r="B414" s="20" t="s">
        <v>1599</v>
      </c>
      <c r="C414" s="273">
        <f>D414+K414+L414+N414+P414+R414+T414+V414+W414+X414</f>
        <v>3234576</v>
      </c>
      <c r="D414" s="273"/>
      <c r="E414" s="273"/>
      <c r="F414" s="273"/>
      <c r="G414" s="273"/>
      <c r="H414" s="273"/>
      <c r="I414" s="273"/>
      <c r="J414" s="50"/>
      <c r="K414" s="273"/>
      <c r="L414" s="273"/>
      <c r="M414" s="273"/>
      <c r="N414" s="273"/>
      <c r="O414" s="273"/>
      <c r="P414" s="273"/>
      <c r="Q414" s="273">
        <v>503</v>
      </c>
      <c r="R414" s="273">
        <v>3234576</v>
      </c>
      <c r="S414" s="273"/>
      <c r="T414" s="273"/>
      <c r="U414" s="273"/>
      <c r="V414" s="273"/>
      <c r="W414" s="273"/>
      <c r="X414" s="283"/>
      <c r="Y414" s="273"/>
      <c r="Z414" s="273">
        <v>120758.05</v>
      </c>
      <c r="AA414" s="273"/>
      <c r="AB414" s="273"/>
      <c r="AC414" s="273"/>
      <c r="AD414" s="273"/>
      <c r="AE414" s="273"/>
      <c r="AF414" s="273"/>
      <c r="AG414" s="14"/>
      <c r="AH414" s="15"/>
      <c r="AI414" s="15"/>
      <c r="AJ414" s="15"/>
      <c r="AK414" s="15"/>
      <c r="AL414" s="13"/>
    </row>
    <row r="415" spans="1:38" x14ac:dyDescent="0.3">
      <c r="A415" s="259"/>
      <c r="B415" s="20" t="s">
        <v>208</v>
      </c>
      <c r="C415" s="273">
        <f t="shared" ref="C415:W415" si="83">SUM(C414:C414)</f>
        <v>3234576</v>
      </c>
      <c r="D415" s="273">
        <f t="shared" si="83"/>
        <v>0</v>
      </c>
      <c r="E415" s="273">
        <f t="shared" si="83"/>
        <v>0</v>
      </c>
      <c r="F415" s="273">
        <f t="shared" si="83"/>
        <v>0</v>
      </c>
      <c r="G415" s="273">
        <f t="shared" si="83"/>
        <v>0</v>
      </c>
      <c r="H415" s="273">
        <f t="shared" si="83"/>
        <v>0</v>
      </c>
      <c r="I415" s="273">
        <f t="shared" si="83"/>
        <v>0</v>
      </c>
      <c r="J415" s="50">
        <f t="shared" si="83"/>
        <v>0</v>
      </c>
      <c r="K415" s="273">
        <f t="shared" si="83"/>
        <v>0</v>
      </c>
      <c r="L415" s="273">
        <f t="shared" si="83"/>
        <v>0</v>
      </c>
      <c r="M415" s="273">
        <f t="shared" si="83"/>
        <v>0</v>
      </c>
      <c r="N415" s="273">
        <f t="shared" si="83"/>
        <v>0</v>
      </c>
      <c r="O415" s="273">
        <f t="shared" si="83"/>
        <v>0</v>
      </c>
      <c r="P415" s="273">
        <f t="shared" si="83"/>
        <v>0</v>
      </c>
      <c r="Q415" s="273">
        <f t="shared" si="83"/>
        <v>503</v>
      </c>
      <c r="R415" s="273">
        <f t="shared" si="83"/>
        <v>3234576</v>
      </c>
      <c r="S415" s="273">
        <f t="shared" si="83"/>
        <v>0</v>
      </c>
      <c r="T415" s="273">
        <f t="shared" si="83"/>
        <v>0</v>
      </c>
      <c r="U415" s="273">
        <f t="shared" si="83"/>
        <v>0</v>
      </c>
      <c r="V415" s="273">
        <f t="shared" si="83"/>
        <v>0</v>
      </c>
      <c r="W415" s="273">
        <f t="shared" si="83"/>
        <v>0</v>
      </c>
      <c r="X415" s="83">
        <f>SUM(X414:X414)</f>
        <v>0</v>
      </c>
      <c r="Y415" s="273"/>
      <c r="Z415" s="273"/>
      <c r="AA415" s="273"/>
      <c r="AB415" s="273"/>
      <c r="AC415" s="273"/>
      <c r="AD415" s="273"/>
      <c r="AE415" s="273"/>
      <c r="AF415" s="273"/>
      <c r="AG415" s="14"/>
      <c r="AH415" s="15"/>
      <c r="AI415" s="15"/>
      <c r="AJ415" s="15"/>
      <c r="AK415" s="15"/>
      <c r="AL415" s="13"/>
    </row>
    <row r="416" spans="1:38" x14ac:dyDescent="0.3">
      <c r="A416" s="291" t="s">
        <v>1609</v>
      </c>
      <c r="B416" s="291"/>
      <c r="C416" s="273"/>
      <c r="D416" s="273"/>
      <c r="E416" s="273"/>
      <c r="F416" s="273"/>
      <c r="G416" s="273"/>
      <c r="H416" s="273"/>
      <c r="I416" s="273"/>
      <c r="J416" s="50"/>
      <c r="K416" s="273"/>
      <c r="L416" s="273"/>
      <c r="M416" s="273"/>
      <c r="N416" s="273"/>
      <c r="O416" s="273"/>
      <c r="P416" s="273"/>
      <c r="Q416" s="273"/>
      <c r="R416" s="273"/>
      <c r="S416" s="273"/>
      <c r="T416" s="273"/>
      <c r="U416" s="273"/>
      <c r="V416" s="273"/>
      <c r="W416" s="273"/>
      <c r="X416" s="283"/>
      <c r="Y416" s="273"/>
      <c r="Z416" s="273"/>
      <c r="AA416" s="273"/>
      <c r="AB416" s="273"/>
      <c r="AC416" s="273"/>
      <c r="AD416" s="273"/>
      <c r="AE416" s="273"/>
      <c r="AF416" s="273"/>
      <c r="AG416" s="14"/>
      <c r="AH416" s="15"/>
      <c r="AI416" s="15"/>
      <c r="AJ416" s="15"/>
      <c r="AK416" s="15"/>
      <c r="AL416" s="13"/>
    </row>
    <row r="417" spans="1:38" x14ac:dyDescent="0.3">
      <c r="A417" s="259">
        <f>A414+1</f>
        <v>294</v>
      </c>
      <c r="B417" s="20" t="s">
        <v>1611</v>
      </c>
      <c r="C417" s="273">
        <f t="shared" ref="C417:C431" si="84">D417+K417+L417+N417+P417+R417+S417+V417+W417+X417</f>
        <v>40433824.799999997</v>
      </c>
      <c r="D417" s="273"/>
      <c r="E417" s="273"/>
      <c r="F417" s="273"/>
      <c r="G417" s="273"/>
      <c r="H417" s="273"/>
      <c r="I417" s="273"/>
      <c r="J417" s="50"/>
      <c r="K417" s="273"/>
      <c r="L417" s="273"/>
      <c r="M417" s="273"/>
      <c r="N417" s="273"/>
      <c r="O417" s="273"/>
      <c r="P417" s="273"/>
      <c r="Q417" s="273">
        <v>3440.5</v>
      </c>
      <c r="R417" s="273">
        <v>40433824.799999997</v>
      </c>
      <c r="S417" s="273"/>
      <c r="T417" s="273"/>
      <c r="U417" s="273"/>
      <c r="V417" s="273"/>
      <c r="W417" s="273"/>
      <c r="X417" s="283"/>
      <c r="Y417" s="273"/>
      <c r="Z417" s="273"/>
      <c r="AA417" s="273"/>
      <c r="AB417" s="273"/>
      <c r="AC417" s="273"/>
      <c r="AD417" s="273"/>
      <c r="AE417" s="273"/>
      <c r="AF417" s="273"/>
      <c r="AG417" s="14"/>
      <c r="AH417" s="15"/>
      <c r="AI417" s="15"/>
      <c r="AJ417" s="15"/>
      <c r="AK417" s="15"/>
      <c r="AL417" s="13"/>
    </row>
    <row r="418" spans="1:38" x14ac:dyDescent="0.3">
      <c r="A418" s="259">
        <f t="shared" ref="A418:A431" si="85">A417+1</f>
        <v>295</v>
      </c>
      <c r="B418" s="20" t="s">
        <v>1613</v>
      </c>
      <c r="C418" s="273">
        <f t="shared" si="84"/>
        <v>75425814</v>
      </c>
      <c r="D418" s="273"/>
      <c r="E418" s="273"/>
      <c r="F418" s="273"/>
      <c r="G418" s="273"/>
      <c r="H418" s="273"/>
      <c r="I418" s="273"/>
      <c r="J418" s="50"/>
      <c r="K418" s="273"/>
      <c r="L418" s="273"/>
      <c r="M418" s="273"/>
      <c r="N418" s="273"/>
      <c r="O418" s="273"/>
      <c r="P418" s="273"/>
      <c r="Q418" s="273">
        <v>3440.5</v>
      </c>
      <c r="R418" s="273">
        <v>75425814</v>
      </c>
      <c r="S418" s="273"/>
      <c r="T418" s="273"/>
      <c r="U418" s="273"/>
      <c r="V418" s="273"/>
      <c r="W418" s="273"/>
      <c r="X418" s="283"/>
      <c r="Y418" s="12"/>
      <c r="Z418" s="273"/>
      <c r="AA418" s="273"/>
      <c r="AB418" s="273"/>
      <c r="AC418" s="273"/>
      <c r="AD418" s="273"/>
      <c r="AE418" s="273"/>
      <c r="AF418" s="273"/>
      <c r="AG418" s="14"/>
      <c r="AH418" s="15"/>
      <c r="AI418" s="15"/>
      <c r="AJ418" s="15"/>
      <c r="AK418" s="15"/>
      <c r="AL418" s="13"/>
    </row>
    <row r="419" spans="1:38" x14ac:dyDescent="0.3">
      <c r="A419" s="259">
        <f t="shared" si="85"/>
        <v>296</v>
      </c>
      <c r="B419" s="20" t="s">
        <v>1614</v>
      </c>
      <c r="C419" s="273">
        <f t="shared" si="84"/>
        <v>37478562</v>
      </c>
      <c r="D419" s="273"/>
      <c r="E419" s="273"/>
      <c r="F419" s="273"/>
      <c r="G419" s="273"/>
      <c r="H419" s="273"/>
      <c r="I419" s="273"/>
      <c r="J419" s="50"/>
      <c r="K419" s="273"/>
      <c r="L419" s="273"/>
      <c r="M419" s="273"/>
      <c r="N419" s="273"/>
      <c r="O419" s="273"/>
      <c r="P419" s="273"/>
      <c r="Q419" s="273">
        <v>2800</v>
      </c>
      <c r="R419" s="273">
        <v>37478562</v>
      </c>
      <c r="S419" s="273"/>
      <c r="T419" s="273"/>
      <c r="U419" s="273"/>
      <c r="V419" s="273"/>
      <c r="W419" s="273"/>
      <c r="X419" s="283"/>
      <c r="Y419" s="12"/>
      <c r="Z419" s="273"/>
      <c r="AA419" s="273"/>
      <c r="AB419" s="273"/>
      <c r="AC419" s="273"/>
      <c r="AD419" s="273"/>
      <c r="AE419" s="273"/>
      <c r="AF419" s="273"/>
      <c r="AG419" s="14"/>
      <c r="AH419" s="15"/>
      <c r="AI419" s="15"/>
      <c r="AJ419" s="15"/>
      <c r="AK419" s="15"/>
      <c r="AL419" s="13"/>
    </row>
    <row r="420" spans="1:38" x14ac:dyDescent="0.3">
      <c r="A420" s="259">
        <f t="shared" si="85"/>
        <v>297</v>
      </c>
      <c r="B420" s="20" t="s">
        <v>1615</v>
      </c>
      <c r="C420" s="273">
        <f t="shared" si="84"/>
        <v>72717076.799999997</v>
      </c>
      <c r="D420" s="273"/>
      <c r="E420" s="273"/>
      <c r="F420" s="273"/>
      <c r="G420" s="273"/>
      <c r="H420" s="273"/>
      <c r="I420" s="273"/>
      <c r="J420" s="50"/>
      <c r="K420" s="273"/>
      <c r="L420" s="273"/>
      <c r="M420" s="273"/>
      <c r="N420" s="273"/>
      <c r="O420" s="273"/>
      <c r="P420" s="273"/>
      <c r="Q420" s="273">
        <v>4320</v>
      </c>
      <c r="R420" s="273">
        <v>72717076.799999997</v>
      </c>
      <c r="S420" s="273"/>
      <c r="T420" s="273"/>
      <c r="U420" s="273"/>
      <c r="V420" s="273"/>
      <c r="W420" s="273"/>
      <c r="X420" s="283"/>
      <c r="Y420" s="12"/>
      <c r="Z420" s="273"/>
      <c r="AA420" s="273"/>
      <c r="AB420" s="273"/>
      <c r="AC420" s="273"/>
      <c r="AD420" s="273"/>
      <c r="AE420" s="273"/>
      <c r="AF420" s="273"/>
      <c r="AG420" s="14"/>
      <c r="AH420" s="15"/>
      <c r="AI420" s="15"/>
      <c r="AJ420" s="15"/>
      <c r="AK420" s="15"/>
      <c r="AL420" s="13"/>
    </row>
    <row r="421" spans="1:38" ht="31.2" x14ac:dyDescent="0.3">
      <c r="A421" s="259">
        <f t="shared" si="85"/>
        <v>298</v>
      </c>
      <c r="B421" s="20" t="s">
        <v>1618</v>
      </c>
      <c r="C421" s="273">
        <f t="shared" si="84"/>
        <v>50112697.200000003</v>
      </c>
      <c r="D421" s="273"/>
      <c r="E421" s="273"/>
      <c r="F421" s="273"/>
      <c r="G421" s="273"/>
      <c r="H421" s="273"/>
      <c r="I421" s="273"/>
      <c r="J421" s="50"/>
      <c r="K421" s="273"/>
      <c r="L421" s="273"/>
      <c r="M421" s="273"/>
      <c r="N421" s="273"/>
      <c r="O421" s="273"/>
      <c r="P421" s="273"/>
      <c r="Q421" s="273">
        <v>3462.78</v>
      </c>
      <c r="R421" s="273">
        <v>50112697.200000003</v>
      </c>
      <c r="S421" s="273"/>
      <c r="T421" s="273"/>
      <c r="U421" s="273"/>
      <c r="V421" s="273"/>
      <c r="W421" s="273"/>
      <c r="X421" s="283"/>
      <c r="Y421" s="12"/>
      <c r="Z421" s="273"/>
      <c r="AA421" s="273"/>
      <c r="AB421" s="273"/>
      <c r="AC421" s="273"/>
      <c r="AD421" s="273"/>
      <c r="AE421" s="273"/>
      <c r="AF421" s="273"/>
      <c r="AG421" s="14"/>
      <c r="AH421" s="15"/>
      <c r="AI421" s="15"/>
      <c r="AJ421" s="15"/>
      <c r="AK421" s="15"/>
      <c r="AL421" s="13"/>
    </row>
    <row r="422" spans="1:38" ht="31.2" x14ac:dyDescent="0.3">
      <c r="A422" s="259">
        <f t="shared" si="85"/>
        <v>299</v>
      </c>
      <c r="B422" s="20" t="s">
        <v>1619</v>
      </c>
      <c r="C422" s="273">
        <f t="shared" si="84"/>
        <v>37756554</v>
      </c>
      <c r="D422" s="273"/>
      <c r="E422" s="273"/>
      <c r="F422" s="273"/>
      <c r="G422" s="273"/>
      <c r="H422" s="273"/>
      <c r="I422" s="273"/>
      <c r="J422" s="50"/>
      <c r="K422" s="273"/>
      <c r="L422" s="273"/>
      <c r="M422" s="273"/>
      <c r="N422" s="273"/>
      <c r="O422" s="273"/>
      <c r="P422" s="273"/>
      <c r="Q422" s="273">
        <v>1840</v>
      </c>
      <c r="R422" s="273">
        <v>37756554</v>
      </c>
      <c r="S422" s="273"/>
      <c r="T422" s="273"/>
      <c r="U422" s="273"/>
      <c r="V422" s="273"/>
      <c r="W422" s="273"/>
      <c r="X422" s="283"/>
      <c r="Y422" s="12"/>
      <c r="Z422" s="273"/>
      <c r="AA422" s="273"/>
      <c r="AB422" s="273"/>
      <c r="AC422" s="273"/>
      <c r="AD422" s="273"/>
      <c r="AE422" s="273"/>
      <c r="AF422" s="273"/>
      <c r="AG422" s="14"/>
      <c r="AH422" s="15"/>
      <c r="AI422" s="15"/>
      <c r="AJ422" s="15"/>
      <c r="AK422" s="15"/>
      <c r="AL422" s="13"/>
    </row>
    <row r="423" spans="1:38" ht="31.2" x14ac:dyDescent="0.3">
      <c r="A423" s="259">
        <f t="shared" si="85"/>
        <v>300</v>
      </c>
      <c r="B423" s="20" t="s">
        <v>1620</v>
      </c>
      <c r="C423" s="273">
        <f t="shared" si="84"/>
        <v>10293680.4</v>
      </c>
      <c r="D423" s="273"/>
      <c r="E423" s="273"/>
      <c r="F423" s="273"/>
      <c r="G423" s="273"/>
      <c r="H423" s="273"/>
      <c r="I423" s="273"/>
      <c r="J423" s="50"/>
      <c r="K423" s="273"/>
      <c r="L423" s="273"/>
      <c r="M423" s="273"/>
      <c r="N423" s="273"/>
      <c r="O423" s="273"/>
      <c r="P423" s="273"/>
      <c r="Q423" s="273">
        <v>1414.6</v>
      </c>
      <c r="R423" s="273">
        <v>10293680.4</v>
      </c>
      <c r="S423" s="273"/>
      <c r="T423" s="273"/>
      <c r="U423" s="273"/>
      <c r="V423" s="273"/>
      <c r="W423" s="273"/>
      <c r="X423" s="283"/>
      <c r="Y423" s="12"/>
      <c r="Z423" s="273"/>
      <c r="AA423" s="273"/>
      <c r="AB423" s="273"/>
      <c r="AC423" s="273"/>
      <c r="AD423" s="273"/>
      <c r="AE423" s="273"/>
      <c r="AF423" s="273"/>
      <c r="AG423" s="14"/>
      <c r="AH423" s="15"/>
      <c r="AI423" s="15"/>
      <c r="AJ423" s="15"/>
      <c r="AK423" s="15"/>
      <c r="AL423" s="13"/>
    </row>
    <row r="424" spans="1:38" x14ac:dyDescent="0.3">
      <c r="A424" s="259">
        <f t="shared" si="85"/>
        <v>301</v>
      </c>
      <c r="B424" s="20" t="s">
        <v>1623</v>
      </c>
      <c r="C424" s="273">
        <f t="shared" si="84"/>
        <v>17061554.399999999</v>
      </c>
      <c r="D424" s="273"/>
      <c r="E424" s="273"/>
      <c r="F424" s="273"/>
      <c r="G424" s="273"/>
      <c r="H424" s="273"/>
      <c r="I424" s="273"/>
      <c r="J424" s="50"/>
      <c r="K424" s="273"/>
      <c r="L424" s="273"/>
      <c r="M424" s="273"/>
      <c r="N424" s="273"/>
      <c r="O424" s="273"/>
      <c r="P424" s="273"/>
      <c r="Q424" s="273">
        <v>2370.6999999999998</v>
      </c>
      <c r="R424" s="273">
        <v>17061554.399999999</v>
      </c>
      <c r="S424" s="273"/>
      <c r="T424" s="273"/>
      <c r="U424" s="273"/>
      <c r="V424" s="273"/>
      <c r="W424" s="273"/>
      <c r="X424" s="283"/>
      <c r="Y424" s="12"/>
      <c r="Z424" s="273"/>
      <c r="AA424" s="273"/>
      <c r="AB424" s="273"/>
      <c r="AC424" s="273"/>
      <c r="AD424" s="273"/>
      <c r="AE424" s="273"/>
      <c r="AF424" s="273"/>
      <c r="AG424" s="14"/>
      <c r="AH424" s="15"/>
      <c r="AI424" s="15"/>
      <c r="AJ424" s="15"/>
      <c r="AK424" s="15"/>
      <c r="AL424" s="13"/>
    </row>
    <row r="425" spans="1:38" x14ac:dyDescent="0.3">
      <c r="A425" s="259">
        <f t="shared" si="85"/>
        <v>302</v>
      </c>
      <c r="B425" s="20" t="s">
        <v>1624</v>
      </c>
      <c r="C425" s="273">
        <f t="shared" si="84"/>
        <v>10965387.6</v>
      </c>
      <c r="D425" s="273"/>
      <c r="E425" s="273"/>
      <c r="F425" s="273"/>
      <c r="G425" s="273"/>
      <c r="H425" s="273"/>
      <c r="I425" s="273"/>
      <c r="J425" s="50"/>
      <c r="K425" s="273"/>
      <c r="L425" s="273"/>
      <c r="M425" s="273"/>
      <c r="N425" s="273"/>
      <c r="O425" s="273"/>
      <c r="P425" s="273"/>
      <c r="Q425" s="273">
        <v>1916.8</v>
      </c>
      <c r="R425" s="273">
        <v>10965387.6</v>
      </c>
      <c r="S425" s="273"/>
      <c r="T425" s="273"/>
      <c r="U425" s="273"/>
      <c r="V425" s="273"/>
      <c r="W425" s="273"/>
      <c r="X425" s="283"/>
      <c r="Y425" s="12"/>
      <c r="Z425" s="273"/>
      <c r="AA425" s="273"/>
      <c r="AB425" s="273"/>
      <c r="AC425" s="273"/>
      <c r="AD425" s="273"/>
      <c r="AE425" s="273"/>
      <c r="AF425" s="273"/>
      <c r="AG425" s="14"/>
      <c r="AH425" s="15"/>
      <c r="AI425" s="15"/>
      <c r="AJ425" s="15"/>
      <c r="AK425" s="15"/>
      <c r="AL425" s="13"/>
    </row>
    <row r="426" spans="1:38" x14ac:dyDescent="0.3">
      <c r="A426" s="259">
        <f t="shared" si="85"/>
        <v>303</v>
      </c>
      <c r="B426" s="20" t="s">
        <v>1629</v>
      </c>
      <c r="C426" s="273">
        <f t="shared" si="84"/>
        <v>21019412.399999999</v>
      </c>
      <c r="D426" s="273"/>
      <c r="E426" s="273"/>
      <c r="F426" s="273"/>
      <c r="G426" s="273"/>
      <c r="H426" s="273"/>
      <c r="I426" s="273"/>
      <c r="J426" s="50"/>
      <c r="K426" s="273"/>
      <c r="L426" s="273"/>
      <c r="M426" s="273"/>
      <c r="N426" s="273"/>
      <c r="O426" s="273"/>
      <c r="P426" s="273"/>
      <c r="Q426" s="273">
        <v>2622.5</v>
      </c>
      <c r="R426" s="273">
        <v>21019412.399999999</v>
      </c>
      <c r="S426" s="273"/>
      <c r="T426" s="273"/>
      <c r="U426" s="273"/>
      <c r="V426" s="273"/>
      <c r="W426" s="273"/>
      <c r="X426" s="283"/>
      <c r="Y426" s="12"/>
      <c r="Z426" s="273"/>
      <c r="AA426" s="273"/>
      <c r="AB426" s="273"/>
      <c r="AC426" s="273"/>
      <c r="AD426" s="273"/>
      <c r="AE426" s="273"/>
      <c r="AF426" s="273"/>
      <c r="AG426" s="14"/>
      <c r="AH426" s="15"/>
      <c r="AI426" s="15"/>
      <c r="AJ426" s="15"/>
      <c r="AK426" s="15"/>
      <c r="AL426" s="13"/>
    </row>
    <row r="427" spans="1:38" x14ac:dyDescent="0.3">
      <c r="A427" s="259">
        <f t="shared" si="85"/>
        <v>304</v>
      </c>
      <c r="B427" s="20" t="s">
        <v>1636</v>
      </c>
      <c r="C427" s="273">
        <f t="shared" si="84"/>
        <v>70944207.599999994</v>
      </c>
      <c r="D427" s="273"/>
      <c r="E427" s="273"/>
      <c r="F427" s="273"/>
      <c r="G427" s="273"/>
      <c r="H427" s="273"/>
      <c r="I427" s="273"/>
      <c r="J427" s="50"/>
      <c r="K427" s="273"/>
      <c r="L427" s="273"/>
      <c r="M427" s="273"/>
      <c r="N427" s="273"/>
      <c r="O427" s="273"/>
      <c r="P427" s="273"/>
      <c r="Q427" s="273">
        <v>10023</v>
      </c>
      <c r="R427" s="273">
        <v>70944207.599999994</v>
      </c>
      <c r="S427" s="273"/>
      <c r="T427" s="273"/>
      <c r="U427" s="273"/>
      <c r="V427" s="273"/>
      <c r="W427" s="273"/>
      <c r="X427" s="283"/>
      <c r="Y427" s="273"/>
      <c r="Z427" s="273"/>
      <c r="AA427" s="273"/>
      <c r="AB427" s="273"/>
      <c r="AC427" s="273"/>
      <c r="AD427" s="273"/>
      <c r="AE427" s="273"/>
      <c r="AF427" s="273"/>
      <c r="AG427" s="14"/>
      <c r="AH427" s="15"/>
      <c r="AI427" s="15"/>
      <c r="AJ427" s="15"/>
      <c r="AK427" s="15"/>
      <c r="AL427" s="13"/>
    </row>
    <row r="428" spans="1:38" x14ac:dyDescent="0.3">
      <c r="A428" s="259">
        <f t="shared" si="85"/>
        <v>305</v>
      </c>
      <c r="B428" s="20" t="s">
        <v>1637</v>
      </c>
      <c r="C428" s="273">
        <f t="shared" si="84"/>
        <v>34242170.399999999</v>
      </c>
      <c r="D428" s="273"/>
      <c r="E428" s="273"/>
      <c r="F428" s="273"/>
      <c r="G428" s="273"/>
      <c r="H428" s="273"/>
      <c r="I428" s="273"/>
      <c r="J428" s="50"/>
      <c r="K428" s="273"/>
      <c r="L428" s="273"/>
      <c r="M428" s="273"/>
      <c r="N428" s="273"/>
      <c r="O428" s="273"/>
      <c r="P428" s="273"/>
      <c r="Q428" s="273">
        <v>3887.1</v>
      </c>
      <c r="R428" s="273">
        <v>34242170.399999999</v>
      </c>
      <c r="S428" s="273"/>
      <c r="T428" s="273"/>
      <c r="U428" s="273"/>
      <c r="V428" s="273"/>
      <c r="W428" s="273"/>
      <c r="X428" s="283"/>
      <c r="Y428" s="273"/>
      <c r="Z428" s="273"/>
      <c r="AA428" s="273"/>
      <c r="AB428" s="273"/>
      <c r="AC428" s="273"/>
      <c r="AD428" s="273"/>
      <c r="AE428" s="273"/>
      <c r="AF428" s="273"/>
      <c r="AG428" s="14"/>
      <c r="AH428" s="15"/>
      <c r="AI428" s="15"/>
      <c r="AJ428" s="15"/>
      <c r="AK428" s="15"/>
      <c r="AL428" s="13"/>
    </row>
    <row r="429" spans="1:38" x14ac:dyDescent="0.3">
      <c r="A429" s="259">
        <f t="shared" si="85"/>
        <v>306</v>
      </c>
      <c r="B429" s="20" t="s">
        <v>1640</v>
      </c>
      <c r="C429" s="273">
        <f t="shared" si="84"/>
        <v>59581736.399999999</v>
      </c>
      <c r="D429" s="273"/>
      <c r="E429" s="273"/>
      <c r="F429" s="273"/>
      <c r="G429" s="273"/>
      <c r="H429" s="273"/>
      <c r="I429" s="273"/>
      <c r="J429" s="50"/>
      <c r="K429" s="273"/>
      <c r="L429" s="273"/>
      <c r="M429" s="273"/>
      <c r="N429" s="273"/>
      <c r="O429" s="273"/>
      <c r="P429" s="273"/>
      <c r="Q429" s="273">
        <v>7250.9</v>
      </c>
      <c r="R429" s="273">
        <v>59581736.399999999</v>
      </c>
      <c r="S429" s="273"/>
      <c r="T429" s="273"/>
      <c r="U429" s="273"/>
      <c r="V429" s="273"/>
      <c r="W429" s="273"/>
      <c r="X429" s="283"/>
      <c r="Y429" s="273"/>
      <c r="Z429" s="273"/>
      <c r="AA429" s="273"/>
      <c r="AB429" s="273"/>
      <c r="AC429" s="273"/>
      <c r="AD429" s="273"/>
      <c r="AE429" s="273"/>
      <c r="AF429" s="273"/>
      <c r="AG429" s="14"/>
      <c r="AH429" s="15"/>
      <c r="AI429" s="15"/>
      <c r="AJ429" s="15"/>
      <c r="AK429" s="15"/>
      <c r="AL429" s="13"/>
    </row>
    <row r="430" spans="1:38" x14ac:dyDescent="0.3">
      <c r="A430" s="259">
        <f t="shared" si="85"/>
        <v>307</v>
      </c>
      <c r="B430" s="20" t="s">
        <v>1644</v>
      </c>
      <c r="C430" s="273">
        <f t="shared" si="84"/>
        <v>19628611.199999999</v>
      </c>
      <c r="D430" s="273"/>
      <c r="E430" s="273"/>
      <c r="F430" s="273"/>
      <c r="G430" s="273"/>
      <c r="H430" s="273"/>
      <c r="I430" s="273"/>
      <c r="J430" s="50"/>
      <c r="K430" s="273"/>
      <c r="L430" s="273"/>
      <c r="M430" s="273"/>
      <c r="N430" s="273"/>
      <c r="O430" s="273"/>
      <c r="P430" s="273"/>
      <c r="Q430" s="273">
        <v>2318.6</v>
      </c>
      <c r="R430" s="273">
        <v>19628611.199999999</v>
      </c>
      <c r="S430" s="273"/>
      <c r="T430" s="273"/>
      <c r="U430" s="273"/>
      <c r="V430" s="273"/>
      <c r="W430" s="273"/>
      <c r="X430" s="283"/>
      <c r="Y430" s="273"/>
      <c r="Z430" s="273"/>
      <c r="AA430" s="273"/>
      <c r="AB430" s="273"/>
      <c r="AC430" s="273"/>
      <c r="AD430" s="273"/>
      <c r="AE430" s="273"/>
      <c r="AF430" s="273"/>
      <c r="AG430" s="14"/>
      <c r="AH430" s="15"/>
      <c r="AI430" s="15"/>
      <c r="AJ430" s="15"/>
      <c r="AK430" s="15"/>
      <c r="AL430" s="13"/>
    </row>
    <row r="431" spans="1:38" x14ac:dyDescent="0.3">
      <c r="A431" s="259">
        <f t="shared" si="85"/>
        <v>308</v>
      </c>
      <c r="B431" s="20" t="s">
        <v>1645</v>
      </c>
      <c r="C431" s="273">
        <f t="shared" si="84"/>
        <v>34004422.799999997</v>
      </c>
      <c r="D431" s="273"/>
      <c r="E431" s="273"/>
      <c r="F431" s="273"/>
      <c r="G431" s="273"/>
      <c r="H431" s="273"/>
      <c r="I431" s="273"/>
      <c r="J431" s="50"/>
      <c r="K431" s="273"/>
      <c r="L431" s="273"/>
      <c r="M431" s="273"/>
      <c r="N431" s="273"/>
      <c r="O431" s="273"/>
      <c r="P431" s="273"/>
      <c r="Q431" s="273">
        <v>4057.55</v>
      </c>
      <c r="R431" s="273">
        <v>34004422.799999997</v>
      </c>
      <c r="S431" s="273"/>
      <c r="T431" s="273"/>
      <c r="U431" s="273"/>
      <c r="V431" s="273"/>
      <c r="W431" s="273"/>
      <c r="X431" s="283"/>
      <c r="Y431" s="273"/>
      <c r="Z431" s="273"/>
      <c r="AA431" s="273"/>
      <c r="AB431" s="273"/>
      <c r="AC431" s="273"/>
      <c r="AD431" s="273"/>
      <c r="AE431" s="273"/>
      <c r="AF431" s="273"/>
      <c r="AG431" s="14"/>
      <c r="AH431" s="15"/>
      <c r="AI431" s="15"/>
      <c r="AJ431" s="15"/>
      <c r="AK431" s="15"/>
      <c r="AL431" s="13"/>
    </row>
    <row r="432" spans="1:38" x14ac:dyDescent="0.3">
      <c r="A432" s="259"/>
      <c r="B432" s="20" t="s">
        <v>208</v>
      </c>
      <c r="C432" s="273">
        <f t="shared" ref="C432:W432" si="86">SUM(C417:C431)</f>
        <v>591665711.99999988</v>
      </c>
      <c r="D432" s="273">
        <f t="shared" si="86"/>
        <v>0</v>
      </c>
      <c r="E432" s="273">
        <f t="shared" si="86"/>
        <v>0</v>
      </c>
      <c r="F432" s="273">
        <f t="shared" si="86"/>
        <v>0</v>
      </c>
      <c r="G432" s="273">
        <f t="shared" si="86"/>
        <v>0</v>
      </c>
      <c r="H432" s="273">
        <f t="shared" si="86"/>
        <v>0</v>
      </c>
      <c r="I432" s="273">
        <f t="shared" si="86"/>
        <v>0</v>
      </c>
      <c r="J432" s="50">
        <f t="shared" si="86"/>
        <v>0</v>
      </c>
      <c r="K432" s="273">
        <f t="shared" si="86"/>
        <v>0</v>
      </c>
      <c r="L432" s="273">
        <f t="shared" si="86"/>
        <v>0</v>
      </c>
      <c r="M432" s="273">
        <f t="shared" si="86"/>
        <v>0</v>
      </c>
      <c r="N432" s="273">
        <f t="shared" si="86"/>
        <v>0</v>
      </c>
      <c r="O432" s="273">
        <f t="shared" si="86"/>
        <v>0</v>
      </c>
      <c r="P432" s="273">
        <f t="shared" si="86"/>
        <v>0</v>
      </c>
      <c r="Q432" s="273">
        <f t="shared" si="86"/>
        <v>55165.53</v>
      </c>
      <c r="R432" s="273">
        <f t="shared" si="86"/>
        <v>591665711.99999988</v>
      </c>
      <c r="S432" s="273">
        <f t="shared" si="86"/>
        <v>0</v>
      </c>
      <c r="T432" s="273">
        <f t="shared" si="86"/>
        <v>0</v>
      </c>
      <c r="U432" s="273">
        <f t="shared" si="86"/>
        <v>0</v>
      </c>
      <c r="V432" s="273">
        <f t="shared" si="86"/>
        <v>0</v>
      </c>
      <c r="W432" s="273">
        <f t="shared" si="86"/>
        <v>0</v>
      </c>
      <c r="X432" s="83">
        <f>SUM(X417:X431)</f>
        <v>0</v>
      </c>
      <c r="Y432" s="273"/>
      <c r="Z432" s="273"/>
      <c r="AA432" s="273"/>
      <c r="AB432" s="273"/>
      <c r="AC432" s="273"/>
      <c r="AD432" s="273"/>
      <c r="AE432" s="273"/>
      <c r="AF432" s="273"/>
      <c r="AG432" s="14"/>
      <c r="AH432" s="15"/>
      <c r="AI432" s="15"/>
      <c r="AJ432" s="15"/>
      <c r="AK432" s="15"/>
      <c r="AL432" s="13"/>
    </row>
    <row r="433" spans="1:38" x14ac:dyDescent="0.3">
      <c r="A433" s="291" t="s">
        <v>1646</v>
      </c>
      <c r="B433" s="291"/>
      <c r="C433" s="273"/>
      <c r="D433" s="273"/>
      <c r="E433" s="273"/>
      <c r="F433" s="273"/>
      <c r="G433" s="273"/>
      <c r="H433" s="273"/>
      <c r="I433" s="273"/>
      <c r="J433" s="50"/>
      <c r="K433" s="273"/>
      <c r="L433" s="273"/>
      <c r="M433" s="273"/>
      <c r="N433" s="273"/>
      <c r="O433" s="273"/>
      <c r="P433" s="273"/>
      <c r="Q433" s="273"/>
      <c r="R433" s="273"/>
      <c r="S433" s="273"/>
      <c r="T433" s="273"/>
      <c r="U433" s="273"/>
      <c r="V433" s="273"/>
      <c r="W433" s="273"/>
      <c r="X433" s="283"/>
      <c r="Y433" s="273"/>
      <c r="Z433" s="273"/>
      <c r="AA433" s="273"/>
      <c r="AB433" s="273"/>
      <c r="AC433" s="273"/>
      <c r="AD433" s="273"/>
      <c r="AE433" s="273"/>
      <c r="AF433" s="273"/>
      <c r="AG433" s="14"/>
      <c r="AH433" s="15"/>
      <c r="AI433" s="15"/>
      <c r="AJ433" s="15"/>
      <c r="AK433" s="15"/>
      <c r="AL433" s="13"/>
    </row>
    <row r="434" spans="1:38" x14ac:dyDescent="0.3">
      <c r="A434" s="259">
        <f>A431+1</f>
        <v>309</v>
      </c>
      <c r="B434" s="20" t="s">
        <v>1647</v>
      </c>
      <c r="C434" s="273">
        <f t="shared" ref="C434:C440" si="87">D434+K434+L434+N434+P434+R434+S434+V434+W434+X434</f>
        <v>215362.36</v>
      </c>
      <c r="D434" s="273">
        <f t="shared" ref="D434:D440" si="88">E434+F434+G434+H434+I434</f>
        <v>0</v>
      </c>
      <c r="E434" s="273"/>
      <c r="F434" s="273"/>
      <c r="G434" s="273"/>
      <c r="H434" s="273"/>
      <c r="I434" s="273"/>
      <c r="J434" s="50"/>
      <c r="K434" s="273"/>
      <c r="L434" s="273"/>
      <c r="M434" s="273"/>
      <c r="N434" s="273"/>
      <c r="O434" s="273"/>
      <c r="P434" s="273"/>
      <c r="Q434" s="273"/>
      <c r="R434" s="273"/>
      <c r="S434" s="273"/>
      <c r="T434" s="273"/>
      <c r="U434" s="273"/>
      <c r="V434" s="273"/>
      <c r="W434" s="273">
        <f t="shared" ref="W434:W440" si="89">SUM(Y434:AG434)</f>
        <v>215362.36</v>
      </c>
      <c r="X434" s="273"/>
      <c r="Y434" s="273"/>
      <c r="Z434" s="273"/>
      <c r="AA434" s="273"/>
      <c r="AB434" s="273"/>
      <c r="AC434" s="273"/>
      <c r="AD434" s="273">
        <v>215362.36</v>
      </c>
      <c r="AF434" s="14"/>
      <c r="AG434" s="15"/>
      <c r="AI434" s="15"/>
      <c r="AJ434" s="15"/>
      <c r="AK434" s="15"/>
      <c r="AL434" s="13"/>
    </row>
    <row r="435" spans="1:38" x14ac:dyDescent="0.3">
      <c r="A435" s="259">
        <f t="shared" ref="A435:A440" si="90">A434+1</f>
        <v>310</v>
      </c>
      <c r="B435" s="20" t="s">
        <v>1648</v>
      </c>
      <c r="C435" s="273">
        <f t="shared" si="87"/>
        <v>207566.65</v>
      </c>
      <c r="D435" s="273">
        <f t="shared" si="88"/>
        <v>0</v>
      </c>
      <c r="E435" s="273"/>
      <c r="F435" s="273"/>
      <c r="G435" s="273"/>
      <c r="H435" s="273"/>
      <c r="I435" s="273"/>
      <c r="J435" s="50"/>
      <c r="K435" s="273"/>
      <c r="L435" s="273"/>
      <c r="M435" s="273"/>
      <c r="N435" s="273"/>
      <c r="O435" s="273"/>
      <c r="P435" s="273"/>
      <c r="Q435" s="273"/>
      <c r="R435" s="273"/>
      <c r="S435" s="273"/>
      <c r="T435" s="273"/>
      <c r="U435" s="273"/>
      <c r="V435" s="273"/>
      <c r="W435" s="273">
        <f t="shared" si="89"/>
        <v>207566.65</v>
      </c>
      <c r="X435" s="273"/>
      <c r="Y435" s="273"/>
      <c r="Z435" s="273"/>
      <c r="AA435" s="273"/>
      <c r="AB435" s="273"/>
      <c r="AC435" s="273"/>
      <c r="AD435" s="273">
        <v>207566.65</v>
      </c>
      <c r="AF435" s="14"/>
      <c r="AG435" s="15"/>
      <c r="AI435" s="15"/>
      <c r="AJ435" s="15"/>
      <c r="AK435" s="15"/>
      <c r="AL435" s="13"/>
    </row>
    <row r="436" spans="1:38" x14ac:dyDescent="0.3">
      <c r="A436" s="259">
        <f t="shared" si="90"/>
        <v>311</v>
      </c>
      <c r="B436" s="20" t="s">
        <v>1649</v>
      </c>
      <c r="C436" s="273">
        <f t="shared" si="87"/>
        <v>116124.9</v>
      </c>
      <c r="D436" s="273">
        <f t="shared" si="88"/>
        <v>0</v>
      </c>
      <c r="E436" s="273"/>
      <c r="F436" s="273"/>
      <c r="G436" s="273"/>
      <c r="H436" s="273"/>
      <c r="I436" s="273"/>
      <c r="J436" s="50"/>
      <c r="K436" s="273"/>
      <c r="L436" s="273"/>
      <c r="M436" s="273"/>
      <c r="N436" s="273"/>
      <c r="O436" s="273"/>
      <c r="P436" s="273"/>
      <c r="Q436" s="273"/>
      <c r="R436" s="273"/>
      <c r="S436" s="273"/>
      <c r="T436" s="273"/>
      <c r="U436" s="273"/>
      <c r="V436" s="273"/>
      <c r="W436" s="273">
        <f t="shared" si="89"/>
        <v>116124.9</v>
      </c>
      <c r="X436" s="273"/>
      <c r="Y436" s="273">
        <v>116124.9</v>
      </c>
      <c r="Z436" s="273"/>
      <c r="AA436" s="273"/>
      <c r="AB436" s="273"/>
      <c r="AC436" s="273"/>
      <c r="AD436" s="273"/>
      <c r="AF436" s="14"/>
      <c r="AG436" s="15"/>
      <c r="AI436" s="15"/>
      <c r="AJ436" s="15"/>
      <c r="AK436" s="15"/>
      <c r="AL436" s="13"/>
    </row>
    <row r="437" spans="1:38" x14ac:dyDescent="0.3">
      <c r="A437" s="259">
        <f t="shared" si="90"/>
        <v>312</v>
      </c>
      <c r="B437" s="20" t="s">
        <v>1650</v>
      </c>
      <c r="C437" s="273">
        <f t="shared" si="87"/>
        <v>128805.4</v>
      </c>
      <c r="D437" s="273">
        <f t="shared" si="88"/>
        <v>0</v>
      </c>
      <c r="E437" s="273"/>
      <c r="F437" s="273"/>
      <c r="G437" s="273"/>
      <c r="H437" s="273"/>
      <c r="I437" s="273"/>
      <c r="J437" s="50"/>
      <c r="K437" s="273"/>
      <c r="L437" s="273"/>
      <c r="M437" s="273"/>
      <c r="N437" s="273"/>
      <c r="O437" s="273"/>
      <c r="P437" s="273"/>
      <c r="Q437" s="273"/>
      <c r="R437" s="273"/>
      <c r="S437" s="273"/>
      <c r="T437" s="273"/>
      <c r="U437" s="273"/>
      <c r="V437" s="273"/>
      <c r="W437" s="273">
        <f t="shared" si="89"/>
        <v>128805.4</v>
      </c>
      <c r="X437" s="273"/>
      <c r="Y437" s="273">
        <v>128805.4</v>
      </c>
      <c r="Z437" s="273"/>
      <c r="AA437" s="273"/>
      <c r="AB437" s="273"/>
      <c r="AC437" s="273"/>
      <c r="AD437" s="273"/>
      <c r="AF437" s="14"/>
      <c r="AG437" s="15"/>
      <c r="AI437" s="15"/>
      <c r="AJ437" s="15"/>
      <c r="AK437" s="15"/>
      <c r="AL437" s="13"/>
    </row>
    <row r="438" spans="1:38" x14ac:dyDescent="0.3">
      <c r="A438" s="259">
        <f t="shared" si="90"/>
        <v>313</v>
      </c>
      <c r="B438" s="20" t="s">
        <v>1651</v>
      </c>
      <c r="C438" s="273">
        <f t="shared" si="87"/>
        <v>176443.19</v>
      </c>
      <c r="D438" s="273">
        <f t="shared" si="88"/>
        <v>0</v>
      </c>
      <c r="E438" s="273"/>
      <c r="F438" s="273"/>
      <c r="G438" s="273"/>
      <c r="H438" s="273"/>
      <c r="I438" s="273"/>
      <c r="J438" s="50"/>
      <c r="K438" s="273"/>
      <c r="L438" s="273"/>
      <c r="M438" s="273"/>
      <c r="N438" s="273"/>
      <c r="O438" s="273"/>
      <c r="P438" s="273"/>
      <c r="Q438" s="273"/>
      <c r="R438" s="273"/>
      <c r="S438" s="273"/>
      <c r="T438" s="273"/>
      <c r="U438" s="273"/>
      <c r="V438" s="273"/>
      <c r="W438" s="273">
        <f t="shared" si="89"/>
        <v>176443.19</v>
      </c>
      <c r="X438" s="273"/>
      <c r="Y438" s="273"/>
      <c r="Z438" s="273"/>
      <c r="AA438" s="273"/>
      <c r="AB438" s="273"/>
      <c r="AC438" s="273"/>
      <c r="AD438" s="273">
        <v>176443.19</v>
      </c>
      <c r="AF438" s="14"/>
      <c r="AG438" s="15"/>
      <c r="AI438" s="15"/>
      <c r="AJ438" s="15"/>
      <c r="AK438" s="15"/>
      <c r="AL438" s="13"/>
    </row>
    <row r="439" spans="1:38" x14ac:dyDescent="0.3">
      <c r="A439" s="259">
        <f t="shared" si="90"/>
        <v>314</v>
      </c>
      <c r="B439" s="20" t="s">
        <v>1652</v>
      </c>
      <c r="C439" s="273">
        <f t="shared" si="87"/>
        <v>212295.18</v>
      </c>
      <c r="D439" s="273">
        <f t="shared" si="88"/>
        <v>0</v>
      </c>
      <c r="E439" s="273"/>
      <c r="F439" s="273"/>
      <c r="G439" s="273"/>
      <c r="H439" s="273"/>
      <c r="I439" s="273"/>
      <c r="J439" s="50"/>
      <c r="K439" s="273"/>
      <c r="L439" s="273"/>
      <c r="M439" s="273"/>
      <c r="N439" s="273"/>
      <c r="O439" s="273"/>
      <c r="P439" s="273"/>
      <c r="Q439" s="273"/>
      <c r="R439" s="273"/>
      <c r="S439" s="273"/>
      <c r="T439" s="273"/>
      <c r="U439" s="273"/>
      <c r="V439" s="273"/>
      <c r="W439" s="273">
        <f t="shared" si="89"/>
        <v>212295.18</v>
      </c>
      <c r="X439" s="273"/>
      <c r="Y439" s="273"/>
      <c r="Z439" s="273"/>
      <c r="AA439" s="273"/>
      <c r="AB439" s="273"/>
      <c r="AC439" s="273"/>
      <c r="AD439" s="273">
        <v>212295.18</v>
      </c>
      <c r="AF439" s="14"/>
      <c r="AG439" s="15"/>
      <c r="AI439" s="15"/>
      <c r="AJ439" s="15"/>
      <c r="AK439" s="15"/>
      <c r="AL439" s="13"/>
    </row>
    <row r="440" spans="1:38" x14ac:dyDescent="0.3">
      <c r="A440" s="259">
        <f t="shared" si="90"/>
        <v>315</v>
      </c>
      <c r="B440" s="20" t="s">
        <v>1653</v>
      </c>
      <c r="C440" s="273">
        <f t="shared" si="87"/>
        <v>292833.2</v>
      </c>
      <c r="D440" s="273">
        <f t="shared" si="88"/>
        <v>0</v>
      </c>
      <c r="E440" s="273"/>
      <c r="F440" s="273"/>
      <c r="G440" s="273"/>
      <c r="H440" s="273"/>
      <c r="I440" s="273"/>
      <c r="J440" s="50"/>
      <c r="K440" s="273"/>
      <c r="L440" s="273"/>
      <c r="M440" s="273"/>
      <c r="N440" s="273"/>
      <c r="O440" s="273"/>
      <c r="P440" s="273"/>
      <c r="Q440" s="273"/>
      <c r="R440" s="273"/>
      <c r="S440" s="273"/>
      <c r="T440" s="273"/>
      <c r="U440" s="273"/>
      <c r="V440" s="273"/>
      <c r="W440" s="273">
        <f t="shared" si="89"/>
        <v>292833.2</v>
      </c>
      <c r="X440" s="273"/>
      <c r="Y440" s="273"/>
      <c r="Z440" s="273"/>
      <c r="AA440" s="273"/>
      <c r="AB440" s="273"/>
      <c r="AC440" s="273"/>
      <c r="AD440" s="273"/>
      <c r="AF440" s="14"/>
      <c r="AG440" s="15">
        <v>292833.2</v>
      </c>
      <c r="AI440" s="15"/>
      <c r="AJ440" s="15"/>
      <c r="AK440" s="15"/>
      <c r="AL440" s="13"/>
    </row>
    <row r="441" spans="1:38" x14ac:dyDescent="0.3">
      <c r="A441" s="259"/>
      <c r="B441" s="20" t="s">
        <v>208</v>
      </c>
      <c r="C441" s="273">
        <f t="shared" ref="C441:W441" si="91">SUM(C434:C440)</f>
        <v>1349430.88</v>
      </c>
      <c r="D441" s="273">
        <f t="shared" si="91"/>
        <v>0</v>
      </c>
      <c r="E441" s="273">
        <f t="shared" si="91"/>
        <v>0</v>
      </c>
      <c r="F441" s="273">
        <f t="shared" si="91"/>
        <v>0</v>
      </c>
      <c r="G441" s="273">
        <f t="shared" si="91"/>
        <v>0</v>
      </c>
      <c r="H441" s="273">
        <f t="shared" si="91"/>
        <v>0</v>
      </c>
      <c r="I441" s="273">
        <f t="shared" si="91"/>
        <v>0</v>
      </c>
      <c r="J441" s="50">
        <f t="shared" si="91"/>
        <v>0</v>
      </c>
      <c r="K441" s="273">
        <f t="shared" si="91"/>
        <v>0</v>
      </c>
      <c r="L441" s="273">
        <f t="shared" si="91"/>
        <v>0</v>
      </c>
      <c r="M441" s="273">
        <f t="shared" si="91"/>
        <v>0</v>
      </c>
      <c r="N441" s="273">
        <f t="shared" si="91"/>
        <v>0</v>
      </c>
      <c r="O441" s="273">
        <f t="shared" si="91"/>
        <v>0</v>
      </c>
      <c r="P441" s="273">
        <f t="shared" si="91"/>
        <v>0</v>
      </c>
      <c r="Q441" s="273">
        <f t="shared" si="91"/>
        <v>0</v>
      </c>
      <c r="R441" s="273">
        <f t="shared" si="91"/>
        <v>0</v>
      </c>
      <c r="S441" s="273">
        <f t="shared" si="91"/>
        <v>0</v>
      </c>
      <c r="T441" s="273">
        <f t="shared" si="91"/>
        <v>0</v>
      </c>
      <c r="U441" s="273">
        <f t="shared" si="91"/>
        <v>0</v>
      </c>
      <c r="V441" s="273">
        <f t="shared" si="91"/>
        <v>0</v>
      </c>
      <c r="W441" s="273">
        <f t="shared" si="91"/>
        <v>1349430.88</v>
      </c>
      <c r="X441" s="273"/>
      <c r="Y441" s="273"/>
      <c r="Z441" s="273"/>
      <c r="AA441" s="273"/>
      <c r="AB441" s="273"/>
      <c r="AC441" s="273"/>
      <c r="AD441" s="273"/>
      <c r="AE441" s="273"/>
      <c r="AF441" s="14"/>
      <c r="AG441" s="15"/>
      <c r="AI441" s="15"/>
      <c r="AJ441" s="15"/>
      <c r="AK441" s="15"/>
      <c r="AL441" s="13"/>
    </row>
    <row r="442" spans="1:38" x14ac:dyDescent="0.3">
      <c r="A442" s="317" t="s">
        <v>1665</v>
      </c>
      <c r="B442" s="318"/>
      <c r="C442" s="251">
        <f t="shared" ref="C442:W442" si="92">C412+C415+C432+C441</f>
        <v>596946596.90999985</v>
      </c>
      <c r="D442" s="251">
        <f t="shared" si="92"/>
        <v>0</v>
      </c>
      <c r="E442" s="251">
        <f t="shared" si="92"/>
        <v>0</v>
      </c>
      <c r="F442" s="251">
        <f t="shared" si="92"/>
        <v>0</v>
      </c>
      <c r="G442" s="251">
        <f t="shared" si="92"/>
        <v>0</v>
      </c>
      <c r="H442" s="251">
        <f t="shared" si="92"/>
        <v>0</v>
      </c>
      <c r="I442" s="251">
        <f t="shared" si="92"/>
        <v>0</v>
      </c>
      <c r="J442" s="251">
        <f t="shared" si="92"/>
        <v>0</v>
      </c>
      <c r="K442" s="251">
        <f t="shared" si="92"/>
        <v>0</v>
      </c>
      <c r="L442" s="251">
        <f t="shared" si="92"/>
        <v>0</v>
      </c>
      <c r="M442" s="251">
        <f t="shared" si="92"/>
        <v>0</v>
      </c>
      <c r="N442" s="251">
        <f t="shared" si="92"/>
        <v>0</v>
      </c>
      <c r="O442" s="251">
        <f t="shared" si="92"/>
        <v>0</v>
      </c>
      <c r="P442" s="251">
        <f t="shared" si="92"/>
        <v>0</v>
      </c>
      <c r="Q442" s="251">
        <f t="shared" si="92"/>
        <v>55668.53</v>
      </c>
      <c r="R442" s="251">
        <f t="shared" si="92"/>
        <v>594900287.99999988</v>
      </c>
      <c r="S442" s="251">
        <f t="shared" si="92"/>
        <v>0</v>
      </c>
      <c r="T442" s="251">
        <f t="shared" si="92"/>
        <v>0</v>
      </c>
      <c r="U442" s="251">
        <f t="shared" si="92"/>
        <v>0</v>
      </c>
      <c r="V442" s="251">
        <f t="shared" si="92"/>
        <v>0</v>
      </c>
      <c r="W442" s="251">
        <f t="shared" si="92"/>
        <v>2046308.9099999997</v>
      </c>
      <c r="X442" s="83" t="e">
        <f>X412+X415+X432+#REF!+#REF!</f>
        <v>#REF!</v>
      </c>
      <c r="Y442" s="273"/>
      <c r="Z442" s="273"/>
      <c r="AA442" s="273"/>
      <c r="AB442" s="273"/>
      <c r="AC442" s="273"/>
      <c r="AD442" s="273"/>
      <c r="AE442" s="273"/>
      <c r="AF442" s="273"/>
      <c r="AG442" s="14"/>
      <c r="AH442" s="15"/>
      <c r="AI442" s="15"/>
      <c r="AJ442" s="15"/>
      <c r="AK442" s="15"/>
      <c r="AL442" s="13"/>
    </row>
    <row r="443" spans="1:38" ht="15.75" customHeight="1" x14ac:dyDescent="0.3">
      <c r="A443" s="441" t="s">
        <v>1666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3"/>
      <c r="X443" s="283"/>
      <c r="Y443" s="271"/>
      <c r="Z443" s="271"/>
      <c r="AA443" s="271"/>
      <c r="AB443" s="271"/>
      <c r="AC443" s="271"/>
      <c r="AD443" s="271"/>
      <c r="AE443" s="269"/>
      <c r="AF443" s="7"/>
      <c r="AG443" s="13"/>
      <c r="AH443" s="13"/>
    </row>
    <row r="444" spans="1:38" x14ac:dyDescent="0.3">
      <c r="A444" s="317" t="s">
        <v>1667</v>
      </c>
      <c r="B444" s="318"/>
      <c r="C444" s="273"/>
      <c r="D444" s="273"/>
      <c r="E444" s="251"/>
      <c r="F444" s="251"/>
      <c r="G444" s="251"/>
      <c r="H444" s="251"/>
      <c r="I444" s="251"/>
      <c r="J444" s="57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83"/>
      <c r="Y444" s="271"/>
      <c r="Z444" s="271"/>
      <c r="AA444" s="271"/>
      <c r="AB444" s="271"/>
      <c r="AC444" s="271"/>
      <c r="AD444" s="271"/>
      <c r="AE444" s="269"/>
      <c r="AF444" s="7"/>
      <c r="AG444" s="13"/>
      <c r="AH444" s="13"/>
    </row>
    <row r="445" spans="1:38" x14ac:dyDescent="0.3">
      <c r="A445" s="259">
        <f>A440+1</f>
        <v>316</v>
      </c>
      <c r="B445" s="20" t="s">
        <v>1668</v>
      </c>
      <c r="C445" s="273">
        <f t="shared" ref="C445:C459" si="93">D445+K445+L445+N445+P445+R445+S445+U445+V445+W445</f>
        <v>410535.02</v>
      </c>
      <c r="D445" s="273"/>
      <c r="E445" s="273"/>
      <c r="F445" s="273"/>
      <c r="G445" s="273"/>
      <c r="H445" s="273"/>
      <c r="I445" s="273"/>
      <c r="J445" s="50"/>
      <c r="K445" s="273"/>
      <c r="L445" s="273"/>
      <c r="M445" s="273"/>
      <c r="N445" s="273"/>
      <c r="O445" s="273"/>
      <c r="P445" s="273"/>
      <c r="Q445" s="273"/>
      <c r="R445" s="273"/>
      <c r="S445" s="273"/>
      <c r="T445" s="273"/>
      <c r="U445" s="273"/>
      <c r="V445" s="273"/>
      <c r="W445" s="273">
        <f t="shared" ref="W445:W453" si="94">SUM(X445:AJ445)</f>
        <v>410535.02</v>
      </c>
      <c r="X445" s="283"/>
      <c r="Y445" s="271"/>
      <c r="Z445" s="271"/>
      <c r="AA445" s="271"/>
      <c r="AB445" s="271"/>
      <c r="AC445" s="271"/>
      <c r="AD445" s="269">
        <v>410535.02</v>
      </c>
      <c r="AE445" s="7"/>
      <c r="AF445" s="13"/>
      <c r="AG445" s="13"/>
    </row>
    <row r="446" spans="1:38" ht="31.2" x14ac:dyDescent="0.3">
      <c r="A446" s="259">
        <f t="shared" ref="A446:A474" si="95">A445+1</f>
        <v>317</v>
      </c>
      <c r="B446" s="20" t="s">
        <v>1669</v>
      </c>
      <c r="C446" s="273">
        <f t="shared" si="93"/>
        <v>130000</v>
      </c>
      <c r="D446" s="273"/>
      <c r="E446" s="273"/>
      <c r="F446" s="273"/>
      <c r="G446" s="273"/>
      <c r="H446" s="273"/>
      <c r="I446" s="273"/>
      <c r="J446" s="50"/>
      <c r="K446" s="273"/>
      <c r="L446" s="273"/>
      <c r="M446" s="273"/>
      <c r="N446" s="273"/>
      <c r="O446" s="273"/>
      <c r="P446" s="273"/>
      <c r="Q446" s="273"/>
      <c r="R446" s="273"/>
      <c r="S446" s="273"/>
      <c r="T446" s="273"/>
      <c r="U446" s="273"/>
      <c r="V446" s="273"/>
      <c r="W446" s="273">
        <f t="shared" si="94"/>
        <v>130000</v>
      </c>
      <c r="X446" s="283"/>
      <c r="Y446" s="271"/>
      <c r="Z446" s="271"/>
      <c r="AA446" s="271"/>
      <c r="AB446" s="271">
        <v>130000</v>
      </c>
      <c r="AC446" s="271"/>
      <c r="AD446" s="269"/>
      <c r="AE446" s="7"/>
      <c r="AF446" s="13"/>
      <c r="AG446" s="13"/>
    </row>
    <row r="447" spans="1:38" x14ac:dyDescent="0.3">
      <c r="A447" s="259">
        <f t="shared" si="95"/>
        <v>318</v>
      </c>
      <c r="B447" s="20" t="s">
        <v>1670</v>
      </c>
      <c r="C447" s="273">
        <f t="shared" si="93"/>
        <v>369839.51</v>
      </c>
      <c r="D447" s="273"/>
      <c r="E447" s="273"/>
      <c r="F447" s="273"/>
      <c r="G447" s="273"/>
      <c r="H447" s="273"/>
      <c r="I447" s="273"/>
      <c r="J447" s="50"/>
      <c r="K447" s="273"/>
      <c r="L447" s="273"/>
      <c r="M447" s="273"/>
      <c r="N447" s="273"/>
      <c r="O447" s="273"/>
      <c r="P447" s="273"/>
      <c r="Q447" s="273"/>
      <c r="R447" s="273"/>
      <c r="S447" s="273"/>
      <c r="T447" s="273"/>
      <c r="U447" s="273"/>
      <c r="V447" s="273"/>
      <c r="W447" s="273">
        <f t="shared" si="94"/>
        <v>369839.51</v>
      </c>
      <c r="X447" s="283"/>
      <c r="Y447" s="271"/>
      <c r="Z447" s="271"/>
      <c r="AA447" s="271"/>
      <c r="AB447" s="271"/>
      <c r="AC447" s="271"/>
      <c r="AD447" s="269">
        <v>369839.51</v>
      </c>
      <c r="AE447" s="7"/>
      <c r="AF447" s="13"/>
      <c r="AG447" s="13"/>
    </row>
    <row r="448" spans="1:38" x14ac:dyDescent="0.3">
      <c r="A448" s="259">
        <f t="shared" si="95"/>
        <v>319</v>
      </c>
      <c r="B448" s="20" t="s">
        <v>1671</v>
      </c>
      <c r="C448" s="273">
        <f t="shared" si="93"/>
        <v>631939.43000000005</v>
      </c>
      <c r="D448" s="273"/>
      <c r="E448" s="273"/>
      <c r="F448" s="273"/>
      <c r="G448" s="273"/>
      <c r="H448" s="273"/>
      <c r="I448" s="273"/>
      <c r="J448" s="50"/>
      <c r="K448" s="273"/>
      <c r="L448" s="273"/>
      <c r="M448" s="273"/>
      <c r="N448" s="273"/>
      <c r="O448" s="273"/>
      <c r="P448" s="273"/>
      <c r="Q448" s="273"/>
      <c r="R448" s="273"/>
      <c r="S448" s="273"/>
      <c r="T448" s="273"/>
      <c r="U448" s="273"/>
      <c r="V448" s="273"/>
      <c r="W448" s="273">
        <f t="shared" si="94"/>
        <v>631939.43000000005</v>
      </c>
      <c r="X448" s="283"/>
      <c r="Y448" s="271"/>
      <c r="Z448" s="271"/>
      <c r="AA448" s="271"/>
      <c r="AB448" s="271"/>
      <c r="AC448" s="271"/>
      <c r="AD448" s="269"/>
      <c r="AE448" s="7"/>
      <c r="AF448" s="13">
        <v>631939.43000000005</v>
      </c>
      <c r="AG448" s="13"/>
    </row>
    <row r="449" spans="1:33" x14ac:dyDescent="0.3">
      <c r="A449" s="259">
        <f t="shared" si="95"/>
        <v>320</v>
      </c>
      <c r="B449" s="20" t="s">
        <v>1677</v>
      </c>
      <c r="C449" s="273">
        <f t="shared" si="93"/>
        <v>313276.81999999995</v>
      </c>
      <c r="D449" s="273"/>
      <c r="E449" s="273"/>
      <c r="F449" s="273"/>
      <c r="G449" s="273"/>
      <c r="H449" s="273"/>
      <c r="I449" s="273"/>
      <c r="J449" s="50"/>
      <c r="K449" s="273"/>
      <c r="L449" s="273"/>
      <c r="M449" s="273"/>
      <c r="N449" s="273"/>
      <c r="O449" s="273"/>
      <c r="P449" s="273"/>
      <c r="Q449" s="273"/>
      <c r="R449" s="273"/>
      <c r="S449" s="273"/>
      <c r="T449" s="273"/>
      <c r="U449" s="273"/>
      <c r="V449" s="273"/>
      <c r="W449" s="273">
        <f t="shared" si="94"/>
        <v>313276.81999999995</v>
      </c>
      <c r="X449" s="283" t="s">
        <v>1676</v>
      </c>
      <c r="Y449" s="271">
        <v>145755.57999999999</v>
      </c>
      <c r="Z449" s="271">
        <v>167521.24</v>
      </c>
      <c r="AA449" s="271"/>
      <c r="AB449" s="271"/>
      <c r="AD449" s="269"/>
      <c r="AE449" s="7"/>
      <c r="AF449" s="13"/>
      <c r="AG449" s="13"/>
    </row>
    <row r="450" spans="1:33" x14ac:dyDescent="0.3">
      <c r="A450" s="259">
        <f t="shared" si="95"/>
        <v>321</v>
      </c>
      <c r="B450" s="20" t="s">
        <v>1678</v>
      </c>
      <c r="C450" s="273">
        <f t="shared" si="93"/>
        <v>128457.84</v>
      </c>
      <c r="D450" s="273"/>
      <c r="E450" s="273"/>
      <c r="F450" s="273"/>
      <c r="G450" s="273"/>
      <c r="H450" s="273"/>
      <c r="I450" s="273"/>
      <c r="J450" s="50"/>
      <c r="K450" s="273"/>
      <c r="L450" s="273"/>
      <c r="M450" s="273"/>
      <c r="N450" s="273"/>
      <c r="O450" s="273"/>
      <c r="P450" s="273"/>
      <c r="Q450" s="273"/>
      <c r="R450" s="273"/>
      <c r="S450" s="273"/>
      <c r="T450" s="273"/>
      <c r="U450" s="273"/>
      <c r="V450" s="273"/>
      <c r="W450" s="273">
        <f t="shared" si="94"/>
        <v>128457.84</v>
      </c>
      <c r="X450" s="283" t="s">
        <v>1676</v>
      </c>
      <c r="Y450" s="271"/>
      <c r="Z450" s="271">
        <v>128457.84</v>
      </c>
      <c r="AA450" s="271"/>
      <c r="AB450" s="271"/>
      <c r="AD450" s="269"/>
      <c r="AE450" s="7"/>
      <c r="AF450" s="13"/>
      <c r="AG450" s="13"/>
    </row>
    <row r="451" spans="1:33" x14ac:dyDescent="0.3">
      <c r="A451" s="259">
        <f t="shared" si="95"/>
        <v>322</v>
      </c>
      <c r="B451" s="20" t="s">
        <v>1679</v>
      </c>
      <c r="C451" s="273">
        <f t="shared" si="93"/>
        <v>117612.79</v>
      </c>
      <c r="D451" s="273"/>
      <c r="E451" s="273"/>
      <c r="F451" s="273"/>
      <c r="G451" s="273"/>
      <c r="H451" s="273"/>
      <c r="I451" s="273"/>
      <c r="J451" s="50"/>
      <c r="K451" s="273"/>
      <c r="L451" s="273"/>
      <c r="M451" s="273"/>
      <c r="N451" s="273"/>
      <c r="O451" s="273"/>
      <c r="P451" s="273"/>
      <c r="Q451" s="273"/>
      <c r="R451" s="273"/>
      <c r="S451" s="273"/>
      <c r="T451" s="273"/>
      <c r="U451" s="273"/>
      <c r="V451" s="273"/>
      <c r="W451" s="273">
        <f t="shared" si="94"/>
        <v>117612.79</v>
      </c>
      <c r="X451" s="283"/>
      <c r="Y451" s="271"/>
      <c r="Z451" s="271"/>
      <c r="AA451" s="271"/>
      <c r="AB451" s="271">
        <v>117612.79</v>
      </c>
      <c r="AD451" s="269"/>
      <c r="AE451" s="7"/>
      <c r="AF451" s="13"/>
      <c r="AG451" s="13"/>
    </row>
    <row r="452" spans="1:33" x14ac:dyDescent="0.3">
      <c r="A452" s="259">
        <f t="shared" si="95"/>
        <v>323</v>
      </c>
      <c r="B452" s="20" t="s">
        <v>1680</v>
      </c>
      <c r="C452" s="273">
        <f t="shared" si="93"/>
        <v>161967.85</v>
      </c>
      <c r="D452" s="273"/>
      <c r="E452" s="273"/>
      <c r="F452" s="273"/>
      <c r="G452" s="273"/>
      <c r="H452" s="273"/>
      <c r="I452" s="273"/>
      <c r="J452" s="50"/>
      <c r="K452" s="273"/>
      <c r="L452" s="273"/>
      <c r="M452" s="273"/>
      <c r="N452" s="273"/>
      <c r="O452" s="273"/>
      <c r="P452" s="273"/>
      <c r="Q452" s="273"/>
      <c r="R452" s="273"/>
      <c r="S452" s="273"/>
      <c r="T452" s="273"/>
      <c r="U452" s="273"/>
      <c r="V452" s="273"/>
      <c r="W452" s="273">
        <f t="shared" si="94"/>
        <v>161967.85</v>
      </c>
      <c r="X452" s="283"/>
      <c r="Y452" s="271"/>
      <c r="Z452" s="271"/>
      <c r="AA452" s="271"/>
      <c r="AB452" s="271">
        <v>161967.85</v>
      </c>
      <c r="AD452" s="269"/>
      <c r="AE452" s="7"/>
      <c r="AF452" s="13"/>
      <c r="AG452" s="13"/>
    </row>
    <row r="453" spans="1:33" x14ac:dyDescent="0.3">
      <c r="A453" s="259">
        <f t="shared" si="95"/>
        <v>324</v>
      </c>
      <c r="B453" s="20" t="s">
        <v>1681</v>
      </c>
      <c r="C453" s="273">
        <f t="shared" si="93"/>
        <v>105659.06</v>
      </c>
      <c r="D453" s="273"/>
      <c r="E453" s="273"/>
      <c r="F453" s="273"/>
      <c r="G453" s="273"/>
      <c r="H453" s="273"/>
      <c r="I453" s="273"/>
      <c r="J453" s="50"/>
      <c r="K453" s="273"/>
      <c r="L453" s="273"/>
      <c r="M453" s="273"/>
      <c r="N453" s="273"/>
      <c r="O453" s="273"/>
      <c r="P453" s="273"/>
      <c r="Q453" s="273"/>
      <c r="R453" s="273"/>
      <c r="S453" s="273"/>
      <c r="T453" s="273"/>
      <c r="U453" s="273"/>
      <c r="V453" s="273"/>
      <c r="W453" s="273">
        <f t="shared" si="94"/>
        <v>105659.06</v>
      </c>
      <c r="X453" s="283"/>
      <c r="Y453" s="271"/>
      <c r="Z453" s="271"/>
      <c r="AA453" s="271">
        <v>105659.06</v>
      </c>
      <c r="AB453" s="271"/>
      <c r="AD453" s="269"/>
      <c r="AE453" s="7"/>
      <c r="AF453" s="13"/>
      <c r="AG453" s="13"/>
    </row>
    <row r="454" spans="1:33" x14ac:dyDescent="0.3">
      <c r="A454" s="259">
        <f t="shared" si="95"/>
        <v>325</v>
      </c>
      <c r="B454" s="20" t="s">
        <v>1682</v>
      </c>
      <c r="C454" s="273">
        <f t="shared" si="93"/>
        <v>555408.35</v>
      </c>
      <c r="D454" s="273"/>
      <c r="E454" s="273"/>
      <c r="F454" s="273"/>
      <c r="G454" s="273"/>
      <c r="H454" s="273"/>
      <c r="I454" s="273"/>
      <c r="J454" s="50"/>
      <c r="K454" s="273"/>
      <c r="L454" s="273"/>
      <c r="M454" s="273"/>
      <c r="N454" s="273"/>
      <c r="O454" s="273"/>
      <c r="P454" s="273"/>
      <c r="Q454" s="273"/>
      <c r="R454" s="273"/>
      <c r="S454" s="273"/>
      <c r="T454" s="273"/>
      <c r="U454" s="273"/>
      <c r="V454" s="273"/>
      <c r="W454" s="273">
        <f>SUM(X454:AJ454)</f>
        <v>555408.35</v>
      </c>
      <c r="X454" s="271"/>
      <c r="Y454" s="271"/>
      <c r="Z454" s="271"/>
      <c r="AA454" s="271"/>
      <c r="AB454" s="271"/>
      <c r="AD454" s="269"/>
      <c r="AE454" s="7"/>
      <c r="AF454" s="13">
        <v>555408.35</v>
      </c>
      <c r="AG454" s="13"/>
    </row>
    <row r="455" spans="1:33" x14ac:dyDescent="0.3">
      <c r="A455" s="259">
        <f t="shared" si="95"/>
        <v>326</v>
      </c>
      <c r="B455" s="20" t="s">
        <v>1683</v>
      </c>
      <c r="C455" s="273">
        <f t="shared" si="93"/>
        <v>88314.83</v>
      </c>
      <c r="D455" s="273"/>
      <c r="E455" s="273"/>
      <c r="F455" s="273"/>
      <c r="G455" s="273"/>
      <c r="H455" s="273"/>
      <c r="I455" s="273"/>
      <c r="J455" s="50"/>
      <c r="K455" s="273"/>
      <c r="L455" s="273"/>
      <c r="M455" s="273"/>
      <c r="N455" s="273"/>
      <c r="O455" s="273"/>
      <c r="P455" s="273"/>
      <c r="Q455" s="273"/>
      <c r="R455" s="273"/>
      <c r="S455" s="273"/>
      <c r="T455" s="273"/>
      <c r="U455" s="273"/>
      <c r="V455" s="273"/>
      <c r="W455" s="273">
        <f t="shared" ref="W455:W491" si="96">SUM(X455:AJ455)</f>
        <v>88314.83</v>
      </c>
      <c r="X455" s="271"/>
      <c r="Y455" s="271"/>
      <c r="Z455" s="271"/>
      <c r="AA455" s="271"/>
      <c r="AB455" s="271">
        <v>88314.83</v>
      </c>
      <c r="AD455" s="269"/>
      <c r="AE455" s="7"/>
      <c r="AF455" s="13"/>
      <c r="AG455" s="13"/>
    </row>
    <row r="456" spans="1:33" x14ac:dyDescent="0.3">
      <c r="A456" s="259">
        <f t="shared" si="95"/>
        <v>327</v>
      </c>
      <c r="B456" s="20" t="s">
        <v>1684</v>
      </c>
      <c r="C456" s="273">
        <f t="shared" si="93"/>
        <v>589659.22</v>
      </c>
      <c r="D456" s="273"/>
      <c r="E456" s="273"/>
      <c r="F456" s="273"/>
      <c r="G456" s="273"/>
      <c r="H456" s="273"/>
      <c r="I456" s="273"/>
      <c r="J456" s="50"/>
      <c r="K456" s="273"/>
      <c r="L456" s="273"/>
      <c r="M456" s="273"/>
      <c r="N456" s="273"/>
      <c r="O456" s="273"/>
      <c r="P456" s="273"/>
      <c r="Q456" s="273"/>
      <c r="R456" s="273"/>
      <c r="S456" s="273"/>
      <c r="T456" s="273"/>
      <c r="U456" s="273"/>
      <c r="V456" s="273"/>
      <c r="W456" s="273">
        <f t="shared" si="96"/>
        <v>589659.22</v>
      </c>
      <c r="X456" s="271"/>
      <c r="Y456" s="271"/>
      <c r="Z456" s="271"/>
      <c r="AA456" s="271"/>
      <c r="AB456" s="271"/>
      <c r="AD456" s="269"/>
      <c r="AE456" s="7"/>
      <c r="AF456" s="13">
        <v>589659.22</v>
      </c>
      <c r="AG456" s="13"/>
    </row>
    <row r="457" spans="1:33" x14ac:dyDescent="0.3">
      <c r="A457" s="259">
        <f t="shared" si="95"/>
        <v>328</v>
      </c>
      <c r="B457" s="20" t="s">
        <v>1694</v>
      </c>
      <c r="C457" s="273">
        <f t="shared" si="93"/>
        <v>254940.62</v>
      </c>
      <c r="D457" s="273"/>
      <c r="E457" s="273"/>
      <c r="F457" s="273"/>
      <c r="G457" s="273"/>
      <c r="H457" s="273"/>
      <c r="I457" s="273"/>
      <c r="J457" s="50"/>
      <c r="K457" s="273"/>
      <c r="L457" s="273"/>
      <c r="M457" s="273"/>
      <c r="N457" s="273"/>
      <c r="O457" s="273"/>
      <c r="P457" s="273"/>
      <c r="Q457" s="273"/>
      <c r="R457" s="273"/>
      <c r="S457" s="273"/>
      <c r="T457" s="273"/>
      <c r="U457" s="273"/>
      <c r="V457" s="273"/>
      <c r="W457" s="273">
        <f t="shared" si="96"/>
        <v>254940.62</v>
      </c>
      <c r="X457" s="271"/>
      <c r="Y457" s="271"/>
      <c r="Z457" s="271"/>
      <c r="AA457" s="271"/>
      <c r="AB457" s="271">
        <v>254940.62</v>
      </c>
      <c r="AD457" s="269"/>
      <c r="AE457" s="7"/>
      <c r="AF457" s="13"/>
      <c r="AG457" s="13"/>
    </row>
    <row r="458" spans="1:33" x14ac:dyDescent="0.3">
      <c r="A458" s="259">
        <f t="shared" si="95"/>
        <v>329</v>
      </c>
      <c r="B458" s="20" t="s">
        <v>1695</v>
      </c>
      <c r="C458" s="273">
        <f t="shared" si="93"/>
        <v>344971.66</v>
      </c>
      <c r="D458" s="273"/>
      <c r="E458" s="273"/>
      <c r="F458" s="273"/>
      <c r="G458" s="273"/>
      <c r="H458" s="273"/>
      <c r="I458" s="273"/>
      <c r="J458" s="50"/>
      <c r="K458" s="273"/>
      <c r="L458" s="273"/>
      <c r="M458" s="273"/>
      <c r="N458" s="273"/>
      <c r="O458" s="273"/>
      <c r="P458" s="273"/>
      <c r="Q458" s="273"/>
      <c r="R458" s="273"/>
      <c r="S458" s="273"/>
      <c r="T458" s="273"/>
      <c r="U458" s="273"/>
      <c r="V458" s="273"/>
      <c r="W458" s="273">
        <f t="shared" si="96"/>
        <v>344971.66</v>
      </c>
      <c r="X458" s="271">
        <v>106797.44</v>
      </c>
      <c r="Y458" s="271">
        <v>132404.51999999999</v>
      </c>
      <c r="Z458" s="271"/>
      <c r="AA458" s="271">
        <v>105769.7</v>
      </c>
      <c r="AB458" s="271"/>
      <c r="AD458" s="269"/>
      <c r="AE458" s="7"/>
      <c r="AF458" s="13"/>
      <c r="AG458" s="13"/>
    </row>
    <row r="459" spans="1:33" x14ac:dyDescent="0.3">
      <c r="A459" s="259">
        <f t="shared" si="95"/>
        <v>330</v>
      </c>
      <c r="B459" s="20" t="s">
        <v>1699</v>
      </c>
      <c r="C459" s="273">
        <f t="shared" si="93"/>
        <v>127129.38</v>
      </c>
      <c r="D459" s="273"/>
      <c r="E459" s="273"/>
      <c r="F459" s="273"/>
      <c r="G459" s="273"/>
      <c r="H459" s="273"/>
      <c r="I459" s="273"/>
      <c r="J459" s="50"/>
      <c r="K459" s="273"/>
      <c r="L459" s="273"/>
      <c r="M459" s="273"/>
      <c r="N459" s="273"/>
      <c r="O459" s="273"/>
      <c r="P459" s="273"/>
      <c r="Q459" s="273"/>
      <c r="R459" s="273"/>
      <c r="S459" s="273"/>
      <c r="T459" s="273"/>
      <c r="U459" s="273"/>
      <c r="V459" s="273"/>
      <c r="W459" s="273">
        <f t="shared" si="96"/>
        <v>127129.38</v>
      </c>
      <c r="X459" s="271"/>
      <c r="Y459" s="271"/>
      <c r="Z459" s="271"/>
      <c r="AA459" s="271"/>
      <c r="AB459" s="271">
        <v>127129.38</v>
      </c>
      <c r="AD459" s="269"/>
      <c r="AE459" s="7"/>
      <c r="AF459" s="13"/>
      <c r="AG459" s="13"/>
    </row>
    <row r="460" spans="1:33" x14ac:dyDescent="0.3">
      <c r="A460" s="259">
        <f t="shared" si="95"/>
        <v>331</v>
      </c>
      <c r="B460" s="20" t="s">
        <v>1701</v>
      </c>
      <c r="C460" s="273">
        <f t="shared" ref="C460:C483" si="97">D460+K460+L460+N460+P460+R460+S460+U460+V460+W460</f>
        <v>114952.76</v>
      </c>
      <c r="D460" s="273"/>
      <c r="E460" s="273"/>
      <c r="F460" s="273"/>
      <c r="G460" s="273"/>
      <c r="H460" s="273"/>
      <c r="I460" s="273"/>
      <c r="J460" s="50"/>
      <c r="K460" s="273"/>
      <c r="L460" s="273"/>
      <c r="M460" s="273"/>
      <c r="N460" s="273"/>
      <c r="O460" s="273"/>
      <c r="P460" s="273"/>
      <c r="Q460" s="273"/>
      <c r="R460" s="273"/>
      <c r="S460" s="273"/>
      <c r="T460" s="273"/>
      <c r="U460" s="273"/>
      <c r="V460" s="273"/>
      <c r="W460" s="273">
        <f t="shared" si="96"/>
        <v>114952.76</v>
      </c>
      <c r="X460" s="271"/>
      <c r="Y460" s="271"/>
      <c r="Z460" s="271"/>
      <c r="AA460" s="271"/>
      <c r="AB460" s="271">
        <v>114952.76</v>
      </c>
      <c r="AD460" s="269"/>
      <c r="AE460" s="7"/>
      <c r="AF460" s="13"/>
      <c r="AG460" s="13"/>
    </row>
    <row r="461" spans="1:33" x14ac:dyDescent="0.3">
      <c r="A461" s="259">
        <f t="shared" si="95"/>
        <v>332</v>
      </c>
      <c r="B461" s="20" t="s">
        <v>1702</v>
      </c>
      <c r="C461" s="273">
        <f t="shared" si="97"/>
        <v>1243346.8999999999</v>
      </c>
      <c r="D461" s="273"/>
      <c r="E461" s="273"/>
      <c r="F461" s="273"/>
      <c r="G461" s="273"/>
      <c r="H461" s="273"/>
      <c r="I461" s="273"/>
      <c r="J461" s="50"/>
      <c r="K461" s="273"/>
      <c r="L461" s="273"/>
      <c r="M461" s="273"/>
      <c r="N461" s="273"/>
      <c r="O461" s="273"/>
      <c r="P461" s="273"/>
      <c r="Q461" s="273"/>
      <c r="R461" s="273"/>
      <c r="S461" s="273"/>
      <c r="T461" s="273"/>
      <c r="U461" s="273"/>
      <c r="V461" s="273"/>
      <c r="W461" s="273">
        <f t="shared" si="96"/>
        <v>1243346.8999999999</v>
      </c>
      <c r="X461" s="271"/>
      <c r="Y461" s="271"/>
      <c r="Z461" s="271"/>
      <c r="AA461" s="271"/>
      <c r="AB461" s="271"/>
      <c r="AD461" s="269"/>
      <c r="AE461" s="7"/>
      <c r="AF461" s="13">
        <v>1243346.8999999999</v>
      </c>
      <c r="AG461" s="13"/>
    </row>
    <row r="462" spans="1:33" x14ac:dyDescent="0.3">
      <c r="A462" s="259">
        <f t="shared" si="95"/>
        <v>333</v>
      </c>
      <c r="B462" s="20" t="s">
        <v>1704</v>
      </c>
      <c r="C462" s="273">
        <f t="shared" si="97"/>
        <v>111484.14</v>
      </c>
      <c r="D462" s="273"/>
      <c r="E462" s="273"/>
      <c r="F462" s="273"/>
      <c r="G462" s="273"/>
      <c r="H462" s="273"/>
      <c r="I462" s="273"/>
      <c r="J462" s="50"/>
      <c r="K462" s="273"/>
      <c r="L462" s="273"/>
      <c r="M462" s="273"/>
      <c r="N462" s="273"/>
      <c r="O462" s="273"/>
      <c r="P462" s="273"/>
      <c r="Q462" s="273"/>
      <c r="R462" s="273"/>
      <c r="S462" s="273"/>
      <c r="T462" s="273"/>
      <c r="U462" s="273"/>
      <c r="V462" s="273"/>
      <c r="W462" s="273">
        <f t="shared" si="96"/>
        <v>111484.14</v>
      </c>
      <c r="X462" s="271"/>
      <c r="Y462" s="271"/>
      <c r="Z462" s="271"/>
      <c r="AA462" s="271">
        <v>111484.14</v>
      </c>
      <c r="AB462" s="271"/>
      <c r="AD462" s="269"/>
      <c r="AE462" s="7"/>
      <c r="AF462" s="13"/>
      <c r="AG462" s="13"/>
    </row>
    <row r="463" spans="1:33" x14ac:dyDescent="0.3">
      <c r="A463" s="259">
        <f t="shared" si="95"/>
        <v>334</v>
      </c>
      <c r="B463" s="20" t="s">
        <v>1706</v>
      </c>
      <c r="C463" s="273">
        <f t="shared" si="97"/>
        <v>111484.14</v>
      </c>
      <c r="D463" s="273"/>
      <c r="E463" s="273"/>
      <c r="F463" s="273"/>
      <c r="G463" s="273"/>
      <c r="H463" s="273"/>
      <c r="I463" s="273"/>
      <c r="J463" s="50"/>
      <c r="K463" s="273"/>
      <c r="L463" s="273"/>
      <c r="M463" s="273"/>
      <c r="N463" s="273"/>
      <c r="O463" s="273"/>
      <c r="P463" s="273"/>
      <c r="Q463" s="273"/>
      <c r="R463" s="273"/>
      <c r="S463" s="273"/>
      <c r="T463" s="273"/>
      <c r="U463" s="273"/>
      <c r="V463" s="273"/>
      <c r="W463" s="273">
        <f t="shared" si="96"/>
        <v>111484.14</v>
      </c>
      <c r="X463" s="271"/>
      <c r="Y463" s="271"/>
      <c r="Z463" s="271"/>
      <c r="AA463" s="271">
        <v>111484.14</v>
      </c>
      <c r="AB463" s="271"/>
      <c r="AD463" s="269"/>
      <c r="AE463" s="7"/>
      <c r="AF463" s="13"/>
      <c r="AG463" s="13"/>
    </row>
    <row r="464" spans="1:33" x14ac:dyDescent="0.3">
      <c r="A464" s="259">
        <f t="shared" si="95"/>
        <v>335</v>
      </c>
      <c r="B464" s="20" t="s">
        <v>1708</v>
      </c>
      <c r="C464" s="273">
        <f t="shared" si="97"/>
        <v>114752.35</v>
      </c>
      <c r="D464" s="273"/>
      <c r="E464" s="273"/>
      <c r="F464" s="273"/>
      <c r="G464" s="273"/>
      <c r="H464" s="273"/>
      <c r="I464" s="273"/>
      <c r="J464" s="50"/>
      <c r="K464" s="273"/>
      <c r="L464" s="273"/>
      <c r="M464" s="273"/>
      <c r="N464" s="273"/>
      <c r="O464" s="273"/>
      <c r="P464" s="273"/>
      <c r="Q464" s="273"/>
      <c r="R464" s="273"/>
      <c r="S464" s="273"/>
      <c r="T464" s="273"/>
      <c r="U464" s="273"/>
      <c r="V464" s="273"/>
      <c r="W464" s="273">
        <f t="shared" si="96"/>
        <v>114752.35</v>
      </c>
      <c r="X464" s="271"/>
      <c r="Y464" s="271"/>
      <c r="Z464" s="271"/>
      <c r="AA464" s="271"/>
      <c r="AB464" s="271">
        <v>114752.35</v>
      </c>
      <c r="AD464" s="269"/>
      <c r="AE464" s="7"/>
      <c r="AF464" s="13"/>
      <c r="AG464" s="13"/>
    </row>
    <row r="465" spans="1:33" x14ac:dyDescent="0.3">
      <c r="A465" s="259">
        <f t="shared" si="95"/>
        <v>336</v>
      </c>
      <c r="B465" s="20" t="s">
        <v>1710</v>
      </c>
      <c r="C465" s="273">
        <f t="shared" si="97"/>
        <v>102307.15</v>
      </c>
      <c r="D465" s="273"/>
      <c r="E465" s="273"/>
      <c r="F465" s="273"/>
      <c r="G465" s="273"/>
      <c r="H465" s="273"/>
      <c r="I465" s="273"/>
      <c r="J465" s="50"/>
      <c r="K465" s="273"/>
      <c r="L465" s="273"/>
      <c r="M465" s="273"/>
      <c r="N465" s="273"/>
      <c r="O465" s="273"/>
      <c r="P465" s="273"/>
      <c r="Q465" s="273"/>
      <c r="R465" s="273"/>
      <c r="S465" s="273"/>
      <c r="T465" s="273"/>
      <c r="U465" s="273"/>
      <c r="V465" s="273"/>
      <c r="W465" s="273">
        <f t="shared" si="96"/>
        <v>102307.15</v>
      </c>
      <c r="X465" s="271"/>
      <c r="Y465" s="271"/>
      <c r="Z465" s="271"/>
      <c r="AA465" s="271"/>
      <c r="AB465" s="271">
        <v>102307.15</v>
      </c>
      <c r="AD465" s="269"/>
      <c r="AE465" s="7"/>
      <c r="AF465" s="13"/>
      <c r="AG465" s="13"/>
    </row>
    <row r="466" spans="1:33" x14ac:dyDescent="0.3">
      <c r="A466" s="259">
        <f t="shared" si="95"/>
        <v>337</v>
      </c>
      <c r="B466" s="20" t="s">
        <v>1713</v>
      </c>
      <c r="C466" s="273">
        <f t="shared" si="97"/>
        <v>253979.09999999998</v>
      </c>
      <c r="D466" s="273"/>
      <c r="E466" s="273"/>
      <c r="F466" s="273"/>
      <c r="G466" s="273"/>
      <c r="H466" s="273"/>
      <c r="I466" s="273"/>
      <c r="J466" s="50"/>
      <c r="K466" s="273"/>
      <c r="L466" s="273"/>
      <c r="M466" s="273"/>
      <c r="N466" s="273"/>
      <c r="O466" s="273"/>
      <c r="P466" s="273"/>
      <c r="Q466" s="273"/>
      <c r="R466" s="273"/>
      <c r="S466" s="273"/>
      <c r="T466" s="273"/>
      <c r="U466" s="273"/>
      <c r="V466" s="273"/>
      <c r="W466" s="273">
        <f t="shared" si="96"/>
        <v>253979.09999999998</v>
      </c>
      <c r="X466" s="271"/>
      <c r="Y466" s="271">
        <v>139340.65</v>
      </c>
      <c r="Z466" s="271">
        <v>114638.45</v>
      </c>
      <c r="AA466" s="271"/>
      <c r="AB466" s="271"/>
      <c r="AD466" s="269"/>
      <c r="AE466" s="7"/>
      <c r="AF466" s="13"/>
      <c r="AG466" s="13"/>
    </row>
    <row r="467" spans="1:33" x14ac:dyDescent="0.3">
      <c r="A467" s="259">
        <f t="shared" si="95"/>
        <v>338</v>
      </c>
      <c r="B467" s="20" t="s">
        <v>1714</v>
      </c>
      <c r="C467" s="273">
        <f t="shared" si="97"/>
        <v>92858.23</v>
      </c>
      <c r="D467" s="273"/>
      <c r="E467" s="273"/>
      <c r="F467" s="273"/>
      <c r="G467" s="273"/>
      <c r="H467" s="273"/>
      <c r="I467" s="273"/>
      <c r="J467" s="50"/>
      <c r="K467" s="273"/>
      <c r="L467" s="273"/>
      <c r="M467" s="273"/>
      <c r="N467" s="273"/>
      <c r="O467" s="273"/>
      <c r="P467" s="273"/>
      <c r="Q467" s="273"/>
      <c r="R467" s="273"/>
      <c r="S467" s="273"/>
      <c r="T467" s="273"/>
      <c r="U467" s="273"/>
      <c r="V467" s="273"/>
      <c r="W467" s="273">
        <f t="shared" si="96"/>
        <v>92858.23</v>
      </c>
      <c r="X467" s="271"/>
      <c r="Y467" s="271"/>
      <c r="Z467" s="271"/>
      <c r="AA467" s="271"/>
      <c r="AB467" s="271">
        <v>92858.23</v>
      </c>
      <c r="AD467" s="269"/>
      <c r="AE467" s="7"/>
      <c r="AF467" s="13"/>
      <c r="AG467" s="13"/>
    </row>
    <row r="468" spans="1:33" x14ac:dyDescent="0.3">
      <c r="A468" s="259">
        <f t="shared" si="95"/>
        <v>339</v>
      </c>
      <c r="B468" s="20" t="s">
        <v>1716</v>
      </c>
      <c r="C468" s="273">
        <f t="shared" si="97"/>
        <v>101220.65</v>
      </c>
      <c r="D468" s="273"/>
      <c r="E468" s="273"/>
      <c r="F468" s="273"/>
      <c r="G468" s="273"/>
      <c r="H468" s="273"/>
      <c r="I468" s="273"/>
      <c r="J468" s="50"/>
      <c r="K468" s="273"/>
      <c r="L468" s="273"/>
      <c r="M468" s="273"/>
      <c r="N468" s="273"/>
      <c r="O468" s="273"/>
      <c r="P468" s="273"/>
      <c r="Q468" s="273"/>
      <c r="R468" s="273"/>
      <c r="S468" s="273"/>
      <c r="T468" s="273"/>
      <c r="U468" s="273"/>
      <c r="V468" s="273"/>
      <c r="W468" s="273">
        <f t="shared" si="96"/>
        <v>101220.65</v>
      </c>
      <c r="X468" s="271"/>
      <c r="Y468" s="271"/>
      <c r="Z468" s="271"/>
      <c r="AA468" s="271"/>
      <c r="AB468" s="271">
        <v>101220.65</v>
      </c>
      <c r="AD468" s="269"/>
      <c r="AE468" s="7"/>
      <c r="AF468" s="13"/>
      <c r="AG468" s="13"/>
    </row>
    <row r="469" spans="1:33" x14ac:dyDescent="0.3">
      <c r="A469" s="259">
        <f t="shared" si="95"/>
        <v>340</v>
      </c>
      <c r="B469" s="20" t="s">
        <v>1717</v>
      </c>
      <c r="C469" s="273">
        <f t="shared" si="97"/>
        <v>560883.85</v>
      </c>
      <c r="D469" s="273"/>
      <c r="E469" s="273"/>
      <c r="F469" s="273"/>
      <c r="G469" s="273"/>
      <c r="H469" s="273"/>
      <c r="I469" s="273"/>
      <c r="J469" s="50"/>
      <c r="K469" s="273"/>
      <c r="L469" s="273"/>
      <c r="M469" s="273"/>
      <c r="N469" s="273"/>
      <c r="O469" s="273"/>
      <c r="P469" s="273"/>
      <c r="Q469" s="273"/>
      <c r="R469" s="273"/>
      <c r="S469" s="273"/>
      <c r="T469" s="273"/>
      <c r="U469" s="273"/>
      <c r="V469" s="273"/>
      <c r="W469" s="273">
        <f t="shared" si="96"/>
        <v>560883.85</v>
      </c>
      <c r="X469" s="271"/>
      <c r="Y469" s="271"/>
      <c r="Z469" s="271"/>
      <c r="AA469" s="271"/>
      <c r="AB469" s="271"/>
      <c r="AD469" s="269"/>
      <c r="AE469" s="7"/>
      <c r="AF469" s="13">
        <v>560883.85</v>
      </c>
      <c r="AG469" s="13"/>
    </row>
    <row r="470" spans="1:33" x14ac:dyDescent="0.3">
      <c r="A470" s="259">
        <f t="shared" si="95"/>
        <v>341</v>
      </c>
      <c r="B470" s="20" t="s">
        <v>1718</v>
      </c>
      <c r="C470" s="273">
        <f t="shared" si="97"/>
        <v>87524.74</v>
      </c>
      <c r="D470" s="273"/>
      <c r="E470" s="273"/>
      <c r="F470" s="273"/>
      <c r="G470" s="273"/>
      <c r="H470" s="273"/>
      <c r="I470" s="273"/>
      <c r="J470" s="50"/>
      <c r="K470" s="273"/>
      <c r="L470" s="273"/>
      <c r="M470" s="273"/>
      <c r="N470" s="273"/>
      <c r="O470" s="273"/>
      <c r="P470" s="273"/>
      <c r="Q470" s="273"/>
      <c r="R470" s="273"/>
      <c r="S470" s="273"/>
      <c r="T470" s="273"/>
      <c r="U470" s="273"/>
      <c r="V470" s="273"/>
      <c r="W470" s="273">
        <f t="shared" si="96"/>
        <v>87524.74</v>
      </c>
      <c r="X470" s="271"/>
      <c r="Y470" s="271"/>
      <c r="Z470" s="271"/>
      <c r="AA470" s="271"/>
      <c r="AB470" s="271">
        <v>87524.74</v>
      </c>
      <c r="AD470" s="269"/>
      <c r="AE470" s="7"/>
      <c r="AF470" s="13"/>
      <c r="AG470" s="13"/>
    </row>
    <row r="471" spans="1:33" x14ac:dyDescent="0.3">
      <c r="A471" s="259">
        <f t="shared" si="95"/>
        <v>342</v>
      </c>
      <c r="B471" s="20" t="s">
        <v>1720</v>
      </c>
      <c r="C471" s="273">
        <f t="shared" si="97"/>
        <v>1054749.31</v>
      </c>
      <c r="D471" s="273"/>
      <c r="E471" s="273"/>
      <c r="F471" s="273"/>
      <c r="G471" s="273"/>
      <c r="H471" s="273"/>
      <c r="I471" s="273"/>
      <c r="J471" s="50"/>
      <c r="K471" s="273"/>
      <c r="L471" s="273"/>
      <c r="M471" s="273"/>
      <c r="N471" s="273"/>
      <c r="O471" s="273"/>
      <c r="P471" s="273"/>
      <c r="Q471" s="273"/>
      <c r="R471" s="273"/>
      <c r="S471" s="273"/>
      <c r="T471" s="273"/>
      <c r="U471" s="273"/>
      <c r="V471" s="273"/>
      <c r="W471" s="273">
        <f t="shared" si="96"/>
        <v>1054749.31</v>
      </c>
      <c r="X471" s="271"/>
      <c r="Y471" s="271"/>
      <c r="Z471" s="271"/>
      <c r="AA471" s="271"/>
      <c r="AB471" s="271"/>
      <c r="AD471" s="269"/>
      <c r="AE471" s="7"/>
      <c r="AF471" s="13">
        <v>1054749.31</v>
      </c>
      <c r="AG471" s="13"/>
    </row>
    <row r="472" spans="1:33" x14ac:dyDescent="0.3">
      <c r="A472" s="259">
        <f t="shared" si="95"/>
        <v>343</v>
      </c>
      <c r="B472" s="20" t="s">
        <v>1721</v>
      </c>
      <c r="C472" s="273">
        <f t="shared" si="97"/>
        <v>535959.86</v>
      </c>
      <c r="D472" s="273"/>
      <c r="E472" s="273"/>
      <c r="F472" s="273"/>
      <c r="G472" s="273"/>
      <c r="H472" s="273"/>
      <c r="I472" s="273"/>
      <c r="J472" s="50"/>
      <c r="K472" s="273"/>
      <c r="L472" s="273"/>
      <c r="M472" s="273"/>
      <c r="N472" s="273"/>
      <c r="O472" s="273"/>
      <c r="P472" s="273"/>
      <c r="Q472" s="273"/>
      <c r="R472" s="273"/>
      <c r="S472" s="273"/>
      <c r="T472" s="273"/>
      <c r="U472" s="273"/>
      <c r="V472" s="273"/>
      <c r="W472" s="273">
        <f t="shared" si="96"/>
        <v>535959.86</v>
      </c>
      <c r="X472" s="271">
        <v>236255.64</v>
      </c>
      <c r="Y472" s="271">
        <v>299704.21999999997</v>
      </c>
      <c r="Z472" s="271"/>
      <c r="AA472" s="271"/>
      <c r="AB472" s="271"/>
      <c r="AD472" s="269"/>
      <c r="AE472" s="7"/>
      <c r="AF472" s="13"/>
      <c r="AG472" s="13"/>
    </row>
    <row r="473" spans="1:33" x14ac:dyDescent="0.3">
      <c r="A473" s="259">
        <f t="shared" si="95"/>
        <v>344</v>
      </c>
      <c r="B473" s="20" t="s">
        <v>1722</v>
      </c>
      <c r="C473" s="273">
        <f t="shared" si="97"/>
        <v>133678.32999999999</v>
      </c>
      <c r="D473" s="273"/>
      <c r="E473" s="273"/>
      <c r="F473" s="273"/>
      <c r="G473" s="273"/>
      <c r="H473" s="273"/>
      <c r="I473" s="273"/>
      <c r="J473" s="50"/>
      <c r="K473" s="273"/>
      <c r="L473" s="273"/>
      <c r="M473" s="273"/>
      <c r="N473" s="273"/>
      <c r="O473" s="273"/>
      <c r="P473" s="273"/>
      <c r="Q473" s="273"/>
      <c r="R473" s="273"/>
      <c r="S473" s="273"/>
      <c r="T473" s="273"/>
      <c r="U473" s="273"/>
      <c r="V473" s="273"/>
      <c r="W473" s="273">
        <f t="shared" si="96"/>
        <v>133678.32999999999</v>
      </c>
      <c r="X473" s="271"/>
      <c r="Y473" s="271"/>
      <c r="Z473" s="271"/>
      <c r="AA473" s="271"/>
      <c r="AB473" s="271">
        <v>133678.32999999999</v>
      </c>
      <c r="AD473" s="269"/>
      <c r="AE473" s="7"/>
      <c r="AF473" s="13"/>
      <c r="AG473" s="13"/>
    </row>
    <row r="474" spans="1:33" x14ac:dyDescent="0.3">
      <c r="A474" s="259">
        <f t="shared" si="95"/>
        <v>345</v>
      </c>
      <c r="B474" s="20" t="s">
        <v>1723</v>
      </c>
      <c r="C474" s="273">
        <f t="shared" si="97"/>
        <v>208593.94</v>
      </c>
      <c r="D474" s="273"/>
      <c r="E474" s="273"/>
      <c r="F474" s="273"/>
      <c r="G474" s="273"/>
      <c r="H474" s="273"/>
      <c r="I474" s="273"/>
      <c r="J474" s="50"/>
      <c r="K474" s="273"/>
      <c r="L474" s="273"/>
      <c r="M474" s="273"/>
      <c r="N474" s="273"/>
      <c r="O474" s="273"/>
      <c r="P474" s="273"/>
      <c r="Q474" s="273"/>
      <c r="R474" s="273"/>
      <c r="S474" s="273"/>
      <c r="T474" s="273"/>
      <c r="U474" s="273"/>
      <c r="V474" s="273"/>
      <c r="W474" s="273">
        <f t="shared" si="96"/>
        <v>208593.94</v>
      </c>
      <c r="X474" s="271"/>
      <c r="Y474" s="271"/>
      <c r="Z474" s="271"/>
      <c r="AA474" s="271"/>
      <c r="AB474" s="271">
        <v>208593.94</v>
      </c>
      <c r="AD474" s="269"/>
      <c r="AE474" s="7"/>
      <c r="AF474" s="13"/>
      <c r="AG474" s="13"/>
    </row>
    <row r="475" spans="1:33" x14ac:dyDescent="0.3">
      <c r="A475" s="259">
        <f t="shared" ref="A475:A484" si="98">A474+1</f>
        <v>346</v>
      </c>
      <c r="B475" s="20" t="s">
        <v>1724</v>
      </c>
      <c r="C475" s="273">
        <f t="shared" si="97"/>
        <v>203307.02</v>
      </c>
      <c r="D475" s="273"/>
      <c r="E475" s="273"/>
      <c r="F475" s="273"/>
      <c r="G475" s="273"/>
      <c r="H475" s="273"/>
      <c r="I475" s="273"/>
      <c r="J475" s="50"/>
      <c r="K475" s="273"/>
      <c r="L475" s="273"/>
      <c r="M475" s="273"/>
      <c r="N475" s="273"/>
      <c r="O475" s="273"/>
      <c r="P475" s="273"/>
      <c r="Q475" s="273"/>
      <c r="R475" s="273"/>
      <c r="S475" s="273"/>
      <c r="T475" s="273"/>
      <c r="U475" s="273"/>
      <c r="V475" s="273"/>
      <c r="W475" s="273">
        <f t="shared" si="96"/>
        <v>203307.02</v>
      </c>
      <c r="X475" s="271"/>
      <c r="Y475" s="271"/>
      <c r="Z475" s="271"/>
      <c r="AA475" s="271"/>
      <c r="AB475" s="271">
        <v>203307.02</v>
      </c>
      <c r="AD475" s="269"/>
      <c r="AE475" s="7"/>
      <c r="AF475" s="13"/>
      <c r="AG475" s="13"/>
    </row>
    <row r="476" spans="1:33" x14ac:dyDescent="0.3">
      <c r="A476" s="259">
        <f t="shared" si="98"/>
        <v>347</v>
      </c>
      <c r="B476" s="20" t="s">
        <v>3564</v>
      </c>
      <c r="C476" s="273">
        <f t="shared" si="97"/>
        <v>733563.3</v>
      </c>
      <c r="D476" s="273"/>
      <c r="E476" s="273"/>
      <c r="F476" s="273"/>
      <c r="G476" s="273"/>
      <c r="H476" s="273"/>
      <c r="I476" s="273"/>
      <c r="J476" s="50"/>
      <c r="K476" s="273"/>
      <c r="L476" s="273"/>
      <c r="M476" s="273"/>
      <c r="N476" s="273"/>
      <c r="O476" s="273"/>
      <c r="P476" s="273"/>
      <c r="Q476" s="273"/>
      <c r="R476" s="273"/>
      <c r="S476" s="273"/>
      <c r="T476" s="273"/>
      <c r="U476" s="273"/>
      <c r="V476" s="273"/>
      <c r="W476" s="273">
        <v>733563.3</v>
      </c>
      <c r="X476" s="271"/>
      <c r="Y476" s="271"/>
      <c r="Z476" s="271"/>
      <c r="AA476" s="271"/>
      <c r="AB476" s="271"/>
      <c r="AD476" s="269"/>
      <c r="AE476" s="7"/>
      <c r="AF476" s="13">
        <v>733563.3</v>
      </c>
      <c r="AG476" s="13"/>
    </row>
    <row r="477" spans="1:33" x14ac:dyDescent="0.3">
      <c r="A477" s="259">
        <f t="shared" si="98"/>
        <v>348</v>
      </c>
      <c r="B477" s="20" t="s">
        <v>1725</v>
      </c>
      <c r="C477" s="273">
        <f t="shared" si="97"/>
        <v>230128.54</v>
      </c>
      <c r="D477" s="273"/>
      <c r="E477" s="273"/>
      <c r="F477" s="273"/>
      <c r="G477" s="273"/>
      <c r="H477" s="273"/>
      <c r="I477" s="273"/>
      <c r="J477" s="50"/>
      <c r="K477" s="273"/>
      <c r="L477" s="273"/>
      <c r="M477" s="273"/>
      <c r="N477" s="273"/>
      <c r="O477" s="273"/>
      <c r="P477" s="273"/>
      <c r="Q477" s="273"/>
      <c r="R477" s="273"/>
      <c r="S477" s="273"/>
      <c r="T477" s="273"/>
      <c r="U477" s="273"/>
      <c r="V477" s="273"/>
      <c r="W477" s="273">
        <f t="shared" si="96"/>
        <v>230128.54</v>
      </c>
      <c r="X477" s="271"/>
      <c r="Y477" s="271"/>
      <c r="Z477" s="271"/>
      <c r="AA477" s="271"/>
      <c r="AB477" s="271">
        <v>230128.54</v>
      </c>
      <c r="AD477" s="269"/>
      <c r="AE477" s="7"/>
      <c r="AF477" s="13"/>
      <c r="AG477" s="13"/>
    </row>
    <row r="478" spans="1:33" x14ac:dyDescent="0.3">
      <c r="A478" s="259">
        <f t="shared" si="98"/>
        <v>349</v>
      </c>
      <c r="B478" s="20" t="s">
        <v>1726</v>
      </c>
      <c r="C478" s="273">
        <f t="shared" si="97"/>
        <v>209174.23</v>
      </c>
      <c r="D478" s="273"/>
      <c r="E478" s="273"/>
      <c r="F478" s="273"/>
      <c r="G478" s="273"/>
      <c r="H478" s="273"/>
      <c r="I478" s="273"/>
      <c r="J478" s="50"/>
      <c r="K478" s="273"/>
      <c r="L478" s="273"/>
      <c r="M478" s="273"/>
      <c r="N478" s="273"/>
      <c r="O478" s="273"/>
      <c r="P478" s="273"/>
      <c r="Q478" s="273"/>
      <c r="R478" s="273"/>
      <c r="S478" s="273"/>
      <c r="T478" s="273"/>
      <c r="U478" s="273"/>
      <c r="V478" s="273"/>
      <c r="W478" s="273">
        <f t="shared" si="96"/>
        <v>209174.23</v>
      </c>
      <c r="X478" s="271"/>
      <c r="Y478" s="271"/>
      <c r="Z478" s="271"/>
      <c r="AA478" s="271"/>
      <c r="AB478" s="271">
        <v>209174.23</v>
      </c>
      <c r="AD478" s="269"/>
      <c r="AE478" s="7"/>
      <c r="AF478" s="13"/>
      <c r="AG478" s="13"/>
    </row>
    <row r="479" spans="1:33" x14ac:dyDescent="0.3">
      <c r="A479" s="259">
        <f t="shared" si="98"/>
        <v>350</v>
      </c>
      <c r="B479" s="20" t="s">
        <v>1727</v>
      </c>
      <c r="C479" s="273">
        <f t="shared" si="97"/>
        <v>212881.51</v>
      </c>
      <c r="D479" s="273"/>
      <c r="E479" s="273"/>
      <c r="F479" s="273"/>
      <c r="G479" s="273"/>
      <c r="H479" s="273"/>
      <c r="I479" s="273"/>
      <c r="J479" s="50"/>
      <c r="K479" s="273"/>
      <c r="L479" s="273"/>
      <c r="M479" s="273"/>
      <c r="N479" s="273"/>
      <c r="O479" s="273"/>
      <c r="P479" s="273"/>
      <c r="Q479" s="273"/>
      <c r="R479" s="273"/>
      <c r="S479" s="273"/>
      <c r="T479" s="273"/>
      <c r="U479" s="273"/>
      <c r="V479" s="273"/>
      <c r="W479" s="273">
        <f t="shared" si="96"/>
        <v>212881.51</v>
      </c>
      <c r="X479" s="271"/>
      <c r="Y479" s="271"/>
      <c r="Z479" s="271"/>
      <c r="AA479" s="271"/>
      <c r="AB479" s="271">
        <v>212881.51</v>
      </c>
      <c r="AD479" s="269"/>
      <c r="AE479" s="7"/>
      <c r="AF479" s="13"/>
      <c r="AG479" s="13"/>
    </row>
    <row r="480" spans="1:33" x14ac:dyDescent="0.3">
      <c r="A480" s="259">
        <f t="shared" si="98"/>
        <v>351</v>
      </c>
      <c r="B480" s="20" t="s">
        <v>1728</v>
      </c>
      <c r="C480" s="273">
        <f t="shared" si="97"/>
        <v>778560.46</v>
      </c>
      <c r="D480" s="273"/>
      <c r="E480" s="273"/>
      <c r="F480" s="273"/>
      <c r="G480" s="273"/>
      <c r="H480" s="273"/>
      <c r="I480" s="273"/>
      <c r="J480" s="50"/>
      <c r="K480" s="273"/>
      <c r="L480" s="273"/>
      <c r="M480" s="273"/>
      <c r="N480" s="273"/>
      <c r="O480" s="273"/>
      <c r="P480" s="273"/>
      <c r="Q480" s="273"/>
      <c r="R480" s="273"/>
      <c r="S480" s="273"/>
      <c r="T480" s="273"/>
      <c r="U480" s="273"/>
      <c r="V480" s="273"/>
      <c r="W480" s="273">
        <f t="shared" si="96"/>
        <v>778560.46</v>
      </c>
      <c r="X480" s="271"/>
      <c r="Y480" s="271"/>
      <c r="Z480" s="271"/>
      <c r="AA480" s="271"/>
      <c r="AB480" s="271"/>
      <c r="AD480" s="269"/>
      <c r="AE480" s="7"/>
      <c r="AF480" s="13">
        <v>778560.46</v>
      </c>
      <c r="AG480" s="13"/>
    </row>
    <row r="481" spans="1:33" x14ac:dyDescent="0.3">
      <c r="A481" s="259">
        <f t="shared" si="98"/>
        <v>352</v>
      </c>
      <c r="B481" s="20" t="s">
        <v>1729</v>
      </c>
      <c r="C481" s="273">
        <f t="shared" si="97"/>
        <v>352754.26</v>
      </c>
      <c r="D481" s="273"/>
      <c r="E481" s="273"/>
      <c r="F481" s="273"/>
      <c r="G481" s="273"/>
      <c r="H481" s="273"/>
      <c r="I481" s="273"/>
      <c r="J481" s="50"/>
      <c r="K481" s="273"/>
      <c r="L481" s="273"/>
      <c r="M481" s="273"/>
      <c r="N481" s="273"/>
      <c r="O481" s="273"/>
      <c r="P481" s="273"/>
      <c r="Q481" s="273"/>
      <c r="R481" s="273"/>
      <c r="S481" s="273"/>
      <c r="T481" s="273"/>
      <c r="U481" s="273"/>
      <c r="V481" s="273"/>
      <c r="W481" s="273">
        <f t="shared" si="96"/>
        <v>352754.26</v>
      </c>
      <c r="X481" s="271"/>
      <c r="Y481" s="271"/>
      <c r="Z481" s="271"/>
      <c r="AA481" s="271"/>
      <c r="AB481" s="271"/>
      <c r="AD481" s="269">
        <v>352754.26</v>
      </c>
      <c r="AE481" s="7"/>
      <c r="AF481" s="13"/>
      <c r="AG481" s="13"/>
    </row>
    <row r="482" spans="1:33" x14ac:dyDescent="0.3">
      <c r="A482" s="259">
        <f t="shared" si="98"/>
        <v>353</v>
      </c>
      <c r="B482" s="20" t="s">
        <v>3562</v>
      </c>
      <c r="C482" s="273">
        <f t="shared" si="97"/>
        <v>1217079.3500000001</v>
      </c>
      <c r="D482" s="273"/>
      <c r="E482" s="273"/>
      <c r="F482" s="273"/>
      <c r="G482" s="273"/>
      <c r="H482" s="273"/>
      <c r="I482" s="273"/>
      <c r="J482" s="50"/>
      <c r="K482" s="273"/>
      <c r="L482" s="273"/>
      <c r="M482" s="273"/>
      <c r="N482" s="273"/>
      <c r="O482" s="273"/>
      <c r="P482" s="273"/>
      <c r="Q482" s="273"/>
      <c r="R482" s="273"/>
      <c r="S482" s="273"/>
      <c r="T482" s="273"/>
      <c r="U482" s="273"/>
      <c r="V482" s="273"/>
      <c r="W482" s="273">
        <v>1217079.3500000001</v>
      </c>
      <c r="X482" s="271"/>
      <c r="Y482" s="271"/>
      <c r="Z482" s="271"/>
      <c r="AA482" s="271"/>
      <c r="AB482" s="271"/>
      <c r="AD482" s="269"/>
      <c r="AE482" s="7"/>
      <c r="AF482" s="13">
        <v>1217079.3500000001</v>
      </c>
      <c r="AG482" s="13"/>
    </row>
    <row r="483" spans="1:33" x14ac:dyDescent="0.3">
      <c r="A483" s="259">
        <f t="shared" si="98"/>
        <v>354</v>
      </c>
      <c r="B483" s="20" t="s">
        <v>1730</v>
      </c>
      <c r="C483" s="273">
        <f t="shared" si="97"/>
        <v>88030.16</v>
      </c>
      <c r="D483" s="273"/>
      <c r="E483" s="273"/>
      <c r="F483" s="273"/>
      <c r="G483" s="273"/>
      <c r="H483" s="273"/>
      <c r="I483" s="273"/>
      <c r="J483" s="50"/>
      <c r="K483" s="273"/>
      <c r="L483" s="273"/>
      <c r="M483" s="273"/>
      <c r="N483" s="273"/>
      <c r="O483" s="273"/>
      <c r="P483" s="273"/>
      <c r="Q483" s="273"/>
      <c r="R483" s="273"/>
      <c r="S483" s="273"/>
      <c r="T483" s="273"/>
      <c r="U483" s="273"/>
      <c r="V483" s="273"/>
      <c r="W483" s="273">
        <f t="shared" si="96"/>
        <v>88030.16</v>
      </c>
      <c r="X483" s="271"/>
      <c r="Y483" s="271"/>
      <c r="Z483" s="271"/>
      <c r="AA483" s="271"/>
      <c r="AB483" s="271"/>
      <c r="AD483" s="269">
        <v>88030.16</v>
      </c>
      <c r="AE483" s="7"/>
      <c r="AF483" s="13"/>
      <c r="AG483" s="13"/>
    </row>
    <row r="484" spans="1:33" x14ac:dyDescent="0.3">
      <c r="A484" s="259">
        <f t="shared" si="98"/>
        <v>355</v>
      </c>
      <c r="B484" s="20" t="s">
        <v>1731</v>
      </c>
      <c r="C484" s="273">
        <f t="shared" ref="C484:C500" si="99">D484+K484+L484+N484+P484+R484+S484+U484+V484+W484</f>
        <v>358248.78</v>
      </c>
      <c r="D484" s="273"/>
      <c r="E484" s="273"/>
      <c r="F484" s="273"/>
      <c r="G484" s="273"/>
      <c r="H484" s="273"/>
      <c r="I484" s="273"/>
      <c r="J484" s="50"/>
      <c r="K484" s="273"/>
      <c r="L484" s="273"/>
      <c r="M484" s="273"/>
      <c r="N484" s="273"/>
      <c r="O484" s="273"/>
      <c r="P484" s="273"/>
      <c r="Q484" s="273"/>
      <c r="R484" s="273"/>
      <c r="S484" s="273"/>
      <c r="T484" s="273"/>
      <c r="U484" s="273"/>
      <c r="V484" s="273"/>
      <c r="W484" s="273">
        <f t="shared" si="96"/>
        <v>358248.78</v>
      </c>
      <c r="X484" s="271"/>
      <c r="Y484" s="271"/>
      <c r="Z484" s="271"/>
      <c r="AA484" s="271"/>
      <c r="AB484" s="271"/>
      <c r="AD484" s="269">
        <v>358248.78</v>
      </c>
      <c r="AE484" s="7"/>
      <c r="AF484" s="13"/>
      <c r="AG484" s="13"/>
    </row>
    <row r="485" spans="1:33" x14ac:dyDescent="0.3">
      <c r="A485" s="259">
        <f t="shared" ref="A485:A507" si="100">A484+1</f>
        <v>356</v>
      </c>
      <c r="B485" s="20" t="s">
        <v>1732</v>
      </c>
      <c r="C485" s="273">
        <f t="shared" si="99"/>
        <v>261291.41</v>
      </c>
      <c r="D485" s="273"/>
      <c r="E485" s="273"/>
      <c r="F485" s="273"/>
      <c r="G485" s="273"/>
      <c r="H485" s="273"/>
      <c r="I485" s="273"/>
      <c r="J485" s="50"/>
      <c r="K485" s="273"/>
      <c r="L485" s="273"/>
      <c r="M485" s="273"/>
      <c r="N485" s="273"/>
      <c r="O485" s="273"/>
      <c r="P485" s="273"/>
      <c r="Q485" s="273"/>
      <c r="R485" s="273"/>
      <c r="S485" s="273"/>
      <c r="T485" s="273"/>
      <c r="U485" s="273"/>
      <c r="V485" s="273"/>
      <c r="W485" s="273">
        <f t="shared" si="96"/>
        <v>261291.41</v>
      </c>
      <c r="X485" s="271"/>
      <c r="Y485" s="271"/>
      <c r="Z485" s="271"/>
      <c r="AA485" s="271"/>
      <c r="AB485" s="271"/>
      <c r="AD485" s="269">
        <v>261291.41</v>
      </c>
      <c r="AE485" s="7"/>
      <c r="AF485" s="13"/>
      <c r="AG485" s="13"/>
    </row>
    <row r="486" spans="1:33" x14ac:dyDescent="0.3">
      <c r="A486" s="259">
        <f t="shared" si="100"/>
        <v>357</v>
      </c>
      <c r="B486" s="20" t="s">
        <v>1733</v>
      </c>
      <c r="C486" s="273">
        <f t="shared" si="99"/>
        <v>163096.16</v>
      </c>
      <c r="D486" s="273"/>
      <c r="E486" s="273"/>
      <c r="F486" s="273"/>
      <c r="G486" s="273"/>
      <c r="H486" s="273"/>
      <c r="I486" s="273"/>
      <c r="J486" s="50"/>
      <c r="K486" s="273"/>
      <c r="L486" s="273"/>
      <c r="M486" s="273"/>
      <c r="N486" s="273"/>
      <c r="O486" s="273"/>
      <c r="P486" s="273"/>
      <c r="Q486" s="273"/>
      <c r="R486" s="273"/>
      <c r="S486" s="273"/>
      <c r="T486" s="273"/>
      <c r="U486" s="273"/>
      <c r="V486" s="273"/>
      <c r="W486" s="273">
        <f t="shared" si="96"/>
        <v>163096.16</v>
      </c>
      <c r="X486" s="271"/>
      <c r="Y486" s="271"/>
      <c r="Z486" s="271"/>
      <c r="AA486" s="271"/>
      <c r="AB486" s="271"/>
      <c r="AD486" s="269">
        <v>163096.16</v>
      </c>
      <c r="AE486" s="7"/>
      <c r="AF486" s="13"/>
      <c r="AG486" s="13"/>
    </row>
    <row r="487" spans="1:33" x14ac:dyDescent="0.3">
      <c r="A487" s="259">
        <f t="shared" si="100"/>
        <v>358</v>
      </c>
      <c r="B487" s="20" t="s">
        <v>1734</v>
      </c>
      <c r="C487" s="273">
        <f t="shared" si="99"/>
        <v>39478430</v>
      </c>
      <c r="D487" s="273"/>
      <c r="E487" s="273"/>
      <c r="F487" s="273"/>
      <c r="G487" s="273"/>
      <c r="H487" s="273"/>
      <c r="I487" s="273"/>
      <c r="J487" s="50"/>
      <c r="K487" s="273"/>
      <c r="L487" s="273"/>
      <c r="M487" s="273"/>
      <c r="N487" s="273"/>
      <c r="O487" s="273"/>
      <c r="P487" s="273"/>
      <c r="Q487" s="273">
        <v>2810</v>
      </c>
      <c r="R487" s="273">
        <v>39348430</v>
      </c>
      <c r="S487" s="273"/>
      <c r="T487" s="273"/>
      <c r="U487" s="273"/>
      <c r="V487" s="273"/>
      <c r="W487" s="273">
        <v>130000</v>
      </c>
      <c r="X487" s="271"/>
      <c r="Y487" s="271"/>
      <c r="Z487" s="271"/>
      <c r="AA487" s="271"/>
      <c r="AB487" s="271"/>
      <c r="AD487" s="269"/>
      <c r="AE487" s="7"/>
      <c r="AF487" s="13"/>
      <c r="AG487" s="13"/>
    </row>
    <row r="488" spans="1:33" ht="25.5" customHeight="1" x14ac:dyDescent="0.3">
      <c r="A488" s="259">
        <f t="shared" si="100"/>
        <v>359</v>
      </c>
      <c r="B488" s="20" t="s">
        <v>3578</v>
      </c>
      <c r="C488" s="273">
        <f t="shared" si="99"/>
        <v>1080380.52</v>
      </c>
      <c r="D488" s="273"/>
      <c r="E488" s="273"/>
      <c r="F488" s="273"/>
      <c r="G488" s="273"/>
      <c r="H488" s="273"/>
      <c r="I488" s="273"/>
      <c r="J488" s="50"/>
      <c r="K488" s="273"/>
      <c r="L488" s="273"/>
      <c r="M488" s="273"/>
      <c r="N488" s="273"/>
      <c r="O488" s="273"/>
      <c r="P488" s="273"/>
      <c r="Q488" s="273"/>
      <c r="R488" s="273"/>
      <c r="S488" s="273"/>
      <c r="T488" s="273"/>
      <c r="U488" s="273"/>
      <c r="V488" s="273"/>
      <c r="W488" s="273">
        <f t="shared" si="96"/>
        <v>1080380.52</v>
      </c>
      <c r="X488" s="271"/>
      <c r="Y488" s="271"/>
      <c r="Z488" s="271"/>
      <c r="AA488" s="271"/>
      <c r="AB488" s="271"/>
      <c r="AD488" s="269"/>
      <c r="AE488" s="7"/>
      <c r="AF488" s="13">
        <v>1080380.52</v>
      </c>
      <c r="AG488" s="13"/>
    </row>
    <row r="489" spans="1:33" x14ac:dyDescent="0.3">
      <c r="A489" s="259">
        <f t="shared" si="100"/>
        <v>360</v>
      </c>
      <c r="B489" s="20" t="s">
        <v>1735</v>
      </c>
      <c r="C489" s="273">
        <f t="shared" si="99"/>
        <v>965379.23</v>
      </c>
      <c r="D489" s="273"/>
      <c r="E489" s="273"/>
      <c r="F489" s="273"/>
      <c r="G489" s="273"/>
      <c r="H489" s="273"/>
      <c r="I489" s="273"/>
      <c r="J489" s="50"/>
      <c r="K489" s="273"/>
      <c r="L489" s="273"/>
      <c r="M489" s="273"/>
      <c r="N489" s="273"/>
      <c r="O489" s="273"/>
      <c r="P489" s="273"/>
      <c r="Q489" s="273"/>
      <c r="R489" s="273"/>
      <c r="S489" s="273"/>
      <c r="T489" s="273"/>
      <c r="U489" s="273"/>
      <c r="V489" s="273"/>
      <c r="W489" s="273">
        <f t="shared" si="96"/>
        <v>965379.23</v>
      </c>
      <c r="X489" s="271">
        <v>246884.52</v>
      </c>
      <c r="Y489" s="271">
        <v>287968.3</v>
      </c>
      <c r="Z489" s="271"/>
      <c r="AA489" s="271"/>
      <c r="AB489" s="271"/>
      <c r="AD489" s="269"/>
      <c r="AE489" s="7"/>
      <c r="AF489" s="13"/>
      <c r="AG489" s="13">
        <v>430526.41</v>
      </c>
    </row>
    <row r="490" spans="1:33" x14ac:dyDescent="0.3">
      <c r="A490" s="259">
        <f t="shared" si="100"/>
        <v>361</v>
      </c>
      <c r="B490" s="20" t="s">
        <v>1736</v>
      </c>
      <c r="C490" s="273">
        <f t="shared" si="99"/>
        <v>979720.05</v>
      </c>
      <c r="D490" s="273"/>
      <c r="E490" s="273"/>
      <c r="F490" s="273"/>
      <c r="G490" s="273"/>
      <c r="H490" s="273"/>
      <c r="I490" s="273"/>
      <c r="J490" s="50"/>
      <c r="K490" s="273"/>
      <c r="L490" s="273"/>
      <c r="M490" s="273"/>
      <c r="N490" s="273"/>
      <c r="O490" s="273"/>
      <c r="P490" s="273"/>
      <c r="Q490" s="273"/>
      <c r="R490" s="273"/>
      <c r="S490" s="273"/>
      <c r="T490" s="273"/>
      <c r="U490" s="273"/>
      <c r="V490" s="273"/>
      <c r="W490" s="273">
        <f t="shared" si="96"/>
        <v>979720.05</v>
      </c>
      <c r="X490" s="271">
        <v>250721.57</v>
      </c>
      <c r="Y490" s="271">
        <v>291946.98</v>
      </c>
      <c r="Z490" s="271"/>
      <c r="AA490" s="271"/>
      <c r="AB490" s="271"/>
      <c r="AD490" s="269"/>
      <c r="AE490" s="7"/>
      <c r="AF490" s="13"/>
      <c r="AG490" s="13">
        <v>437051.5</v>
      </c>
    </row>
    <row r="491" spans="1:33" x14ac:dyDescent="0.3">
      <c r="A491" s="259">
        <f t="shared" si="100"/>
        <v>362</v>
      </c>
      <c r="B491" s="20" t="s">
        <v>1741</v>
      </c>
      <c r="C491" s="273">
        <f t="shared" si="99"/>
        <v>122288.59</v>
      </c>
      <c r="D491" s="273"/>
      <c r="E491" s="273"/>
      <c r="F491" s="273"/>
      <c r="G491" s="273"/>
      <c r="H491" s="273"/>
      <c r="I491" s="273"/>
      <c r="J491" s="50"/>
      <c r="K491" s="273"/>
      <c r="L491" s="273"/>
      <c r="M491" s="273"/>
      <c r="N491" s="273"/>
      <c r="O491" s="273"/>
      <c r="P491" s="273"/>
      <c r="Q491" s="273"/>
      <c r="R491" s="273"/>
      <c r="S491" s="273"/>
      <c r="T491" s="273"/>
      <c r="U491" s="273"/>
      <c r="V491" s="273"/>
      <c r="W491" s="273">
        <f t="shared" si="96"/>
        <v>122288.59</v>
      </c>
      <c r="X491" s="271"/>
      <c r="Y491" s="271"/>
      <c r="Z491" s="271"/>
      <c r="AA491" s="271"/>
      <c r="AB491" s="271">
        <v>122288.59</v>
      </c>
      <c r="AD491" s="269"/>
      <c r="AE491" s="7"/>
      <c r="AF491" s="13"/>
      <c r="AG491" s="13"/>
    </row>
    <row r="492" spans="1:33" x14ac:dyDescent="0.3">
      <c r="A492" s="259">
        <f t="shared" si="100"/>
        <v>363</v>
      </c>
      <c r="B492" s="20" t="s">
        <v>1746</v>
      </c>
      <c r="C492" s="273">
        <f t="shared" si="99"/>
        <v>138644.35999999999</v>
      </c>
      <c r="D492" s="273"/>
      <c r="E492" s="273"/>
      <c r="F492" s="273"/>
      <c r="G492" s="273"/>
      <c r="H492" s="273"/>
      <c r="I492" s="273"/>
      <c r="J492" s="50"/>
      <c r="K492" s="273"/>
      <c r="L492" s="273"/>
      <c r="M492" s="273"/>
      <c r="N492" s="273"/>
      <c r="O492" s="273"/>
      <c r="P492" s="273"/>
      <c r="Q492" s="273"/>
      <c r="R492" s="273"/>
      <c r="S492" s="273"/>
      <c r="T492" s="273"/>
      <c r="U492" s="273"/>
      <c r="V492" s="273"/>
      <c r="W492" s="273">
        <f t="shared" ref="W492:W508" si="101">SUM(X492:AJ492)</f>
        <v>138644.35999999999</v>
      </c>
      <c r="X492" s="271"/>
      <c r="Y492" s="271"/>
      <c r="Z492" s="271"/>
      <c r="AA492" s="271"/>
      <c r="AB492" s="271">
        <v>138644.35999999999</v>
      </c>
      <c r="AD492" s="269"/>
      <c r="AE492" s="7"/>
      <c r="AF492" s="13"/>
      <c r="AG492" s="13"/>
    </row>
    <row r="493" spans="1:33" x14ac:dyDescent="0.3">
      <c r="A493" s="259">
        <f t="shared" si="100"/>
        <v>364</v>
      </c>
      <c r="B493" s="20" t="s">
        <v>1748</v>
      </c>
      <c r="C493" s="273">
        <f t="shared" si="99"/>
        <v>433874.95</v>
      </c>
      <c r="D493" s="273"/>
      <c r="E493" s="273"/>
      <c r="F493" s="273"/>
      <c r="G493" s="273"/>
      <c r="H493" s="273"/>
      <c r="I493" s="273"/>
      <c r="J493" s="50"/>
      <c r="K493" s="273"/>
      <c r="L493" s="273"/>
      <c r="M493" s="273"/>
      <c r="N493" s="273"/>
      <c r="O493" s="273"/>
      <c r="P493" s="273"/>
      <c r="Q493" s="273"/>
      <c r="R493" s="273"/>
      <c r="S493" s="273"/>
      <c r="T493" s="273"/>
      <c r="U493" s="273"/>
      <c r="V493" s="273"/>
      <c r="W493" s="273">
        <f t="shared" si="101"/>
        <v>433874.95</v>
      </c>
      <c r="X493" s="271"/>
      <c r="Y493" s="271"/>
      <c r="Z493" s="271"/>
      <c r="AA493" s="271"/>
      <c r="AB493" s="271"/>
      <c r="AD493" s="269">
        <v>433874.95</v>
      </c>
      <c r="AE493" s="7"/>
      <c r="AF493" s="13"/>
      <c r="AG493" s="13"/>
    </row>
    <row r="494" spans="1:33" x14ac:dyDescent="0.3">
      <c r="A494" s="259">
        <f t="shared" si="100"/>
        <v>365</v>
      </c>
      <c r="B494" s="20" t="s">
        <v>1752</v>
      </c>
      <c r="C494" s="273">
        <f t="shared" si="99"/>
        <v>309513.94</v>
      </c>
      <c r="D494" s="273"/>
      <c r="E494" s="273"/>
      <c r="F494" s="273"/>
      <c r="G494" s="273"/>
      <c r="H494" s="273"/>
      <c r="I494" s="273"/>
      <c r="J494" s="50"/>
      <c r="K494" s="273"/>
      <c r="L494" s="273"/>
      <c r="M494" s="273"/>
      <c r="N494" s="273"/>
      <c r="O494" s="273"/>
      <c r="P494" s="273"/>
      <c r="Q494" s="273"/>
      <c r="R494" s="273"/>
      <c r="S494" s="273"/>
      <c r="T494" s="273"/>
      <c r="U494" s="273"/>
      <c r="V494" s="273"/>
      <c r="W494" s="273">
        <f t="shared" si="101"/>
        <v>309513.94</v>
      </c>
      <c r="X494" s="271"/>
      <c r="Y494" s="271"/>
      <c r="Z494" s="271"/>
      <c r="AA494" s="271"/>
      <c r="AB494" s="271"/>
      <c r="AD494" s="269"/>
      <c r="AE494" s="7"/>
      <c r="AF494" s="13"/>
      <c r="AG494" s="13">
        <v>309513.94</v>
      </c>
    </row>
    <row r="495" spans="1:33" x14ac:dyDescent="0.3">
      <c r="A495" s="259">
        <f t="shared" si="100"/>
        <v>366</v>
      </c>
      <c r="B495" s="20" t="s">
        <v>1753</v>
      </c>
      <c r="C495" s="273">
        <f t="shared" si="99"/>
        <v>273829.2</v>
      </c>
      <c r="D495" s="273"/>
      <c r="E495" s="273"/>
      <c r="F495" s="273"/>
      <c r="G495" s="273"/>
      <c r="H495" s="273"/>
      <c r="I495" s="273"/>
      <c r="J495" s="50"/>
      <c r="K495" s="273"/>
      <c r="L495" s="273"/>
      <c r="M495" s="273"/>
      <c r="N495" s="273"/>
      <c r="O495" s="273"/>
      <c r="P495" s="273"/>
      <c r="Q495" s="273"/>
      <c r="R495" s="273"/>
      <c r="S495" s="273"/>
      <c r="T495" s="273"/>
      <c r="U495" s="273"/>
      <c r="V495" s="273"/>
      <c r="W495" s="273">
        <f t="shared" si="101"/>
        <v>273829.2</v>
      </c>
      <c r="X495" s="271"/>
      <c r="Y495" s="271">
        <v>128413.27</v>
      </c>
      <c r="Z495" s="271">
        <v>145415.93</v>
      </c>
      <c r="AA495" s="271"/>
      <c r="AB495" s="271"/>
      <c r="AD495" s="269"/>
      <c r="AE495" s="7"/>
      <c r="AF495" s="13"/>
      <c r="AG495" s="13"/>
    </row>
    <row r="496" spans="1:33" x14ac:dyDescent="0.3">
      <c r="A496" s="259">
        <f t="shared" si="100"/>
        <v>367</v>
      </c>
      <c r="B496" s="20" t="s">
        <v>1755</v>
      </c>
      <c r="C496" s="273">
        <f t="shared" si="99"/>
        <v>443881.3</v>
      </c>
      <c r="D496" s="273"/>
      <c r="E496" s="273"/>
      <c r="F496" s="273"/>
      <c r="G496" s="273"/>
      <c r="H496" s="273"/>
      <c r="I496" s="273"/>
      <c r="J496" s="50"/>
      <c r="K496" s="273"/>
      <c r="L496" s="273"/>
      <c r="M496" s="273"/>
      <c r="N496" s="273"/>
      <c r="O496" s="273"/>
      <c r="P496" s="273"/>
      <c r="Q496" s="273"/>
      <c r="R496" s="273"/>
      <c r="S496" s="273"/>
      <c r="T496" s="273"/>
      <c r="U496" s="273"/>
      <c r="V496" s="273"/>
      <c r="W496" s="273">
        <f t="shared" si="101"/>
        <v>443881.3</v>
      </c>
      <c r="X496" s="271"/>
      <c r="Y496" s="271"/>
      <c r="Z496" s="271"/>
      <c r="AA496" s="271"/>
      <c r="AB496" s="271"/>
      <c r="AD496" s="269">
        <v>443881.3</v>
      </c>
      <c r="AE496" s="7"/>
      <c r="AF496" s="13"/>
      <c r="AG496" s="13"/>
    </row>
    <row r="497" spans="1:34" x14ac:dyDescent="0.3">
      <c r="A497" s="259">
        <f t="shared" si="100"/>
        <v>368</v>
      </c>
      <c r="B497" s="20" t="s">
        <v>1756</v>
      </c>
      <c r="C497" s="273">
        <f t="shared" si="99"/>
        <v>347280.66</v>
      </c>
      <c r="D497" s="273"/>
      <c r="E497" s="273"/>
      <c r="F497" s="273"/>
      <c r="G497" s="273"/>
      <c r="H497" s="273"/>
      <c r="I497" s="273"/>
      <c r="J497" s="50"/>
      <c r="K497" s="273"/>
      <c r="L497" s="273"/>
      <c r="M497" s="273"/>
      <c r="N497" s="273"/>
      <c r="O497" s="273"/>
      <c r="P497" s="273"/>
      <c r="Q497" s="273"/>
      <c r="R497" s="273"/>
      <c r="S497" s="273"/>
      <c r="T497" s="273"/>
      <c r="U497" s="273"/>
      <c r="V497" s="273"/>
      <c r="W497" s="273">
        <f t="shared" si="101"/>
        <v>347280.66</v>
      </c>
      <c r="X497" s="271">
        <v>106172.94</v>
      </c>
      <c r="Y497" s="271">
        <v>130309.98</v>
      </c>
      <c r="Z497" s="271">
        <v>110797.74</v>
      </c>
      <c r="AA497" s="271"/>
      <c r="AB497" s="271"/>
      <c r="AD497" s="269"/>
      <c r="AE497" s="7"/>
      <c r="AF497" s="13"/>
      <c r="AG497" s="13"/>
    </row>
    <row r="498" spans="1:34" x14ac:dyDescent="0.3">
      <c r="A498" s="259">
        <f t="shared" si="100"/>
        <v>369</v>
      </c>
      <c r="B498" s="20" t="s">
        <v>1758</v>
      </c>
      <c r="C498" s="273">
        <f t="shared" si="99"/>
        <v>975413.98</v>
      </c>
      <c r="D498" s="273"/>
      <c r="E498" s="273"/>
      <c r="F498" s="273"/>
      <c r="G498" s="273"/>
      <c r="H498" s="273"/>
      <c r="I498" s="273"/>
      <c r="J498" s="50"/>
      <c r="K498" s="273"/>
      <c r="L498" s="273"/>
      <c r="M498" s="273"/>
      <c r="N498" s="273"/>
      <c r="O498" s="273"/>
      <c r="P498" s="273"/>
      <c r="Q498" s="273"/>
      <c r="R498" s="273"/>
      <c r="S498" s="273"/>
      <c r="T498" s="273"/>
      <c r="U498" s="273"/>
      <c r="V498" s="273"/>
      <c r="W498" s="273">
        <v>975413.98</v>
      </c>
      <c r="X498" s="271"/>
      <c r="Y498" s="271"/>
      <c r="Z498" s="271"/>
      <c r="AA498" s="271"/>
      <c r="AB498" s="271">
        <v>108597.11</v>
      </c>
      <c r="AD498" s="269"/>
      <c r="AE498" s="7"/>
      <c r="AF498" s="13"/>
      <c r="AG498" s="13"/>
    </row>
    <row r="499" spans="1:34" x14ac:dyDescent="0.3">
      <c r="A499" s="259">
        <f t="shared" si="100"/>
        <v>370</v>
      </c>
      <c r="B499" s="20" t="s">
        <v>1760</v>
      </c>
      <c r="C499" s="273">
        <f t="shared" si="99"/>
        <v>125141.99</v>
      </c>
      <c r="D499" s="273"/>
      <c r="E499" s="273"/>
      <c r="F499" s="273"/>
      <c r="G499" s="273"/>
      <c r="H499" s="273"/>
      <c r="I499" s="273"/>
      <c r="J499" s="50"/>
      <c r="K499" s="273"/>
      <c r="L499" s="273"/>
      <c r="M499" s="273"/>
      <c r="N499" s="273"/>
      <c r="O499" s="273"/>
      <c r="P499" s="273"/>
      <c r="Q499" s="273"/>
      <c r="R499" s="273"/>
      <c r="S499" s="273"/>
      <c r="T499" s="273"/>
      <c r="U499" s="273"/>
      <c r="V499" s="273"/>
      <c r="W499" s="273">
        <f t="shared" si="101"/>
        <v>125141.99</v>
      </c>
      <c r="X499" s="271"/>
      <c r="Y499" s="271"/>
      <c r="Z499" s="271"/>
      <c r="AA499" s="271"/>
      <c r="AB499" s="271">
        <v>125141.99</v>
      </c>
      <c r="AD499" s="269"/>
      <c r="AE499" s="7"/>
      <c r="AF499" s="13"/>
      <c r="AG499" s="13"/>
    </row>
    <row r="500" spans="1:34" x14ac:dyDescent="0.3">
      <c r="A500" s="259">
        <f t="shared" si="100"/>
        <v>371</v>
      </c>
      <c r="B500" s="20" t="s">
        <v>1761</v>
      </c>
      <c r="C500" s="273">
        <f t="shared" si="99"/>
        <v>108597.11</v>
      </c>
      <c r="D500" s="273"/>
      <c r="E500" s="273"/>
      <c r="F500" s="273"/>
      <c r="G500" s="273"/>
      <c r="H500" s="273"/>
      <c r="I500" s="273"/>
      <c r="J500" s="50"/>
      <c r="K500" s="273"/>
      <c r="L500" s="273"/>
      <c r="M500" s="273"/>
      <c r="N500" s="273"/>
      <c r="O500" s="273"/>
      <c r="P500" s="273"/>
      <c r="Q500" s="273"/>
      <c r="R500" s="273"/>
      <c r="S500" s="273"/>
      <c r="T500" s="273"/>
      <c r="U500" s="273"/>
      <c r="V500" s="273"/>
      <c r="W500" s="273">
        <f t="shared" si="101"/>
        <v>108597.11</v>
      </c>
      <c r="X500" s="271"/>
      <c r="Y500" s="271"/>
      <c r="Z500" s="271"/>
      <c r="AA500" s="271"/>
      <c r="AB500" s="271">
        <v>108597.11</v>
      </c>
      <c r="AD500" s="269"/>
      <c r="AE500" s="7"/>
      <c r="AF500" s="13"/>
      <c r="AG500" s="13"/>
    </row>
    <row r="501" spans="1:34" x14ac:dyDescent="0.3">
      <c r="A501" s="259">
        <f t="shared" si="100"/>
        <v>372</v>
      </c>
      <c r="B501" s="20" t="s">
        <v>1764</v>
      </c>
      <c r="C501" s="273">
        <f t="shared" ref="C501:C508" si="102">D501+K501+L501+N501+P501+R501+S501+U501+V501+W501</f>
        <v>264321.73</v>
      </c>
      <c r="D501" s="273"/>
      <c r="E501" s="273"/>
      <c r="F501" s="273"/>
      <c r="G501" s="273"/>
      <c r="H501" s="273"/>
      <c r="I501" s="273"/>
      <c r="J501" s="50"/>
      <c r="K501" s="273"/>
      <c r="L501" s="273"/>
      <c r="M501" s="273"/>
      <c r="N501" s="273"/>
      <c r="O501" s="273"/>
      <c r="P501" s="273"/>
      <c r="Q501" s="273"/>
      <c r="R501" s="273"/>
      <c r="S501" s="273"/>
      <c r="T501" s="273"/>
      <c r="U501" s="273"/>
      <c r="V501" s="273"/>
      <c r="W501" s="273">
        <f t="shared" si="101"/>
        <v>264321.73</v>
      </c>
      <c r="X501" s="271"/>
      <c r="Y501" s="271"/>
      <c r="Z501" s="271"/>
      <c r="AA501" s="271"/>
      <c r="AB501" s="271">
        <v>264321.73</v>
      </c>
      <c r="AD501" s="269"/>
      <c r="AE501" s="7"/>
      <c r="AF501" s="13"/>
      <c r="AG501" s="13"/>
    </row>
    <row r="502" spans="1:34" x14ac:dyDescent="0.3">
      <c r="A502" s="259">
        <f t="shared" si="100"/>
        <v>373</v>
      </c>
      <c r="B502" s="20" t="s">
        <v>1766</v>
      </c>
      <c r="C502" s="273">
        <f t="shared" si="102"/>
        <v>597983.76</v>
      </c>
      <c r="D502" s="273"/>
      <c r="E502" s="273"/>
      <c r="F502" s="273"/>
      <c r="G502" s="273"/>
      <c r="H502" s="273"/>
      <c r="I502" s="273"/>
      <c r="J502" s="50"/>
      <c r="K502" s="273"/>
      <c r="L502" s="273"/>
      <c r="M502" s="273"/>
      <c r="N502" s="273"/>
      <c r="O502" s="273"/>
      <c r="P502" s="273"/>
      <c r="Q502" s="273"/>
      <c r="R502" s="273"/>
      <c r="S502" s="273"/>
      <c r="T502" s="273"/>
      <c r="U502" s="273"/>
      <c r="V502" s="273"/>
      <c r="W502" s="273">
        <f t="shared" si="101"/>
        <v>597983.76</v>
      </c>
      <c r="X502" s="271"/>
      <c r="Y502" s="271"/>
      <c r="Z502" s="271"/>
      <c r="AA502" s="271"/>
      <c r="AB502" s="271"/>
      <c r="AD502" s="269"/>
      <c r="AE502" s="7"/>
      <c r="AF502" s="13">
        <v>597983.76</v>
      </c>
      <c r="AG502" s="13"/>
    </row>
    <row r="503" spans="1:34" x14ac:dyDescent="0.3">
      <c r="A503" s="259">
        <f t="shared" si="100"/>
        <v>374</v>
      </c>
      <c r="B503" s="20" t="s">
        <v>1767</v>
      </c>
      <c r="C503" s="273">
        <f t="shared" si="102"/>
        <v>592468.07999999996</v>
      </c>
      <c r="D503" s="273"/>
      <c r="E503" s="273"/>
      <c r="F503" s="273"/>
      <c r="G503" s="273"/>
      <c r="H503" s="273"/>
      <c r="I503" s="273"/>
      <c r="J503" s="50"/>
      <c r="K503" s="273"/>
      <c r="L503" s="273"/>
      <c r="M503" s="273"/>
      <c r="N503" s="273"/>
      <c r="O503" s="273"/>
      <c r="P503" s="273"/>
      <c r="Q503" s="273"/>
      <c r="R503" s="273"/>
      <c r="S503" s="273"/>
      <c r="T503" s="273"/>
      <c r="U503" s="273"/>
      <c r="V503" s="273"/>
      <c r="W503" s="273">
        <f t="shared" si="101"/>
        <v>592468.07999999996</v>
      </c>
      <c r="X503" s="271"/>
      <c r="Y503" s="271"/>
      <c r="Z503" s="271"/>
      <c r="AA503" s="271"/>
      <c r="AB503" s="271"/>
      <c r="AD503" s="269"/>
      <c r="AE503" s="7"/>
      <c r="AF503" s="13">
        <v>592468.07999999996</v>
      </c>
      <c r="AG503" s="13"/>
    </row>
    <row r="504" spans="1:34" x14ac:dyDescent="0.3">
      <c r="A504" s="259">
        <f t="shared" si="100"/>
        <v>375</v>
      </c>
      <c r="B504" s="20" t="s">
        <v>1768</v>
      </c>
      <c r="C504" s="273">
        <f t="shared" si="102"/>
        <v>302961.67</v>
      </c>
      <c r="D504" s="273"/>
      <c r="E504" s="273"/>
      <c r="F504" s="273"/>
      <c r="G504" s="273"/>
      <c r="H504" s="273"/>
      <c r="I504" s="273"/>
      <c r="J504" s="50"/>
      <c r="K504" s="273"/>
      <c r="L504" s="273"/>
      <c r="M504" s="273"/>
      <c r="N504" s="273"/>
      <c r="O504" s="273"/>
      <c r="P504" s="273"/>
      <c r="Q504" s="273"/>
      <c r="R504" s="273"/>
      <c r="S504" s="273"/>
      <c r="T504" s="273"/>
      <c r="U504" s="273"/>
      <c r="V504" s="273"/>
      <c r="W504" s="273">
        <f t="shared" si="101"/>
        <v>302961.67</v>
      </c>
      <c r="X504" s="271"/>
      <c r="Y504" s="271"/>
      <c r="Z504" s="271"/>
      <c r="AA504" s="271"/>
      <c r="AB504" s="271"/>
      <c r="AD504" s="269"/>
      <c r="AE504" s="7"/>
      <c r="AF504" s="13">
        <v>302961.67</v>
      </c>
      <c r="AG504" s="13"/>
    </row>
    <row r="505" spans="1:34" x14ac:dyDescent="0.3">
      <c r="A505" s="259">
        <f t="shared" si="100"/>
        <v>376</v>
      </c>
      <c r="B505" s="20" t="s">
        <v>1771</v>
      </c>
      <c r="C505" s="273">
        <f t="shared" si="102"/>
        <v>649195.81999999995</v>
      </c>
      <c r="D505" s="273"/>
      <c r="E505" s="273"/>
      <c r="F505" s="273"/>
      <c r="G505" s="273"/>
      <c r="H505" s="273"/>
      <c r="I505" s="273"/>
      <c r="J505" s="50"/>
      <c r="K505" s="273"/>
      <c r="L505" s="273"/>
      <c r="M505" s="273"/>
      <c r="N505" s="273"/>
      <c r="O505" s="273"/>
      <c r="P505" s="273"/>
      <c r="Q505" s="273"/>
      <c r="R505" s="273"/>
      <c r="S505" s="273"/>
      <c r="T505" s="273"/>
      <c r="U505" s="273"/>
      <c r="V505" s="273"/>
      <c r="W505" s="273">
        <f t="shared" si="101"/>
        <v>649195.81999999995</v>
      </c>
      <c r="X505" s="271"/>
      <c r="Y505" s="271"/>
      <c r="Z505" s="271"/>
      <c r="AA505" s="271"/>
      <c r="AB505" s="271"/>
      <c r="AD505" s="269"/>
      <c r="AE505" s="7"/>
      <c r="AF505" s="13">
        <v>649195.81999999995</v>
      </c>
      <c r="AG505" s="13"/>
    </row>
    <row r="506" spans="1:34" x14ac:dyDescent="0.3">
      <c r="A506" s="259">
        <f t="shared" si="100"/>
        <v>377</v>
      </c>
      <c r="B506" s="20" t="s">
        <v>1773</v>
      </c>
      <c r="C506" s="273">
        <f t="shared" si="102"/>
        <v>328697.53000000003</v>
      </c>
      <c r="D506" s="273"/>
      <c r="E506" s="273"/>
      <c r="F506" s="273"/>
      <c r="G506" s="273"/>
      <c r="H506" s="273"/>
      <c r="I506" s="273"/>
      <c r="J506" s="50"/>
      <c r="K506" s="273"/>
      <c r="L506" s="273"/>
      <c r="M506" s="273"/>
      <c r="N506" s="273"/>
      <c r="O506" s="273"/>
      <c r="P506" s="273"/>
      <c r="Q506" s="273"/>
      <c r="R506" s="273"/>
      <c r="S506" s="273"/>
      <c r="T506" s="273"/>
      <c r="U506" s="273"/>
      <c r="V506" s="273"/>
      <c r="W506" s="273">
        <f t="shared" si="101"/>
        <v>328697.53000000003</v>
      </c>
      <c r="X506" s="271"/>
      <c r="Z506" s="271"/>
      <c r="AA506" s="271"/>
      <c r="AB506" s="271"/>
      <c r="AC506" s="271"/>
      <c r="AD506" s="269">
        <v>328697.53000000003</v>
      </c>
      <c r="AE506" s="7"/>
      <c r="AF506" s="13"/>
      <c r="AG506" s="13"/>
    </row>
    <row r="507" spans="1:34" x14ac:dyDescent="0.3">
      <c r="A507" s="259">
        <f t="shared" si="100"/>
        <v>378</v>
      </c>
      <c r="B507" s="20" t="s">
        <v>1774</v>
      </c>
      <c r="C507" s="273">
        <f t="shared" si="102"/>
        <v>957016.03</v>
      </c>
      <c r="D507" s="273"/>
      <c r="E507" s="273"/>
      <c r="F507" s="273"/>
      <c r="G507" s="273"/>
      <c r="H507" s="273"/>
      <c r="I507" s="273"/>
      <c r="J507" s="50"/>
      <c r="K507" s="273"/>
      <c r="L507" s="273"/>
      <c r="M507" s="273"/>
      <c r="N507" s="273"/>
      <c r="O507" s="273"/>
      <c r="P507" s="273"/>
      <c r="Q507" s="273"/>
      <c r="R507" s="273"/>
      <c r="S507" s="273"/>
      <c r="T507" s="273"/>
      <c r="U507" s="273"/>
      <c r="V507" s="273"/>
      <c r="W507" s="273">
        <f t="shared" si="101"/>
        <v>957016.03</v>
      </c>
      <c r="X507" s="271"/>
      <c r="Z507" s="271"/>
      <c r="AA507" s="271"/>
      <c r="AB507" s="271"/>
      <c r="AC507" s="271"/>
      <c r="AD507" s="269"/>
      <c r="AE507" s="7"/>
      <c r="AF507" s="13">
        <v>957016.03</v>
      </c>
      <c r="AG507" s="13"/>
    </row>
    <row r="508" spans="1:34" x14ac:dyDescent="0.3">
      <c r="A508" s="259">
        <f t="shared" ref="A508" si="103">A507+1</f>
        <v>379</v>
      </c>
      <c r="B508" s="20" t="s">
        <v>1775</v>
      </c>
      <c r="C508" s="273">
        <f t="shared" si="102"/>
        <v>1025857.14</v>
      </c>
      <c r="D508" s="273"/>
      <c r="E508" s="273"/>
      <c r="F508" s="273"/>
      <c r="G508" s="273"/>
      <c r="H508" s="273"/>
      <c r="I508" s="273"/>
      <c r="J508" s="50"/>
      <c r="K508" s="273"/>
      <c r="L508" s="273"/>
      <c r="M508" s="273"/>
      <c r="N508" s="273"/>
      <c r="O508" s="273"/>
      <c r="P508" s="273"/>
      <c r="Q508" s="273"/>
      <c r="R508" s="273"/>
      <c r="S508" s="273"/>
      <c r="T508" s="273"/>
      <c r="U508" s="273"/>
      <c r="V508" s="273"/>
      <c r="W508" s="273">
        <f t="shared" si="101"/>
        <v>1025857.14</v>
      </c>
      <c r="X508" s="271"/>
      <c r="Z508" s="271"/>
      <c r="AA508" s="271"/>
      <c r="AC508" s="271"/>
      <c r="AD508" s="269"/>
      <c r="AE508" s="7"/>
      <c r="AF508" s="13">
        <v>1025857.14</v>
      </c>
      <c r="AG508" s="13"/>
    </row>
    <row r="509" spans="1:34" x14ac:dyDescent="0.3">
      <c r="A509" s="259"/>
      <c r="B509" s="20" t="s">
        <v>208</v>
      </c>
      <c r="C509" s="273">
        <f t="shared" ref="C509:W509" si="104">SUM(C445:C508)</f>
        <v>64466480.649999991</v>
      </c>
      <c r="D509" s="273">
        <f t="shared" si="104"/>
        <v>0</v>
      </c>
      <c r="E509" s="273">
        <f t="shared" si="104"/>
        <v>0</v>
      </c>
      <c r="F509" s="273">
        <f t="shared" si="104"/>
        <v>0</v>
      </c>
      <c r="G509" s="273">
        <f t="shared" si="104"/>
        <v>0</v>
      </c>
      <c r="H509" s="273">
        <f t="shared" si="104"/>
        <v>0</v>
      </c>
      <c r="I509" s="273">
        <f t="shared" si="104"/>
        <v>0</v>
      </c>
      <c r="J509" s="50">
        <f t="shared" si="104"/>
        <v>0</v>
      </c>
      <c r="K509" s="273">
        <f t="shared" si="104"/>
        <v>0</v>
      </c>
      <c r="L509" s="273">
        <f t="shared" si="104"/>
        <v>0</v>
      </c>
      <c r="M509" s="273">
        <f t="shared" si="104"/>
        <v>0</v>
      </c>
      <c r="N509" s="273">
        <f t="shared" si="104"/>
        <v>0</v>
      </c>
      <c r="O509" s="273">
        <f t="shared" si="104"/>
        <v>0</v>
      </c>
      <c r="P509" s="273">
        <f t="shared" si="104"/>
        <v>0</v>
      </c>
      <c r="Q509" s="273">
        <f t="shared" si="104"/>
        <v>2810</v>
      </c>
      <c r="R509" s="273">
        <f t="shared" si="104"/>
        <v>39348430</v>
      </c>
      <c r="S509" s="273">
        <f t="shared" si="104"/>
        <v>0</v>
      </c>
      <c r="T509" s="273">
        <f t="shared" si="104"/>
        <v>0</v>
      </c>
      <c r="U509" s="273">
        <f t="shared" si="104"/>
        <v>0</v>
      </c>
      <c r="V509" s="273">
        <f t="shared" si="104"/>
        <v>0</v>
      </c>
      <c r="W509" s="273">
        <f t="shared" si="104"/>
        <v>25118050.649999999</v>
      </c>
      <c r="X509" s="83">
        <f>SUM(X445:X508)</f>
        <v>946832.10999999987</v>
      </c>
      <c r="Y509" s="271"/>
      <c r="Z509" s="271"/>
      <c r="AA509" s="271"/>
      <c r="AB509" s="271"/>
      <c r="AC509" s="271"/>
      <c r="AD509" s="271"/>
      <c r="AE509" s="269"/>
      <c r="AF509" s="7"/>
      <c r="AG509" s="13"/>
      <c r="AH509" s="13"/>
    </row>
    <row r="510" spans="1:34" x14ac:dyDescent="0.3">
      <c r="A510" s="317" t="s">
        <v>1776</v>
      </c>
      <c r="B510" s="318"/>
      <c r="C510" s="273"/>
      <c r="D510" s="273"/>
      <c r="E510" s="251"/>
      <c r="F510" s="251"/>
      <c r="G510" s="251"/>
      <c r="H510" s="251"/>
      <c r="I510" s="251"/>
      <c r="J510" s="57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83"/>
      <c r="Y510" s="271"/>
      <c r="Z510" s="271"/>
      <c r="AA510" s="271"/>
      <c r="AB510" s="271"/>
      <c r="AC510" s="271"/>
      <c r="AD510" s="271"/>
      <c r="AE510" s="269"/>
      <c r="AF510" s="7"/>
      <c r="AG510" s="13"/>
      <c r="AH510" s="13"/>
    </row>
    <row r="511" spans="1:34" x14ac:dyDescent="0.3">
      <c r="A511" s="259">
        <f>A508+1</f>
        <v>380</v>
      </c>
      <c r="B511" s="20" t="s">
        <v>1777</v>
      </c>
      <c r="C511" s="273">
        <f>D511+K511+L511+N511+P511+R511+S511+U511+V511+W511</f>
        <v>106431</v>
      </c>
      <c r="D511" s="273"/>
      <c r="E511" s="273"/>
      <c r="F511" s="273"/>
      <c r="G511" s="273"/>
      <c r="H511" s="273"/>
      <c r="I511" s="273"/>
      <c r="J511" s="50"/>
      <c r="K511" s="273"/>
      <c r="L511" s="273"/>
      <c r="M511" s="273"/>
      <c r="N511" s="273"/>
      <c r="O511" s="273"/>
      <c r="P511" s="273"/>
      <c r="Q511" s="273">
        <v>13</v>
      </c>
      <c r="R511" s="273">
        <f>Q511*8187</f>
        <v>106431</v>
      </c>
      <c r="S511" s="273"/>
      <c r="T511" s="273"/>
      <c r="U511" s="273"/>
      <c r="V511" s="273"/>
      <c r="W511" s="273"/>
      <c r="X511" s="283"/>
      <c r="Y511" s="271"/>
      <c r="Z511" s="271"/>
      <c r="AA511" s="271"/>
      <c r="AB511" s="271"/>
      <c r="AC511" s="271"/>
      <c r="AD511" s="271"/>
      <c r="AE511" s="269"/>
      <c r="AF511" s="7"/>
      <c r="AG511" s="13"/>
      <c r="AH511" s="13"/>
    </row>
    <row r="512" spans="1:34" x14ac:dyDescent="0.3">
      <c r="A512" s="259"/>
      <c r="B512" s="20" t="s">
        <v>208</v>
      </c>
      <c r="C512" s="273">
        <f t="shared" ref="C512:W512" si="105">SUM(C511:C511)</f>
        <v>106431</v>
      </c>
      <c r="D512" s="273">
        <f t="shared" si="105"/>
        <v>0</v>
      </c>
      <c r="E512" s="273">
        <f t="shared" si="105"/>
        <v>0</v>
      </c>
      <c r="F512" s="273">
        <f t="shared" si="105"/>
        <v>0</v>
      </c>
      <c r="G512" s="273">
        <f t="shared" si="105"/>
        <v>0</v>
      </c>
      <c r="H512" s="273">
        <f t="shared" si="105"/>
        <v>0</v>
      </c>
      <c r="I512" s="273">
        <f t="shared" si="105"/>
        <v>0</v>
      </c>
      <c r="J512" s="50">
        <f t="shared" si="105"/>
        <v>0</v>
      </c>
      <c r="K512" s="273">
        <f t="shared" si="105"/>
        <v>0</v>
      </c>
      <c r="L512" s="273">
        <f t="shared" si="105"/>
        <v>0</v>
      </c>
      <c r="M512" s="273">
        <f t="shared" si="105"/>
        <v>0</v>
      </c>
      <c r="N512" s="273">
        <f t="shared" si="105"/>
        <v>0</v>
      </c>
      <c r="O512" s="273">
        <f t="shared" si="105"/>
        <v>0</v>
      </c>
      <c r="P512" s="273">
        <f t="shared" si="105"/>
        <v>0</v>
      </c>
      <c r="Q512" s="273">
        <f t="shared" si="105"/>
        <v>13</v>
      </c>
      <c r="R512" s="273">
        <f t="shared" si="105"/>
        <v>106431</v>
      </c>
      <c r="S512" s="273">
        <f t="shared" si="105"/>
        <v>0</v>
      </c>
      <c r="T512" s="273">
        <f t="shared" si="105"/>
        <v>0</v>
      </c>
      <c r="U512" s="273">
        <f t="shared" si="105"/>
        <v>0</v>
      </c>
      <c r="V512" s="273">
        <f t="shared" si="105"/>
        <v>0</v>
      </c>
      <c r="W512" s="273">
        <f t="shared" si="105"/>
        <v>0</v>
      </c>
      <c r="X512" s="83">
        <f>SUM(X511:X511)</f>
        <v>0</v>
      </c>
      <c r="Y512" s="271"/>
      <c r="Z512" s="271"/>
      <c r="AA512" s="271"/>
      <c r="AB512" s="271"/>
      <c r="AC512" s="271"/>
      <c r="AD512" s="271"/>
      <c r="AE512" s="269"/>
      <c r="AF512" s="7"/>
      <c r="AG512" s="13"/>
      <c r="AH512" s="13"/>
    </row>
    <row r="513" spans="1:34" x14ac:dyDescent="0.3">
      <c r="A513" s="317" t="s">
        <v>1782</v>
      </c>
      <c r="B513" s="318"/>
      <c r="C513" s="273"/>
      <c r="D513" s="273"/>
      <c r="E513" s="251"/>
      <c r="F513" s="251"/>
      <c r="G513" s="251"/>
      <c r="H513" s="251"/>
      <c r="I513" s="251"/>
      <c r="J513" s="57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83"/>
      <c r="Y513" s="271"/>
      <c r="Z513" s="271"/>
      <c r="AA513" s="271"/>
      <c r="AB513" s="271"/>
      <c r="AC513" s="271"/>
      <c r="AD513" s="271"/>
      <c r="AE513" s="269"/>
      <c r="AF513" s="7"/>
      <c r="AG513" s="13"/>
      <c r="AH513" s="13"/>
    </row>
    <row r="514" spans="1:34" x14ac:dyDescent="0.3">
      <c r="A514" s="259">
        <f>A511+1</f>
        <v>381</v>
      </c>
      <c r="B514" s="20" t="s">
        <v>1783</v>
      </c>
      <c r="C514" s="273">
        <f t="shared" ref="C514:C549" si="106">D514+K514+L514+N514+P514+R514+S514+U514+V514+W514</f>
        <v>98290.54</v>
      </c>
      <c r="D514" s="273"/>
      <c r="E514" s="273"/>
      <c r="F514" s="273"/>
      <c r="G514" s="273"/>
      <c r="H514" s="273"/>
      <c r="I514" s="273"/>
      <c r="J514" s="50"/>
      <c r="K514" s="273"/>
      <c r="L514" s="273"/>
      <c r="M514" s="273"/>
      <c r="N514" s="273"/>
      <c r="O514" s="273"/>
      <c r="P514" s="273"/>
      <c r="Q514" s="273"/>
      <c r="R514" s="273"/>
      <c r="S514" s="273"/>
      <c r="T514" s="273"/>
      <c r="U514" s="273"/>
      <c r="V514" s="273"/>
      <c r="W514" s="273">
        <f>SUM(X514:AI514)</f>
        <v>98290.54</v>
      </c>
      <c r="X514" s="271"/>
      <c r="Y514" s="271"/>
      <c r="Z514" s="271"/>
      <c r="AA514" s="271"/>
      <c r="AB514" s="271">
        <v>98290.54</v>
      </c>
      <c r="AC514" s="271"/>
      <c r="AD514" s="269"/>
      <c r="AE514" s="7"/>
      <c r="AF514" s="13"/>
      <c r="AG514" s="13"/>
    </row>
    <row r="515" spans="1:34" x14ac:dyDescent="0.3">
      <c r="A515" s="259">
        <f t="shared" ref="A515:A549" si="107">A514+1</f>
        <v>382</v>
      </c>
      <c r="B515" s="20" t="s">
        <v>1784</v>
      </c>
      <c r="C515" s="273">
        <f t="shared" si="106"/>
        <v>91245.01</v>
      </c>
      <c r="D515" s="273"/>
      <c r="E515" s="273"/>
      <c r="F515" s="273"/>
      <c r="G515" s="273"/>
      <c r="H515" s="273"/>
      <c r="I515" s="273"/>
      <c r="J515" s="50"/>
      <c r="K515" s="273"/>
      <c r="L515" s="273"/>
      <c r="M515" s="273"/>
      <c r="N515" s="273"/>
      <c r="O515" s="273"/>
      <c r="P515" s="273"/>
      <c r="Q515" s="273"/>
      <c r="R515" s="273"/>
      <c r="S515" s="273"/>
      <c r="T515" s="273"/>
      <c r="U515" s="273"/>
      <c r="V515" s="273"/>
      <c r="W515" s="273">
        <f t="shared" ref="W515:W549" si="108">SUM(X515:AI515)</f>
        <v>91245.01</v>
      </c>
      <c r="X515" s="271"/>
      <c r="Y515" s="271"/>
      <c r="Z515" s="271"/>
      <c r="AA515" s="271"/>
      <c r="AB515" s="271">
        <v>91245.01</v>
      </c>
      <c r="AC515" s="271"/>
      <c r="AD515" s="269"/>
      <c r="AE515" s="7"/>
      <c r="AF515" s="13"/>
      <c r="AG515" s="13"/>
    </row>
    <row r="516" spans="1:34" x14ac:dyDescent="0.3">
      <c r="A516" s="259">
        <f t="shared" si="107"/>
        <v>383</v>
      </c>
      <c r="B516" s="20" t="s">
        <v>1785</v>
      </c>
      <c r="C516" s="273">
        <f t="shared" si="106"/>
        <v>89993.94</v>
      </c>
      <c r="D516" s="273"/>
      <c r="E516" s="273"/>
      <c r="F516" s="273"/>
      <c r="G516" s="273"/>
      <c r="H516" s="273"/>
      <c r="I516" s="273"/>
      <c r="J516" s="50"/>
      <c r="K516" s="273"/>
      <c r="L516" s="273"/>
      <c r="M516" s="273"/>
      <c r="N516" s="273"/>
      <c r="O516" s="273"/>
      <c r="P516" s="273"/>
      <c r="Q516" s="273"/>
      <c r="R516" s="273"/>
      <c r="S516" s="273"/>
      <c r="T516" s="273"/>
      <c r="U516" s="273"/>
      <c r="V516" s="273"/>
      <c r="W516" s="273">
        <f t="shared" si="108"/>
        <v>89993.94</v>
      </c>
      <c r="X516" s="271"/>
      <c r="Y516" s="271"/>
      <c r="Z516" s="271"/>
      <c r="AA516" s="271"/>
      <c r="AB516" s="271">
        <v>89993.94</v>
      </c>
      <c r="AC516" s="271"/>
      <c r="AD516" s="269"/>
      <c r="AE516" s="7"/>
      <c r="AF516" s="13"/>
      <c r="AG516" s="13"/>
    </row>
    <row r="517" spans="1:34" x14ac:dyDescent="0.3">
      <c r="A517" s="259">
        <f t="shared" si="107"/>
        <v>384</v>
      </c>
      <c r="B517" s="20" t="s">
        <v>1786</v>
      </c>
      <c r="C517" s="273">
        <f t="shared" si="106"/>
        <v>96907.78</v>
      </c>
      <c r="D517" s="273"/>
      <c r="E517" s="273"/>
      <c r="F517" s="273"/>
      <c r="G517" s="273"/>
      <c r="H517" s="273"/>
      <c r="I517" s="273"/>
      <c r="J517" s="50"/>
      <c r="K517" s="273"/>
      <c r="L517" s="273"/>
      <c r="M517" s="273"/>
      <c r="N517" s="273"/>
      <c r="O517" s="273"/>
      <c r="P517" s="273"/>
      <c r="Q517" s="273"/>
      <c r="R517" s="273"/>
      <c r="S517" s="273"/>
      <c r="T517" s="273"/>
      <c r="U517" s="273"/>
      <c r="V517" s="273"/>
      <c r="W517" s="273">
        <f t="shared" si="108"/>
        <v>96907.78</v>
      </c>
      <c r="X517" s="271"/>
      <c r="Y517" s="271"/>
      <c r="Z517" s="271"/>
      <c r="AA517" s="271"/>
      <c r="AB517" s="271">
        <v>96907.78</v>
      </c>
      <c r="AC517" s="271"/>
      <c r="AD517" s="269"/>
      <c r="AE517" s="7"/>
      <c r="AF517" s="13"/>
      <c r="AG517" s="13"/>
    </row>
    <row r="518" spans="1:34" x14ac:dyDescent="0.3">
      <c r="A518" s="259">
        <f t="shared" si="107"/>
        <v>385</v>
      </c>
      <c r="B518" s="20" t="s">
        <v>1787</v>
      </c>
      <c r="C518" s="273">
        <f t="shared" si="106"/>
        <v>91244.83</v>
      </c>
      <c r="D518" s="273"/>
      <c r="E518" s="273"/>
      <c r="F518" s="273"/>
      <c r="G518" s="273"/>
      <c r="H518" s="273"/>
      <c r="I518" s="273"/>
      <c r="J518" s="50"/>
      <c r="K518" s="273"/>
      <c r="L518" s="273"/>
      <c r="M518" s="273"/>
      <c r="N518" s="273"/>
      <c r="O518" s="273"/>
      <c r="P518" s="273"/>
      <c r="Q518" s="273"/>
      <c r="R518" s="273"/>
      <c r="S518" s="273"/>
      <c r="T518" s="273"/>
      <c r="U518" s="273"/>
      <c r="V518" s="273"/>
      <c r="W518" s="273">
        <f t="shared" si="108"/>
        <v>91244.83</v>
      </c>
      <c r="X518" s="271"/>
      <c r="Y518" s="271"/>
      <c r="Z518" s="271"/>
      <c r="AA518" s="271"/>
      <c r="AB518" s="271">
        <v>91244.83</v>
      </c>
      <c r="AC518" s="271"/>
      <c r="AD518" s="269"/>
      <c r="AE518" s="7"/>
      <c r="AF518" s="13"/>
      <c r="AG518" s="13"/>
    </row>
    <row r="519" spans="1:34" x14ac:dyDescent="0.3">
      <c r="A519" s="259">
        <f t="shared" si="107"/>
        <v>386</v>
      </c>
      <c r="B519" s="20" t="s">
        <v>1788</v>
      </c>
      <c r="C519" s="273">
        <f t="shared" si="106"/>
        <v>121499.53</v>
      </c>
      <c r="D519" s="273"/>
      <c r="E519" s="273"/>
      <c r="F519" s="273"/>
      <c r="G519" s="273"/>
      <c r="H519" s="273"/>
      <c r="I519" s="273"/>
      <c r="J519" s="50"/>
      <c r="K519" s="273"/>
      <c r="L519" s="273"/>
      <c r="M519" s="273"/>
      <c r="N519" s="273"/>
      <c r="O519" s="273"/>
      <c r="P519" s="273"/>
      <c r="Q519" s="273"/>
      <c r="R519" s="273"/>
      <c r="S519" s="273"/>
      <c r="T519" s="273"/>
      <c r="U519" s="273"/>
      <c r="V519" s="273"/>
      <c r="W519" s="273">
        <f t="shared" si="108"/>
        <v>121499.53</v>
      </c>
      <c r="X519" s="271"/>
      <c r="Y519" s="271"/>
      <c r="Z519" s="271"/>
      <c r="AA519" s="271"/>
      <c r="AB519" s="271">
        <v>121499.53</v>
      </c>
      <c r="AD519" s="269"/>
      <c r="AE519" s="7"/>
      <c r="AF519" s="13"/>
      <c r="AG519" s="13"/>
    </row>
    <row r="520" spans="1:34" x14ac:dyDescent="0.3">
      <c r="A520" s="259">
        <f t="shared" si="107"/>
        <v>387</v>
      </c>
      <c r="B520" s="20" t="s">
        <v>1789</v>
      </c>
      <c r="C520" s="273">
        <f t="shared" si="106"/>
        <v>113772.52</v>
      </c>
      <c r="D520" s="273"/>
      <c r="E520" s="273"/>
      <c r="F520" s="273"/>
      <c r="G520" s="273"/>
      <c r="H520" s="273"/>
      <c r="I520" s="273"/>
      <c r="J520" s="50"/>
      <c r="K520" s="273"/>
      <c r="L520" s="273"/>
      <c r="M520" s="273"/>
      <c r="N520" s="273"/>
      <c r="O520" s="273"/>
      <c r="P520" s="273"/>
      <c r="Q520" s="273"/>
      <c r="R520" s="273"/>
      <c r="S520" s="273"/>
      <c r="T520" s="273"/>
      <c r="U520" s="273"/>
      <c r="V520" s="273"/>
      <c r="W520" s="273">
        <f t="shared" si="108"/>
        <v>113772.52</v>
      </c>
      <c r="X520" s="271">
        <v>113772.52</v>
      </c>
      <c r="Y520" s="271"/>
      <c r="Z520" s="271"/>
      <c r="AA520" s="271"/>
      <c r="AB520" s="271"/>
      <c r="AD520" s="269"/>
      <c r="AE520" s="7"/>
      <c r="AF520" s="13"/>
      <c r="AG520" s="13"/>
    </row>
    <row r="521" spans="1:34" x14ac:dyDescent="0.3">
      <c r="A521" s="259">
        <f t="shared" si="107"/>
        <v>388</v>
      </c>
      <c r="B521" s="20" t="s">
        <v>1790</v>
      </c>
      <c r="C521" s="273">
        <f t="shared" si="106"/>
        <v>103337.93</v>
      </c>
      <c r="D521" s="273"/>
      <c r="E521" s="273"/>
      <c r="F521" s="273"/>
      <c r="G521" s="273"/>
      <c r="H521" s="273"/>
      <c r="I521" s="273"/>
      <c r="J521" s="50"/>
      <c r="K521" s="273"/>
      <c r="L521" s="273"/>
      <c r="M521" s="273"/>
      <c r="N521" s="273"/>
      <c r="O521" s="273"/>
      <c r="P521" s="273"/>
      <c r="Q521" s="273"/>
      <c r="R521" s="273"/>
      <c r="S521" s="273"/>
      <c r="T521" s="273"/>
      <c r="U521" s="273"/>
      <c r="V521" s="273"/>
      <c r="W521" s="273">
        <f t="shared" si="108"/>
        <v>103337.93</v>
      </c>
      <c r="X521" s="271"/>
      <c r="Y521" s="271"/>
      <c r="Z521" s="271"/>
      <c r="AA521" s="271"/>
      <c r="AB521" s="271">
        <v>103337.93</v>
      </c>
      <c r="AD521" s="269"/>
      <c r="AE521" s="7"/>
      <c r="AF521" s="13"/>
      <c r="AG521" s="13"/>
    </row>
    <row r="522" spans="1:34" x14ac:dyDescent="0.3">
      <c r="A522" s="259">
        <f t="shared" si="107"/>
        <v>389</v>
      </c>
      <c r="B522" s="20" t="s">
        <v>1791</v>
      </c>
      <c r="C522" s="273">
        <f t="shared" si="106"/>
        <v>111628.36</v>
      </c>
      <c r="D522" s="273"/>
      <c r="E522" s="273"/>
      <c r="F522" s="273"/>
      <c r="G522" s="273"/>
      <c r="H522" s="273"/>
      <c r="I522" s="273"/>
      <c r="J522" s="50"/>
      <c r="K522" s="273"/>
      <c r="L522" s="273"/>
      <c r="M522" s="273"/>
      <c r="N522" s="273"/>
      <c r="O522" s="273"/>
      <c r="P522" s="273"/>
      <c r="Q522" s="273"/>
      <c r="R522" s="261"/>
      <c r="S522" s="273"/>
      <c r="T522" s="273"/>
      <c r="U522" s="273"/>
      <c r="V522" s="273"/>
      <c r="W522" s="273">
        <f t="shared" si="108"/>
        <v>111628.36</v>
      </c>
      <c r="X522" s="271">
        <v>111628.36</v>
      </c>
      <c r="Y522" s="271"/>
      <c r="Z522" s="271"/>
      <c r="AA522" s="271"/>
      <c r="AB522" s="271"/>
      <c r="AD522" s="269"/>
      <c r="AE522" s="7"/>
      <c r="AF522" s="13"/>
      <c r="AG522" s="13"/>
    </row>
    <row r="523" spans="1:34" x14ac:dyDescent="0.3">
      <c r="A523" s="259">
        <f t="shared" si="107"/>
        <v>390</v>
      </c>
      <c r="B523" s="20" t="s">
        <v>1792</v>
      </c>
      <c r="C523" s="273">
        <f t="shared" si="106"/>
        <v>102198.71</v>
      </c>
      <c r="D523" s="273"/>
      <c r="E523" s="273"/>
      <c r="F523" s="273"/>
      <c r="G523" s="273"/>
      <c r="H523" s="273"/>
      <c r="I523" s="273"/>
      <c r="J523" s="50"/>
      <c r="K523" s="273"/>
      <c r="L523" s="273"/>
      <c r="M523" s="273"/>
      <c r="N523" s="273"/>
      <c r="O523" s="273"/>
      <c r="P523" s="273"/>
      <c r="Q523" s="273"/>
      <c r="R523" s="273"/>
      <c r="S523" s="273"/>
      <c r="T523" s="273"/>
      <c r="U523" s="273"/>
      <c r="V523" s="273"/>
      <c r="W523" s="273">
        <f t="shared" si="108"/>
        <v>102198.71</v>
      </c>
      <c r="X523" s="271">
        <v>102198.71</v>
      </c>
      <c r="Y523" s="271"/>
      <c r="Z523" s="271"/>
      <c r="AA523" s="271"/>
      <c r="AB523" s="271"/>
      <c r="AD523" s="269"/>
      <c r="AE523" s="7"/>
      <c r="AF523" s="13"/>
      <c r="AG523" s="13"/>
    </row>
    <row r="524" spans="1:34" x14ac:dyDescent="0.3">
      <c r="A524" s="259">
        <f t="shared" si="107"/>
        <v>391</v>
      </c>
      <c r="B524" s="20" t="s">
        <v>1793</v>
      </c>
      <c r="C524" s="273">
        <f t="shared" si="106"/>
        <v>122756.17</v>
      </c>
      <c r="D524" s="273"/>
      <c r="E524" s="273"/>
      <c r="F524" s="273"/>
      <c r="G524" s="273"/>
      <c r="H524" s="273"/>
      <c r="I524" s="273"/>
      <c r="J524" s="50"/>
      <c r="K524" s="273"/>
      <c r="L524" s="273"/>
      <c r="M524" s="273"/>
      <c r="N524" s="273"/>
      <c r="O524" s="273"/>
      <c r="P524" s="273"/>
      <c r="Q524" s="273"/>
      <c r="R524" s="273"/>
      <c r="S524" s="273"/>
      <c r="T524" s="273"/>
      <c r="U524" s="273"/>
      <c r="V524" s="273"/>
      <c r="W524" s="273">
        <f t="shared" si="108"/>
        <v>122756.17</v>
      </c>
      <c r="X524" s="271"/>
      <c r="Y524" s="271"/>
      <c r="Z524" s="271"/>
      <c r="AA524" s="271"/>
      <c r="AB524" s="271">
        <v>122756.17</v>
      </c>
      <c r="AD524" s="269"/>
      <c r="AE524" s="7"/>
      <c r="AF524" s="13"/>
      <c r="AG524" s="13"/>
    </row>
    <row r="525" spans="1:34" x14ac:dyDescent="0.3">
      <c r="A525" s="259">
        <f t="shared" si="107"/>
        <v>392</v>
      </c>
      <c r="B525" s="20" t="s">
        <v>1794</v>
      </c>
      <c r="C525" s="273">
        <f t="shared" si="106"/>
        <v>118418.46</v>
      </c>
      <c r="D525" s="273"/>
      <c r="E525" s="273"/>
      <c r="F525" s="273"/>
      <c r="G525" s="273"/>
      <c r="H525" s="273"/>
      <c r="I525" s="273"/>
      <c r="J525" s="50"/>
      <c r="K525" s="273"/>
      <c r="L525" s="273"/>
      <c r="M525" s="273"/>
      <c r="N525" s="273"/>
      <c r="O525" s="273"/>
      <c r="P525" s="273"/>
      <c r="Q525" s="273"/>
      <c r="R525" s="273"/>
      <c r="S525" s="273"/>
      <c r="T525" s="273"/>
      <c r="U525" s="273"/>
      <c r="V525" s="273"/>
      <c r="W525" s="273">
        <f t="shared" si="108"/>
        <v>118418.46</v>
      </c>
      <c r="X525" s="271">
        <v>118418.46</v>
      </c>
      <c r="Y525" s="271"/>
      <c r="Z525" s="271"/>
      <c r="AA525" s="271"/>
      <c r="AB525" s="271"/>
      <c r="AD525" s="269"/>
      <c r="AE525" s="7"/>
      <c r="AF525" s="13"/>
      <c r="AG525" s="13"/>
    </row>
    <row r="526" spans="1:34" x14ac:dyDescent="0.3">
      <c r="A526" s="259">
        <f t="shared" si="107"/>
        <v>393</v>
      </c>
      <c r="B526" s="20" t="s">
        <v>1795</v>
      </c>
      <c r="C526" s="273">
        <f t="shared" si="106"/>
        <v>122948.7</v>
      </c>
      <c r="D526" s="273"/>
      <c r="E526" s="273"/>
      <c r="F526" s="273"/>
      <c r="G526" s="273"/>
      <c r="H526" s="273"/>
      <c r="I526" s="273"/>
      <c r="J526" s="50"/>
      <c r="K526" s="273"/>
      <c r="L526" s="273"/>
      <c r="M526" s="273"/>
      <c r="N526" s="273"/>
      <c r="O526" s="273"/>
      <c r="P526" s="273"/>
      <c r="Q526" s="273"/>
      <c r="R526" s="273"/>
      <c r="S526" s="273"/>
      <c r="T526" s="273"/>
      <c r="U526" s="273"/>
      <c r="V526" s="273"/>
      <c r="W526" s="273">
        <f t="shared" si="108"/>
        <v>122948.7</v>
      </c>
      <c r="X526" s="271"/>
      <c r="Y526" s="271"/>
      <c r="Z526" s="271"/>
      <c r="AA526" s="271"/>
      <c r="AB526" s="271">
        <v>122948.7</v>
      </c>
      <c r="AD526" s="269"/>
      <c r="AE526" s="7"/>
      <c r="AF526" s="13"/>
      <c r="AG526" s="13"/>
    </row>
    <row r="527" spans="1:34" x14ac:dyDescent="0.3">
      <c r="A527" s="259">
        <f t="shared" si="107"/>
        <v>394</v>
      </c>
      <c r="B527" s="20" t="s">
        <v>1796</v>
      </c>
      <c r="C527" s="273">
        <f t="shared" si="106"/>
        <v>201476.77</v>
      </c>
      <c r="D527" s="273"/>
      <c r="E527" s="273"/>
      <c r="F527" s="273"/>
      <c r="G527" s="273"/>
      <c r="H527" s="273"/>
      <c r="I527" s="273"/>
      <c r="J527" s="50"/>
      <c r="K527" s="273"/>
      <c r="L527" s="273"/>
      <c r="M527" s="273"/>
      <c r="N527" s="273"/>
      <c r="O527" s="273"/>
      <c r="P527" s="273"/>
      <c r="Q527" s="273"/>
      <c r="R527" s="273"/>
      <c r="S527" s="273"/>
      <c r="T527" s="273"/>
      <c r="U527" s="273"/>
      <c r="V527" s="273"/>
      <c r="W527" s="273">
        <f t="shared" si="108"/>
        <v>201476.77</v>
      </c>
      <c r="X527" s="271"/>
      <c r="Y527" s="271"/>
      <c r="Z527" s="271"/>
      <c r="AA527" s="271"/>
      <c r="AB527" s="271"/>
      <c r="AD527" s="269"/>
      <c r="AE527" s="7"/>
      <c r="AF527" s="13"/>
      <c r="AG527" s="13">
        <v>201476.77</v>
      </c>
    </row>
    <row r="528" spans="1:34" x14ac:dyDescent="0.3">
      <c r="A528" s="259">
        <f t="shared" si="107"/>
        <v>395</v>
      </c>
      <c r="B528" s="20" t="s">
        <v>1798</v>
      </c>
      <c r="C528" s="273">
        <f t="shared" si="106"/>
        <v>560289.14</v>
      </c>
      <c r="D528" s="273"/>
      <c r="E528" s="273"/>
      <c r="F528" s="273"/>
      <c r="G528" s="273"/>
      <c r="H528" s="273"/>
      <c r="I528" s="273"/>
      <c r="J528" s="50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3"/>
      <c r="W528" s="273">
        <f t="shared" si="108"/>
        <v>560289.14</v>
      </c>
      <c r="X528" s="271"/>
      <c r="Y528" s="271"/>
      <c r="Z528" s="271"/>
      <c r="AA528" s="271"/>
      <c r="AB528" s="271"/>
      <c r="AD528" s="269"/>
      <c r="AE528" s="7"/>
      <c r="AF528" s="13">
        <v>560289.14</v>
      </c>
      <c r="AG528" s="13"/>
    </row>
    <row r="529" spans="1:33" x14ac:dyDescent="0.3">
      <c r="A529" s="259">
        <f t="shared" si="107"/>
        <v>396</v>
      </c>
      <c r="B529" s="20" t="s">
        <v>1800</v>
      </c>
      <c r="C529" s="273">
        <f t="shared" si="106"/>
        <v>99752.69</v>
      </c>
      <c r="D529" s="273"/>
      <c r="E529" s="273"/>
      <c r="F529" s="273"/>
      <c r="G529" s="273"/>
      <c r="H529" s="273"/>
      <c r="I529" s="273"/>
      <c r="J529" s="50"/>
      <c r="K529" s="273"/>
      <c r="L529" s="273"/>
      <c r="M529" s="273"/>
      <c r="N529" s="273"/>
      <c r="O529" s="273"/>
      <c r="P529" s="273"/>
      <c r="Q529" s="273"/>
      <c r="R529" s="273"/>
      <c r="S529" s="273"/>
      <c r="T529" s="273"/>
      <c r="U529" s="273"/>
      <c r="V529" s="273"/>
      <c r="W529" s="273">
        <f t="shared" si="108"/>
        <v>99752.69</v>
      </c>
      <c r="X529" s="271">
        <v>99752.69</v>
      </c>
      <c r="Y529" s="271"/>
      <c r="Z529" s="271"/>
      <c r="AA529" s="271"/>
      <c r="AB529" s="271"/>
      <c r="AD529" s="269"/>
      <c r="AE529" s="7"/>
      <c r="AF529" s="13"/>
      <c r="AG529" s="13"/>
    </row>
    <row r="530" spans="1:33" ht="18" customHeight="1" x14ac:dyDescent="0.3">
      <c r="A530" s="259">
        <f t="shared" si="107"/>
        <v>397</v>
      </c>
      <c r="B530" s="20" t="s">
        <v>1801</v>
      </c>
      <c r="C530" s="273">
        <f t="shared" si="106"/>
        <v>6185088</v>
      </c>
      <c r="D530" s="273"/>
      <c r="E530" s="273"/>
      <c r="F530" s="273"/>
      <c r="G530" s="273"/>
      <c r="H530" s="273"/>
      <c r="I530" s="273"/>
      <c r="J530" s="50"/>
      <c r="K530" s="273"/>
      <c r="L530" s="273"/>
      <c r="M530" s="40">
        <v>728</v>
      </c>
      <c r="N530" s="273">
        <v>6185088</v>
      </c>
      <c r="O530" s="273"/>
      <c r="P530" s="273"/>
      <c r="Q530" s="273"/>
      <c r="R530" s="273"/>
      <c r="S530" s="273"/>
      <c r="T530" s="273"/>
      <c r="U530" s="273"/>
      <c r="V530" s="273"/>
      <c r="W530" s="273">
        <f t="shared" si="108"/>
        <v>0</v>
      </c>
      <c r="X530" s="271"/>
      <c r="Y530" s="271"/>
      <c r="Z530" s="271"/>
      <c r="AA530" s="271"/>
      <c r="AB530" s="271"/>
      <c r="AD530" s="269"/>
      <c r="AE530" s="7"/>
      <c r="AF530" s="13"/>
      <c r="AG530" s="13"/>
    </row>
    <row r="531" spans="1:33" x14ac:dyDescent="0.3">
      <c r="A531" s="259">
        <f t="shared" si="107"/>
        <v>398</v>
      </c>
      <c r="B531" s="20" t="s">
        <v>1802</v>
      </c>
      <c r="C531" s="273">
        <f t="shared" si="106"/>
        <v>249664.43</v>
      </c>
      <c r="D531" s="273"/>
      <c r="E531" s="273"/>
      <c r="F531" s="273"/>
      <c r="G531" s="273"/>
      <c r="H531" s="273"/>
      <c r="I531" s="273"/>
      <c r="J531" s="50"/>
      <c r="K531" s="273"/>
      <c r="L531" s="273"/>
      <c r="M531" s="273"/>
      <c r="N531" s="273"/>
      <c r="O531" s="273"/>
      <c r="P531" s="273"/>
      <c r="Q531" s="273"/>
      <c r="R531" s="273"/>
      <c r="S531" s="273"/>
      <c r="T531" s="273"/>
      <c r="U531" s="273"/>
      <c r="V531" s="273"/>
      <c r="W531" s="273">
        <f t="shared" si="108"/>
        <v>249664.43</v>
      </c>
      <c r="X531" s="271"/>
      <c r="Y531" s="271"/>
      <c r="Z531" s="271"/>
      <c r="AA531" s="271"/>
      <c r="AB531" s="271">
        <v>249664.43</v>
      </c>
      <c r="AD531" s="269"/>
      <c r="AE531" s="7"/>
      <c r="AF531" s="13"/>
      <c r="AG531" s="13"/>
    </row>
    <row r="532" spans="1:33" x14ac:dyDescent="0.3">
      <c r="A532" s="259">
        <f t="shared" si="107"/>
        <v>399</v>
      </c>
      <c r="B532" s="20" t="s">
        <v>1803</v>
      </c>
      <c r="C532" s="273">
        <f t="shared" si="106"/>
        <v>128724.65</v>
      </c>
      <c r="D532" s="273"/>
      <c r="E532" s="273"/>
      <c r="F532" s="273"/>
      <c r="G532" s="273"/>
      <c r="H532" s="273"/>
      <c r="I532" s="273"/>
      <c r="J532" s="50"/>
      <c r="K532" s="273"/>
      <c r="L532" s="273"/>
      <c r="M532" s="273"/>
      <c r="N532" s="273"/>
      <c r="O532" s="273"/>
      <c r="P532" s="273"/>
      <c r="Q532" s="273"/>
      <c r="R532" s="273"/>
      <c r="S532" s="273"/>
      <c r="T532" s="273"/>
      <c r="U532" s="273"/>
      <c r="V532" s="273"/>
      <c r="W532" s="273">
        <f t="shared" si="108"/>
        <v>128724.65</v>
      </c>
      <c r="X532" s="271"/>
      <c r="Y532" s="271"/>
      <c r="Z532" s="271"/>
      <c r="AA532" s="271"/>
      <c r="AB532" s="271">
        <v>128724.65</v>
      </c>
      <c r="AD532" s="269"/>
      <c r="AE532" s="7"/>
      <c r="AF532" s="13"/>
      <c r="AG532" s="13"/>
    </row>
    <row r="533" spans="1:33" x14ac:dyDescent="0.3">
      <c r="A533" s="259">
        <f t="shared" si="107"/>
        <v>400</v>
      </c>
      <c r="B533" s="20" t="s">
        <v>1804</v>
      </c>
      <c r="C533" s="273">
        <f t="shared" si="106"/>
        <v>16690.75</v>
      </c>
      <c r="D533" s="273"/>
      <c r="E533" s="273"/>
      <c r="F533" s="273"/>
      <c r="G533" s="273"/>
      <c r="H533" s="273"/>
      <c r="I533" s="273"/>
      <c r="J533" s="50"/>
      <c r="K533" s="273"/>
      <c r="L533" s="273"/>
      <c r="M533" s="273"/>
      <c r="N533" s="273"/>
      <c r="O533" s="273"/>
      <c r="P533" s="273"/>
      <c r="Q533" s="273"/>
      <c r="R533" s="273"/>
      <c r="S533" s="273"/>
      <c r="T533" s="273"/>
      <c r="U533" s="273"/>
      <c r="V533" s="273"/>
      <c r="W533" s="273">
        <f t="shared" si="108"/>
        <v>16690.75</v>
      </c>
      <c r="X533" s="271"/>
      <c r="Y533" s="271"/>
      <c r="Z533" s="271"/>
      <c r="AA533" s="271"/>
      <c r="AB533" s="271"/>
      <c r="AD533" s="269"/>
      <c r="AE533" s="7">
        <v>16690.75</v>
      </c>
      <c r="AF533" s="13"/>
      <c r="AG533" s="13"/>
    </row>
    <row r="534" spans="1:33" x14ac:dyDescent="0.3">
      <c r="A534" s="259">
        <f t="shared" si="107"/>
        <v>401</v>
      </c>
      <c r="B534" s="20" t="s">
        <v>1806</v>
      </c>
      <c r="C534" s="273">
        <f t="shared" si="106"/>
        <v>173390.64</v>
      </c>
      <c r="D534" s="273"/>
      <c r="E534" s="273"/>
      <c r="F534" s="273"/>
      <c r="G534" s="273"/>
      <c r="H534" s="273"/>
      <c r="I534" s="273"/>
      <c r="J534" s="50"/>
      <c r="K534" s="273"/>
      <c r="L534" s="273"/>
      <c r="M534" s="273"/>
      <c r="N534" s="273"/>
      <c r="O534" s="273"/>
      <c r="P534" s="273"/>
      <c r="Q534" s="273"/>
      <c r="R534" s="273"/>
      <c r="S534" s="273"/>
      <c r="T534" s="273"/>
      <c r="U534" s="273"/>
      <c r="V534" s="273"/>
      <c r="W534" s="273">
        <f t="shared" si="108"/>
        <v>173390.64</v>
      </c>
      <c r="X534" s="271"/>
      <c r="Y534" s="271"/>
      <c r="Z534" s="271"/>
      <c r="AA534" s="271"/>
      <c r="AB534" s="271">
        <v>173390.64</v>
      </c>
      <c r="AD534" s="269"/>
      <c r="AE534" s="7"/>
      <c r="AF534" s="13"/>
      <c r="AG534" s="13"/>
    </row>
    <row r="535" spans="1:33" x14ac:dyDescent="0.3">
      <c r="A535" s="259">
        <f t="shared" si="107"/>
        <v>402</v>
      </c>
      <c r="B535" s="20" t="s">
        <v>1807</v>
      </c>
      <c r="C535" s="273">
        <f t="shared" si="106"/>
        <v>111428.46</v>
      </c>
      <c r="D535" s="273"/>
      <c r="E535" s="273"/>
      <c r="F535" s="273"/>
      <c r="G535" s="273"/>
      <c r="H535" s="273"/>
      <c r="I535" s="273"/>
      <c r="J535" s="50"/>
      <c r="K535" s="273"/>
      <c r="L535" s="273"/>
      <c r="M535" s="273"/>
      <c r="N535" s="273"/>
      <c r="O535" s="273"/>
      <c r="P535" s="273"/>
      <c r="Q535" s="273"/>
      <c r="R535" s="273"/>
      <c r="S535" s="273"/>
      <c r="T535" s="273"/>
      <c r="U535" s="273"/>
      <c r="V535" s="273"/>
      <c r="W535" s="273">
        <f t="shared" si="108"/>
        <v>111428.46</v>
      </c>
      <c r="X535" s="271"/>
      <c r="Y535" s="271"/>
      <c r="Z535" s="271"/>
      <c r="AA535" s="271"/>
      <c r="AB535" s="271">
        <v>111428.46</v>
      </c>
      <c r="AD535" s="269"/>
      <c r="AE535" s="7"/>
      <c r="AF535" s="13"/>
      <c r="AG535" s="13"/>
    </row>
    <row r="536" spans="1:33" x14ac:dyDescent="0.3">
      <c r="A536" s="259">
        <f t="shared" si="107"/>
        <v>403</v>
      </c>
      <c r="B536" s="20" t="s">
        <v>1808</v>
      </c>
      <c r="C536" s="273">
        <f t="shared" si="106"/>
        <v>24753.61</v>
      </c>
      <c r="D536" s="273"/>
      <c r="E536" s="273"/>
      <c r="F536" s="273"/>
      <c r="G536" s="273"/>
      <c r="H536" s="273"/>
      <c r="I536" s="273"/>
      <c r="J536" s="50"/>
      <c r="K536" s="273"/>
      <c r="L536" s="273"/>
      <c r="M536" s="273"/>
      <c r="N536" s="273"/>
      <c r="O536" s="273"/>
      <c r="P536" s="273"/>
      <c r="Q536" s="273"/>
      <c r="R536" s="273"/>
      <c r="S536" s="273"/>
      <c r="T536" s="273"/>
      <c r="U536" s="273"/>
      <c r="V536" s="273"/>
      <c r="W536" s="273">
        <f t="shared" si="108"/>
        <v>24753.61</v>
      </c>
      <c r="X536" s="271"/>
      <c r="Y536" s="271"/>
      <c r="Z536" s="271"/>
      <c r="AA536" s="271"/>
      <c r="AB536" s="271"/>
      <c r="AD536" s="269"/>
      <c r="AE536" s="7">
        <v>24753.61</v>
      </c>
      <c r="AF536" s="13"/>
      <c r="AG536" s="13"/>
    </row>
    <row r="537" spans="1:33" x14ac:dyDescent="0.3">
      <c r="A537" s="259">
        <f t="shared" si="107"/>
        <v>404</v>
      </c>
      <c r="B537" s="20" t="s">
        <v>1809</v>
      </c>
      <c r="C537" s="273">
        <f t="shared" si="106"/>
        <v>1310949.82</v>
      </c>
      <c r="D537" s="273"/>
      <c r="E537" s="273"/>
      <c r="F537" s="273"/>
      <c r="G537" s="273"/>
      <c r="H537" s="273"/>
      <c r="I537" s="273"/>
      <c r="J537" s="50"/>
      <c r="K537" s="273"/>
      <c r="L537" s="273"/>
      <c r="M537" s="273"/>
      <c r="N537" s="273"/>
      <c r="O537" s="273"/>
      <c r="P537" s="273"/>
      <c r="Q537" s="273"/>
      <c r="R537" s="273"/>
      <c r="S537" s="273"/>
      <c r="T537" s="273"/>
      <c r="U537" s="273"/>
      <c r="V537" s="273"/>
      <c r="W537" s="273">
        <f t="shared" si="108"/>
        <v>1310949.82</v>
      </c>
      <c r="X537" s="271"/>
      <c r="Y537" s="271"/>
      <c r="Z537" s="271"/>
      <c r="AA537" s="271"/>
      <c r="AB537" s="271">
        <v>191604.82</v>
      </c>
      <c r="AD537" s="269"/>
      <c r="AE537" s="7"/>
      <c r="AF537" s="13">
        <v>1119345</v>
      </c>
      <c r="AG537" s="13"/>
    </row>
    <row r="538" spans="1:33" x14ac:dyDescent="0.3">
      <c r="A538" s="259">
        <f t="shared" si="107"/>
        <v>405</v>
      </c>
      <c r="B538" s="20" t="s">
        <v>1810</v>
      </c>
      <c r="C538" s="273">
        <f t="shared" si="106"/>
        <v>16446.46</v>
      </c>
      <c r="D538" s="273"/>
      <c r="E538" s="273"/>
      <c r="F538" s="273"/>
      <c r="G538" s="273"/>
      <c r="H538" s="273"/>
      <c r="I538" s="273"/>
      <c r="J538" s="50"/>
      <c r="K538" s="273"/>
      <c r="L538" s="273"/>
      <c r="M538" s="273"/>
      <c r="N538" s="273"/>
      <c r="O538" s="273"/>
      <c r="P538" s="273"/>
      <c r="Q538" s="273"/>
      <c r="R538" s="273"/>
      <c r="S538" s="273"/>
      <c r="T538" s="273"/>
      <c r="U538" s="273"/>
      <c r="V538" s="273"/>
      <c r="W538" s="273">
        <f t="shared" si="108"/>
        <v>16446.46</v>
      </c>
      <c r="X538" s="271"/>
      <c r="Y538" s="271"/>
      <c r="Z538" s="271"/>
      <c r="AA538" s="271"/>
      <c r="AB538" s="271"/>
      <c r="AD538" s="269"/>
      <c r="AE538" s="7">
        <v>16446.46</v>
      </c>
      <c r="AF538" s="13"/>
      <c r="AG538" s="13"/>
    </row>
    <row r="539" spans="1:33" x14ac:dyDescent="0.3">
      <c r="A539" s="259">
        <f t="shared" si="107"/>
        <v>406</v>
      </c>
      <c r="B539" s="20" t="s">
        <v>1811</v>
      </c>
      <c r="C539" s="273">
        <f t="shared" si="106"/>
        <v>191604.82</v>
      </c>
      <c r="D539" s="273"/>
      <c r="E539" s="273"/>
      <c r="F539" s="273"/>
      <c r="G539" s="273"/>
      <c r="H539" s="273"/>
      <c r="I539" s="273"/>
      <c r="J539" s="50"/>
      <c r="K539" s="273"/>
      <c r="L539" s="273"/>
      <c r="M539" s="273"/>
      <c r="N539" s="273"/>
      <c r="O539" s="273"/>
      <c r="P539" s="273"/>
      <c r="Q539" s="273"/>
      <c r="R539" s="273"/>
      <c r="S539" s="273"/>
      <c r="T539" s="273"/>
      <c r="U539" s="273"/>
      <c r="V539" s="273"/>
      <c r="W539" s="273">
        <f t="shared" si="108"/>
        <v>191604.82</v>
      </c>
      <c r="X539" s="271"/>
      <c r="Y539" s="271"/>
      <c r="Z539" s="271"/>
      <c r="AA539" s="271"/>
      <c r="AB539" s="271">
        <v>191604.82</v>
      </c>
      <c r="AD539" s="269"/>
      <c r="AE539" s="7"/>
      <c r="AF539" s="13"/>
      <c r="AG539" s="13"/>
    </row>
    <row r="540" spans="1:33" x14ac:dyDescent="0.3">
      <c r="A540" s="259">
        <f t="shared" si="107"/>
        <v>407</v>
      </c>
      <c r="B540" s="20" t="s">
        <v>1812</v>
      </c>
      <c r="C540" s="273">
        <f t="shared" si="106"/>
        <v>104941.02</v>
      </c>
      <c r="D540" s="273"/>
      <c r="E540" s="273"/>
      <c r="F540" s="273"/>
      <c r="G540" s="273"/>
      <c r="H540" s="273"/>
      <c r="I540" s="273"/>
      <c r="J540" s="50"/>
      <c r="K540" s="273"/>
      <c r="L540" s="273"/>
      <c r="M540" s="273"/>
      <c r="N540" s="273"/>
      <c r="O540" s="273"/>
      <c r="P540" s="273"/>
      <c r="Q540" s="273"/>
      <c r="R540" s="273"/>
      <c r="S540" s="273"/>
      <c r="T540" s="273"/>
      <c r="U540" s="273"/>
      <c r="V540" s="273"/>
      <c r="W540" s="273">
        <f t="shared" si="108"/>
        <v>104941.02</v>
      </c>
      <c r="X540" s="271"/>
      <c r="Y540" s="271"/>
      <c r="Z540" s="271"/>
      <c r="AA540" s="271"/>
      <c r="AB540" s="271">
        <v>104941.02</v>
      </c>
      <c r="AD540" s="269"/>
      <c r="AE540" s="7"/>
      <c r="AF540" s="13"/>
      <c r="AG540" s="13"/>
    </row>
    <row r="541" spans="1:33" x14ac:dyDescent="0.3">
      <c r="A541" s="259">
        <f t="shared" si="107"/>
        <v>408</v>
      </c>
      <c r="B541" s="20" t="s">
        <v>1813</v>
      </c>
      <c r="C541" s="273">
        <f t="shared" si="106"/>
        <v>130000</v>
      </c>
      <c r="D541" s="273"/>
      <c r="E541" s="273"/>
      <c r="F541" s="273"/>
      <c r="G541" s="273"/>
      <c r="H541" s="273"/>
      <c r="I541" s="273"/>
      <c r="J541" s="50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>
        <v>130000</v>
      </c>
      <c r="X541" s="271"/>
      <c r="Y541" s="271"/>
      <c r="Z541" s="271"/>
      <c r="AA541" s="271"/>
      <c r="AB541" s="271">
        <v>130000</v>
      </c>
      <c r="AD541" s="269"/>
      <c r="AE541" s="7"/>
      <c r="AF541" s="13"/>
      <c r="AG541" s="13"/>
    </row>
    <row r="542" spans="1:33" x14ac:dyDescent="0.3">
      <c r="A542" s="259">
        <f t="shared" si="107"/>
        <v>409</v>
      </c>
      <c r="B542" s="20" t="s">
        <v>1814</v>
      </c>
      <c r="C542" s="273">
        <f t="shared" si="106"/>
        <v>94924.81</v>
      </c>
      <c r="D542" s="273"/>
      <c r="E542" s="273"/>
      <c r="F542" s="273"/>
      <c r="G542" s="273"/>
      <c r="H542" s="273"/>
      <c r="I542" s="273"/>
      <c r="J542" s="50"/>
      <c r="K542" s="273"/>
      <c r="L542" s="273"/>
      <c r="M542" s="273"/>
      <c r="N542" s="273"/>
      <c r="O542" s="273"/>
      <c r="P542" s="273"/>
      <c r="Q542" s="273"/>
      <c r="R542" s="273"/>
      <c r="S542" s="273"/>
      <c r="T542" s="273"/>
      <c r="U542" s="273"/>
      <c r="V542" s="273"/>
      <c r="W542" s="273">
        <f t="shared" si="108"/>
        <v>94924.81</v>
      </c>
      <c r="X542" s="271">
        <v>94924.81</v>
      </c>
      <c r="Y542" s="271"/>
      <c r="Z542" s="271"/>
      <c r="AA542" s="271"/>
      <c r="AB542" s="271"/>
      <c r="AD542" s="269"/>
      <c r="AE542" s="7"/>
      <c r="AF542" s="13"/>
      <c r="AG542" s="13"/>
    </row>
    <row r="543" spans="1:33" x14ac:dyDescent="0.3">
      <c r="A543" s="259">
        <f t="shared" si="107"/>
        <v>410</v>
      </c>
      <c r="B543" s="20" t="s">
        <v>1817</v>
      </c>
      <c r="C543" s="273">
        <f t="shared" si="106"/>
        <v>94010.559999999998</v>
      </c>
      <c r="D543" s="273"/>
      <c r="E543" s="273"/>
      <c r="F543" s="273"/>
      <c r="G543" s="273"/>
      <c r="H543" s="273"/>
      <c r="I543" s="273"/>
      <c r="J543" s="50"/>
      <c r="K543" s="273"/>
      <c r="L543" s="273"/>
      <c r="M543" s="273"/>
      <c r="N543" s="273"/>
      <c r="O543" s="273"/>
      <c r="P543" s="273"/>
      <c r="Q543" s="273"/>
      <c r="R543" s="273"/>
      <c r="S543" s="273"/>
      <c r="T543" s="273"/>
      <c r="U543" s="273"/>
      <c r="V543" s="273"/>
      <c r="W543" s="273">
        <f t="shared" si="108"/>
        <v>94010.559999999998</v>
      </c>
      <c r="X543" s="271"/>
      <c r="Y543" s="271"/>
      <c r="Z543" s="271"/>
      <c r="AA543" s="271"/>
      <c r="AB543" s="271">
        <v>94010.559999999998</v>
      </c>
      <c r="AD543" s="269"/>
      <c r="AE543" s="7"/>
      <c r="AF543" s="13"/>
      <c r="AG543" s="13"/>
    </row>
    <row r="544" spans="1:33" x14ac:dyDescent="0.3">
      <c r="A544" s="259">
        <f t="shared" si="107"/>
        <v>411</v>
      </c>
      <c r="B544" s="20" t="s">
        <v>1818</v>
      </c>
      <c r="C544" s="273">
        <f t="shared" si="106"/>
        <v>103097.3</v>
      </c>
      <c r="D544" s="273"/>
      <c r="E544" s="273"/>
      <c r="F544" s="273"/>
      <c r="G544" s="273"/>
      <c r="H544" s="273"/>
      <c r="I544" s="273"/>
      <c r="J544" s="50"/>
      <c r="K544" s="273"/>
      <c r="L544" s="273"/>
      <c r="M544" s="273"/>
      <c r="N544" s="273"/>
      <c r="O544" s="273"/>
      <c r="P544" s="273"/>
      <c r="Q544" s="273"/>
      <c r="R544" s="273"/>
      <c r="S544" s="273"/>
      <c r="T544" s="273"/>
      <c r="U544" s="273"/>
      <c r="V544" s="273"/>
      <c r="W544" s="273">
        <f t="shared" si="108"/>
        <v>103097.3</v>
      </c>
      <c r="X544" s="271"/>
      <c r="Y544" s="271"/>
      <c r="Z544" s="271"/>
      <c r="AA544" s="271"/>
      <c r="AB544" s="271">
        <v>103097.3</v>
      </c>
      <c r="AD544" s="269"/>
      <c r="AE544" s="7"/>
      <c r="AF544" s="13"/>
      <c r="AG544" s="13"/>
    </row>
    <row r="545" spans="1:34" x14ac:dyDescent="0.3">
      <c r="A545" s="259">
        <f t="shared" si="107"/>
        <v>412</v>
      </c>
      <c r="B545" s="20" t="s">
        <v>1819</v>
      </c>
      <c r="C545" s="273">
        <f t="shared" si="106"/>
        <v>127587.1</v>
      </c>
      <c r="D545" s="273"/>
      <c r="E545" s="273"/>
      <c r="F545" s="273"/>
      <c r="G545" s="273"/>
      <c r="H545" s="273"/>
      <c r="I545" s="273"/>
      <c r="J545" s="50"/>
      <c r="K545" s="273"/>
      <c r="L545" s="273"/>
      <c r="M545" s="273"/>
      <c r="N545" s="273"/>
      <c r="O545" s="273"/>
      <c r="P545" s="273"/>
      <c r="Q545" s="273"/>
      <c r="R545" s="273"/>
      <c r="S545" s="273"/>
      <c r="T545" s="273"/>
      <c r="U545" s="273"/>
      <c r="V545" s="273"/>
      <c r="W545" s="273">
        <f t="shared" si="108"/>
        <v>127587.1</v>
      </c>
      <c r="X545" s="271"/>
      <c r="Y545" s="271"/>
      <c r="Z545" s="271"/>
      <c r="AA545" s="271"/>
      <c r="AB545" s="271">
        <v>127587.1</v>
      </c>
      <c r="AD545" s="269"/>
      <c r="AE545" s="7"/>
      <c r="AF545" s="13"/>
      <c r="AG545" s="13"/>
    </row>
    <row r="546" spans="1:34" x14ac:dyDescent="0.3">
      <c r="A546" s="259">
        <f t="shared" si="107"/>
        <v>413</v>
      </c>
      <c r="B546" s="20" t="s">
        <v>1820</v>
      </c>
      <c r="C546" s="273">
        <f t="shared" si="106"/>
        <v>109947.01</v>
      </c>
      <c r="D546" s="273"/>
      <c r="E546" s="273"/>
      <c r="F546" s="273"/>
      <c r="G546" s="273"/>
      <c r="H546" s="273"/>
      <c r="I546" s="273"/>
      <c r="J546" s="50"/>
      <c r="K546" s="273"/>
      <c r="L546" s="273"/>
      <c r="M546" s="273"/>
      <c r="N546" s="273"/>
      <c r="O546" s="273"/>
      <c r="P546" s="273"/>
      <c r="Q546" s="273"/>
      <c r="R546" s="273"/>
      <c r="S546" s="273"/>
      <c r="T546" s="273"/>
      <c r="U546" s="273"/>
      <c r="V546" s="273"/>
      <c r="W546" s="273">
        <f t="shared" si="108"/>
        <v>109947.01</v>
      </c>
      <c r="X546" s="271"/>
      <c r="Y546" s="271"/>
      <c r="Z546" s="271">
        <v>109947.01</v>
      </c>
      <c r="AA546" s="271"/>
      <c r="AB546" s="271"/>
      <c r="AD546" s="269"/>
      <c r="AE546" s="7"/>
      <c r="AF546" s="13"/>
      <c r="AG546" s="13"/>
    </row>
    <row r="547" spans="1:34" x14ac:dyDescent="0.3">
      <c r="A547" s="259">
        <f t="shared" si="107"/>
        <v>414</v>
      </c>
      <c r="B547" s="20" t="s">
        <v>1821</v>
      </c>
      <c r="C547" s="273">
        <f t="shared" si="106"/>
        <v>136199.23000000001</v>
      </c>
      <c r="D547" s="273"/>
      <c r="E547" s="273"/>
      <c r="F547" s="273"/>
      <c r="G547" s="273"/>
      <c r="H547" s="273"/>
      <c r="I547" s="273"/>
      <c r="J547" s="50"/>
      <c r="K547" s="273"/>
      <c r="L547" s="273"/>
      <c r="M547" s="273"/>
      <c r="N547" s="273"/>
      <c r="O547" s="273"/>
      <c r="P547" s="273"/>
      <c r="Q547" s="273"/>
      <c r="R547" s="273"/>
      <c r="S547" s="273"/>
      <c r="T547" s="273"/>
      <c r="U547" s="273"/>
      <c r="V547" s="273"/>
      <c r="W547" s="273">
        <f t="shared" si="108"/>
        <v>136199.23000000001</v>
      </c>
      <c r="X547" s="271"/>
      <c r="Y547" s="271"/>
      <c r="Z547" s="271"/>
      <c r="AA547" s="271"/>
      <c r="AB547" s="271">
        <v>136199.23000000001</v>
      </c>
      <c r="AD547" s="269"/>
      <c r="AE547" s="7"/>
      <c r="AF547" s="13"/>
      <c r="AG547" s="13"/>
    </row>
    <row r="548" spans="1:34" x14ac:dyDescent="0.3">
      <c r="A548" s="259">
        <f t="shared" si="107"/>
        <v>415</v>
      </c>
      <c r="B548" s="20" t="s">
        <v>1822</v>
      </c>
      <c r="C548" s="273">
        <f t="shared" si="106"/>
        <v>235279.63</v>
      </c>
      <c r="D548" s="273"/>
      <c r="E548" s="273"/>
      <c r="F548" s="273"/>
      <c r="G548" s="273"/>
      <c r="H548" s="273"/>
      <c r="I548" s="273"/>
      <c r="J548" s="50"/>
      <c r="K548" s="273"/>
      <c r="L548" s="273"/>
      <c r="M548" s="273"/>
      <c r="N548" s="273"/>
      <c r="O548" s="273"/>
      <c r="P548" s="273"/>
      <c r="Q548" s="273"/>
      <c r="R548" s="273"/>
      <c r="S548" s="273"/>
      <c r="T548" s="273"/>
      <c r="U548" s="273"/>
      <c r="V548" s="273"/>
      <c r="W548" s="273">
        <f t="shared" si="108"/>
        <v>235279.63</v>
      </c>
      <c r="X548" s="271"/>
      <c r="Y548" s="271">
        <v>129528.85</v>
      </c>
      <c r="Z548" s="271">
        <v>105750.78</v>
      </c>
      <c r="AA548" s="271"/>
      <c r="AB548" s="271"/>
      <c r="AD548" s="269"/>
      <c r="AE548" s="7"/>
      <c r="AF548" s="13"/>
      <c r="AG548" s="13"/>
    </row>
    <row r="549" spans="1:34" x14ac:dyDescent="0.3">
      <c r="A549" s="259">
        <f t="shared" si="107"/>
        <v>416</v>
      </c>
      <c r="B549" s="20" t="s">
        <v>1823</v>
      </c>
      <c r="C549" s="273">
        <f t="shared" si="106"/>
        <v>127431.91</v>
      </c>
      <c r="D549" s="273"/>
      <c r="E549" s="273"/>
      <c r="F549" s="273"/>
      <c r="G549" s="273"/>
      <c r="H549" s="273"/>
      <c r="I549" s="273"/>
      <c r="J549" s="50"/>
      <c r="K549" s="273"/>
      <c r="L549" s="273"/>
      <c r="M549" s="273"/>
      <c r="N549" s="273"/>
      <c r="O549" s="273"/>
      <c r="P549" s="273"/>
      <c r="Q549" s="273"/>
      <c r="R549" s="273"/>
      <c r="S549" s="273"/>
      <c r="T549" s="273"/>
      <c r="U549" s="273"/>
      <c r="V549" s="273"/>
      <c r="W549" s="273">
        <f t="shared" si="108"/>
        <v>127431.91</v>
      </c>
      <c r="X549" s="271"/>
      <c r="Y549" s="271"/>
      <c r="Z549" s="271"/>
      <c r="AA549" s="271"/>
      <c r="AB549" s="271">
        <v>127431.91</v>
      </c>
      <c r="AC549" s="271"/>
      <c r="AD549" s="269"/>
      <c r="AF549" s="13"/>
      <c r="AH549" s="13"/>
    </row>
    <row r="550" spans="1:34" x14ac:dyDescent="0.3">
      <c r="A550" s="259"/>
      <c r="B550" s="20" t="s">
        <v>208</v>
      </c>
      <c r="C550" s="273">
        <f t="shared" ref="C550:W550" si="109">SUM(C514:C549)</f>
        <v>11917921.290000005</v>
      </c>
      <c r="D550" s="273">
        <f t="shared" si="109"/>
        <v>0</v>
      </c>
      <c r="E550" s="273">
        <f t="shared" si="109"/>
        <v>0</v>
      </c>
      <c r="F550" s="273">
        <f t="shared" si="109"/>
        <v>0</v>
      </c>
      <c r="G550" s="273">
        <f t="shared" si="109"/>
        <v>0</v>
      </c>
      <c r="H550" s="273">
        <f t="shared" si="109"/>
        <v>0</v>
      </c>
      <c r="I550" s="273">
        <f t="shared" si="109"/>
        <v>0</v>
      </c>
      <c r="J550" s="50">
        <f t="shared" si="109"/>
        <v>0</v>
      </c>
      <c r="K550" s="273">
        <f t="shared" si="109"/>
        <v>0</v>
      </c>
      <c r="L550" s="273">
        <f t="shared" si="109"/>
        <v>0</v>
      </c>
      <c r="M550" s="273">
        <f t="shared" si="109"/>
        <v>728</v>
      </c>
      <c r="N550" s="273">
        <f t="shared" si="109"/>
        <v>6185088</v>
      </c>
      <c r="O550" s="273">
        <f t="shared" si="109"/>
        <v>0</v>
      </c>
      <c r="P550" s="273">
        <f t="shared" si="109"/>
        <v>0</v>
      </c>
      <c r="Q550" s="273">
        <f t="shared" si="109"/>
        <v>0</v>
      </c>
      <c r="R550" s="273">
        <f t="shared" si="109"/>
        <v>0</v>
      </c>
      <c r="S550" s="273">
        <f t="shared" si="109"/>
        <v>0</v>
      </c>
      <c r="T550" s="273">
        <f t="shared" si="109"/>
        <v>0</v>
      </c>
      <c r="U550" s="273">
        <f t="shared" si="109"/>
        <v>0</v>
      </c>
      <c r="V550" s="273">
        <f t="shared" si="109"/>
        <v>0</v>
      </c>
      <c r="W550" s="273">
        <f t="shared" si="109"/>
        <v>5732833.2899999991</v>
      </c>
      <c r="X550" s="83" t="e">
        <f>SUM(#REF!)</f>
        <v>#REF!</v>
      </c>
      <c r="Y550" s="271"/>
      <c r="Z550" s="271"/>
      <c r="AA550" s="271"/>
      <c r="AB550" s="271"/>
      <c r="AC550" s="271"/>
      <c r="AD550" s="271"/>
      <c r="AE550" s="269"/>
      <c r="AF550" s="7"/>
      <c r="AG550" s="13"/>
      <c r="AH550" s="13"/>
    </row>
    <row r="551" spans="1:34" x14ac:dyDescent="0.3">
      <c r="A551" s="317" t="s">
        <v>1829</v>
      </c>
      <c r="B551" s="318"/>
      <c r="C551" s="273"/>
      <c r="D551" s="273"/>
      <c r="E551" s="251"/>
      <c r="F551" s="251"/>
      <c r="G551" s="251"/>
      <c r="H551" s="251"/>
      <c r="I551" s="251"/>
      <c r="J551" s="57"/>
      <c r="K551" s="251"/>
      <c r="L551" s="251"/>
      <c r="M551" s="251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83"/>
      <c r="Y551" s="271"/>
      <c r="Z551" s="271"/>
      <c r="AA551" s="271"/>
      <c r="AB551" s="271"/>
      <c r="AC551" s="271"/>
      <c r="AD551" s="271"/>
      <c r="AE551" s="269"/>
      <c r="AF551" s="7"/>
      <c r="AG551" s="13"/>
      <c r="AH551" s="13"/>
    </row>
    <row r="552" spans="1:34" x14ac:dyDescent="0.3">
      <c r="A552" s="259">
        <f>A549+1</f>
        <v>417</v>
      </c>
      <c r="B552" s="20" t="s">
        <v>1830</v>
      </c>
      <c r="C552" s="273">
        <f>D552+K552+L552+N552+P552+R552+S552+U552+V552+W552</f>
        <v>22326920.200000003</v>
      </c>
      <c r="D552" s="273"/>
      <c r="E552" s="273"/>
      <c r="F552" s="273"/>
      <c r="G552" s="273"/>
      <c r="H552" s="273"/>
      <c r="I552" s="273"/>
      <c r="J552" s="50"/>
      <c r="K552" s="273"/>
      <c r="L552" s="273"/>
      <c r="M552" s="273"/>
      <c r="N552" s="273"/>
      <c r="O552" s="273"/>
      <c r="P552" s="273"/>
      <c r="Q552" s="273">
        <v>1583.4</v>
      </c>
      <c r="R552" s="273">
        <f>Q552*(10362+3641)</f>
        <v>22172350.200000003</v>
      </c>
      <c r="S552" s="273"/>
      <c r="T552" s="273">
        <v>13</v>
      </c>
      <c r="U552" s="273">
        <f>T552*11890</f>
        <v>154570</v>
      </c>
      <c r="V552" s="273"/>
      <c r="W552" s="273"/>
      <c r="X552" s="283"/>
      <c r="Y552" s="271"/>
      <c r="Z552" s="271"/>
      <c r="AA552" s="271"/>
      <c r="AB552" s="271"/>
      <c r="AC552" s="271"/>
      <c r="AD552" s="271"/>
      <c r="AE552" s="269"/>
      <c r="AF552" s="7"/>
      <c r="AG552" s="13">
        <v>941385.88</v>
      </c>
      <c r="AH552" s="13"/>
    </row>
    <row r="553" spans="1:34" x14ac:dyDescent="0.3">
      <c r="A553" s="259">
        <f>A552+1</f>
        <v>418</v>
      </c>
      <c r="B553" s="20" t="s">
        <v>1831</v>
      </c>
      <c r="C553" s="273">
        <f>D553+K553+L553+N553+P553+R553+S553+U553+V553+W553</f>
        <v>11986560</v>
      </c>
      <c r="D553" s="273"/>
      <c r="E553" s="273"/>
      <c r="F553" s="273"/>
      <c r="G553" s="273"/>
      <c r="H553" s="273"/>
      <c r="I553" s="273"/>
      <c r="J553" s="50"/>
      <c r="K553" s="273"/>
      <c r="L553" s="273"/>
      <c r="M553" s="273"/>
      <c r="N553" s="273">
        <f>1920*6243</f>
        <v>11986560</v>
      </c>
      <c r="O553" s="273"/>
      <c r="P553" s="273"/>
      <c r="Q553" s="273"/>
      <c r="R553" s="273"/>
      <c r="S553" s="273"/>
      <c r="T553" s="273"/>
      <c r="U553" s="273"/>
      <c r="V553" s="273"/>
      <c r="W553" s="273"/>
      <c r="X553" s="283"/>
      <c r="Y553" s="271"/>
      <c r="Z553" s="271"/>
      <c r="AA553" s="271"/>
      <c r="AB553" s="271"/>
      <c r="AC553" s="271"/>
      <c r="AD553" s="271"/>
      <c r="AE553" s="269">
        <v>1077271.8799999999</v>
      </c>
      <c r="AF553" s="7"/>
      <c r="AG553" s="13"/>
      <c r="AH553" s="13"/>
    </row>
    <row r="554" spans="1:34" x14ac:dyDescent="0.3">
      <c r="A554" s="259"/>
      <c r="B554" s="20" t="s">
        <v>208</v>
      </c>
      <c r="C554" s="273">
        <f t="shared" ref="C554:W554" si="110">SUM(C552:C553)</f>
        <v>34313480.200000003</v>
      </c>
      <c r="D554" s="273">
        <f t="shared" si="110"/>
        <v>0</v>
      </c>
      <c r="E554" s="273">
        <f t="shared" si="110"/>
        <v>0</v>
      </c>
      <c r="F554" s="273">
        <f t="shared" si="110"/>
        <v>0</v>
      </c>
      <c r="G554" s="273">
        <f t="shared" si="110"/>
        <v>0</v>
      </c>
      <c r="H554" s="273">
        <f t="shared" si="110"/>
        <v>0</v>
      </c>
      <c r="I554" s="273">
        <f t="shared" si="110"/>
        <v>0</v>
      </c>
      <c r="J554" s="50">
        <f t="shared" si="110"/>
        <v>0</v>
      </c>
      <c r="K554" s="273">
        <f t="shared" si="110"/>
        <v>0</v>
      </c>
      <c r="L554" s="273">
        <f t="shared" si="110"/>
        <v>0</v>
      </c>
      <c r="M554" s="273">
        <f t="shared" si="110"/>
        <v>0</v>
      </c>
      <c r="N554" s="273">
        <f t="shared" si="110"/>
        <v>11986560</v>
      </c>
      <c r="O554" s="273">
        <f t="shared" si="110"/>
        <v>0</v>
      </c>
      <c r="P554" s="273">
        <f t="shared" si="110"/>
        <v>0</v>
      </c>
      <c r="Q554" s="273">
        <f t="shared" si="110"/>
        <v>1583.4</v>
      </c>
      <c r="R554" s="273">
        <f t="shared" si="110"/>
        <v>22172350.200000003</v>
      </c>
      <c r="S554" s="273">
        <f t="shared" si="110"/>
        <v>0</v>
      </c>
      <c r="T554" s="273">
        <f t="shared" si="110"/>
        <v>13</v>
      </c>
      <c r="U554" s="273">
        <f t="shared" si="110"/>
        <v>154570</v>
      </c>
      <c r="V554" s="273">
        <f t="shared" si="110"/>
        <v>0</v>
      </c>
      <c r="W554" s="273">
        <f t="shared" si="110"/>
        <v>0</v>
      </c>
      <c r="X554" s="83">
        <f>SUM(X552:X553)</f>
        <v>0</v>
      </c>
      <c r="Y554" s="271"/>
      <c r="Z554" s="271"/>
      <c r="AA554" s="271"/>
      <c r="AB554" s="271"/>
      <c r="AC554" s="271"/>
      <c r="AD554" s="271"/>
      <c r="AE554" s="269"/>
      <c r="AF554" s="7"/>
      <c r="AG554" s="13"/>
      <c r="AH554" s="13"/>
    </row>
    <row r="555" spans="1:34" x14ac:dyDescent="0.3">
      <c r="A555" s="317" t="s">
        <v>1832</v>
      </c>
      <c r="B555" s="318"/>
      <c r="C555" s="273"/>
      <c r="D555" s="273"/>
      <c r="E555" s="251"/>
      <c r="F555" s="251"/>
      <c r="G555" s="251"/>
      <c r="H555" s="251"/>
      <c r="I555" s="251"/>
      <c r="J555" s="57"/>
      <c r="K555" s="251"/>
      <c r="L555" s="251"/>
      <c r="M555" s="251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83"/>
      <c r="Y555" s="271"/>
      <c r="Z555" s="271"/>
      <c r="AA555" s="271"/>
      <c r="AB555" s="271"/>
      <c r="AC555" s="271"/>
      <c r="AD555" s="271"/>
      <c r="AE555" s="269"/>
      <c r="AF555" s="7"/>
      <c r="AG555" s="13"/>
      <c r="AH555" s="13"/>
    </row>
    <row r="556" spans="1:34" x14ac:dyDescent="0.3">
      <c r="A556" s="259">
        <f>A553+1</f>
        <v>419</v>
      </c>
      <c r="B556" s="20" t="s">
        <v>1833</v>
      </c>
      <c r="C556" s="273">
        <f>D556+K556+L556+N556+P556+R556+S556+U556+V556+W556</f>
        <v>359021.71</v>
      </c>
      <c r="D556" s="273"/>
      <c r="E556" s="273"/>
      <c r="F556" s="273"/>
      <c r="G556" s="273"/>
      <c r="H556" s="273"/>
      <c r="I556" s="273"/>
      <c r="J556" s="50"/>
      <c r="K556" s="273"/>
      <c r="L556" s="273"/>
      <c r="M556" s="273"/>
      <c r="N556" s="273"/>
      <c r="O556" s="273"/>
      <c r="P556" s="273"/>
      <c r="Q556" s="273"/>
      <c r="R556" s="273"/>
      <c r="S556" s="273"/>
      <c r="T556" s="273"/>
      <c r="U556" s="273"/>
      <c r="V556" s="273"/>
      <c r="W556" s="273">
        <f>SUM(Y556:AJ556)</f>
        <v>359021.71</v>
      </c>
      <c r="X556" s="283"/>
      <c r="Y556" s="271"/>
      <c r="Z556" s="271"/>
      <c r="AA556" s="271"/>
      <c r="AB556" s="271"/>
      <c r="AC556" s="271"/>
      <c r="AD556" s="269">
        <v>359021.71</v>
      </c>
      <c r="AE556" s="7"/>
      <c r="AF556" s="13"/>
      <c r="AH556" s="13"/>
    </row>
    <row r="557" spans="1:34" x14ac:dyDescent="0.3">
      <c r="A557" s="259">
        <f>A556+1</f>
        <v>420</v>
      </c>
      <c r="B557" s="20" t="s">
        <v>1834</v>
      </c>
      <c r="C557" s="273">
        <f>D557+K557+L557+N557+P557+R557+S557+U557+V557+W557</f>
        <v>360910.52</v>
      </c>
      <c r="D557" s="273"/>
      <c r="E557" s="273"/>
      <c r="F557" s="273"/>
      <c r="G557" s="273"/>
      <c r="H557" s="273"/>
      <c r="I557" s="273"/>
      <c r="J557" s="50"/>
      <c r="K557" s="273"/>
      <c r="L557" s="273"/>
      <c r="M557" s="273"/>
      <c r="N557" s="273"/>
      <c r="O557" s="273"/>
      <c r="P557" s="273"/>
      <c r="Q557" s="273"/>
      <c r="R557" s="273"/>
      <c r="S557" s="273"/>
      <c r="T557" s="273"/>
      <c r="U557" s="273"/>
      <c r="V557" s="273"/>
      <c r="W557" s="273">
        <f>SUM(Y557:AJ557)</f>
        <v>360910.52</v>
      </c>
      <c r="X557" s="283"/>
      <c r="Y557" s="271"/>
      <c r="Z557" s="271"/>
      <c r="AA557" s="271"/>
      <c r="AB557" s="271"/>
      <c r="AC557" s="271"/>
      <c r="AD557" s="269">
        <v>360910.52</v>
      </c>
      <c r="AE557" s="7"/>
      <c r="AF557" s="13"/>
      <c r="AH557" s="13"/>
    </row>
    <row r="558" spans="1:34" x14ac:dyDescent="0.3">
      <c r="A558" s="259"/>
      <c r="B558" s="20" t="s">
        <v>208</v>
      </c>
      <c r="C558" s="273">
        <f t="shared" ref="C558:W558" si="111">SUM(C556:C557)</f>
        <v>719932.23</v>
      </c>
      <c r="D558" s="273">
        <f t="shared" si="111"/>
        <v>0</v>
      </c>
      <c r="E558" s="273">
        <f t="shared" si="111"/>
        <v>0</v>
      </c>
      <c r="F558" s="273">
        <f t="shared" si="111"/>
        <v>0</v>
      </c>
      <c r="G558" s="273">
        <f t="shared" si="111"/>
        <v>0</v>
      </c>
      <c r="H558" s="273">
        <f t="shared" si="111"/>
        <v>0</v>
      </c>
      <c r="I558" s="273">
        <f t="shared" si="111"/>
        <v>0</v>
      </c>
      <c r="J558" s="50">
        <f t="shared" si="111"/>
        <v>0</v>
      </c>
      <c r="K558" s="273">
        <f t="shared" si="111"/>
        <v>0</v>
      </c>
      <c r="L558" s="273">
        <f t="shared" si="111"/>
        <v>0</v>
      </c>
      <c r="M558" s="273">
        <f t="shared" si="111"/>
        <v>0</v>
      </c>
      <c r="N558" s="273">
        <f t="shared" si="111"/>
        <v>0</v>
      </c>
      <c r="O558" s="273">
        <f t="shared" si="111"/>
        <v>0</v>
      </c>
      <c r="P558" s="273">
        <f t="shared" si="111"/>
        <v>0</v>
      </c>
      <c r="Q558" s="273">
        <f t="shared" si="111"/>
        <v>0</v>
      </c>
      <c r="R558" s="273">
        <f t="shared" si="111"/>
        <v>0</v>
      </c>
      <c r="S558" s="273">
        <f t="shared" si="111"/>
        <v>0</v>
      </c>
      <c r="T558" s="273">
        <f t="shared" si="111"/>
        <v>0</v>
      </c>
      <c r="U558" s="273">
        <f t="shared" si="111"/>
        <v>0</v>
      </c>
      <c r="V558" s="273">
        <f t="shared" si="111"/>
        <v>0</v>
      </c>
      <c r="W558" s="273">
        <f t="shared" si="111"/>
        <v>719932.23</v>
      </c>
      <c r="X558" s="83">
        <f>SUM(X556:X557)</f>
        <v>0</v>
      </c>
      <c r="Y558" s="271"/>
      <c r="Z558" s="271"/>
      <c r="AA558" s="271"/>
      <c r="AB558" s="271"/>
      <c r="AC558" s="271"/>
      <c r="AD558" s="271"/>
      <c r="AE558" s="269"/>
      <c r="AF558" s="7"/>
      <c r="AG558" s="13"/>
      <c r="AH558" s="13"/>
    </row>
    <row r="559" spans="1:34" x14ac:dyDescent="0.3">
      <c r="A559" s="317" t="s">
        <v>1835</v>
      </c>
      <c r="B559" s="318"/>
      <c r="C559" s="273"/>
      <c r="D559" s="273"/>
      <c r="E559" s="251"/>
      <c r="F559" s="251"/>
      <c r="G559" s="251"/>
      <c r="H559" s="251"/>
      <c r="I559" s="251"/>
      <c r="J559" s="57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83"/>
      <c r="Y559" s="271"/>
      <c r="Z559" s="271"/>
      <c r="AA559" s="271"/>
      <c r="AB559" s="271"/>
      <c r="AC559" s="271"/>
      <c r="AD559" s="271"/>
      <c r="AE559" s="269"/>
      <c r="AF559" s="7"/>
      <c r="AG559" s="13"/>
      <c r="AH559" s="13"/>
    </row>
    <row r="560" spans="1:34" ht="24" customHeight="1" x14ac:dyDescent="0.3">
      <c r="A560" s="259">
        <f>A557+1</f>
        <v>421</v>
      </c>
      <c r="B560" s="20" t="s">
        <v>1836</v>
      </c>
      <c r="C560" s="273">
        <f>D560+K560+L560+N560+P560+R560+S560+U560+V560+W560</f>
        <v>166262.53</v>
      </c>
      <c r="D560" s="273"/>
      <c r="E560" s="273"/>
      <c r="F560" s="273"/>
      <c r="G560" s="273"/>
      <c r="H560" s="273"/>
      <c r="I560" s="273"/>
      <c r="J560" s="50"/>
      <c r="K560" s="273"/>
      <c r="L560" s="273"/>
      <c r="M560" s="273"/>
      <c r="N560" s="273"/>
      <c r="O560" s="273"/>
      <c r="P560" s="273"/>
      <c r="Q560" s="273"/>
      <c r="R560" s="273"/>
      <c r="S560" s="273"/>
      <c r="T560" s="273"/>
      <c r="U560" s="273"/>
      <c r="V560" s="273"/>
      <c r="W560" s="273">
        <f>SUM(Y560:AJ560)</f>
        <v>166262.53</v>
      </c>
      <c r="X560" s="106" t="s">
        <v>1837</v>
      </c>
      <c r="Y560" s="271"/>
      <c r="Z560" s="271"/>
      <c r="AA560" s="271"/>
      <c r="AB560" s="271"/>
      <c r="AC560" s="271"/>
      <c r="AD560" s="271"/>
      <c r="AE560" s="269"/>
      <c r="AF560" s="7"/>
      <c r="AG560" s="13">
        <v>166262.53</v>
      </c>
    </row>
    <row r="561" spans="1:34" ht="24" customHeight="1" x14ac:dyDescent="0.3">
      <c r="A561" s="259">
        <f>A560+1</f>
        <v>422</v>
      </c>
      <c r="B561" s="20" t="s">
        <v>1838</v>
      </c>
      <c r="C561" s="273">
        <f>D561+K561+L561+N561+P561+R561+S561+U561+V561+W561</f>
        <v>166262.53</v>
      </c>
      <c r="D561" s="273"/>
      <c r="E561" s="273"/>
      <c r="F561" s="273"/>
      <c r="G561" s="273"/>
      <c r="H561" s="273"/>
      <c r="I561" s="273"/>
      <c r="J561" s="50"/>
      <c r="K561" s="273"/>
      <c r="L561" s="273"/>
      <c r="M561" s="273"/>
      <c r="N561" s="273"/>
      <c r="O561" s="273"/>
      <c r="P561" s="273"/>
      <c r="Q561" s="273"/>
      <c r="R561" s="273"/>
      <c r="S561" s="273"/>
      <c r="T561" s="273"/>
      <c r="U561" s="273"/>
      <c r="V561" s="273"/>
      <c r="W561" s="273">
        <f>SUM(Y561:AJ561)</f>
        <v>166262.53</v>
      </c>
      <c r="X561" s="106" t="s">
        <v>1837</v>
      </c>
      <c r="Y561" s="271"/>
      <c r="Z561" s="271"/>
      <c r="AA561" s="271"/>
      <c r="AB561" s="271"/>
      <c r="AC561" s="271"/>
      <c r="AD561" s="271"/>
      <c r="AE561" s="269"/>
      <c r="AF561" s="7"/>
      <c r="AG561" s="13">
        <v>166262.53</v>
      </c>
    </row>
    <row r="562" spans="1:34" ht="24" customHeight="1" x14ac:dyDescent="0.3">
      <c r="A562" s="259">
        <f>A561+1</f>
        <v>423</v>
      </c>
      <c r="B562" s="20" t="s">
        <v>1839</v>
      </c>
      <c r="C562" s="273">
        <f>D562+K562+L562+N562+P562+R562+S562+U562+V562+W562</f>
        <v>166262.53</v>
      </c>
      <c r="D562" s="273"/>
      <c r="E562" s="273"/>
      <c r="F562" s="273"/>
      <c r="G562" s="273"/>
      <c r="H562" s="273"/>
      <c r="I562" s="273"/>
      <c r="J562" s="50"/>
      <c r="K562" s="273"/>
      <c r="L562" s="273"/>
      <c r="M562" s="273"/>
      <c r="N562" s="273"/>
      <c r="O562" s="273"/>
      <c r="P562" s="273"/>
      <c r="Q562" s="273"/>
      <c r="R562" s="273"/>
      <c r="S562" s="273"/>
      <c r="T562" s="273"/>
      <c r="U562" s="273"/>
      <c r="V562" s="273"/>
      <c r="W562" s="273">
        <f>SUM(Y562:AJ562)</f>
        <v>166262.53</v>
      </c>
      <c r="X562" s="106" t="s">
        <v>1837</v>
      </c>
      <c r="Y562" s="271"/>
      <c r="Z562" s="271"/>
      <c r="AA562" s="271"/>
      <c r="AB562" s="271"/>
      <c r="AC562" s="271"/>
      <c r="AD562" s="271"/>
      <c r="AE562" s="269"/>
      <c r="AF562" s="7"/>
      <c r="AG562" s="13">
        <v>166262.53</v>
      </c>
    </row>
    <row r="563" spans="1:34" x14ac:dyDescent="0.3">
      <c r="A563" s="259"/>
      <c r="B563" s="20" t="s">
        <v>208</v>
      </c>
      <c r="C563" s="273">
        <f t="shared" ref="C563:W563" si="112">SUM(C560:C562)</f>
        <v>498787.58999999997</v>
      </c>
      <c r="D563" s="273">
        <f t="shared" si="112"/>
        <v>0</v>
      </c>
      <c r="E563" s="273">
        <f t="shared" si="112"/>
        <v>0</v>
      </c>
      <c r="F563" s="273">
        <f t="shared" si="112"/>
        <v>0</v>
      </c>
      <c r="G563" s="273">
        <f t="shared" si="112"/>
        <v>0</v>
      </c>
      <c r="H563" s="273">
        <f t="shared" si="112"/>
        <v>0</v>
      </c>
      <c r="I563" s="273">
        <f t="shared" si="112"/>
        <v>0</v>
      </c>
      <c r="J563" s="50">
        <f t="shared" si="112"/>
        <v>0</v>
      </c>
      <c r="K563" s="273">
        <f t="shared" si="112"/>
        <v>0</v>
      </c>
      <c r="L563" s="273">
        <f t="shared" si="112"/>
        <v>0</v>
      </c>
      <c r="M563" s="273">
        <f t="shared" si="112"/>
        <v>0</v>
      </c>
      <c r="N563" s="273">
        <f t="shared" si="112"/>
        <v>0</v>
      </c>
      <c r="O563" s="273">
        <f t="shared" si="112"/>
        <v>0</v>
      </c>
      <c r="P563" s="273">
        <f t="shared" si="112"/>
        <v>0</v>
      </c>
      <c r="Q563" s="273">
        <f t="shared" si="112"/>
        <v>0</v>
      </c>
      <c r="R563" s="273">
        <f t="shared" si="112"/>
        <v>0</v>
      </c>
      <c r="S563" s="273">
        <f t="shared" si="112"/>
        <v>0</v>
      </c>
      <c r="T563" s="273">
        <f t="shared" si="112"/>
        <v>0</v>
      </c>
      <c r="U563" s="273">
        <f t="shared" si="112"/>
        <v>0</v>
      </c>
      <c r="V563" s="273">
        <f t="shared" si="112"/>
        <v>0</v>
      </c>
      <c r="W563" s="273">
        <f t="shared" si="112"/>
        <v>498787.58999999997</v>
      </c>
      <c r="X563" s="83">
        <f>SUM(X560:X562)</f>
        <v>0</v>
      </c>
      <c r="Y563" s="271"/>
      <c r="Z563" s="271"/>
      <c r="AA563" s="271"/>
      <c r="AB563" s="271"/>
      <c r="AC563" s="271"/>
      <c r="AD563" s="271"/>
      <c r="AE563" s="269"/>
      <c r="AF563" s="7"/>
      <c r="AG563" s="13"/>
      <c r="AH563" s="13"/>
    </row>
    <row r="564" spans="1:34" x14ac:dyDescent="0.3">
      <c r="A564" s="317" t="s">
        <v>1853</v>
      </c>
      <c r="B564" s="318"/>
      <c r="C564" s="273"/>
      <c r="D564" s="273"/>
      <c r="E564" s="251"/>
      <c r="F564" s="251"/>
      <c r="G564" s="251"/>
      <c r="H564" s="251"/>
      <c r="I564" s="251"/>
      <c r="J564" s="57"/>
      <c r="K564" s="251"/>
      <c r="L564" s="251"/>
      <c r="M564" s="251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83"/>
      <c r="Y564" s="271"/>
      <c r="Z564" s="271"/>
      <c r="AA564" s="271"/>
      <c r="AB564" s="271"/>
      <c r="AC564" s="271"/>
      <c r="AD564" s="271"/>
      <c r="AE564" s="269"/>
      <c r="AF564" s="7"/>
      <c r="AG564" s="13"/>
      <c r="AH564" s="13"/>
    </row>
    <row r="565" spans="1:34" ht="17.25" customHeight="1" x14ac:dyDescent="0.3">
      <c r="A565" s="259">
        <f>A562+1</f>
        <v>424</v>
      </c>
      <c r="B565" s="20" t="s">
        <v>1854</v>
      </c>
      <c r="C565" s="273">
        <f>D565+K565+L565+N565+P565+R565+S565+U565+V565+W565</f>
        <v>3931299.8</v>
      </c>
      <c r="D565" s="273"/>
      <c r="E565" s="273"/>
      <c r="F565" s="273"/>
      <c r="G565" s="273"/>
      <c r="H565" s="273"/>
      <c r="I565" s="273"/>
      <c r="J565" s="50"/>
      <c r="K565" s="273"/>
      <c r="L565" s="273"/>
      <c r="M565" s="273"/>
      <c r="N565" s="273"/>
      <c r="O565" s="273"/>
      <c r="P565" s="273"/>
      <c r="Q565" s="273">
        <v>525</v>
      </c>
      <c r="R565" s="273">
        <v>3931299.8</v>
      </c>
      <c r="S565" s="273"/>
      <c r="T565" s="273"/>
      <c r="U565" s="273"/>
      <c r="V565" s="273"/>
      <c r="W565" s="273"/>
      <c r="X565" s="106" t="s">
        <v>1855</v>
      </c>
      <c r="Y565" s="271"/>
      <c r="Z565" s="271"/>
      <c r="AA565" s="271"/>
      <c r="AB565" s="271"/>
      <c r="AC565" s="271"/>
      <c r="AD565" s="271"/>
      <c r="AE565" s="269"/>
      <c r="AF565" s="7"/>
      <c r="AG565" s="13"/>
      <c r="AH565" s="13"/>
    </row>
    <row r="566" spans="1:34" x14ac:dyDescent="0.3">
      <c r="A566" s="259">
        <f>A565+1</f>
        <v>425</v>
      </c>
      <c r="B566" s="20" t="s">
        <v>1858</v>
      </c>
      <c r="C566" s="273">
        <f>D566+K566+L566+N566+P566+R566+S566+U566+V566+W566</f>
        <v>3926704.88</v>
      </c>
      <c r="D566" s="273"/>
      <c r="E566" s="273"/>
      <c r="F566" s="273"/>
      <c r="G566" s="273"/>
      <c r="H566" s="273"/>
      <c r="I566" s="273"/>
      <c r="J566" s="50"/>
      <c r="K566" s="273"/>
      <c r="L566" s="273"/>
      <c r="M566" s="273"/>
      <c r="N566" s="273"/>
      <c r="O566" s="273"/>
      <c r="P566" s="273"/>
      <c r="Q566" s="273">
        <v>525</v>
      </c>
      <c r="R566" s="273">
        <v>3926704.88</v>
      </c>
      <c r="S566" s="273"/>
      <c r="T566" s="273"/>
      <c r="U566" s="273"/>
      <c r="V566" s="273"/>
      <c r="W566" s="273"/>
      <c r="X566" s="283"/>
      <c r="Y566" s="271"/>
      <c r="Z566" s="271"/>
      <c r="AA566" s="271"/>
      <c r="AB566" s="271"/>
      <c r="AC566" s="271"/>
      <c r="AD566" s="271"/>
      <c r="AE566" s="269"/>
      <c r="AF566" s="7"/>
      <c r="AG566" s="13"/>
      <c r="AH566" s="13"/>
    </row>
    <row r="567" spans="1:34" x14ac:dyDescent="0.3">
      <c r="A567" s="259">
        <f>A566+1</f>
        <v>426</v>
      </c>
      <c r="B567" s="20" t="s">
        <v>3591</v>
      </c>
      <c r="C567" s="273">
        <f>D567+K567+L567+N567+P567+R567+S567+U567+V567+W567</f>
        <v>149563.87</v>
      </c>
      <c r="D567" s="273"/>
      <c r="E567" s="273"/>
      <c r="F567" s="273"/>
      <c r="G567" s="273"/>
      <c r="H567" s="273"/>
      <c r="I567" s="273"/>
      <c r="J567" s="50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>
        <v>149563.87</v>
      </c>
      <c r="X567" s="192"/>
      <c r="Y567" s="271"/>
      <c r="Z567" s="271"/>
      <c r="AA567" s="271"/>
      <c r="AB567" s="271"/>
      <c r="AC567" s="271"/>
      <c r="AD567" s="271"/>
      <c r="AE567" s="269"/>
      <c r="AF567" s="7"/>
      <c r="AG567" s="13"/>
      <c r="AH567" s="13"/>
    </row>
    <row r="568" spans="1:34" x14ac:dyDescent="0.3">
      <c r="A568" s="259"/>
      <c r="B568" s="20" t="s">
        <v>208</v>
      </c>
      <c r="C568" s="273">
        <f t="shared" ref="C568:W568" si="113">SUM(C565:C567)</f>
        <v>8007568.5499999998</v>
      </c>
      <c r="D568" s="273">
        <f t="shared" si="113"/>
        <v>0</v>
      </c>
      <c r="E568" s="273">
        <f t="shared" si="113"/>
        <v>0</v>
      </c>
      <c r="F568" s="273">
        <f t="shared" si="113"/>
        <v>0</v>
      </c>
      <c r="G568" s="273">
        <f t="shared" si="113"/>
        <v>0</v>
      </c>
      <c r="H568" s="273">
        <f t="shared" si="113"/>
        <v>0</v>
      </c>
      <c r="I568" s="273">
        <f t="shared" si="113"/>
        <v>0</v>
      </c>
      <c r="J568" s="273">
        <f t="shared" si="113"/>
        <v>0</v>
      </c>
      <c r="K568" s="273">
        <f t="shared" si="113"/>
        <v>0</v>
      </c>
      <c r="L568" s="273">
        <f t="shared" si="113"/>
        <v>0</v>
      </c>
      <c r="M568" s="273">
        <f t="shared" si="113"/>
        <v>0</v>
      </c>
      <c r="N568" s="273">
        <f t="shared" si="113"/>
        <v>0</v>
      </c>
      <c r="O568" s="273">
        <f t="shared" si="113"/>
        <v>0</v>
      </c>
      <c r="P568" s="273">
        <f t="shared" si="113"/>
        <v>0</v>
      </c>
      <c r="Q568" s="273">
        <f t="shared" si="113"/>
        <v>1050</v>
      </c>
      <c r="R568" s="273">
        <f t="shared" si="113"/>
        <v>7858004.6799999997</v>
      </c>
      <c r="S568" s="273">
        <f t="shared" si="113"/>
        <v>0</v>
      </c>
      <c r="T568" s="273">
        <f t="shared" si="113"/>
        <v>0</v>
      </c>
      <c r="U568" s="273">
        <f t="shared" si="113"/>
        <v>0</v>
      </c>
      <c r="V568" s="273">
        <f t="shared" si="113"/>
        <v>0</v>
      </c>
      <c r="W568" s="273">
        <f t="shared" si="113"/>
        <v>149563.87</v>
      </c>
      <c r="X568" s="83">
        <f>SUM(X565:X566)</f>
        <v>0</v>
      </c>
      <c r="Y568" s="271"/>
      <c r="Z568" s="271"/>
      <c r="AA568" s="271"/>
      <c r="AB568" s="271"/>
      <c r="AC568" s="271"/>
      <c r="AD568" s="271"/>
      <c r="AE568" s="269"/>
      <c r="AF568" s="7"/>
      <c r="AG568" s="13"/>
      <c r="AH568" s="13"/>
    </row>
    <row r="569" spans="1:34" x14ac:dyDescent="0.3">
      <c r="A569" s="317" t="s">
        <v>1861</v>
      </c>
      <c r="B569" s="318"/>
      <c r="C569" s="273"/>
      <c r="D569" s="273"/>
      <c r="E569" s="251"/>
      <c r="F569" s="251"/>
      <c r="G569" s="251"/>
      <c r="H569" s="251"/>
      <c r="I569" s="251"/>
      <c r="J569" s="57"/>
      <c r="K569" s="251"/>
      <c r="L569" s="251"/>
      <c r="M569" s="251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83"/>
      <c r="Y569" s="271"/>
      <c r="Z569" s="271"/>
      <c r="AA569" s="271"/>
      <c r="AB569" s="271"/>
      <c r="AC569" s="271"/>
      <c r="AD569" s="271"/>
      <c r="AE569" s="269"/>
      <c r="AF569" s="7"/>
      <c r="AG569" s="13"/>
      <c r="AH569" s="13"/>
    </row>
    <row r="570" spans="1:34" x14ac:dyDescent="0.3">
      <c r="A570" s="259">
        <f>A567+1</f>
        <v>427</v>
      </c>
      <c r="B570" s="20" t="s">
        <v>1862</v>
      </c>
      <c r="C570" s="273">
        <f t="shared" ref="C570:C589" si="114">D570+K570+L570+N570+P570+R570+S570+U570+V570+W570</f>
        <v>125809.15</v>
      </c>
      <c r="D570" s="273">
        <f t="shared" ref="D570:D589" si="115">E570+F570+G570+H570+I570</f>
        <v>0</v>
      </c>
      <c r="E570" s="273"/>
      <c r="F570" s="273"/>
      <c r="G570" s="273"/>
      <c r="H570" s="273"/>
      <c r="I570" s="273"/>
      <c r="J570" s="50"/>
      <c r="K570" s="273"/>
      <c r="L570" s="273"/>
      <c r="M570" s="273"/>
      <c r="N570" s="273"/>
      <c r="O570" s="273"/>
      <c r="P570" s="273"/>
      <c r="Q570" s="273"/>
      <c r="R570" s="273"/>
      <c r="S570" s="273"/>
      <c r="T570" s="273"/>
      <c r="U570" s="273"/>
      <c r="V570" s="273"/>
      <c r="W570" s="273">
        <f t="shared" ref="W570:W594" si="116">SUM(Y570:AJ570)</f>
        <v>125809.15</v>
      </c>
      <c r="X570" s="283"/>
      <c r="Y570" s="271"/>
      <c r="Z570" s="271"/>
      <c r="AB570" s="271">
        <v>125809.15</v>
      </c>
      <c r="AD570" s="269"/>
      <c r="AE570" s="7"/>
      <c r="AF570" s="13"/>
      <c r="AG570" s="13"/>
    </row>
    <row r="571" spans="1:34" x14ac:dyDescent="0.3">
      <c r="A571" s="259">
        <f>A570+1</f>
        <v>428</v>
      </c>
      <c r="B571" s="20" t="s">
        <v>1864</v>
      </c>
      <c r="C571" s="273">
        <f t="shared" si="114"/>
        <v>88181.759999999995</v>
      </c>
      <c r="D571" s="273">
        <f t="shared" si="115"/>
        <v>0</v>
      </c>
      <c r="E571" s="273"/>
      <c r="F571" s="273"/>
      <c r="G571" s="273"/>
      <c r="H571" s="273"/>
      <c r="I571" s="273"/>
      <c r="J571" s="50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>
        <f t="shared" si="116"/>
        <v>88181.759999999995</v>
      </c>
      <c r="X571" s="283"/>
      <c r="Y571" s="271"/>
      <c r="Z571" s="271"/>
      <c r="AB571" s="271">
        <v>88181.759999999995</v>
      </c>
      <c r="AD571" s="269"/>
      <c r="AE571" s="7"/>
      <c r="AF571" s="13"/>
      <c r="AG571" s="13"/>
    </row>
    <row r="572" spans="1:34" x14ac:dyDescent="0.3">
      <c r="A572" s="259">
        <f>A571+1</f>
        <v>429</v>
      </c>
      <c r="B572" s="20" t="s">
        <v>1866</v>
      </c>
      <c r="C572" s="273">
        <f t="shared" si="114"/>
        <v>143409.82999999999</v>
      </c>
      <c r="D572" s="273">
        <f t="shared" si="115"/>
        <v>0</v>
      </c>
      <c r="E572" s="273"/>
      <c r="F572" s="273"/>
      <c r="G572" s="273"/>
      <c r="H572" s="273"/>
      <c r="I572" s="273"/>
      <c r="J572" s="50"/>
      <c r="K572" s="273"/>
      <c r="L572" s="273"/>
      <c r="M572" s="273"/>
      <c r="N572" s="273"/>
      <c r="O572" s="273"/>
      <c r="P572" s="273"/>
      <c r="Q572" s="273"/>
      <c r="R572" s="273"/>
      <c r="S572" s="273"/>
      <c r="T572" s="273"/>
      <c r="U572" s="273"/>
      <c r="V572" s="273"/>
      <c r="W572" s="273">
        <f t="shared" si="116"/>
        <v>143409.82999999999</v>
      </c>
      <c r="X572" s="283"/>
      <c r="Y572" s="271"/>
      <c r="Z572" s="271"/>
      <c r="AB572" s="271">
        <v>143409.82999999999</v>
      </c>
      <c r="AD572" s="269"/>
      <c r="AE572" s="7"/>
      <c r="AF572" s="13"/>
      <c r="AG572" s="13"/>
    </row>
    <row r="573" spans="1:34" x14ac:dyDescent="0.3">
      <c r="A573" s="259">
        <f t="shared" ref="A573:A578" si="117">A572+1</f>
        <v>430</v>
      </c>
      <c r="B573" s="20" t="s">
        <v>1868</v>
      </c>
      <c r="C573" s="273">
        <f t="shared" si="114"/>
        <v>230816.24</v>
      </c>
      <c r="D573" s="273">
        <f t="shared" si="115"/>
        <v>0</v>
      </c>
      <c r="E573" s="273"/>
      <c r="F573" s="273"/>
      <c r="G573" s="273"/>
      <c r="H573" s="273"/>
      <c r="I573" s="273"/>
      <c r="J573" s="50"/>
      <c r="K573" s="273"/>
      <c r="L573" s="273"/>
      <c r="M573" s="273"/>
      <c r="N573" s="273"/>
      <c r="O573" s="273"/>
      <c r="P573" s="273"/>
      <c r="Q573" s="273"/>
      <c r="R573" s="273"/>
      <c r="S573" s="273"/>
      <c r="T573" s="273"/>
      <c r="U573" s="273"/>
      <c r="V573" s="273"/>
      <c r="W573" s="273">
        <f t="shared" si="116"/>
        <v>230816.24</v>
      </c>
      <c r="X573" s="283"/>
      <c r="Y573" s="271"/>
      <c r="Z573" s="271"/>
      <c r="AB573" s="271">
        <v>230816.24</v>
      </c>
      <c r="AD573" s="269"/>
      <c r="AE573" s="7"/>
      <c r="AF573" s="13"/>
      <c r="AG573" s="13"/>
    </row>
    <row r="574" spans="1:34" x14ac:dyDescent="0.3">
      <c r="A574" s="259">
        <f t="shared" si="117"/>
        <v>431</v>
      </c>
      <c r="B574" s="20" t="s">
        <v>1869</v>
      </c>
      <c r="C574" s="273">
        <f t="shared" si="114"/>
        <v>230590.58</v>
      </c>
      <c r="D574" s="273">
        <f t="shared" si="115"/>
        <v>0</v>
      </c>
      <c r="E574" s="273"/>
      <c r="F574" s="273"/>
      <c r="G574" s="273"/>
      <c r="H574" s="273"/>
      <c r="I574" s="273"/>
      <c r="J574" s="50"/>
      <c r="K574" s="273"/>
      <c r="L574" s="273"/>
      <c r="M574" s="273"/>
      <c r="N574" s="273"/>
      <c r="O574" s="273"/>
      <c r="P574" s="273"/>
      <c r="Q574" s="273"/>
      <c r="R574" s="273"/>
      <c r="S574" s="273"/>
      <c r="T574" s="273"/>
      <c r="U574" s="273"/>
      <c r="V574" s="273"/>
      <c r="W574" s="273">
        <f t="shared" si="116"/>
        <v>230590.58</v>
      </c>
      <c r="X574" s="283"/>
      <c r="Y574" s="271"/>
      <c r="Z574" s="271"/>
      <c r="AB574" s="271">
        <v>230590.58</v>
      </c>
      <c r="AD574" s="269"/>
      <c r="AE574" s="7"/>
      <c r="AF574" s="13"/>
      <c r="AG574" s="13"/>
    </row>
    <row r="575" spans="1:34" x14ac:dyDescent="0.3">
      <c r="A575" s="259">
        <f t="shared" si="117"/>
        <v>432</v>
      </c>
      <c r="B575" s="20" t="s">
        <v>1870</v>
      </c>
      <c r="C575" s="273">
        <f t="shared" si="114"/>
        <v>234706.24</v>
      </c>
      <c r="D575" s="273">
        <f t="shared" si="115"/>
        <v>0</v>
      </c>
      <c r="E575" s="273"/>
      <c r="F575" s="273"/>
      <c r="G575" s="273"/>
      <c r="H575" s="273"/>
      <c r="I575" s="273"/>
      <c r="J575" s="50"/>
      <c r="K575" s="273"/>
      <c r="L575" s="273"/>
      <c r="M575" s="273"/>
      <c r="N575" s="273"/>
      <c r="O575" s="273"/>
      <c r="P575" s="273"/>
      <c r="Q575" s="273"/>
      <c r="R575" s="273"/>
      <c r="S575" s="273"/>
      <c r="T575" s="273"/>
      <c r="U575" s="273"/>
      <c r="V575" s="273"/>
      <c r="W575" s="273">
        <f t="shared" si="116"/>
        <v>234706.24</v>
      </c>
      <c r="X575" s="283"/>
      <c r="Y575" s="271"/>
      <c r="Z575" s="271"/>
      <c r="AB575" s="271">
        <v>234706.24</v>
      </c>
      <c r="AD575" s="269"/>
      <c r="AE575" s="7"/>
      <c r="AF575" s="13"/>
      <c r="AG575" s="13"/>
    </row>
    <row r="576" spans="1:34" x14ac:dyDescent="0.3">
      <c r="A576" s="259">
        <f t="shared" si="117"/>
        <v>433</v>
      </c>
      <c r="B576" s="20" t="s">
        <v>1876</v>
      </c>
      <c r="C576" s="273">
        <f t="shared" si="114"/>
        <v>109554.01</v>
      </c>
      <c r="D576" s="273">
        <f t="shared" si="115"/>
        <v>0</v>
      </c>
      <c r="E576" s="273"/>
      <c r="F576" s="273"/>
      <c r="G576" s="273"/>
      <c r="H576" s="273"/>
      <c r="I576" s="273"/>
      <c r="J576" s="50"/>
      <c r="K576" s="273"/>
      <c r="L576" s="273"/>
      <c r="M576" s="273"/>
      <c r="N576" s="273"/>
      <c r="O576" s="273"/>
      <c r="P576" s="273"/>
      <c r="Q576" s="273"/>
      <c r="R576" s="273"/>
      <c r="S576" s="273"/>
      <c r="T576" s="273"/>
      <c r="U576" s="273"/>
      <c r="V576" s="273"/>
      <c r="W576" s="273">
        <f t="shared" si="116"/>
        <v>109554.01</v>
      </c>
      <c r="X576" s="283"/>
      <c r="Y576" s="271"/>
      <c r="Z576" s="271"/>
      <c r="AB576" s="271">
        <v>109554.01</v>
      </c>
      <c r="AD576" s="269"/>
      <c r="AE576" s="7"/>
      <c r="AF576" s="13"/>
      <c r="AG576" s="13"/>
    </row>
    <row r="577" spans="1:33" x14ac:dyDescent="0.3">
      <c r="A577" s="259">
        <f t="shared" si="117"/>
        <v>434</v>
      </c>
      <c r="B577" s="20" t="s">
        <v>1878</v>
      </c>
      <c r="C577" s="273">
        <f t="shared" si="114"/>
        <v>113432.12</v>
      </c>
      <c r="D577" s="273">
        <f t="shared" si="115"/>
        <v>0</v>
      </c>
      <c r="E577" s="273"/>
      <c r="F577" s="273"/>
      <c r="G577" s="273"/>
      <c r="H577" s="273"/>
      <c r="I577" s="273"/>
      <c r="J577" s="50"/>
      <c r="K577" s="273"/>
      <c r="L577" s="273"/>
      <c r="M577" s="273"/>
      <c r="N577" s="273"/>
      <c r="O577" s="273"/>
      <c r="P577" s="273"/>
      <c r="Q577" s="273"/>
      <c r="R577" s="273"/>
      <c r="S577" s="273"/>
      <c r="T577" s="273"/>
      <c r="U577" s="273"/>
      <c r="V577" s="273"/>
      <c r="W577" s="273">
        <f t="shared" si="116"/>
        <v>113432.12</v>
      </c>
      <c r="X577" s="283"/>
      <c r="Y577" s="271"/>
      <c r="Z577" s="271"/>
      <c r="AB577" s="271">
        <v>113432.12</v>
      </c>
      <c r="AD577" s="269"/>
      <c r="AE577" s="7"/>
      <c r="AF577" s="13"/>
      <c r="AG577" s="13"/>
    </row>
    <row r="578" spans="1:33" x14ac:dyDescent="0.3">
      <c r="A578" s="259">
        <f t="shared" si="117"/>
        <v>435</v>
      </c>
      <c r="B578" s="20" t="s">
        <v>1880</v>
      </c>
      <c r="C578" s="273">
        <f t="shared" si="114"/>
        <v>107628.67</v>
      </c>
      <c r="D578" s="273">
        <f t="shared" si="115"/>
        <v>0</v>
      </c>
      <c r="E578" s="273"/>
      <c r="F578" s="273"/>
      <c r="G578" s="273"/>
      <c r="H578" s="273"/>
      <c r="I578" s="273"/>
      <c r="J578" s="50"/>
      <c r="K578" s="273"/>
      <c r="L578" s="273"/>
      <c r="M578" s="273"/>
      <c r="N578" s="273"/>
      <c r="O578" s="273"/>
      <c r="P578" s="273"/>
      <c r="Q578" s="273"/>
      <c r="R578" s="273"/>
      <c r="S578" s="273"/>
      <c r="T578" s="273"/>
      <c r="U578" s="273"/>
      <c r="V578" s="273"/>
      <c r="W578" s="273">
        <f t="shared" si="116"/>
        <v>107628.67</v>
      </c>
      <c r="X578" s="283"/>
      <c r="Y578" s="271"/>
      <c r="Z578" s="271"/>
      <c r="AB578" s="271">
        <v>107628.67</v>
      </c>
      <c r="AD578" s="269"/>
      <c r="AE578" s="7"/>
      <c r="AF578" s="13"/>
      <c r="AG578" s="13"/>
    </row>
    <row r="579" spans="1:33" x14ac:dyDescent="0.3">
      <c r="A579" s="259">
        <f>A578+1</f>
        <v>436</v>
      </c>
      <c r="B579" s="20" t="s">
        <v>1881</v>
      </c>
      <c r="C579" s="273">
        <f t="shared" si="114"/>
        <v>106693.5</v>
      </c>
      <c r="D579" s="273">
        <f t="shared" si="115"/>
        <v>0</v>
      </c>
      <c r="E579" s="273"/>
      <c r="F579" s="273"/>
      <c r="G579" s="273"/>
      <c r="H579" s="273"/>
      <c r="I579" s="273"/>
      <c r="J579" s="50"/>
      <c r="K579" s="273"/>
      <c r="L579" s="273"/>
      <c r="M579" s="273"/>
      <c r="N579" s="273"/>
      <c r="O579" s="273"/>
      <c r="P579" s="273"/>
      <c r="Q579" s="273"/>
      <c r="R579" s="273"/>
      <c r="S579" s="273"/>
      <c r="T579" s="273"/>
      <c r="U579" s="273"/>
      <c r="V579" s="273"/>
      <c r="W579" s="273">
        <f t="shared" si="116"/>
        <v>106693.5</v>
      </c>
      <c r="X579" s="283"/>
      <c r="Y579" s="271"/>
      <c r="Z579" s="271"/>
      <c r="AB579" s="271">
        <v>106693.5</v>
      </c>
      <c r="AD579" s="269"/>
      <c r="AE579" s="7"/>
      <c r="AF579" s="13"/>
      <c r="AG579" s="13"/>
    </row>
    <row r="580" spans="1:33" x14ac:dyDescent="0.3">
      <c r="A580" s="259">
        <f>A579+1</f>
        <v>437</v>
      </c>
      <c r="B580" s="20" t="s">
        <v>1883</v>
      </c>
      <c r="C580" s="273">
        <f t="shared" si="114"/>
        <v>109141.38</v>
      </c>
      <c r="D580" s="273">
        <f t="shared" si="115"/>
        <v>0</v>
      </c>
      <c r="E580" s="273"/>
      <c r="F580" s="273"/>
      <c r="G580" s="273"/>
      <c r="H580" s="273"/>
      <c r="I580" s="273"/>
      <c r="J580" s="50"/>
      <c r="K580" s="273"/>
      <c r="L580" s="273"/>
      <c r="M580" s="273"/>
      <c r="N580" s="273"/>
      <c r="O580" s="273"/>
      <c r="P580" s="273"/>
      <c r="Q580" s="273"/>
      <c r="R580" s="273"/>
      <c r="S580" s="273"/>
      <c r="T580" s="273"/>
      <c r="U580" s="273"/>
      <c r="V580" s="273"/>
      <c r="W580" s="273">
        <f t="shared" si="116"/>
        <v>109141.38</v>
      </c>
      <c r="X580" s="283"/>
      <c r="Y580" s="271"/>
      <c r="Z580" s="271"/>
      <c r="AB580" s="271">
        <v>109141.38</v>
      </c>
      <c r="AD580" s="269"/>
      <c r="AE580" s="7"/>
      <c r="AF580" s="13"/>
      <c r="AG580" s="13"/>
    </row>
    <row r="581" spans="1:33" x14ac:dyDescent="0.3">
      <c r="A581" s="259">
        <f t="shared" ref="A581:A584" si="118">A580+1</f>
        <v>438</v>
      </c>
      <c r="B581" s="20" t="s">
        <v>1885</v>
      </c>
      <c r="C581" s="273">
        <f t="shared" si="114"/>
        <v>106241.14</v>
      </c>
      <c r="D581" s="273">
        <f t="shared" si="115"/>
        <v>0</v>
      </c>
      <c r="E581" s="273"/>
      <c r="F581" s="273"/>
      <c r="G581" s="273"/>
      <c r="H581" s="273"/>
      <c r="I581" s="273"/>
      <c r="J581" s="50"/>
      <c r="K581" s="273"/>
      <c r="L581" s="273"/>
      <c r="M581" s="273"/>
      <c r="N581" s="273"/>
      <c r="O581" s="273"/>
      <c r="P581" s="273"/>
      <c r="Q581" s="273"/>
      <c r="R581" s="273"/>
      <c r="S581" s="273"/>
      <c r="T581" s="273"/>
      <c r="U581" s="273"/>
      <c r="V581" s="273"/>
      <c r="W581" s="273">
        <f t="shared" si="116"/>
        <v>106241.14</v>
      </c>
      <c r="X581" s="283"/>
      <c r="Y581" s="271"/>
      <c r="Z581" s="271"/>
      <c r="AB581" s="271">
        <v>106241.14</v>
      </c>
      <c r="AD581" s="269"/>
      <c r="AE581" s="7"/>
      <c r="AF581" s="13"/>
      <c r="AG581" s="13"/>
    </row>
    <row r="582" spans="1:33" x14ac:dyDescent="0.3">
      <c r="A582" s="259">
        <f t="shared" si="118"/>
        <v>439</v>
      </c>
      <c r="B582" s="20" t="s">
        <v>1886</v>
      </c>
      <c r="C582" s="273">
        <f t="shared" si="114"/>
        <v>106738.72</v>
      </c>
      <c r="D582" s="273">
        <f t="shared" si="115"/>
        <v>0</v>
      </c>
      <c r="E582" s="273"/>
      <c r="F582" s="273"/>
      <c r="G582" s="273"/>
      <c r="H582" s="273"/>
      <c r="I582" s="273"/>
      <c r="J582" s="50"/>
      <c r="K582" s="273"/>
      <c r="L582" s="273"/>
      <c r="M582" s="273"/>
      <c r="N582" s="273"/>
      <c r="O582" s="273"/>
      <c r="P582" s="273"/>
      <c r="Q582" s="273"/>
      <c r="R582" s="273"/>
      <c r="S582" s="273"/>
      <c r="T582" s="273"/>
      <c r="U582" s="273"/>
      <c r="V582" s="273"/>
      <c r="W582" s="273">
        <f t="shared" si="116"/>
        <v>106738.72</v>
      </c>
      <c r="X582" s="283"/>
      <c r="Y582" s="271"/>
      <c r="Z582" s="271"/>
      <c r="AB582" s="271">
        <v>106738.72</v>
      </c>
      <c r="AD582" s="269"/>
      <c r="AE582" s="7"/>
      <c r="AF582" s="13"/>
      <c r="AG582" s="13"/>
    </row>
    <row r="583" spans="1:33" x14ac:dyDescent="0.3">
      <c r="A583" s="259">
        <f t="shared" si="118"/>
        <v>440</v>
      </c>
      <c r="B583" s="20" t="s">
        <v>1887</v>
      </c>
      <c r="C583" s="273">
        <f t="shared" si="114"/>
        <v>103400.93</v>
      </c>
      <c r="D583" s="273">
        <f t="shared" si="115"/>
        <v>0</v>
      </c>
      <c r="E583" s="273"/>
      <c r="F583" s="273"/>
      <c r="G583" s="273"/>
      <c r="H583" s="273"/>
      <c r="I583" s="273"/>
      <c r="J583" s="50"/>
      <c r="K583" s="273"/>
      <c r="L583" s="273"/>
      <c r="M583" s="273"/>
      <c r="N583" s="273"/>
      <c r="O583" s="273"/>
      <c r="P583" s="273"/>
      <c r="Q583" s="273"/>
      <c r="R583" s="273"/>
      <c r="S583" s="273"/>
      <c r="T583" s="273"/>
      <c r="U583" s="273"/>
      <c r="V583" s="273"/>
      <c r="W583" s="273">
        <f t="shared" si="116"/>
        <v>103400.93</v>
      </c>
      <c r="X583" s="283"/>
      <c r="Y583" s="271"/>
      <c r="Z583" s="271"/>
      <c r="AB583" s="271">
        <v>103400.93</v>
      </c>
      <c r="AD583" s="269"/>
      <c r="AE583" s="7"/>
      <c r="AF583" s="13"/>
      <c r="AG583" s="13"/>
    </row>
    <row r="584" spans="1:33" ht="31.2" x14ac:dyDescent="0.3">
      <c r="A584" s="259">
        <f t="shared" si="118"/>
        <v>441</v>
      </c>
      <c r="B584" s="20" t="s">
        <v>1888</v>
      </c>
      <c r="C584" s="273">
        <f t="shared" si="114"/>
        <v>418175.5</v>
      </c>
      <c r="D584" s="273">
        <f t="shared" si="115"/>
        <v>0</v>
      </c>
      <c r="E584" s="273"/>
      <c r="F584" s="273"/>
      <c r="G584" s="273"/>
      <c r="H584" s="273"/>
      <c r="I584" s="273"/>
      <c r="J584" s="50"/>
      <c r="K584" s="273"/>
      <c r="L584" s="273"/>
      <c r="M584" s="273"/>
      <c r="N584" s="273"/>
      <c r="O584" s="273"/>
      <c r="P584" s="273"/>
      <c r="Q584" s="273"/>
      <c r="R584" s="273"/>
      <c r="S584" s="273"/>
      <c r="T584" s="273"/>
      <c r="U584" s="273"/>
      <c r="V584" s="273"/>
      <c r="W584" s="273">
        <f t="shared" si="116"/>
        <v>418175.5</v>
      </c>
      <c r="X584" s="283"/>
      <c r="Y584" s="271"/>
      <c r="Z584" s="271"/>
      <c r="AB584" s="271">
        <v>143721.5</v>
      </c>
      <c r="AD584" s="269">
        <v>274454</v>
      </c>
      <c r="AE584" s="7"/>
      <c r="AF584" s="13"/>
      <c r="AG584" s="13"/>
    </row>
    <row r="585" spans="1:33" ht="31.2" x14ac:dyDescent="0.3">
      <c r="A585" s="259">
        <f t="shared" ref="A585:A594" si="119">A584+1</f>
        <v>442</v>
      </c>
      <c r="B585" s="20" t="s">
        <v>1889</v>
      </c>
      <c r="C585" s="273">
        <f t="shared" si="114"/>
        <v>643959.02</v>
      </c>
      <c r="D585" s="273">
        <f t="shared" si="115"/>
        <v>0</v>
      </c>
      <c r="E585" s="273"/>
      <c r="F585" s="273"/>
      <c r="G585" s="273"/>
      <c r="H585" s="273"/>
      <c r="I585" s="273"/>
      <c r="J585" s="50"/>
      <c r="K585" s="273"/>
      <c r="L585" s="273"/>
      <c r="M585" s="273"/>
      <c r="N585" s="273"/>
      <c r="O585" s="273"/>
      <c r="P585" s="273"/>
      <c r="Q585" s="273"/>
      <c r="R585" s="273"/>
      <c r="S585" s="273"/>
      <c r="T585" s="273"/>
      <c r="U585" s="273"/>
      <c r="V585" s="273"/>
      <c r="W585" s="273">
        <f t="shared" si="116"/>
        <v>643959.02</v>
      </c>
      <c r="X585" s="283"/>
      <c r="Y585" s="271"/>
      <c r="Z585" s="271"/>
      <c r="AB585" s="271"/>
      <c r="AD585" s="269">
        <v>643959.02</v>
      </c>
      <c r="AE585" s="7"/>
      <c r="AF585" s="13"/>
      <c r="AG585" s="13"/>
    </row>
    <row r="586" spans="1:33" ht="31.2" x14ac:dyDescent="0.3">
      <c r="A586" s="259">
        <f t="shared" si="119"/>
        <v>443</v>
      </c>
      <c r="B586" s="20" t="s">
        <v>1890</v>
      </c>
      <c r="C586" s="273">
        <f t="shared" si="114"/>
        <v>253973.48</v>
      </c>
      <c r="D586" s="273">
        <f t="shared" si="115"/>
        <v>0</v>
      </c>
      <c r="E586" s="273"/>
      <c r="F586" s="273"/>
      <c r="G586" s="273"/>
      <c r="H586" s="273"/>
      <c r="I586" s="273"/>
      <c r="J586" s="50"/>
      <c r="K586" s="273"/>
      <c r="L586" s="273"/>
      <c r="M586" s="273"/>
      <c r="N586" s="273"/>
      <c r="O586" s="273"/>
      <c r="P586" s="273"/>
      <c r="Q586" s="273"/>
      <c r="R586" s="273"/>
      <c r="S586" s="273"/>
      <c r="T586" s="273"/>
      <c r="U586" s="273"/>
      <c r="V586" s="273"/>
      <c r="W586" s="273">
        <f t="shared" si="116"/>
        <v>253973.48</v>
      </c>
      <c r="X586" s="283"/>
      <c r="Y586" s="271"/>
      <c r="Z586" s="271"/>
      <c r="AB586" s="271">
        <v>253973.48</v>
      </c>
      <c r="AD586" s="269"/>
      <c r="AE586" s="7"/>
      <c r="AF586" s="13"/>
      <c r="AG586" s="13"/>
    </row>
    <row r="587" spans="1:33" ht="31.2" x14ac:dyDescent="0.3">
      <c r="A587" s="259">
        <f t="shared" si="119"/>
        <v>444</v>
      </c>
      <c r="B587" s="20" t="s">
        <v>1892</v>
      </c>
      <c r="C587" s="273">
        <f t="shared" si="114"/>
        <v>1283462.23</v>
      </c>
      <c r="D587" s="273">
        <f t="shared" si="115"/>
        <v>0</v>
      </c>
      <c r="E587" s="273"/>
      <c r="F587" s="273"/>
      <c r="G587" s="273"/>
      <c r="H587" s="273"/>
      <c r="I587" s="273"/>
      <c r="J587" s="50"/>
      <c r="K587" s="273"/>
      <c r="L587" s="273"/>
      <c r="M587" s="273"/>
      <c r="N587" s="273"/>
      <c r="O587" s="273"/>
      <c r="P587" s="273"/>
      <c r="Q587" s="273"/>
      <c r="R587" s="273"/>
      <c r="S587" s="273"/>
      <c r="T587" s="273"/>
      <c r="U587" s="273"/>
      <c r="V587" s="273"/>
      <c r="W587" s="273">
        <f t="shared" si="116"/>
        <v>1283462.23</v>
      </c>
      <c r="X587" s="283"/>
      <c r="Y587" s="271"/>
      <c r="Z587" s="271"/>
      <c r="AB587" s="271"/>
      <c r="AD587" s="269"/>
      <c r="AE587" s="7"/>
      <c r="AF587" s="13">
        <v>1283462.23</v>
      </c>
      <c r="AG587" s="13"/>
    </row>
    <row r="588" spans="1:33" ht="31.2" x14ac:dyDescent="0.3">
      <c r="A588" s="259">
        <f t="shared" si="119"/>
        <v>445</v>
      </c>
      <c r="B588" s="20" t="s">
        <v>1893</v>
      </c>
      <c r="C588" s="273">
        <f t="shared" si="114"/>
        <v>571840.38</v>
      </c>
      <c r="D588" s="273">
        <f t="shared" si="115"/>
        <v>0</v>
      </c>
      <c r="E588" s="273"/>
      <c r="F588" s="273"/>
      <c r="G588" s="273"/>
      <c r="H588" s="273"/>
      <c r="I588" s="273"/>
      <c r="J588" s="50"/>
      <c r="K588" s="273"/>
      <c r="L588" s="273"/>
      <c r="M588" s="273"/>
      <c r="N588" s="273"/>
      <c r="O588" s="273"/>
      <c r="P588" s="273"/>
      <c r="Q588" s="273"/>
      <c r="R588" s="273"/>
      <c r="S588" s="273"/>
      <c r="T588" s="273"/>
      <c r="U588" s="273"/>
      <c r="V588" s="273"/>
      <c r="W588" s="273">
        <f t="shared" si="116"/>
        <v>571840.38</v>
      </c>
      <c r="X588" s="283"/>
      <c r="Y588" s="271"/>
      <c r="Z588" s="271"/>
      <c r="AB588" s="271"/>
      <c r="AD588" s="269">
        <v>571840.38</v>
      </c>
      <c r="AE588" s="7"/>
      <c r="AF588" s="13"/>
      <c r="AG588" s="13"/>
    </row>
    <row r="589" spans="1:33" ht="31.2" x14ac:dyDescent="0.3">
      <c r="A589" s="259">
        <f t="shared" si="119"/>
        <v>446</v>
      </c>
      <c r="B589" s="20" t="s">
        <v>1894</v>
      </c>
      <c r="C589" s="273">
        <f t="shared" si="114"/>
        <v>88586.02</v>
      </c>
      <c r="D589" s="273">
        <f t="shared" si="115"/>
        <v>0</v>
      </c>
      <c r="E589" s="273"/>
      <c r="F589" s="273"/>
      <c r="G589" s="273"/>
      <c r="H589" s="273"/>
      <c r="I589" s="273"/>
      <c r="J589" s="50"/>
      <c r="K589" s="273"/>
      <c r="L589" s="273"/>
      <c r="M589" s="273"/>
      <c r="N589" s="273"/>
      <c r="O589" s="273"/>
      <c r="P589" s="273"/>
      <c r="Q589" s="273"/>
      <c r="R589" s="273"/>
      <c r="S589" s="273"/>
      <c r="T589" s="273"/>
      <c r="U589" s="273"/>
      <c r="V589" s="273"/>
      <c r="W589" s="273">
        <f t="shared" si="116"/>
        <v>88586.02</v>
      </c>
      <c r="X589" s="283"/>
      <c r="Y589" s="271"/>
      <c r="Z589" s="271"/>
      <c r="AB589" s="271">
        <v>88586.02</v>
      </c>
      <c r="AD589" s="269"/>
      <c r="AE589" s="7"/>
      <c r="AF589" s="13"/>
      <c r="AG589" s="13"/>
    </row>
    <row r="590" spans="1:33" ht="31.2" x14ac:dyDescent="0.3">
      <c r="A590" s="259">
        <f t="shared" si="119"/>
        <v>447</v>
      </c>
      <c r="B590" s="20" t="s">
        <v>1895</v>
      </c>
      <c r="C590" s="273">
        <f t="shared" ref="C590:C594" si="120">D590+K590+L590+N590+P590+R590+S590+U590+V590+W590</f>
        <v>88484.89</v>
      </c>
      <c r="D590" s="273">
        <f t="shared" ref="D590:D594" si="121">E590+F590+G590+H590+I590</f>
        <v>0</v>
      </c>
      <c r="E590" s="273"/>
      <c r="F590" s="273"/>
      <c r="G590" s="273"/>
      <c r="H590" s="273"/>
      <c r="I590" s="273"/>
      <c r="J590" s="50"/>
      <c r="K590" s="273"/>
      <c r="L590" s="273"/>
      <c r="M590" s="273"/>
      <c r="N590" s="273"/>
      <c r="O590" s="273"/>
      <c r="P590" s="273"/>
      <c r="Q590" s="273"/>
      <c r="R590" s="273"/>
      <c r="S590" s="273"/>
      <c r="T590" s="273"/>
      <c r="U590" s="273"/>
      <c r="V590" s="273"/>
      <c r="W590" s="273">
        <f t="shared" si="116"/>
        <v>88484.89</v>
      </c>
      <c r="X590" s="283"/>
      <c r="Y590" s="271"/>
      <c r="Z590" s="271"/>
      <c r="AB590" s="271">
        <v>88484.89</v>
      </c>
      <c r="AD590" s="269"/>
      <c r="AE590" s="7"/>
      <c r="AF590" s="13"/>
      <c r="AG590" s="13"/>
    </row>
    <row r="591" spans="1:33" x14ac:dyDescent="0.3">
      <c r="A591" s="259">
        <f t="shared" si="119"/>
        <v>448</v>
      </c>
      <c r="B591" s="20" t="s">
        <v>1896</v>
      </c>
      <c r="C591" s="273">
        <f t="shared" si="120"/>
        <v>98187.29</v>
      </c>
      <c r="D591" s="273">
        <f t="shared" si="121"/>
        <v>0</v>
      </c>
      <c r="E591" s="273"/>
      <c r="F591" s="273"/>
      <c r="G591" s="273"/>
      <c r="H591" s="273"/>
      <c r="I591" s="273"/>
      <c r="J591" s="50"/>
      <c r="K591" s="273"/>
      <c r="L591" s="273"/>
      <c r="M591" s="273"/>
      <c r="N591" s="273"/>
      <c r="O591" s="273"/>
      <c r="P591" s="273"/>
      <c r="Q591" s="273"/>
      <c r="R591" s="273"/>
      <c r="S591" s="273"/>
      <c r="T591" s="273"/>
      <c r="U591" s="273"/>
      <c r="V591" s="273"/>
      <c r="W591" s="273">
        <f t="shared" si="116"/>
        <v>98187.29</v>
      </c>
      <c r="X591" s="283"/>
      <c r="Y591" s="271"/>
      <c r="Z591" s="271"/>
      <c r="AB591" s="271">
        <v>98187.29</v>
      </c>
      <c r="AD591" s="269"/>
      <c r="AE591" s="7"/>
      <c r="AF591" s="13"/>
      <c r="AG591" s="13"/>
    </row>
    <row r="592" spans="1:33" x14ac:dyDescent="0.3">
      <c r="A592" s="259">
        <f t="shared" si="119"/>
        <v>449</v>
      </c>
      <c r="B592" s="20" t="s">
        <v>1899</v>
      </c>
      <c r="C592" s="273">
        <f t="shared" si="120"/>
        <v>96620.75</v>
      </c>
      <c r="D592" s="273">
        <f t="shared" si="121"/>
        <v>0</v>
      </c>
      <c r="E592" s="273"/>
      <c r="F592" s="273"/>
      <c r="G592" s="273"/>
      <c r="H592" s="273"/>
      <c r="I592" s="273"/>
      <c r="J592" s="50"/>
      <c r="K592" s="273"/>
      <c r="L592" s="273"/>
      <c r="M592" s="273"/>
      <c r="N592" s="273"/>
      <c r="O592" s="273"/>
      <c r="P592" s="273"/>
      <c r="Q592" s="273"/>
      <c r="R592" s="273"/>
      <c r="S592" s="273"/>
      <c r="T592" s="273"/>
      <c r="U592" s="273"/>
      <c r="V592" s="273"/>
      <c r="W592" s="273">
        <f t="shared" si="116"/>
        <v>96620.75</v>
      </c>
      <c r="X592" s="283"/>
      <c r="Y592" s="271"/>
      <c r="Z592" s="271"/>
      <c r="AB592" s="271">
        <v>96620.75</v>
      </c>
      <c r="AD592" s="269"/>
      <c r="AE592" s="7"/>
      <c r="AF592" s="13"/>
      <c r="AG592" s="13"/>
    </row>
    <row r="593" spans="1:34" x14ac:dyDescent="0.3">
      <c r="A593" s="259">
        <f t="shared" si="119"/>
        <v>450</v>
      </c>
      <c r="B593" s="20" t="s">
        <v>1903</v>
      </c>
      <c r="C593" s="273">
        <f t="shared" si="120"/>
        <v>639416.01</v>
      </c>
      <c r="D593" s="273">
        <f t="shared" si="121"/>
        <v>0</v>
      </c>
      <c r="E593" s="273"/>
      <c r="F593" s="273"/>
      <c r="G593" s="273"/>
      <c r="H593" s="273"/>
      <c r="I593" s="273"/>
      <c r="J593" s="50"/>
      <c r="K593" s="273"/>
      <c r="L593" s="273"/>
      <c r="M593" s="273"/>
      <c r="N593" s="273"/>
      <c r="O593" s="273"/>
      <c r="P593" s="273"/>
      <c r="Q593" s="273"/>
      <c r="R593" s="273"/>
      <c r="S593" s="273"/>
      <c r="T593" s="273"/>
      <c r="U593" s="273"/>
      <c r="V593" s="273"/>
      <c r="W593" s="273">
        <f t="shared" si="116"/>
        <v>639416.01</v>
      </c>
      <c r="X593" s="283"/>
      <c r="Y593" s="271">
        <v>109094.54</v>
      </c>
      <c r="Z593" s="271">
        <v>89136.98</v>
      </c>
      <c r="AB593" s="271"/>
      <c r="AD593" s="269"/>
      <c r="AE593" s="7"/>
      <c r="AF593" s="13">
        <v>441184.49</v>
      </c>
      <c r="AG593" s="13"/>
    </row>
    <row r="594" spans="1:34" x14ac:dyDescent="0.3">
      <c r="A594" s="259">
        <f t="shared" si="119"/>
        <v>451</v>
      </c>
      <c r="B594" s="20" t="s">
        <v>1906</v>
      </c>
      <c r="C594" s="273">
        <f t="shared" si="120"/>
        <v>108397.21</v>
      </c>
      <c r="D594" s="273">
        <f t="shared" si="121"/>
        <v>0</v>
      </c>
      <c r="E594" s="273"/>
      <c r="F594" s="273"/>
      <c r="G594" s="273"/>
      <c r="H594" s="273"/>
      <c r="I594" s="273"/>
      <c r="J594" s="50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>
        <f t="shared" si="116"/>
        <v>108397.21</v>
      </c>
      <c r="X594" s="283"/>
      <c r="Y594" s="271"/>
      <c r="Z594" s="271"/>
      <c r="AB594" s="271">
        <v>108397.21</v>
      </c>
      <c r="AD594" s="269"/>
      <c r="AE594" s="7"/>
      <c r="AF594" s="13"/>
      <c r="AG594" s="13"/>
    </row>
    <row r="595" spans="1:34" x14ac:dyDescent="0.3">
      <c r="A595" s="259"/>
      <c r="B595" s="20" t="s">
        <v>208</v>
      </c>
      <c r="C595" s="273">
        <f t="shared" ref="C595:W595" si="122">SUM(C570:C594)</f>
        <v>6207447.0499999989</v>
      </c>
      <c r="D595" s="273">
        <f t="shared" si="122"/>
        <v>0</v>
      </c>
      <c r="E595" s="273">
        <f t="shared" si="122"/>
        <v>0</v>
      </c>
      <c r="F595" s="273">
        <f t="shared" si="122"/>
        <v>0</v>
      </c>
      <c r="G595" s="273">
        <f t="shared" si="122"/>
        <v>0</v>
      </c>
      <c r="H595" s="273">
        <f t="shared" si="122"/>
        <v>0</v>
      </c>
      <c r="I595" s="273">
        <f t="shared" si="122"/>
        <v>0</v>
      </c>
      <c r="J595" s="50">
        <f t="shared" si="122"/>
        <v>0</v>
      </c>
      <c r="K595" s="273">
        <f t="shared" si="122"/>
        <v>0</v>
      </c>
      <c r="L595" s="273">
        <f t="shared" si="122"/>
        <v>0</v>
      </c>
      <c r="M595" s="273">
        <f t="shared" si="122"/>
        <v>0</v>
      </c>
      <c r="N595" s="273">
        <f t="shared" si="122"/>
        <v>0</v>
      </c>
      <c r="O595" s="273">
        <f t="shared" si="122"/>
        <v>0</v>
      </c>
      <c r="P595" s="273">
        <f t="shared" si="122"/>
        <v>0</v>
      </c>
      <c r="Q595" s="273">
        <f t="shared" si="122"/>
        <v>0</v>
      </c>
      <c r="R595" s="273">
        <f t="shared" si="122"/>
        <v>0</v>
      </c>
      <c r="S595" s="273">
        <f t="shared" si="122"/>
        <v>0</v>
      </c>
      <c r="T595" s="273">
        <f t="shared" si="122"/>
        <v>0</v>
      </c>
      <c r="U595" s="273">
        <f t="shared" si="122"/>
        <v>0</v>
      </c>
      <c r="V595" s="273">
        <f t="shared" si="122"/>
        <v>0</v>
      </c>
      <c r="W595" s="273">
        <f t="shared" si="122"/>
        <v>6207447.0499999989</v>
      </c>
      <c r="X595" s="83">
        <f>SUM(X570:X594)</f>
        <v>0</v>
      </c>
      <c r="Y595" s="271"/>
      <c r="Z595" s="271"/>
      <c r="AA595" s="271"/>
      <c r="AB595" s="271"/>
      <c r="AC595" s="271"/>
      <c r="AD595" s="271"/>
      <c r="AE595" s="269"/>
      <c r="AF595" s="7"/>
      <c r="AG595" s="13"/>
      <c r="AH595" s="13"/>
    </row>
    <row r="596" spans="1:34" x14ac:dyDescent="0.3">
      <c r="A596" s="317" t="s">
        <v>1911</v>
      </c>
      <c r="B596" s="318"/>
      <c r="C596" s="251">
        <f t="shared" ref="C596:W596" si="123">C509+C512+C550+C554+C558+C563+C568+C595</f>
        <v>126238048.56</v>
      </c>
      <c r="D596" s="251">
        <f t="shared" si="123"/>
        <v>0</v>
      </c>
      <c r="E596" s="251">
        <f t="shared" si="123"/>
        <v>0</v>
      </c>
      <c r="F596" s="251">
        <f t="shared" si="123"/>
        <v>0</v>
      </c>
      <c r="G596" s="251">
        <f t="shared" si="123"/>
        <v>0</v>
      </c>
      <c r="H596" s="251">
        <f t="shared" si="123"/>
        <v>0</v>
      </c>
      <c r="I596" s="251">
        <f t="shared" si="123"/>
        <v>0</v>
      </c>
      <c r="J596" s="57">
        <f t="shared" si="123"/>
        <v>0</v>
      </c>
      <c r="K596" s="251">
        <f t="shared" si="123"/>
        <v>0</v>
      </c>
      <c r="L596" s="251">
        <f t="shared" si="123"/>
        <v>0</v>
      </c>
      <c r="M596" s="251">
        <f t="shared" si="123"/>
        <v>728</v>
      </c>
      <c r="N596" s="251">
        <f t="shared" si="123"/>
        <v>18171648</v>
      </c>
      <c r="O596" s="251">
        <f t="shared" si="123"/>
        <v>0</v>
      </c>
      <c r="P596" s="251">
        <f t="shared" si="123"/>
        <v>0</v>
      </c>
      <c r="Q596" s="251">
        <f t="shared" si="123"/>
        <v>5456.4</v>
      </c>
      <c r="R596" s="251">
        <f t="shared" si="123"/>
        <v>69485215.879999995</v>
      </c>
      <c r="S596" s="251">
        <f t="shared" si="123"/>
        <v>0</v>
      </c>
      <c r="T596" s="251">
        <f t="shared" si="123"/>
        <v>13</v>
      </c>
      <c r="U596" s="251">
        <f t="shared" si="123"/>
        <v>154570</v>
      </c>
      <c r="V596" s="251">
        <f t="shared" si="123"/>
        <v>0</v>
      </c>
      <c r="W596" s="251">
        <f t="shared" si="123"/>
        <v>38426614.68</v>
      </c>
      <c r="X596" s="98" t="e">
        <f>X509+X512+X550+#REF!+X554+X558+X563+#REF!+X568+X595</f>
        <v>#REF!</v>
      </c>
      <c r="Y596" s="271"/>
      <c r="Z596" s="271"/>
      <c r="AA596" s="271"/>
      <c r="AB596" s="271"/>
      <c r="AC596" s="271"/>
      <c r="AD596" s="271"/>
      <c r="AE596" s="269"/>
      <c r="AF596" s="7"/>
      <c r="AG596" s="13"/>
      <c r="AH596" s="13"/>
    </row>
    <row r="597" spans="1:34" x14ac:dyDescent="0.3">
      <c r="A597" s="321" t="s">
        <v>1912</v>
      </c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3"/>
      <c r="X597" s="254"/>
      <c r="Z597" s="277"/>
      <c r="AA597" s="14"/>
      <c r="AB597" s="15"/>
      <c r="AC597" s="17"/>
      <c r="AD597" s="15"/>
      <c r="AE597" s="15"/>
    </row>
    <row r="598" spans="1:34" x14ac:dyDescent="0.3">
      <c r="A598" s="249" t="s">
        <v>1913</v>
      </c>
      <c r="B598" s="39"/>
      <c r="C598" s="251"/>
      <c r="D598" s="251"/>
      <c r="E598" s="251"/>
      <c r="F598" s="251"/>
      <c r="G598" s="251"/>
      <c r="H598" s="251"/>
      <c r="I598" s="251"/>
      <c r="J598" s="57"/>
      <c r="K598" s="251"/>
      <c r="L598" s="251"/>
      <c r="M598" s="251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37"/>
      <c r="Y598" s="277"/>
      <c r="Z598" s="277"/>
      <c r="AA598" s="14"/>
      <c r="AB598" s="15"/>
      <c r="AC598" s="17"/>
      <c r="AD598" s="15"/>
      <c r="AE598" s="15"/>
    </row>
    <row r="599" spans="1:34" x14ac:dyDescent="0.3">
      <c r="A599" s="259">
        <f>A594+1</f>
        <v>452</v>
      </c>
      <c r="B599" s="20" t="s">
        <v>1914</v>
      </c>
      <c r="C599" s="273">
        <f>D599+K599+L599+N599+P599+R599+S599+U599+V599+W599</f>
        <v>130000</v>
      </c>
      <c r="D599" s="273"/>
      <c r="E599" s="273"/>
      <c r="F599" s="273"/>
      <c r="G599" s="273"/>
      <c r="H599" s="273"/>
      <c r="I599" s="273"/>
      <c r="J599" s="50"/>
      <c r="K599" s="273"/>
      <c r="L599" s="273"/>
      <c r="M599" s="273"/>
      <c r="N599" s="273"/>
      <c r="O599" s="273"/>
      <c r="P599" s="273"/>
      <c r="Q599" s="273"/>
      <c r="R599" s="273"/>
      <c r="S599" s="273"/>
      <c r="T599" s="273"/>
      <c r="U599" s="273"/>
      <c r="V599" s="273"/>
      <c r="W599" s="273">
        <v>130000</v>
      </c>
      <c r="X599" s="283"/>
      <c r="Y599" s="273"/>
      <c r="Z599" s="273"/>
      <c r="AA599" s="14"/>
      <c r="AB599" s="15"/>
      <c r="AC599" s="15"/>
      <c r="AD599" s="15"/>
      <c r="AE599" s="15"/>
    </row>
    <row r="600" spans="1:34" x14ac:dyDescent="0.3">
      <c r="A600" s="259" t="s">
        <v>208</v>
      </c>
      <c r="B600" s="34"/>
      <c r="C600" s="273">
        <f t="shared" ref="C600:W600" si="124">C599</f>
        <v>130000</v>
      </c>
      <c r="D600" s="273">
        <f t="shared" si="124"/>
        <v>0</v>
      </c>
      <c r="E600" s="273">
        <f t="shared" si="124"/>
        <v>0</v>
      </c>
      <c r="F600" s="273">
        <f t="shared" si="124"/>
        <v>0</v>
      </c>
      <c r="G600" s="273">
        <f t="shared" si="124"/>
        <v>0</v>
      </c>
      <c r="H600" s="273">
        <f t="shared" si="124"/>
        <v>0</v>
      </c>
      <c r="I600" s="273">
        <f t="shared" si="124"/>
        <v>0</v>
      </c>
      <c r="J600" s="50">
        <f t="shared" si="124"/>
        <v>0</v>
      </c>
      <c r="K600" s="273">
        <f t="shared" si="124"/>
        <v>0</v>
      </c>
      <c r="L600" s="273">
        <f t="shared" si="124"/>
        <v>0</v>
      </c>
      <c r="M600" s="273">
        <f t="shared" si="124"/>
        <v>0</v>
      </c>
      <c r="N600" s="273">
        <f t="shared" si="124"/>
        <v>0</v>
      </c>
      <c r="O600" s="273">
        <f t="shared" si="124"/>
        <v>0</v>
      </c>
      <c r="P600" s="273">
        <f t="shared" si="124"/>
        <v>0</v>
      </c>
      <c r="Q600" s="273">
        <f t="shared" si="124"/>
        <v>0</v>
      </c>
      <c r="R600" s="273">
        <f t="shared" si="124"/>
        <v>0</v>
      </c>
      <c r="S600" s="273">
        <f t="shared" si="124"/>
        <v>0</v>
      </c>
      <c r="T600" s="273">
        <f t="shared" si="124"/>
        <v>0</v>
      </c>
      <c r="U600" s="273">
        <f t="shared" si="124"/>
        <v>0</v>
      </c>
      <c r="V600" s="273">
        <f t="shared" si="124"/>
        <v>0</v>
      </c>
      <c r="W600" s="273">
        <f t="shared" si="124"/>
        <v>130000</v>
      </c>
      <c r="X600" s="283"/>
      <c r="Y600" s="273"/>
      <c r="Z600" s="273"/>
      <c r="AA600" s="14"/>
      <c r="AB600" s="15"/>
      <c r="AC600" s="15"/>
      <c r="AD600" s="15"/>
      <c r="AE600" s="15"/>
    </row>
    <row r="601" spans="1:34" x14ac:dyDescent="0.3">
      <c r="A601" s="249" t="s">
        <v>1915</v>
      </c>
      <c r="B601" s="39"/>
      <c r="C601" s="273"/>
      <c r="D601" s="273"/>
      <c r="E601" s="273"/>
      <c r="F601" s="273"/>
      <c r="G601" s="273"/>
      <c r="H601" s="273"/>
      <c r="I601" s="273"/>
      <c r="J601" s="50"/>
      <c r="K601" s="273"/>
      <c r="L601" s="273"/>
      <c r="M601" s="273"/>
      <c r="N601" s="273"/>
      <c r="O601" s="273"/>
      <c r="P601" s="273"/>
      <c r="Q601" s="273"/>
      <c r="R601" s="273"/>
      <c r="S601" s="273"/>
      <c r="T601" s="273"/>
      <c r="U601" s="273"/>
      <c r="V601" s="273"/>
      <c r="W601" s="273"/>
      <c r="X601" s="283"/>
      <c r="Y601" s="273"/>
      <c r="Z601" s="273"/>
      <c r="AA601" s="273"/>
      <c r="AB601" s="273"/>
      <c r="AC601" s="273"/>
      <c r="AD601" s="15"/>
      <c r="AE601" s="15"/>
    </row>
    <row r="602" spans="1:34" x14ac:dyDescent="0.3">
      <c r="A602" s="259">
        <f>A599+1</f>
        <v>453</v>
      </c>
      <c r="B602" s="20" t="s">
        <v>1917</v>
      </c>
      <c r="C602" s="273">
        <f t="shared" ref="C602:C605" si="125">D602+K602+L602+N602+P602+R602+S602+U602+V602+W602</f>
        <v>2088860.4</v>
      </c>
      <c r="D602" s="273">
        <f t="shared" ref="D602:D642" si="126">E602+F602+G602+H602+I602</f>
        <v>0</v>
      </c>
      <c r="E602" s="273"/>
      <c r="F602" s="273"/>
      <c r="G602" s="273"/>
      <c r="H602" s="273"/>
      <c r="I602" s="273"/>
      <c r="J602" s="50"/>
      <c r="K602" s="273"/>
      <c r="L602" s="273"/>
      <c r="M602" s="273"/>
      <c r="N602" s="273"/>
      <c r="O602" s="273"/>
      <c r="P602" s="273"/>
      <c r="Q602" s="273">
        <v>398</v>
      </c>
      <c r="R602" s="273">
        <v>2088860.4</v>
      </c>
      <c r="S602" s="273"/>
      <c r="T602" s="273"/>
      <c r="U602" s="273"/>
      <c r="V602" s="273"/>
      <c r="W602" s="273"/>
      <c r="X602" s="192"/>
      <c r="Y602" s="273"/>
      <c r="Z602" s="273"/>
      <c r="AA602" s="273"/>
      <c r="AB602" s="273"/>
      <c r="AC602" s="273"/>
      <c r="AD602" s="15"/>
      <c r="AE602" s="15" t="s">
        <v>1132</v>
      </c>
    </row>
    <row r="603" spans="1:34" x14ac:dyDescent="0.3">
      <c r="A603" s="259">
        <f t="shared" ref="A603:A614" si="127">A602+1</f>
        <v>454</v>
      </c>
      <c r="B603" s="20" t="s">
        <v>1920</v>
      </c>
      <c r="C603" s="273">
        <f t="shared" si="125"/>
        <v>2083266</v>
      </c>
      <c r="D603" s="273">
        <f t="shared" si="126"/>
        <v>0</v>
      </c>
      <c r="E603" s="273"/>
      <c r="F603" s="273"/>
      <c r="G603" s="273"/>
      <c r="H603" s="273"/>
      <c r="I603" s="273"/>
      <c r="J603" s="50"/>
      <c r="K603" s="273"/>
      <c r="L603" s="273"/>
      <c r="M603" s="273"/>
      <c r="N603" s="273"/>
      <c r="O603" s="273"/>
      <c r="P603" s="273"/>
      <c r="Q603" s="273">
        <v>398</v>
      </c>
      <c r="R603" s="273">
        <v>2083266</v>
      </c>
      <c r="S603" s="273"/>
      <c r="T603" s="273"/>
      <c r="U603" s="273"/>
      <c r="V603" s="273"/>
      <c r="W603" s="273"/>
      <c r="X603" s="192"/>
      <c r="Y603" s="273"/>
      <c r="Z603" s="273"/>
      <c r="AA603" s="273"/>
      <c r="AB603" s="273"/>
      <c r="AC603" s="273"/>
      <c r="AD603" s="15"/>
      <c r="AE603" s="15"/>
    </row>
    <row r="604" spans="1:34" x14ac:dyDescent="0.3">
      <c r="A604" s="259">
        <f t="shared" si="127"/>
        <v>455</v>
      </c>
      <c r="B604" s="20" t="s">
        <v>1923</v>
      </c>
      <c r="C604" s="273">
        <f t="shared" si="125"/>
        <v>1858096.8</v>
      </c>
      <c r="D604" s="273">
        <f t="shared" si="126"/>
        <v>0</v>
      </c>
      <c r="E604" s="273"/>
      <c r="F604" s="273"/>
      <c r="G604" s="273"/>
      <c r="H604" s="273"/>
      <c r="I604" s="273"/>
      <c r="J604" s="50"/>
      <c r="K604" s="273"/>
      <c r="L604" s="273"/>
      <c r="M604" s="273"/>
      <c r="N604" s="273"/>
      <c r="O604" s="273"/>
      <c r="P604" s="273"/>
      <c r="Q604" s="273">
        <v>381.22</v>
      </c>
      <c r="R604" s="273">
        <v>1858096.8</v>
      </c>
      <c r="S604" s="273"/>
      <c r="T604" s="273"/>
      <c r="U604" s="273"/>
      <c r="V604" s="273"/>
      <c r="W604" s="273"/>
      <c r="X604" s="192"/>
      <c r="Y604" s="273"/>
      <c r="Z604" s="273"/>
      <c r="AA604" s="273"/>
      <c r="AB604" s="273"/>
      <c r="AC604" s="273"/>
      <c r="AD604" s="15"/>
      <c r="AE604" s="15"/>
    </row>
    <row r="605" spans="1:34" x14ac:dyDescent="0.3">
      <c r="A605" s="259">
        <f t="shared" si="127"/>
        <v>456</v>
      </c>
      <c r="B605" s="20" t="s">
        <v>1928</v>
      </c>
      <c r="C605" s="273">
        <f t="shared" si="125"/>
        <v>2573588.2599999998</v>
      </c>
      <c r="D605" s="273">
        <f t="shared" si="126"/>
        <v>0</v>
      </c>
      <c r="E605" s="273"/>
      <c r="F605" s="273"/>
      <c r="G605" s="273"/>
      <c r="H605" s="273"/>
      <c r="I605" s="273"/>
      <c r="J605" s="50"/>
      <c r="K605" s="273"/>
      <c r="L605" s="273"/>
      <c r="M605" s="273"/>
      <c r="N605" s="273"/>
      <c r="O605" s="273"/>
      <c r="P605" s="273"/>
      <c r="Q605" s="273">
        <v>3090</v>
      </c>
      <c r="R605" s="273">
        <v>2573588.2599999998</v>
      </c>
      <c r="S605" s="273"/>
      <c r="T605" s="273"/>
      <c r="U605" s="273"/>
      <c r="V605" s="273"/>
      <c r="W605" s="273"/>
      <c r="X605" s="192"/>
      <c r="Y605" s="273"/>
      <c r="Z605" s="273"/>
      <c r="AA605" s="14"/>
      <c r="AB605" s="15"/>
      <c r="AC605" s="15"/>
      <c r="AD605" s="15"/>
      <c r="AE605" s="15" t="s">
        <v>1929</v>
      </c>
    </row>
    <row r="606" spans="1:34" x14ac:dyDescent="0.3">
      <c r="A606" s="259">
        <f t="shared" si="127"/>
        <v>457</v>
      </c>
      <c r="B606" s="20" t="s">
        <v>1945</v>
      </c>
      <c r="C606" s="273">
        <f t="shared" ref="C606:C642" si="128">D606+K606+L606+N606+P606+R606+S606+U606+V606+W606</f>
        <v>6983308.7999999998</v>
      </c>
      <c r="D606" s="273">
        <f t="shared" si="126"/>
        <v>0</v>
      </c>
      <c r="E606" s="273"/>
      <c r="F606" s="273"/>
      <c r="G606" s="273"/>
      <c r="H606" s="273"/>
      <c r="I606" s="273"/>
      <c r="J606" s="50"/>
      <c r="K606" s="273"/>
      <c r="L606" s="273"/>
      <c r="M606" s="273"/>
      <c r="N606" s="273"/>
      <c r="O606" s="273"/>
      <c r="P606" s="273"/>
      <c r="Q606" s="273">
        <v>1772</v>
      </c>
      <c r="R606" s="273">
        <v>6983308.7999999998</v>
      </c>
      <c r="S606" s="273"/>
      <c r="T606" s="273"/>
      <c r="U606" s="273"/>
      <c r="V606" s="273"/>
      <c r="W606" s="273"/>
      <c r="X606" s="283"/>
      <c r="Y606" s="273"/>
      <c r="Z606" s="273"/>
      <c r="AA606" s="273"/>
      <c r="AB606" s="15"/>
      <c r="AC606" s="15"/>
      <c r="AD606" s="15"/>
      <c r="AE606" s="15"/>
    </row>
    <row r="607" spans="1:34" x14ac:dyDescent="0.3">
      <c r="A607" s="259">
        <f t="shared" si="127"/>
        <v>458</v>
      </c>
      <c r="B607" s="20" t="s">
        <v>1946</v>
      </c>
      <c r="C607" s="273">
        <f t="shared" si="128"/>
        <v>5450953.2000000002</v>
      </c>
      <c r="D607" s="273">
        <f t="shared" si="126"/>
        <v>0</v>
      </c>
      <c r="E607" s="273"/>
      <c r="F607" s="273"/>
      <c r="G607" s="273"/>
      <c r="H607" s="273"/>
      <c r="I607" s="273"/>
      <c r="J607" s="50"/>
      <c r="K607" s="273"/>
      <c r="L607" s="273"/>
      <c r="M607" s="273"/>
      <c r="N607" s="273"/>
      <c r="O607" s="273"/>
      <c r="P607" s="273"/>
      <c r="Q607" s="273">
        <v>1471.3</v>
      </c>
      <c r="R607" s="273">
        <v>5450953.2000000002</v>
      </c>
      <c r="S607" s="273"/>
      <c r="T607" s="273"/>
      <c r="U607" s="273"/>
      <c r="V607" s="273"/>
      <c r="W607" s="273"/>
      <c r="X607" s="192"/>
      <c r="Y607" s="273"/>
      <c r="Z607" s="273"/>
      <c r="AA607" s="273"/>
      <c r="AB607" s="15"/>
      <c r="AC607" s="15"/>
      <c r="AD607" s="15"/>
      <c r="AE607" s="15" t="s">
        <v>1233</v>
      </c>
    </row>
    <row r="608" spans="1:34" x14ac:dyDescent="0.3">
      <c r="A608" s="259">
        <f t="shared" si="127"/>
        <v>459</v>
      </c>
      <c r="B608" s="20" t="s">
        <v>1947</v>
      </c>
      <c r="C608" s="273">
        <f t="shared" si="128"/>
        <v>2740518</v>
      </c>
      <c r="D608" s="273">
        <f t="shared" si="126"/>
        <v>0</v>
      </c>
      <c r="E608" s="273"/>
      <c r="F608" s="273"/>
      <c r="G608" s="273"/>
      <c r="H608" s="273"/>
      <c r="I608" s="273"/>
      <c r="J608" s="50"/>
      <c r="K608" s="273"/>
      <c r="L608" s="273"/>
      <c r="M608" s="273"/>
      <c r="N608" s="273"/>
      <c r="O608" s="273"/>
      <c r="P608" s="273"/>
      <c r="Q608" s="273">
        <v>732</v>
      </c>
      <c r="R608" s="273">
        <v>2740518</v>
      </c>
      <c r="S608" s="273"/>
      <c r="T608" s="273"/>
      <c r="U608" s="273"/>
      <c r="V608" s="273"/>
      <c r="W608" s="273"/>
      <c r="X608" s="192"/>
      <c r="Y608" s="273"/>
      <c r="Z608" s="273"/>
      <c r="AA608" s="273"/>
      <c r="AB608" s="15"/>
      <c r="AC608" s="15"/>
      <c r="AD608" s="15"/>
      <c r="AE608" s="15" t="s">
        <v>25</v>
      </c>
    </row>
    <row r="609" spans="1:31" x14ac:dyDescent="0.3">
      <c r="A609" s="259">
        <f t="shared" si="127"/>
        <v>460</v>
      </c>
      <c r="B609" s="20" t="s">
        <v>1948</v>
      </c>
      <c r="C609" s="273">
        <f t="shared" si="128"/>
        <v>5702510.4000000004</v>
      </c>
      <c r="D609" s="273">
        <f t="shared" si="126"/>
        <v>2942179.2</v>
      </c>
      <c r="E609" s="273"/>
      <c r="F609" s="273">
        <v>2604027.6</v>
      </c>
      <c r="G609" s="273">
        <v>338151.6</v>
      </c>
      <c r="H609" s="273"/>
      <c r="I609" s="273"/>
      <c r="J609" s="50"/>
      <c r="K609" s="273"/>
      <c r="L609" s="273"/>
      <c r="M609" s="273"/>
      <c r="N609" s="273"/>
      <c r="O609" s="273"/>
      <c r="P609" s="273"/>
      <c r="Q609" s="273">
        <v>732</v>
      </c>
      <c r="R609" s="273">
        <v>2760331.2</v>
      </c>
      <c r="S609" s="273"/>
      <c r="T609" s="273"/>
      <c r="U609" s="273"/>
      <c r="V609" s="273"/>
      <c r="W609" s="273"/>
      <c r="X609" s="192"/>
      <c r="Y609" s="273"/>
      <c r="Z609" s="273"/>
      <c r="AA609" s="273"/>
      <c r="AB609" s="15"/>
      <c r="AC609" s="15"/>
      <c r="AD609" s="15"/>
      <c r="AE609" s="15" t="s">
        <v>352</v>
      </c>
    </row>
    <row r="610" spans="1:31" x14ac:dyDescent="0.3">
      <c r="A610" s="259">
        <f t="shared" si="127"/>
        <v>461</v>
      </c>
      <c r="B610" s="20" t="s">
        <v>3549</v>
      </c>
      <c r="C610" s="273">
        <f t="shared" si="128"/>
        <v>41327744</v>
      </c>
      <c r="D610" s="273">
        <f t="shared" si="126"/>
        <v>0</v>
      </c>
      <c r="E610" s="273"/>
      <c r="F610" s="273"/>
      <c r="G610" s="273"/>
      <c r="H610" s="273"/>
      <c r="I610" s="273"/>
      <c r="J610" s="50"/>
      <c r="K610" s="273"/>
      <c r="L610" s="273"/>
      <c r="M610" s="273"/>
      <c r="N610" s="273"/>
      <c r="O610" s="273"/>
      <c r="P610" s="273"/>
      <c r="Q610" s="273">
        <v>4288</v>
      </c>
      <c r="R610" s="273">
        <v>41327744</v>
      </c>
      <c r="S610" s="273"/>
      <c r="T610" s="273"/>
      <c r="U610" s="273"/>
      <c r="V610" s="273"/>
      <c r="W610" s="273"/>
      <c r="X610" s="147"/>
      <c r="Y610" s="273"/>
      <c r="Z610" s="273"/>
      <c r="AA610" s="273"/>
      <c r="AB610" s="15"/>
      <c r="AC610" s="15"/>
      <c r="AD610" s="15"/>
      <c r="AE610" s="15"/>
    </row>
    <row r="611" spans="1:31" x14ac:dyDescent="0.3">
      <c r="A611" s="259">
        <f t="shared" si="127"/>
        <v>462</v>
      </c>
      <c r="B611" s="20" t="s">
        <v>1951</v>
      </c>
      <c r="C611" s="273">
        <f t="shared" si="128"/>
        <v>182039</v>
      </c>
      <c r="D611" s="273">
        <f t="shared" si="126"/>
        <v>0</v>
      </c>
      <c r="E611" s="273"/>
      <c r="F611" s="273"/>
      <c r="G611" s="273"/>
      <c r="H611" s="273"/>
      <c r="I611" s="273"/>
      <c r="J611" s="50"/>
      <c r="K611" s="273"/>
      <c r="L611" s="273"/>
      <c r="M611" s="273"/>
      <c r="N611" s="273"/>
      <c r="O611" s="273"/>
      <c r="P611" s="273"/>
      <c r="Q611" s="273">
        <v>13</v>
      </c>
      <c r="R611" s="273">
        <f>Q611*14003</f>
        <v>182039</v>
      </c>
      <c r="S611" s="273"/>
      <c r="T611" s="273"/>
      <c r="U611" s="273"/>
      <c r="V611" s="273"/>
      <c r="W611" s="273"/>
      <c r="X611" s="192"/>
      <c r="Y611" s="273"/>
      <c r="Z611" s="273"/>
      <c r="AA611" s="14"/>
      <c r="AB611" s="15"/>
      <c r="AC611" s="15"/>
      <c r="AD611" s="15"/>
      <c r="AE611" s="15"/>
    </row>
    <row r="612" spans="1:31" x14ac:dyDescent="0.3">
      <c r="A612" s="259">
        <f t="shared" si="127"/>
        <v>463</v>
      </c>
      <c r="B612" s="20" t="s">
        <v>1952</v>
      </c>
      <c r="C612" s="273">
        <f t="shared" si="128"/>
        <v>2724327.6</v>
      </c>
      <c r="D612" s="273">
        <f t="shared" si="126"/>
        <v>0</v>
      </c>
      <c r="E612" s="273"/>
      <c r="F612" s="273"/>
      <c r="G612" s="273"/>
      <c r="H612" s="273"/>
      <c r="I612" s="273"/>
      <c r="J612" s="50"/>
      <c r="K612" s="273"/>
      <c r="L612" s="273"/>
      <c r="M612" s="273"/>
      <c r="N612" s="273"/>
      <c r="O612" s="273"/>
      <c r="P612" s="273"/>
      <c r="Q612" s="273">
        <v>498.5</v>
      </c>
      <c r="R612" s="273">
        <v>2724327.6</v>
      </c>
      <c r="S612" s="273"/>
      <c r="T612" s="273"/>
      <c r="U612" s="273"/>
      <c r="V612" s="273"/>
      <c r="W612" s="273"/>
      <c r="X612" s="283"/>
      <c r="Y612" s="273"/>
      <c r="Z612" s="273"/>
      <c r="AA612" s="14"/>
      <c r="AB612" s="15"/>
      <c r="AC612" s="15"/>
      <c r="AD612" s="15"/>
      <c r="AE612" s="15"/>
    </row>
    <row r="613" spans="1:31" ht="31.2" x14ac:dyDescent="0.3">
      <c r="A613" s="259">
        <f t="shared" si="127"/>
        <v>464</v>
      </c>
      <c r="B613" s="20" t="s">
        <v>1956</v>
      </c>
      <c r="C613" s="273">
        <f t="shared" si="128"/>
        <v>15189055.199999999</v>
      </c>
      <c r="D613" s="273">
        <f t="shared" si="126"/>
        <v>0</v>
      </c>
      <c r="E613" s="273"/>
      <c r="F613" s="273"/>
      <c r="G613" s="273"/>
      <c r="H613" s="273"/>
      <c r="I613" s="273"/>
      <c r="J613" s="50"/>
      <c r="K613" s="273"/>
      <c r="L613" s="273"/>
      <c r="M613" s="273"/>
      <c r="N613" s="273"/>
      <c r="O613" s="273"/>
      <c r="P613" s="273"/>
      <c r="Q613" s="273">
        <v>3408</v>
      </c>
      <c r="R613" s="273">
        <v>15189055.199999999</v>
      </c>
      <c r="S613" s="273"/>
      <c r="T613" s="273"/>
      <c r="U613" s="273"/>
      <c r="V613" s="273"/>
      <c r="W613" s="273"/>
      <c r="X613" s="283"/>
      <c r="Y613" s="261"/>
      <c r="Z613" s="273"/>
      <c r="AA613" s="261"/>
      <c r="AB613" s="261"/>
      <c r="AC613" s="261"/>
      <c r="AD613" s="15"/>
      <c r="AE613" s="15"/>
    </row>
    <row r="614" spans="1:31" x14ac:dyDescent="0.3">
      <c r="A614" s="259">
        <f t="shared" si="127"/>
        <v>465</v>
      </c>
      <c r="B614" s="20" t="s">
        <v>1961</v>
      </c>
      <c r="C614" s="273">
        <f t="shared" si="128"/>
        <v>4330926</v>
      </c>
      <c r="D614" s="273">
        <f t="shared" si="126"/>
        <v>0</v>
      </c>
      <c r="E614" s="273"/>
      <c r="F614" s="273"/>
      <c r="G614" s="273"/>
      <c r="H614" s="273"/>
      <c r="I614" s="273"/>
      <c r="J614" s="50"/>
      <c r="K614" s="273"/>
      <c r="L614" s="273"/>
      <c r="M614" s="273"/>
      <c r="N614" s="273"/>
      <c r="O614" s="273"/>
      <c r="P614" s="273"/>
      <c r="Q614" s="273">
        <v>1550</v>
      </c>
      <c r="R614" s="273">
        <v>4330926</v>
      </c>
      <c r="S614" s="273"/>
      <c r="T614" s="273"/>
      <c r="U614" s="273"/>
      <c r="V614" s="273"/>
      <c r="W614" s="273"/>
      <c r="X614" s="283"/>
      <c r="Y614" s="273"/>
      <c r="Z614" s="273"/>
      <c r="AA614" s="261"/>
      <c r="AB614" s="261"/>
      <c r="AC614" s="15"/>
      <c r="AD614" s="15"/>
      <c r="AE614" s="15"/>
    </row>
    <row r="615" spans="1:31" x14ac:dyDescent="0.3">
      <c r="A615" s="259">
        <f t="shared" ref="A615:A642" si="129">A614+1</f>
        <v>466</v>
      </c>
      <c r="B615" s="20" t="s">
        <v>1983</v>
      </c>
      <c r="C615" s="273">
        <f t="shared" si="128"/>
        <v>7062388.7999999998</v>
      </c>
      <c r="D615" s="273">
        <f t="shared" si="126"/>
        <v>0</v>
      </c>
      <c r="E615" s="273"/>
      <c r="F615" s="273"/>
      <c r="G615" s="273"/>
      <c r="H615" s="273"/>
      <c r="I615" s="273"/>
      <c r="J615" s="50"/>
      <c r="K615" s="273"/>
      <c r="L615" s="273"/>
      <c r="M615" s="273"/>
      <c r="N615" s="273"/>
      <c r="O615" s="273"/>
      <c r="P615" s="273"/>
      <c r="Q615" s="273">
        <v>1439.3</v>
      </c>
      <c r="R615" s="273">
        <v>7062388.7999999998</v>
      </c>
      <c r="S615" s="273"/>
      <c r="T615" s="273"/>
      <c r="U615" s="273"/>
      <c r="V615" s="273"/>
      <c r="W615" s="273"/>
      <c r="X615" s="283"/>
      <c r="Y615" s="273"/>
      <c r="Z615" s="273"/>
      <c r="AA615" s="273"/>
      <c r="AB615" s="15"/>
      <c r="AC615" s="15"/>
      <c r="AD615" s="15"/>
      <c r="AE615" s="15"/>
    </row>
    <row r="616" spans="1:31" x14ac:dyDescent="0.3">
      <c r="A616" s="259">
        <f t="shared" si="129"/>
        <v>467</v>
      </c>
      <c r="B616" s="20" t="s">
        <v>1984</v>
      </c>
      <c r="C616" s="273">
        <f t="shared" si="128"/>
        <v>11348060.4</v>
      </c>
      <c r="D616" s="273">
        <f t="shared" si="126"/>
        <v>0</v>
      </c>
      <c r="E616" s="273"/>
      <c r="F616" s="273"/>
      <c r="G616" s="273"/>
      <c r="H616" s="273"/>
      <c r="I616" s="273"/>
      <c r="J616" s="50"/>
      <c r="K616" s="273"/>
      <c r="L616" s="273"/>
      <c r="M616" s="273"/>
      <c r="N616" s="273"/>
      <c r="O616" s="273"/>
      <c r="P616" s="273"/>
      <c r="Q616" s="273">
        <v>2511.1</v>
      </c>
      <c r="R616" s="273">
        <v>11348060.4</v>
      </c>
      <c r="S616" s="273"/>
      <c r="T616" s="273"/>
      <c r="U616" s="273"/>
      <c r="V616" s="273"/>
      <c r="W616" s="273"/>
      <c r="X616" s="283"/>
      <c r="Y616" s="273"/>
      <c r="Z616" s="273"/>
      <c r="AA616" s="14"/>
      <c r="AB616" s="15"/>
      <c r="AC616" s="15"/>
      <c r="AD616" s="15"/>
      <c r="AE616" s="15"/>
    </row>
    <row r="617" spans="1:31" x14ac:dyDescent="0.3">
      <c r="A617" s="259">
        <f t="shared" si="129"/>
        <v>468</v>
      </c>
      <c r="B617" s="20" t="s">
        <v>2003</v>
      </c>
      <c r="C617" s="273">
        <f t="shared" si="128"/>
        <v>39865458.340000004</v>
      </c>
      <c r="D617" s="273">
        <f t="shared" si="126"/>
        <v>0</v>
      </c>
      <c r="E617" s="273"/>
      <c r="F617" s="273"/>
      <c r="G617" s="273"/>
      <c r="H617" s="273"/>
      <c r="I617" s="273"/>
      <c r="J617" s="50"/>
      <c r="K617" s="273"/>
      <c r="L617" s="273"/>
      <c r="M617" s="273">
        <v>1149.9000000000001</v>
      </c>
      <c r="N617" s="273">
        <v>9769550.4000000004</v>
      </c>
      <c r="O617" s="273"/>
      <c r="P617" s="273"/>
      <c r="Q617" s="273">
        <v>3122.63</v>
      </c>
      <c r="R617" s="273">
        <v>30095907.940000001</v>
      </c>
      <c r="S617" s="273"/>
      <c r="T617" s="273"/>
      <c r="U617" s="273"/>
      <c r="V617" s="273"/>
      <c r="W617" s="273"/>
      <c r="X617" s="147"/>
      <c r="Y617" s="273"/>
      <c r="Z617" s="273"/>
      <c r="AA617" s="14"/>
      <c r="AB617" s="15"/>
      <c r="AC617" s="15"/>
      <c r="AD617" s="15"/>
      <c r="AE617" s="15"/>
    </row>
    <row r="618" spans="1:31" x14ac:dyDescent="0.3">
      <c r="A618" s="259">
        <f t="shared" si="129"/>
        <v>469</v>
      </c>
      <c r="B618" s="20" t="s">
        <v>2004</v>
      </c>
      <c r="C618" s="273">
        <f t="shared" si="128"/>
        <v>7530004.7999999998</v>
      </c>
      <c r="D618" s="273">
        <f t="shared" si="126"/>
        <v>0</v>
      </c>
      <c r="E618" s="273"/>
      <c r="F618" s="273"/>
      <c r="G618" s="273"/>
      <c r="H618" s="273"/>
      <c r="I618" s="273"/>
      <c r="J618" s="50"/>
      <c r="K618" s="273"/>
      <c r="L618" s="273"/>
      <c r="M618" s="273">
        <v>886.3</v>
      </c>
      <c r="N618" s="273">
        <v>7530004.7999999998</v>
      </c>
      <c r="O618" s="273"/>
      <c r="P618" s="273"/>
      <c r="Q618" s="273"/>
      <c r="R618" s="273"/>
      <c r="S618" s="273"/>
      <c r="T618" s="273"/>
      <c r="U618" s="273"/>
      <c r="V618" s="273"/>
      <c r="W618" s="273"/>
      <c r="X618" s="283"/>
      <c r="Y618" s="273"/>
      <c r="Z618" s="273"/>
      <c r="AA618" s="273"/>
      <c r="AB618" s="273"/>
      <c r="AC618" s="15"/>
      <c r="AD618" s="15"/>
      <c r="AE618" s="15"/>
    </row>
    <row r="619" spans="1:31" x14ac:dyDescent="0.3">
      <c r="A619" s="259">
        <f t="shared" si="129"/>
        <v>470</v>
      </c>
      <c r="B619" s="20" t="s">
        <v>2005</v>
      </c>
      <c r="C619" s="273">
        <f t="shared" si="128"/>
        <v>3392496.6</v>
      </c>
      <c r="D619" s="273">
        <f t="shared" si="126"/>
        <v>0</v>
      </c>
      <c r="E619" s="273"/>
      <c r="F619" s="273"/>
      <c r="G619" s="273"/>
      <c r="H619" s="273"/>
      <c r="I619" s="273"/>
      <c r="J619" s="50"/>
      <c r="K619" s="273"/>
      <c r="L619" s="273"/>
      <c r="M619" s="273"/>
      <c r="N619" s="273">
        <v>1998255</v>
      </c>
      <c r="O619" s="273"/>
      <c r="P619" s="273"/>
      <c r="Q619" s="273">
        <v>320</v>
      </c>
      <c r="R619" s="273">
        <v>1394241.6</v>
      </c>
      <c r="S619" s="273"/>
      <c r="T619" s="273"/>
      <c r="U619" s="273"/>
      <c r="V619" s="273"/>
      <c r="W619" s="273"/>
      <c r="X619" s="283"/>
      <c r="Y619" s="273"/>
      <c r="Z619" s="273"/>
      <c r="AA619" s="14"/>
      <c r="AB619" s="15"/>
      <c r="AC619" s="15"/>
      <c r="AD619" s="15"/>
      <c r="AE619" s="15"/>
    </row>
    <row r="620" spans="1:31" x14ac:dyDescent="0.3">
      <c r="A620" s="259">
        <f t="shared" si="129"/>
        <v>471</v>
      </c>
      <c r="B620" s="20" t="s">
        <v>2006</v>
      </c>
      <c r="C620" s="273">
        <f t="shared" si="128"/>
        <v>1193326.8</v>
      </c>
      <c r="D620" s="273">
        <f t="shared" si="126"/>
        <v>0</v>
      </c>
      <c r="E620" s="273"/>
      <c r="F620" s="273"/>
      <c r="G620" s="273"/>
      <c r="H620" s="273"/>
      <c r="I620" s="273"/>
      <c r="J620" s="50"/>
      <c r="K620" s="273"/>
      <c r="L620" s="273"/>
      <c r="M620" s="273"/>
      <c r="N620" s="273"/>
      <c r="O620" s="273"/>
      <c r="P620" s="273"/>
      <c r="Q620" s="273">
        <v>339.3</v>
      </c>
      <c r="R620" s="273">
        <v>1193326.8</v>
      </c>
      <c r="S620" s="273"/>
      <c r="T620" s="273"/>
      <c r="U620" s="273"/>
      <c r="V620" s="273"/>
      <c r="W620" s="273"/>
      <c r="X620" s="283"/>
      <c r="Y620" s="273"/>
      <c r="Z620" s="273"/>
      <c r="AA620" s="14"/>
      <c r="AB620" s="15"/>
      <c r="AC620" s="15"/>
      <c r="AD620" s="15"/>
      <c r="AE620" s="15"/>
    </row>
    <row r="621" spans="1:31" x14ac:dyDescent="0.3">
      <c r="A621" s="259">
        <f t="shared" si="129"/>
        <v>472</v>
      </c>
      <c r="B621" s="20" t="s">
        <v>2007</v>
      </c>
      <c r="C621" s="273">
        <f t="shared" si="128"/>
        <v>1058500.8</v>
      </c>
      <c r="D621" s="273">
        <f t="shared" si="126"/>
        <v>0</v>
      </c>
      <c r="E621" s="273"/>
      <c r="F621" s="273"/>
      <c r="G621" s="273"/>
      <c r="H621" s="273"/>
      <c r="I621" s="273"/>
      <c r="J621" s="50"/>
      <c r="K621" s="273"/>
      <c r="L621" s="273"/>
      <c r="M621" s="273"/>
      <c r="N621" s="273"/>
      <c r="O621" s="273"/>
      <c r="P621" s="273"/>
      <c r="Q621" s="273">
        <v>318.7</v>
      </c>
      <c r="R621" s="273">
        <v>1058500.8</v>
      </c>
      <c r="S621" s="273"/>
      <c r="T621" s="273"/>
      <c r="U621" s="273"/>
      <c r="V621" s="273"/>
      <c r="W621" s="273"/>
      <c r="X621" s="283"/>
      <c r="Y621" s="273"/>
      <c r="Z621" s="273"/>
      <c r="AA621" s="14"/>
      <c r="AB621" s="15"/>
      <c r="AC621" s="273"/>
      <c r="AD621" s="15"/>
      <c r="AE621" s="15"/>
    </row>
    <row r="622" spans="1:31" x14ac:dyDescent="0.3">
      <c r="A622" s="259">
        <f t="shared" si="129"/>
        <v>473</v>
      </c>
      <c r="B622" s="20" t="s">
        <v>2008</v>
      </c>
      <c r="C622" s="273">
        <f t="shared" si="128"/>
        <v>1083531.6000000001</v>
      </c>
      <c r="D622" s="273">
        <f t="shared" si="126"/>
        <v>0</v>
      </c>
      <c r="E622" s="273"/>
      <c r="F622" s="273"/>
      <c r="G622" s="273"/>
      <c r="H622" s="273"/>
      <c r="I622" s="273"/>
      <c r="J622" s="50"/>
      <c r="K622" s="273"/>
      <c r="L622" s="273"/>
      <c r="M622" s="273"/>
      <c r="N622" s="273"/>
      <c r="O622" s="273"/>
      <c r="P622" s="273"/>
      <c r="Q622" s="273">
        <v>375.7</v>
      </c>
      <c r="R622" s="273">
        <v>1083531.6000000001</v>
      </c>
      <c r="S622" s="273"/>
      <c r="T622" s="273"/>
      <c r="U622" s="273"/>
      <c r="V622" s="273"/>
      <c r="W622" s="273"/>
      <c r="X622" s="283"/>
      <c r="Y622" s="273"/>
      <c r="Z622" s="273"/>
      <c r="AA622" s="14"/>
      <c r="AB622" s="15"/>
      <c r="AC622" s="15"/>
      <c r="AD622" s="15"/>
      <c r="AE622" s="15"/>
    </row>
    <row r="623" spans="1:31" x14ac:dyDescent="0.3">
      <c r="A623" s="259">
        <f t="shared" si="129"/>
        <v>474</v>
      </c>
      <c r="B623" s="20" t="s">
        <v>2009</v>
      </c>
      <c r="C623" s="273">
        <f t="shared" si="128"/>
        <v>3751549.1999999997</v>
      </c>
      <c r="D623" s="273">
        <f t="shared" si="126"/>
        <v>0</v>
      </c>
      <c r="E623" s="273"/>
      <c r="F623" s="273"/>
      <c r="G623" s="273"/>
      <c r="H623" s="273"/>
      <c r="I623" s="273"/>
      <c r="J623" s="50"/>
      <c r="K623" s="273"/>
      <c r="L623" s="273"/>
      <c r="M623" s="273"/>
      <c r="N623" s="273">
        <v>2295166.7999999998</v>
      </c>
      <c r="O623" s="273"/>
      <c r="P623" s="273"/>
      <c r="Q623" s="273">
        <v>320</v>
      </c>
      <c r="R623" s="273">
        <v>1456382.4</v>
      </c>
      <c r="S623" s="273"/>
      <c r="T623" s="273"/>
      <c r="U623" s="273"/>
      <c r="V623" s="273"/>
      <c r="W623" s="273"/>
      <c r="X623" s="283"/>
      <c r="Y623" s="273"/>
      <c r="Z623" s="273"/>
      <c r="AA623" s="14"/>
      <c r="AB623" s="15"/>
      <c r="AC623" s="15"/>
      <c r="AD623" s="15"/>
      <c r="AE623" s="15"/>
    </row>
    <row r="624" spans="1:31" ht="31.2" x14ac:dyDescent="0.3">
      <c r="A624" s="259">
        <f t="shared" si="129"/>
        <v>475</v>
      </c>
      <c r="B624" s="20" t="s">
        <v>2011</v>
      </c>
      <c r="C624" s="273">
        <f t="shared" si="128"/>
        <v>10922316</v>
      </c>
      <c r="D624" s="273">
        <f t="shared" si="126"/>
        <v>0</v>
      </c>
      <c r="E624" s="273"/>
      <c r="F624" s="273"/>
      <c r="G624" s="273"/>
      <c r="H624" s="273"/>
      <c r="I624" s="273"/>
      <c r="J624" s="50"/>
      <c r="K624" s="273"/>
      <c r="L624" s="273"/>
      <c r="M624" s="273"/>
      <c r="N624" s="273"/>
      <c r="O624" s="273"/>
      <c r="P624" s="273"/>
      <c r="Q624" s="273">
        <v>2347</v>
      </c>
      <c r="R624" s="273">
        <v>10922316</v>
      </c>
      <c r="S624" s="273"/>
      <c r="T624" s="273"/>
      <c r="U624" s="273"/>
      <c r="V624" s="273"/>
      <c r="W624" s="273"/>
      <c r="X624" s="283"/>
      <c r="Y624" s="273"/>
      <c r="Z624" s="273"/>
      <c r="AA624" s="273"/>
      <c r="AB624" s="15"/>
      <c r="AC624" s="15"/>
      <c r="AD624" s="15"/>
      <c r="AE624" s="15"/>
    </row>
    <row r="625" spans="1:31" ht="31.2" x14ac:dyDescent="0.3">
      <c r="A625" s="259">
        <f t="shared" si="129"/>
        <v>476</v>
      </c>
      <c r="B625" s="20" t="s">
        <v>2013</v>
      </c>
      <c r="C625" s="273">
        <f t="shared" si="128"/>
        <v>11758464</v>
      </c>
      <c r="D625" s="273">
        <f t="shared" si="126"/>
        <v>0</v>
      </c>
      <c r="E625" s="273"/>
      <c r="F625" s="273"/>
      <c r="G625" s="273"/>
      <c r="H625" s="273"/>
      <c r="I625" s="273"/>
      <c r="J625" s="50"/>
      <c r="K625" s="273"/>
      <c r="L625" s="273"/>
      <c r="M625" s="273">
        <v>1384</v>
      </c>
      <c r="N625" s="273">
        <v>11758464</v>
      </c>
      <c r="O625" s="273"/>
      <c r="P625" s="273"/>
      <c r="Q625" s="273"/>
      <c r="R625" s="273"/>
      <c r="S625" s="273"/>
      <c r="T625" s="273"/>
      <c r="U625" s="273"/>
      <c r="V625" s="273"/>
      <c r="W625" s="273"/>
      <c r="X625" s="283"/>
      <c r="Y625" s="273"/>
      <c r="Z625" s="273"/>
      <c r="AA625" s="14"/>
      <c r="AB625" s="15"/>
      <c r="AC625" s="15"/>
      <c r="AD625" s="15"/>
      <c r="AE625" s="15"/>
    </row>
    <row r="626" spans="1:31" ht="31.2" x14ac:dyDescent="0.3">
      <c r="A626" s="259">
        <f t="shared" si="129"/>
        <v>477</v>
      </c>
      <c r="B626" s="20" t="s">
        <v>2014</v>
      </c>
      <c r="C626" s="273">
        <f t="shared" si="128"/>
        <v>21022502.399999999</v>
      </c>
      <c r="D626" s="273">
        <f t="shared" si="126"/>
        <v>0</v>
      </c>
      <c r="E626" s="273"/>
      <c r="F626" s="273"/>
      <c r="G626" s="273"/>
      <c r="H626" s="273"/>
      <c r="I626" s="273"/>
      <c r="J626" s="50"/>
      <c r="K626" s="273"/>
      <c r="L626" s="273"/>
      <c r="M626" s="273"/>
      <c r="N626" s="273">
        <v>3881864.4</v>
      </c>
      <c r="O626" s="261"/>
      <c r="P626" s="273"/>
      <c r="Q626" s="273">
        <v>3408</v>
      </c>
      <c r="R626" s="273">
        <v>17140638</v>
      </c>
      <c r="S626" s="273"/>
      <c r="T626" s="273"/>
      <c r="U626" s="273"/>
      <c r="V626" s="273"/>
      <c r="W626" s="273"/>
      <c r="X626" s="283"/>
      <c r="Y626" s="273"/>
      <c r="Z626" s="273"/>
      <c r="AA626" s="273"/>
      <c r="AB626" s="15"/>
      <c r="AC626" s="15"/>
      <c r="AD626" s="15"/>
      <c r="AE626" s="15"/>
    </row>
    <row r="627" spans="1:31" ht="31.2" x14ac:dyDescent="0.3">
      <c r="A627" s="259">
        <f t="shared" si="129"/>
        <v>478</v>
      </c>
      <c r="B627" s="20" t="s">
        <v>2015</v>
      </c>
      <c r="C627" s="273">
        <f t="shared" si="128"/>
        <v>14989932</v>
      </c>
      <c r="D627" s="273">
        <f t="shared" si="126"/>
        <v>0</v>
      </c>
      <c r="E627" s="273"/>
      <c r="F627" s="273"/>
      <c r="G627" s="273"/>
      <c r="H627" s="273"/>
      <c r="I627" s="273"/>
      <c r="J627" s="50"/>
      <c r="K627" s="273"/>
      <c r="L627" s="273"/>
      <c r="M627" s="273"/>
      <c r="N627" s="273">
        <v>2628673.2000000002</v>
      </c>
      <c r="O627" s="261"/>
      <c r="P627" s="273"/>
      <c r="Q627" s="273">
        <v>2283</v>
      </c>
      <c r="R627" s="273">
        <v>12361258.800000001</v>
      </c>
      <c r="S627" s="273"/>
      <c r="T627" s="273"/>
      <c r="U627" s="273"/>
      <c r="V627" s="273"/>
      <c r="W627" s="273"/>
      <c r="X627" s="283"/>
      <c r="Y627" s="273"/>
      <c r="Z627" s="273"/>
      <c r="AA627" s="273"/>
      <c r="AB627" s="15"/>
      <c r="AC627" s="15"/>
      <c r="AD627" s="15"/>
      <c r="AE627" s="15"/>
    </row>
    <row r="628" spans="1:31" x14ac:dyDescent="0.3">
      <c r="A628" s="259">
        <f t="shared" si="129"/>
        <v>479</v>
      </c>
      <c r="B628" s="20" t="s">
        <v>2022</v>
      </c>
      <c r="C628" s="273">
        <f t="shared" si="128"/>
        <v>1952337.9999999998</v>
      </c>
      <c r="D628" s="273">
        <f t="shared" si="126"/>
        <v>0</v>
      </c>
      <c r="E628" s="273"/>
      <c r="F628" s="273"/>
      <c r="G628" s="273"/>
      <c r="H628" s="273"/>
      <c r="I628" s="273"/>
      <c r="J628" s="50"/>
      <c r="K628" s="273"/>
      <c r="L628" s="273"/>
      <c r="M628" s="273"/>
      <c r="N628" s="273"/>
      <c r="O628" s="273"/>
      <c r="P628" s="273"/>
      <c r="Q628" s="273"/>
      <c r="R628" s="273"/>
      <c r="S628" s="273"/>
      <c r="T628" s="273">
        <v>164.2</v>
      </c>
      <c r="U628" s="273">
        <f>T628*11890</f>
        <v>1952337.9999999998</v>
      </c>
      <c r="V628" s="273"/>
      <c r="W628" s="273"/>
      <c r="X628" s="283"/>
      <c r="Y628" s="273"/>
      <c r="Z628" s="273"/>
      <c r="AA628" s="273"/>
      <c r="AB628" s="273"/>
      <c r="AC628" s="273"/>
      <c r="AD628" s="15"/>
      <c r="AE628" s="15"/>
    </row>
    <row r="629" spans="1:31" x14ac:dyDescent="0.3">
      <c r="A629" s="259">
        <f t="shared" si="129"/>
        <v>480</v>
      </c>
      <c r="B629" s="20" t="s">
        <v>2024</v>
      </c>
      <c r="C629" s="273">
        <f t="shared" si="128"/>
        <v>1170784.8</v>
      </c>
      <c r="D629" s="273">
        <f t="shared" si="126"/>
        <v>0</v>
      </c>
      <c r="E629" s="273"/>
      <c r="F629" s="273"/>
      <c r="G629" s="273"/>
      <c r="H629" s="273"/>
      <c r="I629" s="273"/>
      <c r="J629" s="50"/>
      <c r="K629" s="273"/>
      <c r="L629" s="273"/>
      <c r="M629" s="273"/>
      <c r="N629" s="273"/>
      <c r="O629" s="273"/>
      <c r="P629" s="273"/>
      <c r="Q629" s="273">
        <v>375.7</v>
      </c>
      <c r="R629" s="273">
        <v>1170784.8</v>
      </c>
      <c r="S629" s="273"/>
      <c r="T629" s="273"/>
      <c r="U629" s="273"/>
      <c r="V629" s="273"/>
      <c r="W629" s="273"/>
      <c r="X629" s="283"/>
      <c r="Y629" s="273"/>
      <c r="Z629" s="273"/>
      <c r="AA629" s="14"/>
      <c r="AB629" s="15"/>
      <c r="AC629" s="15"/>
      <c r="AD629" s="15"/>
      <c r="AE629" s="15"/>
    </row>
    <row r="630" spans="1:31" ht="31.2" x14ac:dyDescent="0.3">
      <c r="A630" s="259">
        <f t="shared" si="129"/>
        <v>481</v>
      </c>
      <c r="B630" s="20" t="s">
        <v>2026</v>
      </c>
      <c r="C630" s="273">
        <f t="shared" si="128"/>
        <v>671131.2</v>
      </c>
      <c r="D630" s="273">
        <f t="shared" si="126"/>
        <v>0</v>
      </c>
      <c r="E630" s="273"/>
      <c r="F630" s="273"/>
      <c r="G630" s="273"/>
      <c r="H630" s="273"/>
      <c r="I630" s="273"/>
      <c r="J630" s="50"/>
      <c r="K630" s="273"/>
      <c r="L630" s="273"/>
      <c r="M630" s="273"/>
      <c r="N630" s="273"/>
      <c r="O630" s="273"/>
      <c r="P630" s="273"/>
      <c r="Q630" s="273">
        <v>102</v>
      </c>
      <c r="R630" s="273">
        <v>671131.2</v>
      </c>
      <c r="S630" s="273"/>
      <c r="T630" s="273"/>
      <c r="U630" s="273"/>
      <c r="V630" s="273"/>
      <c r="W630" s="273"/>
      <c r="X630" s="283"/>
      <c r="Y630" s="273"/>
      <c r="Z630" s="273"/>
      <c r="AA630" s="273"/>
      <c r="AB630" s="15"/>
      <c r="AC630" s="15"/>
      <c r="AD630" s="15"/>
      <c r="AE630" s="15"/>
    </row>
    <row r="631" spans="1:31" ht="31.2" x14ac:dyDescent="0.3">
      <c r="A631" s="259">
        <f t="shared" si="129"/>
        <v>482</v>
      </c>
      <c r="B631" s="20" t="s">
        <v>2029</v>
      </c>
      <c r="C631" s="273">
        <f t="shared" si="128"/>
        <v>560985.59999999998</v>
      </c>
      <c r="D631" s="273">
        <f t="shared" si="126"/>
        <v>0</v>
      </c>
      <c r="E631" s="273"/>
      <c r="F631" s="273"/>
      <c r="G631" s="273"/>
      <c r="H631" s="273"/>
      <c r="I631" s="273"/>
      <c r="J631" s="50"/>
      <c r="K631" s="273"/>
      <c r="L631" s="273"/>
      <c r="M631" s="273"/>
      <c r="N631" s="273"/>
      <c r="O631" s="273"/>
      <c r="P631" s="273"/>
      <c r="Q631" s="273">
        <v>102</v>
      </c>
      <c r="R631" s="273">
        <v>560985.59999999998</v>
      </c>
      <c r="S631" s="273"/>
      <c r="T631" s="273"/>
      <c r="U631" s="273"/>
      <c r="V631" s="273"/>
      <c r="W631" s="273"/>
      <c r="X631" s="283"/>
      <c r="Y631" s="273"/>
      <c r="Z631" s="273"/>
      <c r="AA631" s="273"/>
      <c r="AB631" s="15"/>
      <c r="AC631" s="15"/>
      <c r="AD631" s="15"/>
      <c r="AE631" s="15"/>
    </row>
    <row r="632" spans="1:31" ht="31.2" x14ac:dyDescent="0.3">
      <c r="A632" s="259">
        <f t="shared" si="129"/>
        <v>483</v>
      </c>
      <c r="B632" s="20" t="s">
        <v>2030</v>
      </c>
      <c r="C632" s="273">
        <f t="shared" si="128"/>
        <v>775804.8</v>
      </c>
      <c r="D632" s="273">
        <f t="shared" si="126"/>
        <v>0</v>
      </c>
      <c r="E632" s="273"/>
      <c r="F632" s="273"/>
      <c r="G632" s="273"/>
      <c r="H632" s="273"/>
      <c r="I632" s="273"/>
      <c r="J632" s="50"/>
      <c r="K632" s="273"/>
      <c r="L632" s="273"/>
      <c r="M632" s="273"/>
      <c r="N632" s="273"/>
      <c r="O632" s="273"/>
      <c r="P632" s="273"/>
      <c r="Q632" s="273">
        <v>102</v>
      </c>
      <c r="R632" s="273">
        <v>775804.8</v>
      </c>
      <c r="S632" s="273"/>
      <c r="T632" s="273"/>
      <c r="U632" s="273"/>
      <c r="V632" s="273"/>
      <c r="W632" s="273"/>
      <c r="X632" s="283"/>
      <c r="Y632" s="273"/>
      <c r="Z632" s="273"/>
      <c r="AA632" s="273"/>
      <c r="AB632" s="15"/>
      <c r="AC632" s="15"/>
      <c r="AD632" s="15"/>
      <c r="AE632" s="15"/>
    </row>
    <row r="633" spans="1:31" x14ac:dyDescent="0.3">
      <c r="A633" s="259">
        <f t="shared" si="129"/>
        <v>484</v>
      </c>
      <c r="B633" s="20" t="s">
        <v>2033</v>
      </c>
      <c r="C633" s="273">
        <f t="shared" si="128"/>
        <v>5491731.7999999998</v>
      </c>
      <c r="D633" s="273">
        <f t="shared" si="126"/>
        <v>0</v>
      </c>
      <c r="E633" s="273"/>
      <c r="F633" s="273"/>
      <c r="G633" s="273"/>
      <c r="H633" s="273"/>
      <c r="I633" s="273"/>
      <c r="J633" s="50"/>
      <c r="K633" s="273"/>
      <c r="L633" s="273"/>
      <c r="M633" s="273"/>
      <c r="N633" s="273"/>
      <c r="O633" s="273"/>
      <c r="P633" s="273"/>
      <c r="Q633" s="273">
        <v>2082</v>
      </c>
      <c r="R633" s="273">
        <v>5491731.7999999998</v>
      </c>
      <c r="S633" s="273"/>
      <c r="T633" s="273"/>
      <c r="U633" s="273"/>
      <c r="V633" s="273"/>
      <c r="W633" s="273"/>
      <c r="X633" s="283"/>
      <c r="Y633" s="273"/>
      <c r="Z633" s="273"/>
      <c r="AA633" s="273"/>
      <c r="AB633" s="15"/>
      <c r="AC633" s="15"/>
      <c r="AD633" s="15"/>
      <c r="AE633" s="15"/>
    </row>
    <row r="634" spans="1:31" x14ac:dyDescent="0.3">
      <c r="A634" s="259">
        <f t="shared" si="129"/>
        <v>485</v>
      </c>
      <c r="B634" s="20" t="s">
        <v>2034</v>
      </c>
      <c r="C634" s="273">
        <f t="shared" si="128"/>
        <v>19232592</v>
      </c>
      <c r="D634" s="273">
        <f t="shared" si="126"/>
        <v>0</v>
      </c>
      <c r="E634" s="273"/>
      <c r="F634" s="273"/>
      <c r="G634" s="273"/>
      <c r="H634" s="273"/>
      <c r="I634" s="273"/>
      <c r="J634" s="50"/>
      <c r="K634" s="273"/>
      <c r="L634" s="273"/>
      <c r="M634" s="273"/>
      <c r="N634" s="273"/>
      <c r="O634" s="273"/>
      <c r="P634" s="273"/>
      <c r="Q634" s="273">
        <v>3099.6</v>
      </c>
      <c r="R634" s="273">
        <v>19232592</v>
      </c>
      <c r="S634" s="273"/>
      <c r="T634" s="273"/>
      <c r="U634" s="273"/>
      <c r="V634" s="273"/>
      <c r="W634" s="273"/>
      <c r="X634" s="283"/>
      <c r="Y634" s="273"/>
      <c r="Z634" s="273"/>
      <c r="AA634" s="273"/>
      <c r="AB634" s="15"/>
      <c r="AC634" s="15"/>
      <c r="AD634" s="15"/>
      <c r="AE634" s="15"/>
    </row>
    <row r="635" spans="1:31" x14ac:dyDescent="0.3">
      <c r="A635" s="259">
        <f t="shared" si="129"/>
        <v>486</v>
      </c>
      <c r="B635" s="20" t="s">
        <v>2042</v>
      </c>
      <c r="C635" s="273">
        <f t="shared" si="128"/>
        <v>17167154.399999999</v>
      </c>
      <c r="D635" s="273">
        <f t="shared" si="126"/>
        <v>0</v>
      </c>
      <c r="E635" s="273"/>
      <c r="F635" s="273"/>
      <c r="G635" s="273"/>
      <c r="H635" s="273"/>
      <c r="I635" s="273"/>
      <c r="J635" s="50"/>
      <c r="K635" s="273"/>
      <c r="L635" s="273"/>
      <c r="M635" s="273"/>
      <c r="N635" s="273"/>
      <c r="O635" s="273"/>
      <c r="P635" s="273"/>
      <c r="Q635" s="273">
        <v>3099.6</v>
      </c>
      <c r="R635" s="273">
        <v>17167154.399999999</v>
      </c>
      <c r="S635" s="273"/>
      <c r="T635" s="273"/>
      <c r="U635" s="273"/>
      <c r="V635" s="273"/>
      <c r="W635" s="273"/>
      <c r="X635" s="283"/>
      <c r="Y635" s="273"/>
      <c r="Z635" s="273"/>
      <c r="AA635" s="273"/>
      <c r="AB635" s="15"/>
      <c r="AC635" s="15"/>
      <c r="AD635" s="15"/>
      <c r="AE635" s="15"/>
    </row>
    <row r="636" spans="1:31" x14ac:dyDescent="0.3">
      <c r="A636" s="259">
        <f t="shared" si="129"/>
        <v>487</v>
      </c>
      <c r="B636" s="20" t="s">
        <v>2043</v>
      </c>
      <c r="C636" s="273">
        <f t="shared" si="128"/>
        <v>8785960.8000000007</v>
      </c>
      <c r="D636" s="273">
        <f t="shared" si="126"/>
        <v>0</v>
      </c>
      <c r="E636" s="273"/>
      <c r="F636" s="273"/>
      <c r="G636" s="273"/>
      <c r="H636" s="273"/>
      <c r="I636" s="273"/>
      <c r="J636" s="50"/>
      <c r="K636" s="273"/>
      <c r="L636" s="273"/>
      <c r="M636" s="273"/>
      <c r="N636" s="273"/>
      <c r="O636" s="273"/>
      <c r="P636" s="273"/>
      <c r="Q636" s="273">
        <v>3750</v>
      </c>
      <c r="R636" s="273">
        <v>8785960.8000000007</v>
      </c>
      <c r="S636" s="273"/>
      <c r="T636" s="273"/>
      <c r="U636" s="273"/>
      <c r="V636" s="273"/>
      <c r="W636" s="273"/>
      <c r="X636" s="283"/>
      <c r="Y636" s="273"/>
      <c r="Z636" s="273"/>
      <c r="AA636" s="14"/>
      <c r="AB636" s="15"/>
      <c r="AC636" s="15"/>
      <c r="AD636" s="15"/>
      <c r="AE636" s="15"/>
    </row>
    <row r="637" spans="1:31" x14ac:dyDescent="0.3">
      <c r="A637" s="259">
        <f t="shared" si="129"/>
        <v>488</v>
      </c>
      <c r="B637" s="20" t="s">
        <v>2050</v>
      </c>
      <c r="C637" s="273">
        <f t="shared" si="128"/>
        <v>2620821.6</v>
      </c>
      <c r="D637" s="273">
        <f t="shared" si="126"/>
        <v>0</v>
      </c>
      <c r="E637" s="273"/>
      <c r="F637" s="273"/>
      <c r="G637" s="273"/>
      <c r="H637" s="273"/>
      <c r="I637" s="273"/>
      <c r="J637" s="50"/>
      <c r="K637" s="273"/>
      <c r="L637" s="273"/>
      <c r="M637" s="273"/>
      <c r="N637" s="273"/>
      <c r="O637" s="273"/>
      <c r="P637" s="273"/>
      <c r="Q637" s="273">
        <v>611.4</v>
      </c>
      <c r="R637" s="273">
        <v>2620821.6</v>
      </c>
      <c r="S637" s="273"/>
      <c r="T637" s="273"/>
      <c r="U637" s="273"/>
      <c r="V637" s="273"/>
      <c r="W637" s="273"/>
      <c r="X637" s="283"/>
      <c r="Y637" s="273"/>
      <c r="Z637" s="273"/>
      <c r="AA637" s="14"/>
      <c r="AB637" s="273"/>
      <c r="AC637" s="15"/>
      <c r="AD637" s="15"/>
      <c r="AE637" s="15"/>
    </row>
    <row r="638" spans="1:31" x14ac:dyDescent="0.3">
      <c r="A638" s="259">
        <f t="shared" si="129"/>
        <v>489</v>
      </c>
      <c r="B638" s="20" t="s">
        <v>2052</v>
      </c>
      <c r="C638" s="273">
        <f t="shared" si="128"/>
        <v>182039</v>
      </c>
      <c r="D638" s="273">
        <f t="shared" si="126"/>
        <v>0</v>
      </c>
      <c r="E638" s="273"/>
      <c r="F638" s="273"/>
      <c r="G638" s="273"/>
      <c r="H638" s="273"/>
      <c r="I638" s="273"/>
      <c r="J638" s="50"/>
      <c r="K638" s="273"/>
      <c r="L638" s="273"/>
      <c r="M638" s="273"/>
      <c r="N638" s="273"/>
      <c r="O638" s="273"/>
      <c r="P638" s="273"/>
      <c r="Q638" s="273">
        <v>13</v>
      </c>
      <c r="R638" s="273">
        <f>Q638*14003</f>
        <v>182039</v>
      </c>
      <c r="S638" s="273"/>
      <c r="T638" s="273"/>
      <c r="U638" s="273"/>
      <c r="V638" s="273"/>
      <c r="W638" s="273"/>
      <c r="X638" s="283"/>
      <c r="Y638" s="273"/>
      <c r="Z638" s="273"/>
      <c r="AA638" s="14"/>
      <c r="AB638" s="15"/>
      <c r="AC638" s="15"/>
      <c r="AD638" s="15"/>
      <c r="AE638" s="15"/>
    </row>
    <row r="639" spans="1:31" ht="31.2" x14ac:dyDescent="0.3">
      <c r="A639" s="259">
        <f t="shared" si="129"/>
        <v>490</v>
      </c>
      <c r="B639" s="20" t="s">
        <v>2056</v>
      </c>
      <c r="C639" s="273">
        <f t="shared" si="128"/>
        <v>182039</v>
      </c>
      <c r="D639" s="273">
        <f t="shared" si="126"/>
        <v>0</v>
      </c>
      <c r="E639" s="273"/>
      <c r="F639" s="273"/>
      <c r="G639" s="273"/>
      <c r="H639" s="273"/>
      <c r="I639" s="273"/>
      <c r="J639" s="50"/>
      <c r="K639" s="273"/>
      <c r="L639" s="273"/>
      <c r="M639" s="273"/>
      <c r="N639" s="273"/>
      <c r="O639" s="273"/>
      <c r="P639" s="273"/>
      <c r="Q639" s="273">
        <v>13</v>
      </c>
      <c r="R639" s="273">
        <f>Q639*14003</f>
        <v>182039</v>
      </c>
      <c r="S639" s="273"/>
      <c r="T639" s="273"/>
      <c r="U639" s="273"/>
      <c r="V639" s="273"/>
      <c r="W639" s="273"/>
      <c r="X639" s="283"/>
      <c r="Y639" s="273"/>
      <c r="Z639" s="273"/>
      <c r="AA639" s="273"/>
      <c r="AB639" s="15"/>
      <c r="AC639" s="15"/>
      <c r="AD639" s="15"/>
      <c r="AE639" s="15"/>
    </row>
    <row r="640" spans="1:31" x14ac:dyDescent="0.3">
      <c r="A640" s="259">
        <f t="shared" si="129"/>
        <v>491</v>
      </c>
      <c r="B640" s="20" t="s">
        <v>2059</v>
      </c>
      <c r="C640" s="273">
        <f t="shared" si="128"/>
        <v>31965334</v>
      </c>
      <c r="D640" s="273">
        <f t="shared" si="126"/>
        <v>0</v>
      </c>
      <c r="E640" s="273"/>
      <c r="F640" s="273"/>
      <c r="G640" s="273"/>
      <c r="H640" s="273"/>
      <c r="I640" s="273"/>
      <c r="J640" s="50"/>
      <c r="K640" s="273"/>
      <c r="L640" s="273"/>
      <c r="M640" s="273">
        <v>1320</v>
      </c>
      <c r="N640" s="273">
        <v>11214720</v>
      </c>
      <c r="O640" s="273"/>
      <c r="P640" s="273"/>
      <c r="Q640" s="273">
        <v>2153</v>
      </c>
      <c r="R640" s="273">
        <v>20750614</v>
      </c>
      <c r="S640" s="273"/>
      <c r="T640" s="273"/>
      <c r="U640" s="273"/>
      <c r="V640" s="273"/>
      <c r="W640" s="273"/>
      <c r="X640" s="283"/>
      <c r="Y640" s="273"/>
      <c r="Z640" s="273"/>
      <c r="AA640" s="273"/>
      <c r="AB640" s="15"/>
      <c r="AC640" s="15"/>
      <c r="AD640" s="15"/>
      <c r="AE640" s="15"/>
    </row>
    <row r="641" spans="1:32" x14ac:dyDescent="0.3">
      <c r="A641" s="259">
        <f t="shared" si="129"/>
        <v>492</v>
      </c>
      <c r="B641" s="20" t="s">
        <v>2069</v>
      </c>
      <c r="C641" s="273">
        <f t="shared" si="128"/>
        <v>7030806</v>
      </c>
      <c r="D641" s="273">
        <f t="shared" si="126"/>
        <v>0</v>
      </c>
      <c r="E641" s="273"/>
      <c r="F641" s="273"/>
      <c r="G641" s="273"/>
      <c r="H641" s="273"/>
      <c r="I641" s="273"/>
      <c r="J641" s="50"/>
      <c r="K641" s="273"/>
      <c r="L641" s="273"/>
      <c r="M641" s="273"/>
      <c r="N641" s="273"/>
      <c r="O641" s="273"/>
      <c r="P641" s="273"/>
      <c r="Q641" s="273">
        <v>1210.2</v>
      </c>
      <c r="R641" s="273">
        <v>7030806</v>
      </c>
      <c r="S641" s="273"/>
      <c r="T641" s="273"/>
      <c r="U641" s="273"/>
      <c r="V641" s="273"/>
      <c r="W641" s="273"/>
      <c r="X641" s="283"/>
      <c r="Y641" s="273"/>
      <c r="Z641" s="273"/>
      <c r="AA641" s="273"/>
      <c r="AB641" s="273"/>
      <c r="AC641" s="15"/>
      <c r="AD641" s="15"/>
      <c r="AE641" s="15"/>
    </row>
    <row r="642" spans="1:32" x14ac:dyDescent="0.3">
      <c r="A642" s="259">
        <f t="shared" si="129"/>
        <v>493</v>
      </c>
      <c r="B642" s="20" t="s">
        <v>2070</v>
      </c>
      <c r="C642" s="273">
        <f t="shared" si="128"/>
        <v>14766710.4</v>
      </c>
      <c r="D642" s="273">
        <f t="shared" si="126"/>
        <v>0</v>
      </c>
      <c r="E642" s="273"/>
      <c r="F642" s="273"/>
      <c r="G642" s="273"/>
      <c r="H642" s="273"/>
      <c r="I642" s="273"/>
      <c r="J642" s="50"/>
      <c r="K642" s="273"/>
      <c r="L642" s="273"/>
      <c r="M642" s="273"/>
      <c r="N642" s="273"/>
      <c r="O642" s="273"/>
      <c r="P642" s="273"/>
      <c r="Q642" s="273">
        <v>2570</v>
      </c>
      <c r="R642" s="273">
        <v>14766710.4</v>
      </c>
      <c r="S642" s="273"/>
      <c r="T642" s="273"/>
      <c r="U642" s="273"/>
      <c r="V642" s="273"/>
      <c r="W642" s="273"/>
      <c r="X642" s="283"/>
      <c r="Y642" s="273"/>
      <c r="Z642" s="273"/>
      <c r="AA642" s="273"/>
      <c r="AB642" s="273"/>
      <c r="AC642" s="15"/>
      <c r="AD642" s="15"/>
      <c r="AE642" s="15"/>
    </row>
    <row r="643" spans="1:32" x14ac:dyDescent="0.3">
      <c r="A643" s="437" t="s">
        <v>208</v>
      </c>
      <c r="B643" s="438"/>
      <c r="C643" s="273">
        <f>SUM(C602:C642)</f>
        <v>340769958.80000001</v>
      </c>
      <c r="D643" s="273">
        <f t="shared" ref="D643:W643" si="130">SUM(D606:D642)</f>
        <v>2942179.2</v>
      </c>
      <c r="E643" s="273">
        <f t="shared" si="130"/>
        <v>0</v>
      </c>
      <c r="F643" s="273">
        <f t="shared" si="130"/>
        <v>2604027.6</v>
      </c>
      <c r="G643" s="273">
        <f t="shared" si="130"/>
        <v>338151.6</v>
      </c>
      <c r="H643" s="273">
        <f t="shared" si="130"/>
        <v>0</v>
      </c>
      <c r="I643" s="273">
        <f t="shared" si="130"/>
        <v>0</v>
      </c>
      <c r="J643" s="50">
        <f t="shared" si="130"/>
        <v>0</v>
      </c>
      <c r="K643" s="273">
        <f t="shared" si="130"/>
        <v>0</v>
      </c>
      <c r="L643" s="273">
        <f t="shared" si="130"/>
        <v>0</v>
      </c>
      <c r="M643" s="273">
        <f t="shared" si="130"/>
        <v>4740.2</v>
      </c>
      <c r="N643" s="273">
        <f t="shared" si="130"/>
        <v>51076698.600000001</v>
      </c>
      <c r="O643" s="273">
        <f t="shared" si="130"/>
        <v>0</v>
      </c>
      <c r="P643" s="273">
        <f t="shared" si="130"/>
        <v>0</v>
      </c>
      <c r="Q643" s="273">
        <f t="shared" si="130"/>
        <v>50533.029999999992</v>
      </c>
      <c r="R643" s="273">
        <f t="shared" si="130"/>
        <v>276194931.54000002</v>
      </c>
      <c r="S643" s="273">
        <f t="shared" si="130"/>
        <v>0</v>
      </c>
      <c r="T643" s="273">
        <f t="shared" si="130"/>
        <v>164.2</v>
      </c>
      <c r="U643" s="273">
        <f t="shared" si="130"/>
        <v>1952337.9999999998</v>
      </c>
      <c r="V643" s="273">
        <f t="shared" si="130"/>
        <v>0</v>
      </c>
      <c r="W643" s="273">
        <f t="shared" si="130"/>
        <v>0</v>
      </c>
      <c r="X643" s="283"/>
      <c r="Y643" s="273"/>
      <c r="Z643" s="273"/>
      <c r="AA643" s="14"/>
      <c r="AB643" s="15"/>
      <c r="AC643" s="15"/>
      <c r="AD643" s="15"/>
      <c r="AE643" s="15"/>
    </row>
    <row r="644" spans="1:32" x14ac:dyDescent="0.3">
      <c r="A644" s="249" t="s">
        <v>2074</v>
      </c>
      <c r="B644" s="39"/>
      <c r="C644" s="273"/>
      <c r="D644" s="273"/>
      <c r="E644" s="273"/>
      <c r="F644" s="273"/>
      <c r="G644" s="273"/>
      <c r="H644" s="273"/>
      <c r="I644" s="273"/>
      <c r="J644" s="50"/>
      <c r="K644" s="273"/>
      <c r="L644" s="273"/>
      <c r="M644" s="273"/>
      <c r="N644" s="273"/>
      <c r="O644" s="273"/>
      <c r="P644" s="273"/>
      <c r="Q644" s="273"/>
      <c r="R644" s="273"/>
      <c r="S644" s="273"/>
      <c r="T644" s="273"/>
      <c r="U644" s="273"/>
      <c r="V644" s="273"/>
      <c r="W644" s="273"/>
      <c r="X644" s="283"/>
      <c r="Y644" s="273"/>
      <c r="Z644" s="273"/>
      <c r="AA644" s="14"/>
      <c r="AB644" s="15"/>
      <c r="AC644" s="15"/>
      <c r="AD644" s="15"/>
      <c r="AE644" s="15"/>
    </row>
    <row r="645" spans="1:32" x14ac:dyDescent="0.3">
      <c r="A645" s="259">
        <f>A642+1</f>
        <v>494</v>
      </c>
      <c r="B645" s="20" t="s">
        <v>2075</v>
      </c>
      <c r="C645" s="273">
        <f>D645+K645+L645+N645+P645+R645+S645+U645+V645+W645</f>
        <v>193730.98</v>
      </c>
      <c r="D645" s="273">
        <f t="shared" ref="D645" si="131">E645+F645+G645+H645+I645</f>
        <v>0</v>
      </c>
      <c r="E645" s="273"/>
      <c r="F645" s="273"/>
      <c r="G645" s="273"/>
      <c r="H645" s="273"/>
      <c r="I645" s="273"/>
      <c r="J645" s="50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273"/>
      <c r="W645" s="273">
        <f>SUM(Y645:AF645)</f>
        <v>193730.98</v>
      </c>
      <c r="X645" s="283"/>
      <c r="Y645" s="273"/>
      <c r="AC645" s="15"/>
      <c r="AD645" s="273">
        <v>193730.98</v>
      </c>
      <c r="AE645" s="273"/>
      <c r="AF645" s="273"/>
    </row>
    <row r="646" spans="1:32" x14ac:dyDescent="0.3">
      <c r="A646" s="259">
        <f>A645+1</f>
        <v>495</v>
      </c>
      <c r="B646" s="20" t="s">
        <v>2076</v>
      </c>
      <c r="C646" s="273">
        <f>D646+K646+L646+N646+P646+R646+S646+U646+V646+W646</f>
        <v>986370.44</v>
      </c>
      <c r="D646" s="273"/>
      <c r="E646" s="273"/>
      <c r="F646" s="273"/>
      <c r="G646" s="273"/>
      <c r="H646" s="273"/>
      <c r="I646" s="273"/>
      <c r="J646" s="50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>
        <f t="shared" ref="W646:W647" si="132">SUM(Y646:AF646)</f>
        <v>986370.44</v>
      </c>
      <c r="X646" s="283"/>
      <c r="Y646" s="273"/>
      <c r="AC646" s="15"/>
      <c r="AD646" s="273"/>
      <c r="AE646" s="14"/>
      <c r="AF646" s="273">
        <v>986370.44</v>
      </c>
    </row>
    <row r="647" spans="1:32" x14ac:dyDescent="0.3">
      <c r="A647" s="259">
        <f>A646+1</f>
        <v>496</v>
      </c>
      <c r="B647" s="20" t="s">
        <v>2077</v>
      </c>
      <c r="C647" s="273">
        <f>D647+K647+L647+N647+P647+R647+S647+U647+V647+W647</f>
        <v>844529.45</v>
      </c>
      <c r="D647" s="273"/>
      <c r="E647" s="273"/>
      <c r="F647" s="273"/>
      <c r="G647" s="273"/>
      <c r="H647" s="273"/>
      <c r="I647" s="273"/>
      <c r="J647" s="50"/>
      <c r="K647" s="273"/>
      <c r="L647" s="273"/>
      <c r="M647" s="273"/>
      <c r="N647" s="273"/>
      <c r="O647" s="273"/>
      <c r="P647" s="273"/>
      <c r="Q647" s="273"/>
      <c r="R647" s="273"/>
      <c r="S647" s="273"/>
      <c r="T647" s="273"/>
      <c r="U647" s="273"/>
      <c r="V647" s="273"/>
      <c r="W647" s="273">
        <f t="shared" si="132"/>
        <v>844529.45</v>
      </c>
      <c r="X647" s="283"/>
      <c r="Y647" s="273"/>
      <c r="AC647" s="15"/>
      <c r="AD647" s="273"/>
      <c r="AE647" s="14"/>
      <c r="AF647" s="273">
        <v>844529.45</v>
      </c>
    </row>
    <row r="648" spans="1:32" x14ac:dyDescent="0.3">
      <c r="A648" s="437" t="s">
        <v>208</v>
      </c>
      <c r="B648" s="438"/>
      <c r="C648" s="273">
        <f t="shared" ref="C648:W648" si="133">SUM(C645:C647)</f>
        <v>2024630.8699999999</v>
      </c>
      <c r="D648" s="273">
        <f t="shared" si="133"/>
        <v>0</v>
      </c>
      <c r="E648" s="273">
        <f t="shared" si="133"/>
        <v>0</v>
      </c>
      <c r="F648" s="273">
        <f t="shared" si="133"/>
        <v>0</v>
      </c>
      <c r="G648" s="273">
        <f t="shared" si="133"/>
        <v>0</v>
      </c>
      <c r="H648" s="273">
        <f t="shared" si="133"/>
        <v>0</v>
      </c>
      <c r="I648" s="273">
        <f t="shared" si="133"/>
        <v>0</v>
      </c>
      <c r="J648" s="50">
        <f t="shared" si="133"/>
        <v>0</v>
      </c>
      <c r="K648" s="273">
        <f t="shared" si="133"/>
        <v>0</v>
      </c>
      <c r="L648" s="273">
        <f t="shared" si="133"/>
        <v>0</v>
      </c>
      <c r="M648" s="273">
        <f t="shared" si="133"/>
        <v>0</v>
      </c>
      <c r="N648" s="273">
        <f t="shared" si="133"/>
        <v>0</v>
      </c>
      <c r="O648" s="273">
        <f t="shared" si="133"/>
        <v>0</v>
      </c>
      <c r="P648" s="273">
        <f t="shared" si="133"/>
        <v>0</v>
      </c>
      <c r="Q648" s="273">
        <f t="shared" si="133"/>
        <v>0</v>
      </c>
      <c r="R648" s="273">
        <f t="shared" si="133"/>
        <v>0</v>
      </c>
      <c r="S648" s="273">
        <f t="shared" si="133"/>
        <v>0</v>
      </c>
      <c r="T648" s="273">
        <f t="shared" si="133"/>
        <v>0</v>
      </c>
      <c r="U648" s="273">
        <f t="shared" si="133"/>
        <v>0</v>
      </c>
      <c r="V648" s="273">
        <f t="shared" si="133"/>
        <v>0</v>
      </c>
      <c r="W648" s="273">
        <f t="shared" si="133"/>
        <v>2024630.8699999999</v>
      </c>
      <c r="X648" s="283"/>
      <c r="Y648" s="273"/>
      <c r="Z648" s="273"/>
      <c r="AA648" s="14"/>
      <c r="AB648" s="15"/>
      <c r="AC648" s="15"/>
      <c r="AD648" s="15"/>
      <c r="AE648" s="15"/>
    </row>
    <row r="649" spans="1:32" x14ac:dyDescent="0.3">
      <c r="A649" s="324" t="s">
        <v>2078</v>
      </c>
      <c r="B649" s="326"/>
      <c r="C649" s="251">
        <f t="shared" ref="C649:W649" si="134">C648+C643+C600</f>
        <v>342924589.67000002</v>
      </c>
      <c r="D649" s="251">
        <f t="shared" si="134"/>
        <v>2942179.2</v>
      </c>
      <c r="E649" s="251">
        <f t="shared" si="134"/>
        <v>0</v>
      </c>
      <c r="F649" s="251">
        <f t="shared" si="134"/>
        <v>2604027.6</v>
      </c>
      <c r="G649" s="251">
        <f t="shared" si="134"/>
        <v>338151.6</v>
      </c>
      <c r="H649" s="251">
        <f t="shared" si="134"/>
        <v>0</v>
      </c>
      <c r="I649" s="251">
        <f t="shared" si="134"/>
        <v>0</v>
      </c>
      <c r="J649" s="57">
        <f t="shared" si="134"/>
        <v>0</v>
      </c>
      <c r="K649" s="251">
        <f t="shared" si="134"/>
        <v>0</v>
      </c>
      <c r="L649" s="251">
        <f t="shared" si="134"/>
        <v>0</v>
      </c>
      <c r="M649" s="251">
        <f t="shared" si="134"/>
        <v>4740.2</v>
      </c>
      <c r="N649" s="251">
        <f t="shared" si="134"/>
        <v>51076698.600000001</v>
      </c>
      <c r="O649" s="251">
        <f t="shared" si="134"/>
        <v>0</v>
      </c>
      <c r="P649" s="251">
        <f t="shared" si="134"/>
        <v>0</v>
      </c>
      <c r="Q649" s="251">
        <f t="shared" si="134"/>
        <v>50533.029999999992</v>
      </c>
      <c r="R649" s="251">
        <f t="shared" si="134"/>
        <v>276194931.54000002</v>
      </c>
      <c r="S649" s="251">
        <f t="shared" si="134"/>
        <v>0</v>
      </c>
      <c r="T649" s="251">
        <f t="shared" si="134"/>
        <v>164.2</v>
      </c>
      <c r="U649" s="251">
        <f t="shared" si="134"/>
        <v>1952337.9999999998</v>
      </c>
      <c r="V649" s="251">
        <f t="shared" si="134"/>
        <v>0</v>
      </c>
      <c r="W649" s="251">
        <f t="shared" si="134"/>
        <v>2154630.87</v>
      </c>
      <c r="X649" s="283"/>
      <c r="Y649" s="273"/>
      <c r="Z649" s="273"/>
      <c r="AA649" s="14"/>
      <c r="AB649" s="15"/>
      <c r="AC649" s="15"/>
      <c r="AD649" s="15"/>
      <c r="AE649" s="15"/>
    </row>
    <row r="650" spans="1:32" x14ac:dyDescent="0.3">
      <c r="A650" s="303" t="s">
        <v>2079</v>
      </c>
      <c r="B650" s="303"/>
      <c r="C650" s="303"/>
      <c r="D650" s="303"/>
      <c r="E650" s="303"/>
      <c r="F650" s="303"/>
      <c r="G650" s="303"/>
      <c r="H650" s="303"/>
      <c r="I650" s="303"/>
      <c r="J650" s="303"/>
      <c r="K650" s="303"/>
      <c r="L650" s="303"/>
      <c r="M650" s="303"/>
      <c r="N650" s="303"/>
      <c r="O650" s="303"/>
      <c r="P650" s="303"/>
      <c r="Q650" s="303"/>
      <c r="R650" s="303"/>
      <c r="S650" s="303"/>
      <c r="T650" s="303"/>
      <c r="U650" s="303"/>
      <c r="V650" s="303"/>
      <c r="W650" s="303"/>
      <c r="X650" s="271"/>
      <c r="Y650" s="269"/>
      <c r="Z650" s="7"/>
      <c r="AA650" s="3"/>
      <c r="AB650" s="13"/>
      <c r="AC650" s="13"/>
    </row>
    <row r="651" spans="1:32" x14ac:dyDescent="0.3">
      <c r="A651" s="301" t="s">
        <v>2080</v>
      </c>
      <c r="B651" s="301"/>
      <c r="C651" s="273"/>
      <c r="D651" s="273"/>
      <c r="E651" s="273"/>
      <c r="F651" s="273"/>
      <c r="G651" s="273"/>
      <c r="H651" s="273"/>
      <c r="I651" s="273"/>
      <c r="J651" s="50"/>
      <c r="K651" s="273"/>
      <c r="L651" s="273"/>
      <c r="M651" s="273"/>
      <c r="N651" s="273"/>
      <c r="O651" s="273"/>
      <c r="P651" s="273"/>
      <c r="Q651" s="273"/>
      <c r="R651" s="273"/>
      <c r="S651" s="273"/>
      <c r="T651" s="273"/>
      <c r="U651" s="273"/>
      <c r="V651" s="273"/>
      <c r="W651" s="273"/>
      <c r="X651" s="271"/>
      <c r="Y651" s="269"/>
      <c r="Z651" s="7"/>
      <c r="AA651" s="3"/>
      <c r="AB651" s="13"/>
      <c r="AC651" s="13"/>
    </row>
    <row r="652" spans="1:32" x14ac:dyDescent="0.3">
      <c r="A652" s="259">
        <f>A647+1</f>
        <v>497</v>
      </c>
      <c r="B652" s="20" t="s">
        <v>2082</v>
      </c>
      <c r="C652" s="273">
        <f>D652+K652+L652+N652+P652+R652+S652+U652+V652+W652</f>
        <v>130000</v>
      </c>
      <c r="D652" s="273">
        <f t="shared" ref="D652" si="135">E652+F652+G652+H652+I652</f>
        <v>0</v>
      </c>
      <c r="E652" s="273"/>
      <c r="F652" s="273"/>
      <c r="G652" s="273"/>
      <c r="H652" s="273"/>
      <c r="I652" s="273"/>
      <c r="J652" s="50"/>
      <c r="K652" s="273"/>
      <c r="L652" s="273"/>
      <c r="M652" s="273"/>
      <c r="N652" s="273"/>
      <c r="O652" s="273"/>
      <c r="P652" s="273"/>
      <c r="Q652" s="273"/>
      <c r="R652" s="273"/>
      <c r="S652" s="273"/>
      <c r="T652" s="273"/>
      <c r="U652" s="273"/>
      <c r="V652" s="273"/>
      <c r="W652" s="273">
        <v>130000</v>
      </c>
      <c r="X652" s="271"/>
      <c r="Y652" s="269"/>
      <c r="Z652" s="7"/>
      <c r="AA652" s="3"/>
      <c r="AB652" s="13"/>
      <c r="AC652" s="13"/>
    </row>
    <row r="653" spans="1:32" x14ac:dyDescent="0.3">
      <c r="A653" s="259">
        <f>A652+1</f>
        <v>498</v>
      </c>
      <c r="B653" s="20" t="s">
        <v>2083</v>
      </c>
      <c r="C653" s="273">
        <f>D653+K653+L653+N653+P653+R653+S653+U653+V653+W653</f>
        <v>130000</v>
      </c>
      <c r="D653" s="273"/>
      <c r="E653" s="273"/>
      <c r="F653" s="273"/>
      <c r="G653" s="273"/>
      <c r="H653" s="273"/>
      <c r="I653" s="273"/>
      <c r="J653" s="50"/>
      <c r="K653" s="273"/>
      <c r="L653" s="273"/>
      <c r="M653" s="273"/>
      <c r="N653" s="273"/>
      <c r="O653" s="273"/>
      <c r="P653" s="273"/>
      <c r="Q653" s="273"/>
      <c r="R653" s="273"/>
      <c r="S653" s="273"/>
      <c r="T653" s="273"/>
      <c r="U653" s="273"/>
      <c r="V653" s="273"/>
      <c r="W653" s="273">
        <v>130000</v>
      </c>
      <c r="X653" s="271"/>
      <c r="Y653" s="269"/>
      <c r="Z653" s="7"/>
      <c r="AA653" s="3"/>
      <c r="AB653" s="13"/>
      <c r="AC653" s="13"/>
    </row>
    <row r="654" spans="1:32" x14ac:dyDescent="0.3">
      <c r="A654" s="302" t="s">
        <v>208</v>
      </c>
      <c r="B654" s="302"/>
      <c r="C654" s="273">
        <f t="shared" ref="C654:W654" si="136">SUM(C652:C653)</f>
        <v>260000</v>
      </c>
      <c r="D654" s="273">
        <f t="shared" si="136"/>
        <v>0</v>
      </c>
      <c r="E654" s="273">
        <f t="shared" si="136"/>
        <v>0</v>
      </c>
      <c r="F654" s="273">
        <f t="shared" si="136"/>
        <v>0</v>
      </c>
      <c r="G654" s="273">
        <f t="shared" si="136"/>
        <v>0</v>
      </c>
      <c r="H654" s="273">
        <f t="shared" si="136"/>
        <v>0</v>
      </c>
      <c r="I654" s="273">
        <f t="shared" si="136"/>
        <v>0</v>
      </c>
      <c r="J654" s="50">
        <f t="shared" si="136"/>
        <v>0</v>
      </c>
      <c r="K654" s="273">
        <f t="shared" si="136"/>
        <v>0</v>
      </c>
      <c r="L654" s="273">
        <f t="shared" si="136"/>
        <v>0</v>
      </c>
      <c r="M654" s="273">
        <f t="shared" si="136"/>
        <v>0</v>
      </c>
      <c r="N654" s="273">
        <f t="shared" si="136"/>
        <v>0</v>
      </c>
      <c r="O654" s="273">
        <f t="shared" si="136"/>
        <v>0</v>
      </c>
      <c r="P654" s="273">
        <f t="shared" si="136"/>
        <v>0</v>
      </c>
      <c r="Q654" s="273">
        <f t="shared" si="136"/>
        <v>0</v>
      </c>
      <c r="R654" s="273">
        <f t="shared" si="136"/>
        <v>0</v>
      </c>
      <c r="S654" s="273">
        <f t="shared" si="136"/>
        <v>0</v>
      </c>
      <c r="T654" s="273">
        <f t="shared" si="136"/>
        <v>0</v>
      </c>
      <c r="U654" s="273">
        <f t="shared" si="136"/>
        <v>0</v>
      </c>
      <c r="V654" s="273">
        <f t="shared" si="136"/>
        <v>0</v>
      </c>
      <c r="W654" s="273">
        <f t="shared" si="136"/>
        <v>260000</v>
      </c>
      <c r="X654" s="271"/>
      <c r="Y654" s="269"/>
      <c r="Z654" s="7"/>
      <c r="AA654" s="3"/>
      <c r="AB654" s="13"/>
      <c r="AC654" s="13"/>
    </row>
    <row r="655" spans="1:32" ht="16.5" customHeight="1" x14ac:dyDescent="0.3">
      <c r="A655" s="301" t="s">
        <v>2084</v>
      </c>
      <c r="B655" s="301"/>
      <c r="C655" s="273"/>
      <c r="D655" s="273"/>
      <c r="E655" s="273"/>
      <c r="F655" s="273"/>
      <c r="G655" s="273"/>
      <c r="H655" s="273"/>
      <c r="I655" s="273"/>
      <c r="J655" s="50"/>
      <c r="K655" s="273"/>
      <c r="L655" s="273"/>
      <c r="M655" s="273"/>
      <c r="N655" s="273"/>
      <c r="O655" s="273"/>
      <c r="P655" s="273"/>
      <c r="Q655" s="273"/>
      <c r="R655" s="273"/>
      <c r="S655" s="273"/>
      <c r="T655" s="273"/>
      <c r="U655" s="273"/>
      <c r="V655" s="273"/>
      <c r="W655" s="273"/>
      <c r="X655" s="271"/>
      <c r="Y655" s="269"/>
      <c r="Z655" s="7"/>
      <c r="AA655" s="3"/>
      <c r="AB655" s="13"/>
      <c r="AC655" s="13"/>
    </row>
    <row r="656" spans="1:32" x14ac:dyDescent="0.3">
      <c r="A656" s="259">
        <f>A653+1</f>
        <v>499</v>
      </c>
      <c r="B656" s="20" t="s">
        <v>2094</v>
      </c>
      <c r="C656" s="273">
        <f>D656+K656+L656+N656+P656+R656+S656+U656+V656+W656</f>
        <v>17114338.800000001</v>
      </c>
      <c r="D656" s="273"/>
      <c r="E656" s="273"/>
      <c r="F656" s="273"/>
      <c r="G656" s="273"/>
      <c r="H656" s="273"/>
      <c r="I656" s="273"/>
      <c r="J656" s="50"/>
      <c r="K656" s="273"/>
      <c r="L656" s="273"/>
      <c r="M656" s="273"/>
      <c r="N656" s="273"/>
      <c r="O656" s="273"/>
      <c r="P656" s="273"/>
      <c r="Q656" s="273">
        <v>2327</v>
      </c>
      <c r="R656" s="273">
        <v>17114338.800000001</v>
      </c>
      <c r="S656" s="273"/>
      <c r="T656" s="273"/>
      <c r="U656" s="273"/>
      <c r="V656" s="273"/>
      <c r="W656" s="273"/>
      <c r="X656" s="271"/>
      <c r="Y656" s="269"/>
      <c r="Z656" s="84"/>
      <c r="AA656" s="269"/>
      <c r="AB656" s="82"/>
      <c r="AC656" s="82"/>
    </row>
    <row r="657" spans="1:32" x14ac:dyDescent="0.3">
      <c r="A657" s="259">
        <f>A656+1</f>
        <v>500</v>
      </c>
      <c r="B657" s="20" t="s">
        <v>2097</v>
      </c>
      <c r="C657" s="273">
        <f>D657+K657+L657+N657+P657+R657+S657+U657+V657+W657</f>
        <v>17927456.100000001</v>
      </c>
      <c r="D657" s="273"/>
      <c r="E657" s="273"/>
      <c r="F657" s="273"/>
      <c r="G657" s="273"/>
      <c r="H657" s="273"/>
      <c r="I657" s="273"/>
      <c r="J657" s="50"/>
      <c r="K657" s="273"/>
      <c r="L657" s="273"/>
      <c r="M657" s="273"/>
      <c r="N657" s="273"/>
      <c r="O657" s="273"/>
      <c r="P657" s="273"/>
      <c r="Q657" s="273">
        <v>1543</v>
      </c>
      <c r="R657" s="273">
        <v>16308234.300000001</v>
      </c>
      <c r="S657" s="273"/>
      <c r="T657" s="273"/>
      <c r="U657" s="273"/>
      <c r="V657" s="273">
        <v>1619221.8</v>
      </c>
      <c r="W657" s="273"/>
      <c r="X657" s="271"/>
      <c r="Y657" s="269"/>
      <c r="Z657" s="84"/>
      <c r="AA657" s="269"/>
      <c r="AB657" s="82"/>
      <c r="AC657" s="82"/>
    </row>
    <row r="658" spans="1:32" x14ac:dyDescent="0.3">
      <c r="A658" s="302" t="s">
        <v>208</v>
      </c>
      <c r="B658" s="302"/>
      <c r="C658" s="273">
        <f t="shared" ref="C658:W658" si="137">SUM(C656:C657)</f>
        <v>35041794.900000006</v>
      </c>
      <c r="D658" s="273">
        <f t="shared" si="137"/>
        <v>0</v>
      </c>
      <c r="E658" s="273">
        <f t="shared" si="137"/>
        <v>0</v>
      </c>
      <c r="F658" s="273">
        <f t="shared" si="137"/>
        <v>0</v>
      </c>
      <c r="G658" s="273">
        <f t="shared" si="137"/>
        <v>0</v>
      </c>
      <c r="H658" s="273">
        <f t="shared" si="137"/>
        <v>0</v>
      </c>
      <c r="I658" s="273">
        <f t="shared" si="137"/>
        <v>0</v>
      </c>
      <c r="J658" s="50">
        <f t="shared" si="137"/>
        <v>0</v>
      </c>
      <c r="K658" s="273">
        <f t="shared" si="137"/>
        <v>0</v>
      </c>
      <c r="L658" s="273">
        <f t="shared" si="137"/>
        <v>0</v>
      </c>
      <c r="M658" s="273">
        <f t="shared" si="137"/>
        <v>0</v>
      </c>
      <c r="N658" s="273">
        <f t="shared" si="137"/>
        <v>0</v>
      </c>
      <c r="O658" s="273">
        <f t="shared" si="137"/>
        <v>0</v>
      </c>
      <c r="P658" s="273">
        <f t="shared" si="137"/>
        <v>0</v>
      </c>
      <c r="Q658" s="273">
        <f t="shared" si="137"/>
        <v>3870</v>
      </c>
      <c r="R658" s="273">
        <f t="shared" si="137"/>
        <v>33422573.100000001</v>
      </c>
      <c r="S658" s="273">
        <f t="shared" si="137"/>
        <v>0</v>
      </c>
      <c r="T658" s="273">
        <f t="shared" si="137"/>
        <v>0</v>
      </c>
      <c r="U658" s="273">
        <f t="shared" si="137"/>
        <v>0</v>
      </c>
      <c r="V658" s="273">
        <f t="shared" si="137"/>
        <v>1619221.8</v>
      </c>
      <c r="W658" s="273">
        <f t="shared" si="137"/>
        <v>0</v>
      </c>
      <c r="X658" s="271"/>
      <c r="Y658" s="269"/>
      <c r="Z658" s="84"/>
      <c r="AA658" s="269"/>
      <c r="AB658" s="82"/>
      <c r="AC658" s="82"/>
    </row>
    <row r="659" spans="1:32" x14ac:dyDescent="0.3">
      <c r="A659" s="301" t="s">
        <v>2105</v>
      </c>
      <c r="B659" s="301"/>
      <c r="C659" s="273"/>
      <c r="D659" s="273"/>
      <c r="E659" s="273"/>
      <c r="F659" s="273"/>
      <c r="G659" s="273"/>
      <c r="H659" s="273"/>
      <c r="I659" s="273"/>
      <c r="J659" s="50"/>
      <c r="K659" s="273"/>
      <c r="L659" s="273"/>
      <c r="M659" s="273"/>
      <c r="N659" s="273"/>
      <c r="O659" s="273"/>
      <c r="P659" s="273"/>
      <c r="Q659" s="273"/>
      <c r="R659" s="273"/>
      <c r="S659" s="273"/>
      <c r="T659" s="273"/>
      <c r="U659" s="273"/>
      <c r="V659" s="273"/>
      <c r="W659" s="273"/>
      <c r="X659" s="271"/>
      <c r="Y659" s="269"/>
      <c r="Z659" s="84"/>
      <c r="AA659" s="269"/>
      <c r="AB659" s="82"/>
      <c r="AC659" s="82"/>
    </row>
    <row r="660" spans="1:32" x14ac:dyDescent="0.3">
      <c r="A660" s="259">
        <f>A657+1</f>
        <v>501</v>
      </c>
      <c r="B660" s="20" t="s">
        <v>2107</v>
      </c>
      <c r="C660" s="273">
        <f>D660+K660+L660+N660+P660+R660+S660+U660+V660+W660</f>
        <v>17281753.300000001</v>
      </c>
      <c r="D660" s="273"/>
      <c r="E660" s="273"/>
      <c r="F660" s="273"/>
      <c r="G660" s="273"/>
      <c r="H660" s="273"/>
      <c r="I660" s="273"/>
      <c r="J660" s="50"/>
      <c r="K660" s="273"/>
      <c r="L660" s="273"/>
      <c r="M660" s="273"/>
      <c r="N660" s="273"/>
      <c r="O660" s="273"/>
      <c r="P660" s="273"/>
      <c r="Q660" s="273">
        <v>2248.8000000000002</v>
      </c>
      <c r="R660" s="273">
        <v>17281753.300000001</v>
      </c>
      <c r="S660" s="273"/>
      <c r="T660" s="273"/>
      <c r="U660" s="273"/>
      <c r="V660" s="273"/>
      <c r="W660" s="273"/>
      <c r="X660" s="271"/>
      <c r="Y660" s="269"/>
      <c r="Z660" s="84"/>
      <c r="AA660" s="269"/>
      <c r="AB660" s="82"/>
      <c r="AC660" s="82"/>
    </row>
    <row r="661" spans="1:32" x14ac:dyDescent="0.3">
      <c r="A661" s="259">
        <f>A660+1</f>
        <v>502</v>
      </c>
      <c r="B661" s="20" t="s">
        <v>2108</v>
      </c>
      <c r="C661" s="273">
        <f>D661+K661+L661+N661+P661+R661+S661+U661+V661+W661</f>
        <v>17281753.300000001</v>
      </c>
      <c r="D661" s="273"/>
      <c r="E661" s="273"/>
      <c r="F661" s="273"/>
      <c r="G661" s="273"/>
      <c r="H661" s="273"/>
      <c r="I661" s="273"/>
      <c r="J661" s="50"/>
      <c r="K661" s="273"/>
      <c r="L661" s="273"/>
      <c r="M661" s="273"/>
      <c r="N661" s="273"/>
      <c r="O661" s="273"/>
      <c r="P661" s="273"/>
      <c r="Q661" s="273">
        <v>2248.8000000000002</v>
      </c>
      <c r="R661" s="273">
        <v>17281753.300000001</v>
      </c>
      <c r="S661" s="273"/>
      <c r="T661" s="273"/>
      <c r="U661" s="273"/>
      <c r="V661" s="273"/>
      <c r="W661" s="273"/>
      <c r="X661" s="271"/>
      <c r="Y661" s="269"/>
      <c r="Z661" s="84"/>
      <c r="AA661" s="269"/>
      <c r="AB661" s="82"/>
      <c r="AC661" s="82"/>
    </row>
    <row r="662" spans="1:32" x14ac:dyDescent="0.3">
      <c r="A662" s="302" t="s">
        <v>208</v>
      </c>
      <c r="B662" s="302"/>
      <c r="C662" s="273">
        <f t="shared" ref="C662:W662" si="138">SUM(C660:C661)</f>
        <v>34563506.600000001</v>
      </c>
      <c r="D662" s="273">
        <f t="shared" si="138"/>
        <v>0</v>
      </c>
      <c r="E662" s="273">
        <f t="shared" si="138"/>
        <v>0</v>
      </c>
      <c r="F662" s="273">
        <f t="shared" si="138"/>
        <v>0</v>
      </c>
      <c r="G662" s="273">
        <f t="shared" si="138"/>
        <v>0</v>
      </c>
      <c r="H662" s="273">
        <f t="shared" si="138"/>
        <v>0</v>
      </c>
      <c r="I662" s="273">
        <f t="shared" si="138"/>
        <v>0</v>
      </c>
      <c r="J662" s="50">
        <f t="shared" si="138"/>
        <v>0</v>
      </c>
      <c r="K662" s="273">
        <f t="shared" si="138"/>
        <v>0</v>
      </c>
      <c r="L662" s="273">
        <f t="shared" si="138"/>
        <v>0</v>
      </c>
      <c r="M662" s="273">
        <f t="shared" si="138"/>
        <v>0</v>
      </c>
      <c r="N662" s="273">
        <f t="shared" si="138"/>
        <v>0</v>
      </c>
      <c r="O662" s="273">
        <f t="shared" si="138"/>
        <v>0</v>
      </c>
      <c r="P662" s="273">
        <f t="shared" si="138"/>
        <v>0</v>
      </c>
      <c r="Q662" s="273">
        <f t="shared" si="138"/>
        <v>4497.6000000000004</v>
      </c>
      <c r="R662" s="273">
        <f t="shared" si="138"/>
        <v>34563506.600000001</v>
      </c>
      <c r="S662" s="273">
        <f t="shared" si="138"/>
        <v>0</v>
      </c>
      <c r="T662" s="273">
        <f t="shared" si="138"/>
        <v>0</v>
      </c>
      <c r="U662" s="273">
        <f t="shared" si="138"/>
        <v>0</v>
      </c>
      <c r="V662" s="273">
        <f t="shared" si="138"/>
        <v>0</v>
      </c>
      <c r="W662" s="273">
        <f t="shared" si="138"/>
        <v>0</v>
      </c>
      <c r="X662" s="271"/>
      <c r="Y662" s="269"/>
      <c r="Z662" s="84"/>
      <c r="AA662" s="269"/>
      <c r="AB662" s="82"/>
      <c r="AC662" s="82"/>
    </row>
    <row r="663" spans="1:32" x14ac:dyDescent="0.3">
      <c r="A663" s="301" t="s">
        <v>2110</v>
      </c>
      <c r="B663" s="301"/>
      <c r="C663" s="273"/>
      <c r="D663" s="273"/>
      <c r="E663" s="273"/>
      <c r="F663" s="273"/>
      <c r="G663" s="273"/>
      <c r="H663" s="273"/>
      <c r="I663" s="273"/>
      <c r="J663" s="50"/>
      <c r="K663" s="273"/>
      <c r="L663" s="273"/>
      <c r="M663" s="273"/>
      <c r="N663" s="273"/>
      <c r="O663" s="273"/>
      <c r="P663" s="273"/>
      <c r="Q663" s="273"/>
      <c r="R663" s="273"/>
      <c r="S663" s="273"/>
      <c r="T663" s="273"/>
      <c r="U663" s="273"/>
      <c r="V663" s="273"/>
      <c r="W663" s="273"/>
      <c r="X663" s="271"/>
      <c r="Y663" s="269"/>
      <c r="Z663" s="84"/>
      <c r="AA663" s="269"/>
      <c r="AB663" s="82"/>
      <c r="AC663" s="82"/>
    </row>
    <row r="664" spans="1:32" x14ac:dyDescent="0.3">
      <c r="A664" s="259">
        <f>A661+1</f>
        <v>503</v>
      </c>
      <c r="B664" s="20" t="s">
        <v>2121</v>
      </c>
      <c r="C664" s="273">
        <f>D664+K664+L664+N664+P664+R664+S664+U664+V664+W664</f>
        <v>4994337.9400000004</v>
      </c>
      <c r="D664" s="273">
        <f t="shared" ref="D664" si="139">E664+F664+G664+H664+I664</f>
        <v>0</v>
      </c>
      <c r="E664" s="273"/>
      <c r="F664" s="273"/>
      <c r="G664" s="273"/>
      <c r="H664" s="273"/>
      <c r="I664" s="273"/>
      <c r="J664" s="50"/>
      <c r="K664" s="273"/>
      <c r="L664" s="273"/>
      <c r="M664" s="273"/>
      <c r="N664" s="273"/>
      <c r="O664" s="273"/>
      <c r="P664" s="273"/>
      <c r="Q664" s="273">
        <v>518</v>
      </c>
      <c r="R664" s="273">
        <v>4994337.9400000004</v>
      </c>
      <c r="S664" s="273"/>
      <c r="T664" s="273"/>
      <c r="U664" s="273"/>
      <c r="V664" s="273"/>
      <c r="W664" s="273"/>
      <c r="X664" s="271"/>
      <c r="Y664" s="269"/>
      <c r="Z664" s="84"/>
      <c r="AA664" s="269"/>
      <c r="AB664" s="82"/>
      <c r="AC664" s="82"/>
    </row>
    <row r="665" spans="1:32" x14ac:dyDescent="0.3">
      <c r="A665" s="302" t="s">
        <v>208</v>
      </c>
      <c r="B665" s="302"/>
      <c r="C665" s="273">
        <f t="shared" ref="C665:W665" si="140">SUM(C664:C664)</f>
        <v>4994337.9400000004</v>
      </c>
      <c r="D665" s="273">
        <f t="shared" si="140"/>
        <v>0</v>
      </c>
      <c r="E665" s="273">
        <f t="shared" si="140"/>
        <v>0</v>
      </c>
      <c r="F665" s="273">
        <f t="shared" si="140"/>
        <v>0</v>
      </c>
      <c r="G665" s="273">
        <f t="shared" si="140"/>
        <v>0</v>
      </c>
      <c r="H665" s="273">
        <f t="shared" si="140"/>
        <v>0</v>
      </c>
      <c r="I665" s="273">
        <f t="shared" si="140"/>
        <v>0</v>
      </c>
      <c r="J665" s="50">
        <f t="shared" si="140"/>
        <v>0</v>
      </c>
      <c r="K665" s="273">
        <f t="shared" si="140"/>
        <v>0</v>
      </c>
      <c r="L665" s="273">
        <f t="shared" si="140"/>
        <v>0</v>
      </c>
      <c r="M665" s="273">
        <f t="shared" si="140"/>
        <v>0</v>
      </c>
      <c r="N665" s="273">
        <f t="shared" si="140"/>
        <v>0</v>
      </c>
      <c r="O665" s="273">
        <f t="shared" si="140"/>
        <v>0</v>
      </c>
      <c r="P665" s="273">
        <f t="shared" si="140"/>
        <v>0</v>
      </c>
      <c r="Q665" s="273">
        <f t="shared" si="140"/>
        <v>518</v>
      </c>
      <c r="R665" s="273">
        <f t="shared" si="140"/>
        <v>4994337.9400000004</v>
      </c>
      <c r="S665" s="273">
        <f t="shared" si="140"/>
        <v>0</v>
      </c>
      <c r="T665" s="273">
        <f t="shared" si="140"/>
        <v>0</v>
      </c>
      <c r="U665" s="273">
        <f t="shared" si="140"/>
        <v>0</v>
      </c>
      <c r="V665" s="273">
        <f t="shared" si="140"/>
        <v>0</v>
      </c>
      <c r="W665" s="273">
        <f t="shared" si="140"/>
        <v>0</v>
      </c>
      <c r="X665" s="271"/>
      <c r="Y665" s="269"/>
      <c r="Z665" s="84"/>
      <c r="AA665" s="269"/>
      <c r="AB665" s="82"/>
      <c r="AC665" s="82"/>
    </row>
    <row r="666" spans="1:32" x14ac:dyDescent="0.3">
      <c r="A666" s="301" t="s">
        <v>2129</v>
      </c>
      <c r="B666" s="301"/>
      <c r="C666" s="273"/>
      <c r="D666" s="273"/>
      <c r="E666" s="273"/>
      <c r="F666" s="273"/>
      <c r="G666" s="273"/>
      <c r="H666" s="273"/>
      <c r="I666" s="273"/>
      <c r="J666" s="50"/>
      <c r="K666" s="273"/>
      <c r="L666" s="273"/>
      <c r="M666" s="273"/>
      <c r="N666" s="273"/>
      <c r="O666" s="273"/>
      <c r="P666" s="273"/>
      <c r="Q666" s="273"/>
      <c r="R666" s="273"/>
      <c r="S666" s="273"/>
      <c r="T666" s="273"/>
      <c r="U666" s="273"/>
      <c r="V666" s="273"/>
      <c r="W666" s="273"/>
      <c r="X666" s="271"/>
      <c r="Y666" s="269"/>
      <c r="Z666" s="94"/>
      <c r="AA666" s="269"/>
      <c r="AB666" s="82"/>
      <c r="AC666" s="82"/>
    </row>
    <row r="667" spans="1:32" x14ac:dyDescent="0.3">
      <c r="A667" s="259">
        <f>A664+1</f>
        <v>504</v>
      </c>
      <c r="B667" s="20" t="s">
        <v>2130</v>
      </c>
      <c r="C667" s="273">
        <f>D667+K667+L667+N667+P667+R667+S667+U667+V667+W667</f>
        <v>3870798.35</v>
      </c>
      <c r="D667" s="273">
        <f t="shared" ref="D667" si="141">E667+F667+G667+H667+I667</f>
        <v>0</v>
      </c>
      <c r="E667" s="273"/>
      <c r="F667" s="273"/>
      <c r="G667" s="273"/>
      <c r="H667" s="273"/>
      <c r="I667" s="273"/>
      <c r="J667" s="50"/>
      <c r="K667" s="273"/>
      <c r="L667" s="273"/>
      <c r="M667" s="273"/>
      <c r="N667" s="273"/>
      <c r="O667" s="273"/>
      <c r="P667" s="273"/>
      <c r="Q667" s="273">
        <v>468</v>
      </c>
      <c r="R667" s="273">
        <v>3870798.35</v>
      </c>
      <c r="S667" s="273"/>
      <c r="T667" s="273"/>
      <c r="U667" s="273"/>
      <c r="V667" s="273"/>
      <c r="W667" s="273"/>
      <c r="X667" s="271"/>
      <c r="Y667" s="269"/>
      <c r="Z667" s="94"/>
      <c r="AA667" s="269"/>
      <c r="AB667" s="82"/>
      <c r="AC667" s="82"/>
    </row>
    <row r="668" spans="1:32" x14ac:dyDescent="0.3">
      <c r="A668" s="302" t="s">
        <v>208</v>
      </c>
      <c r="B668" s="302"/>
      <c r="C668" s="273">
        <f t="shared" ref="C668:W668" si="142">C667</f>
        <v>3870798.35</v>
      </c>
      <c r="D668" s="273">
        <f t="shared" si="142"/>
        <v>0</v>
      </c>
      <c r="E668" s="273">
        <f t="shared" si="142"/>
        <v>0</v>
      </c>
      <c r="F668" s="273">
        <f t="shared" si="142"/>
        <v>0</v>
      </c>
      <c r="G668" s="273">
        <f t="shared" si="142"/>
        <v>0</v>
      </c>
      <c r="H668" s="273">
        <f t="shared" si="142"/>
        <v>0</v>
      </c>
      <c r="I668" s="273">
        <f t="shared" si="142"/>
        <v>0</v>
      </c>
      <c r="J668" s="50">
        <f t="shared" si="142"/>
        <v>0</v>
      </c>
      <c r="K668" s="273">
        <f t="shared" si="142"/>
        <v>0</v>
      </c>
      <c r="L668" s="273">
        <f t="shared" si="142"/>
        <v>0</v>
      </c>
      <c r="M668" s="273">
        <f t="shared" si="142"/>
        <v>0</v>
      </c>
      <c r="N668" s="273">
        <f t="shared" si="142"/>
        <v>0</v>
      </c>
      <c r="O668" s="273">
        <f t="shared" si="142"/>
        <v>0</v>
      </c>
      <c r="P668" s="273">
        <f t="shared" si="142"/>
        <v>0</v>
      </c>
      <c r="Q668" s="273">
        <f t="shared" si="142"/>
        <v>468</v>
      </c>
      <c r="R668" s="273">
        <f t="shared" si="142"/>
        <v>3870798.35</v>
      </c>
      <c r="S668" s="273">
        <f t="shared" si="142"/>
        <v>0</v>
      </c>
      <c r="T668" s="273">
        <f t="shared" si="142"/>
        <v>0</v>
      </c>
      <c r="U668" s="273">
        <f t="shared" si="142"/>
        <v>0</v>
      </c>
      <c r="V668" s="273">
        <f t="shared" si="142"/>
        <v>0</v>
      </c>
      <c r="W668" s="273">
        <f t="shared" si="142"/>
        <v>0</v>
      </c>
      <c r="X668" s="271"/>
      <c r="Y668" s="269"/>
      <c r="Z668" s="94"/>
      <c r="AA668" s="269"/>
      <c r="AB668" s="82"/>
      <c r="AC668" s="82"/>
    </row>
    <row r="669" spans="1:32" x14ac:dyDescent="0.3">
      <c r="A669" s="301" t="s">
        <v>2131</v>
      </c>
      <c r="B669" s="301"/>
      <c r="C669" s="273"/>
      <c r="D669" s="273"/>
      <c r="E669" s="273"/>
      <c r="F669" s="273"/>
      <c r="G669" s="273"/>
      <c r="H669" s="273"/>
      <c r="I669" s="273"/>
      <c r="J669" s="50"/>
      <c r="K669" s="273"/>
      <c r="L669" s="273"/>
      <c r="M669" s="273"/>
      <c r="N669" s="273"/>
      <c r="O669" s="273"/>
      <c r="P669" s="273"/>
      <c r="Q669" s="273"/>
      <c r="R669" s="273"/>
      <c r="S669" s="273"/>
      <c r="T669" s="273"/>
      <c r="U669" s="273"/>
      <c r="V669" s="273"/>
      <c r="W669" s="273"/>
      <c r="X669" s="271"/>
      <c r="Y669" s="269"/>
      <c r="Z669" s="94"/>
      <c r="AA669" s="269"/>
      <c r="AB669" s="82"/>
      <c r="AC669" s="82"/>
    </row>
    <row r="670" spans="1:32" x14ac:dyDescent="0.3">
      <c r="A670" s="259">
        <f>A667+1</f>
        <v>505</v>
      </c>
      <c r="B670" s="20" t="s">
        <v>2132</v>
      </c>
      <c r="C670" s="273">
        <f t="shared" ref="C670:C680" si="143">D670+K670+L670+N670+P670+R670+S670+U670+V670+W670</f>
        <v>197208.78</v>
      </c>
      <c r="D670" s="273">
        <f t="shared" ref="D670" si="144">E670+F670+G670+H670+I670</f>
        <v>0</v>
      </c>
      <c r="E670" s="273"/>
      <c r="F670" s="273"/>
      <c r="G670" s="273"/>
      <c r="H670" s="273"/>
      <c r="I670" s="273"/>
      <c r="J670" s="50"/>
      <c r="K670" s="273"/>
      <c r="L670" s="273"/>
      <c r="M670" s="273"/>
      <c r="N670" s="273"/>
      <c r="O670" s="273"/>
      <c r="P670" s="273"/>
      <c r="Q670" s="273"/>
      <c r="R670" s="273"/>
      <c r="S670" s="273"/>
      <c r="T670" s="273"/>
      <c r="U670" s="273"/>
      <c r="V670" s="273"/>
      <c r="W670" s="273">
        <f>SUM(Y670:AF670)</f>
        <v>197208.78</v>
      </c>
      <c r="AB670" s="271">
        <v>197208.78</v>
      </c>
      <c r="AC670" s="82"/>
      <c r="AD670" s="269"/>
      <c r="AE670" s="94"/>
      <c r="AF670" s="269"/>
    </row>
    <row r="671" spans="1:32" x14ac:dyDescent="0.3">
      <c r="A671" s="259">
        <f t="shared" ref="A671:A680" si="145">A670+1</f>
        <v>506</v>
      </c>
      <c r="B671" s="20" t="s">
        <v>2133</v>
      </c>
      <c r="C671" s="273">
        <f t="shared" si="143"/>
        <v>242459.51</v>
      </c>
      <c r="D671" s="273"/>
      <c r="E671" s="273"/>
      <c r="F671" s="273"/>
      <c r="G671" s="273"/>
      <c r="H671" s="273"/>
      <c r="I671" s="273"/>
      <c r="J671" s="50"/>
      <c r="K671" s="273"/>
      <c r="L671" s="273"/>
      <c r="M671" s="273"/>
      <c r="N671" s="273"/>
      <c r="O671" s="273"/>
      <c r="P671" s="273"/>
      <c r="Q671" s="273"/>
      <c r="R671" s="273"/>
      <c r="S671" s="273"/>
      <c r="T671" s="273"/>
      <c r="U671" s="273"/>
      <c r="V671" s="273"/>
      <c r="W671" s="273">
        <f t="shared" ref="W671:W680" si="146">SUM(Y671:AF671)</f>
        <v>242459.51</v>
      </c>
      <c r="AB671" s="271">
        <v>242459.51</v>
      </c>
      <c r="AC671" s="82"/>
      <c r="AD671" s="269"/>
      <c r="AE671" s="94"/>
      <c r="AF671" s="269"/>
    </row>
    <row r="672" spans="1:32" x14ac:dyDescent="0.3">
      <c r="A672" s="259">
        <f t="shared" si="145"/>
        <v>507</v>
      </c>
      <c r="B672" s="20" t="s">
        <v>2134</v>
      </c>
      <c r="C672" s="273">
        <f t="shared" si="143"/>
        <v>390753.91</v>
      </c>
      <c r="D672" s="273"/>
      <c r="E672" s="273"/>
      <c r="F672" s="273"/>
      <c r="G672" s="273"/>
      <c r="H672" s="273"/>
      <c r="I672" s="273"/>
      <c r="J672" s="50"/>
      <c r="K672" s="273"/>
      <c r="L672" s="273"/>
      <c r="M672" s="273"/>
      <c r="N672" s="273"/>
      <c r="O672" s="273"/>
      <c r="P672" s="273"/>
      <c r="Q672" s="273"/>
      <c r="R672" s="273"/>
      <c r="S672" s="273"/>
      <c r="T672" s="273"/>
      <c r="U672" s="273"/>
      <c r="V672" s="273"/>
      <c r="W672" s="273">
        <f t="shared" si="146"/>
        <v>390753.91</v>
      </c>
      <c r="AB672" s="271"/>
      <c r="AC672" s="82"/>
      <c r="AD672" s="269">
        <v>390753.91</v>
      </c>
      <c r="AE672" s="94"/>
      <c r="AF672" s="269"/>
    </row>
    <row r="673" spans="1:32" x14ac:dyDescent="0.3">
      <c r="A673" s="259">
        <f t="shared" si="145"/>
        <v>508</v>
      </c>
      <c r="B673" s="20" t="s">
        <v>2135</v>
      </c>
      <c r="C673" s="273">
        <f t="shared" si="143"/>
        <v>247024.25</v>
      </c>
      <c r="D673" s="273"/>
      <c r="E673" s="273"/>
      <c r="F673" s="273"/>
      <c r="G673" s="273"/>
      <c r="H673" s="273"/>
      <c r="I673" s="273"/>
      <c r="J673" s="50"/>
      <c r="K673" s="273"/>
      <c r="L673" s="273"/>
      <c r="M673" s="273"/>
      <c r="N673" s="273"/>
      <c r="O673" s="273"/>
      <c r="P673" s="273"/>
      <c r="Q673" s="273"/>
      <c r="R673" s="273"/>
      <c r="S673" s="273"/>
      <c r="T673" s="273"/>
      <c r="U673" s="273"/>
      <c r="V673" s="273"/>
      <c r="W673" s="273">
        <f t="shared" si="146"/>
        <v>247024.25</v>
      </c>
      <c r="AB673" s="271">
        <v>247024.25</v>
      </c>
      <c r="AC673" s="82"/>
      <c r="AD673" s="269"/>
      <c r="AE673" s="94"/>
      <c r="AF673" s="269"/>
    </row>
    <row r="674" spans="1:32" x14ac:dyDescent="0.3">
      <c r="A674" s="259">
        <f t="shared" si="145"/>
        <v>509</v>
      </c>
      <c r="B674" s="20" t="s">
        <v>2136</v>
      </c>
      <c r="C674" s="273">
        <f t="shared" si="143"/>
        <v>225263.62</v>
      </c>
      <c r="D674" s="273"/>
      <c r="E674" s="273"/>
      <c r="F674" s="273"/>
      <c r="G674" s="273"/>
      <c r="H674" s="273"/>
      <c r="I674" s="273"/>
      <c r="J674" s="50"/>
      <c r="K674" s="273"/>
      <c r="L674" s="273"/>
      <c r="M674" s="273"/>
      <c r="N674" s="273"/>
      <c r="O674" s="273"/>
      <c r="P674" s="273"/>
      <c r="Q674" s="273"/>
      <c r="R674" s="273"/>
      <c r="S674" s="273"/>
      <c r="T674" s="273"/>
      <c r="U674" s="273"/>
      <c r="V674" s="273"/>
      <c r="W674" s="273">
        <f t="shared" si="146"/>
        <v>225263.62</v>
      </c>
      <c r="AB674" s="271">
        <v>225263.62</v>
      </c>
      <c r="AC674" s="82"/>
      <c r="AD674" s="269"/>
      <c r="AE674" s="94"/>
      <c r="AF674" s="269"/>
    </row>
    <row r="675" spans="1:32" x14ac:dyDescent="0.3">
      <c r="A675" s="259">
        <f t="shared" si="145"/>
        <v>510</v>
      </c>
      <c r="B675" s="20" t="s">
        <v>2137</v>
      </c>
      <c r="C675" s="273">
        <f t="shared" si="143"/>
        <v>117755.14</v>
      </c>
      <c r="D675" s="273"/>
      <c r="E675" s="273"/>
      <c r="F675" s="273"/>
      <c r="G675" s="273"/>
      <c r="H675" s="273"/>
      <c r="I675" s="273"/>
      <c r="J675" s="50"/>
      <c r="K675" s="273"/>
      <c r="L675" s="273"/>
      <c r="M675" s="273"/>
      <c r="N675" s="273"/>
      <c r="O675" s="273"/>
      <c r="P675" s="273"/>
      <c r="Q675" s="273"/>
      <c r="R675" s="273"/>
      <c r="S675" s="273"/>
      <c r="T675" s="273"/>
      <c r="U675" s="273"/>
      <c r="V675" s="273"/>
      <c r="W675" s="273">
        <f t="shared" si="146"/>
        <v>117755.14</v>
      </c>
      <c r="AB675" s="271">
        <v>117755.14</v>
      </c>
      <c r="AC675" s="82"/>
      <c r="AD675" s="269"/>
      <c r="AE675" s="94"/>
      <c r="AF675" s="269"/>
    </row>
    <row r="676" spans="1:32" x14ac:dyDescent="0.3">
      <c r="A676" s="259">
        <f t="shared" si="145"/>
        <v>511</v>
      </c>
      <c r="B676" s="20" t="s">
        <v>2138</v>
      </c>
      <c r="C676" s="273">
        <f t="shared" si="143"/>
        <v>386066.69</v>
      </c>
      <c r="D676" s="273"/>
      <c r="E676" s="273"/>
      <c r="F676" s="273"/>
      <c r="G676" s="273"/>
      <c r="H676" s="273"/>
      <c r="I676" s="273"/>
      <c r="J676" s="50"/>
      <c r="K676" s="273"/>
      <c r="L676" s="273"/>
      <c r="M676" s="273"/>
      <c r="N676" s="273"/>
      <c r="O676" s="273"/>
      <c r="P676" s="273"/>
      <c r="Q676" s="273"/>
      <c r="R676" s="273"/>
      <c r="S676" s="273"/>
      <c r="T676" s="273"/>
      <c r="U676" s="273"/>
      <c r="V676" s="273"/>
      <c r="W676" s="273">
        <f t="shared" si="146"/>
        <v>386066.69</v>
      </c>
      <c r="AB676" s="271">
        <f>121947.8+139794.4+124324.49</f>
        <v>386066.69</v>
      </c>
      <c r="AC676" s="82"/>
      <c r="AD676" s="269"/>
      <c r="AE676" s="94"/>
      <c r="AF676" s="269"/>
    </row>
    <row r="677" spans="1:32" x14ac:dyDescent="0.3">
      <c r="A677" s="259">
        <f t="shared" si="145"/>
        <v>512</v>
      </c>
      <c r="B677" s="20" t="s">
        <v>2139</v>
      </c>
      <c r="C677" s="273">
        <f t="shared" si="143"/>
        <v>354963.20999999996</v>
      </c>
      <c r="D677" s="273"/>
      <c r="E677" s="273"/>
      <c r="F677" s="273"/>
      <c r="G677" s="273"/>
      <c r="H677" s="273"/>
      <c r="I677" s="273"/>
      <c r="J677" s="50"/>
      <c r="K677" s="273"/>
      <c r="L677" s="273"/>
      <c r="M677" s="273"/>
      <c r="N677" s="273"/>
      <c r="O677" s="273"/>
      <c r="P677" s="273"/>
      <c r="Q677" s="273"/>
      <c r="R677" s="273"/>
      <c r="S677" s="273"/>
      <c r="T677" s="273"/>
      <c r="U677" s="273"/>
      <c r="V677" s="273"/>
      <c r="W677" s="273">
        <f t="shared" si="146"/>
        <v>354963.20999999996</v>
      </c>
      <c r="AB677" s="271">
        <f>111697.15+113581.26+129684.8</f>
        <v>354963.20999999996</v>
      </c>
      <c r="AC677" s="82"/>
      <c r="AD677" s="269"/>
      <c r="AE677" s="94"/>
      <c r="AF677" s="269"/>
    </row>
    <row r="678" spans="1:32" x14ac:dyDescent="0.3">
      <c r="A678" s="259">
        <f t="shared" si="145"/>
        <v>513</v>
      </c>
      <c r="B678" s="20" t="s">
        <v>2140</v>
      </c>
      <c r="C678" s="273">
        <f t="shared" si="143"/>
        <v>360484.58</v>
      </c>
      <c r="D678" s="273"/>
      <c r="E678" s="273"/>
      <c r="F678" s="273"/>
      <c r="G678" s="273"/>
      <c r="H678" s="273"/>
      <c r="I678" s="273"/>
      <c r="J678" s="50"/>
      <c r="K678" s="273"/>
      <c r="L678" s="273"/>
      <c r="M678" s="273"/>
      <c r="N678" s="273"/>
      <c r="O678" s="273"/>
      <c r="P678" s="273"/>
      <c r="Q678" s="273"/>
      <c r="R678" s="273"/>
      <c r="S678" s="273"/>
      <c r="T678" s="273"/>
      <c r="U678" s="273"/>
      <c r="V678" s="273"/>
      <c r="W678" s="273">
        <f t="shared" si="146"/>
        <v>360484.58</v>
      </c>
      <c r="AB678" s="271">
        <f>131547.14+115381.97+113555.47</f>
        <v>360484.58</v>
      </c>
      <c r="AC678" s="82"/>
      <c r="AD678" s="269"/>
      <c r="AE678" s="94"/>
      <c r="AF678" s="269"/>
    </row>
    <row r="679" spans="1:32" x14ac:dyDescent="0.3">
      <c r="A679" s="259">
        <f t="shared" si="145"/>
        <v>514</v>
      </c>
      <c r="B679" s="20" t="s">
        <v>2141</v>
      </c>
      <c r="C679" s="273">
        <f t="shared" si="143"/>
        <v>366929.83</v>
      </c>
      <c r="D679" s="273"/>
      <c r="E679" s="273"/>
      <c r="F679" s="273"/>
      <c r="G679" s="273"/>
      <c r="H679" s="273"/>
      <c r="I679" s="273"/>
      <c r="J679" s="50"/>
      <c r="K679" s="273"/>
      <c r="L679" s="273"/>
      <c r="M679" s="273"/>
      <c r="N679" s="273"/>
      <c r="O679" s="273"/>
      <c r="P679" s="273"/>
      <c r="Q679" s="273"/>
      <c r="R679" s="273"/>
      <c r="S679" s="273"/>
      <c r="T679" s="273"/>
      <c r="U679" s="273"/>
      <c r="V679" s="273"/>
      <c r="W679" s="273">
        <f t="shared" si="146"/>
        <v>366929.83</v>
      </c>
      <c r="AB679" s="271">
        <f>133741.54+117503.71+115684.58</f>
        <v>366929.83</v>
      </c>
      <c r="AC679" s="82"/>
      <c r="AD679" s="269"/>
      <c r="AE679" s="94"/>
      <c r="AF679" s="269"/>
    </row>
    <row r="680" spans="1:32" x14ac:dyDescent="0.3">
      <c r="A680" s="259">
        <f t="shared" si="145"/>
        <v>515</v>
      </c>
      <c r="B680" s="20" t="s">
        <v>2142</v>
      </c>
      <c r="C680" s="273">
        <f t="shared" si="143"/>
        <v>116312.47</v>
      </c>
      <c r="D680" s="273"/>
      <c r="E680" s="273"/>
      <c r="F680" s="273"/>
      <c r="G680" s="273"/>
      <c r="H680" s="273"/>
      <c r="I680" s="273"/>
      <c r="J680" s="50"/>
      <c r="K680" s="273"/>
      <c r="L680" s="273"/>
      <c r="M680" s="273"/>
      <c r="N680" s="273"/>
      <c r="O680" s="273"/>
      <c r="P680" s="273"/>
      <c r="Q680" s="273"/>
      <c r="R680" s="273"/>
      <c r="S680" s="273"/>
      <c r="T680" s="273"/>
      <c r="U680" s="273"/>
      <c r="V680" s="273"/>
      <c r="W680" s="273">
        <f t="shared" si="146"/>
        <v>116312.47</v>
      </c>
      <c r="AB680" s="271">
        <v>116312.47</v>
      </c>
      <c r="AC680" s="82"/>
      <c r="AD680" s="269"/>
      <c r="AE680" s="94"/>
      <c r="AF680" s="269"/>
    </row>
    <row r="681" spans="1:32" x14ac:dyDescent="0.3">
      <c r="A681" s="302" t="s">
        <v>208</v>
      </c>
      <c r="B681" s="302"/>
      <c r="C681" s="273">
        <f t="shared" ref="C681:W681" si="147">SUM(C670:C680)</f>
        <v>3005221.9899999998</v>
      </c>
      <c r="D681" s="273">
        <f t="shared" si="147"/>
        <v>0</v>
      </c>
      <c r="E681" s="273">
        <f t="shared" si="147"/>
        <v>0</v>
      </c>
      <c r="F681" s="273">
        <f t="shared" si="147"/>
        <v>0</v>
      </c>
      <c r="G681" s="273">
        <f t="shared" si="147"/>
        <v>0</v>
      </c>
      <c r="H681" s="273">
        <f t="shared" si="147"/>
        <v>0</v>
      </c>
      <c r="I681" s="273">
        <f t="shared" si="147"/>
        <v>0</v>
      </c>
      <c r="J681" s="50">
        <f t="shared" si="147"/>
        <v>0</v>
      </c>
      <c r="K681" s="273">
        <f t="shared" si="147"/>
        <v>0</v>
      </c>
      <c r="L681" s="273">
        <f t="shared" si="147"/>
        <v>0</v>
      </c>
      <c r="M681" s="273">
        <f t="shared" si="147"/>
        <v>0</v>
      </c>
      <c r="N681" s="273">
        <f t="shared" si="147"/>
        <v>0</v>
      </c>
      <c r="O681" s="273">
        <f t="shared" si="147"/>
        <v>0</v>
      </c>
      <c r="P681" s="273">
        <f t="shared" si="147"/>
        <v>0</v>
      </c>
      <c r="Q681" s="273">
        <f t="shared" si="147"/>
        <v>0</v>
      </c>
      <c r="R681" s="273">
        <f t="shared" si="147"/>
        <v>0</v>
      </c>
      <c r="S681" s="273">
        <f t="shared" si="147"/>
        <v>0</v>
      </c>
      <c r="T681" s="273">
        <f t="shared" si="147"/>
        <v>0</v>
      </c>
      <c r="U681" s="273">
        <f t="shared" si="147"/>
        <v>0</v>
      </c>
      <c r="V681" s="273">
        <f t="shared" si="147"/>
        <v>0</v>
      </c>
      <c r="W681" s="273">
        <f t="shared" si="147"/>
        <v>3005221.9899999998</v>
      </c>
      <c r="X681" s="271"/>
      <c r="Y681" s="269"/>
      <c r="Z681" s="94"/>
      <c r="AA681" s="269"/>
      <c r="AB681" s="82"/>
      <c r="AC681" s="82"/>
    </row>
    <row r="682" spans="1:32" x14ac:dyDescent="0.3">
      <c r="A682" s="301" t="s">
        <v>2152</v>
      </c>
      <c r="B682" s="301"/>
      <c r="C682" s="273"/>
      <c r="D682" s="273"/>
      <c r="E682" s="273"/>
      <c r="F682" s="273"/>
      <c r="G682" s="273"/>
      <c r="H682" s="273"/>
      <c r="I682" s="273"/>
      <c r="J682" s="50"/>
      <c r="K682" s="273"/>
      <c r="L682" s="273"/>
      <c r="M682" s="273"/>
      <c r="N682" s="273"/>
      <c r="O682" s="273"/>
      <c r="P682" s="273"/>
      <c r="Q682" s="273"/>
      <c r="R682" s="273"/>
      <c r="S682" s="273"/>
      <c r="T682" s="273"/>
      <c r="U682" s="273"/>
      <c r="V682" s="273"/>
      <c r="W682" s="273"/>
      <c r="X682" s="271"/>
      <c r="Y682" s="269"/>
      <c r="Z682" s="94"/>
      <c r="AA682" s="269"/>
      <c r="AB682" s="82"/>
      <c r="AC682" s="82"/>
    </row>
    <row r="683" spans="1:32" x14ac:dyDescent="0.3">
      <c r="A683" s="259">
        <f>A680+1</f>
        <v>516</v>
      </c>
      <c r="B683" s="20" t="s">
        <v>2153</v>
      </c>
      <c r="C683" s="273">
        <f>D683+K683+L683+N683+P683+R683+S683+U683+V683+W683</f>
        <v>123945.74</v>
      </c>
      <c r="D683" s="273">
        <f t="shared" ref="D683" si="148">E683+F683+G683+H683+I683</f>
        <v>0</v>
      </c>
      <c r="E683" s="273"/>
      <c r="F683" s="273"/>
      <c r="G683" s="273"/>
      <c r="H683" s="273"/>
      <c r="I683" s="273"/>
      <c r="J683" s="50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>
        <f>SUM(Z683:AD683)</f>
        <v>123945.74</v>
      </c>
      <c r="Z683" s="94"/>
      <c r="AA683" s="269"/>
      <c r="AB683" s="271">
        <v>123945.74</v>
      </c>
      <c r="AD683" s="269"/>
    </row>
    <row r="684" spans="1:32" x14ac:dyDescent="0.3">
      <c r="A684" s="259">
        <f t="shared" ref="A684:A694" si="149">A683+1</f>
        <v>517</v>
      </c>
      <c r="B684" s="20" t="s">
        <v>2154</v>
      </c>
      <c r="C684" s="273">
        <f>D684+K684+L684+N684+P684+R684+S684+U684+V684+W684</f>
        <v>119578.8</v>
      </c>
      <c r="D684" s="273"/>
      <c r="E684" s="273"/>
      <c r="F684" s="273"/>
      <c r="G684" s="273"/>
      <c r="H684" s="273"/>
      <c r="I684" s="273"/>
      <c r="J684" s="50"/>
      <c r="K684" s="273"/>
      <c r="L684" s="273"/>
      <c r="M684" s="273"/>
      <c r="N684" s="273"/>
      <c r="O684" s="273"/>
      <c r="P684" s="273"/>
      <c r="Q684" s="273"/>
      <c r="R684" s="273"/>
      <c r="S684" s="273"/>
      <c r="T684" s="273"/>
      <c r="U684" s="273"/>
      <c r="V684" s="273"/>
      <c r="W684" s="273">
        <v>119578.8</v>
      </c>
      <c r="Z684" s="94"/>
      <c r="AA684" s="269"/>
      <c r="AB684" s="271"/>
      <c r="AD684" s="269"/>
    </row>
    <row r="685" spans="1:32" x14ac:dyDescent="0.3">
      <c r="A685" s="259">
        <f t="shared" si="149"/>
        <v>518</v>
      </c>
      <c r="B685" s="20" t="s">
        <v>2155</v>
      </c>
      <c r="C685" s="273">
        <f t="shared" ref="C685:C692" si="150">D685+K685+L685+P685+R685+S685+U685+V685+W685</f>
        <v>228488.21</v>
      </c>
      <c r="D685" s="273"/>
      <c r="E685" s="273"/>
      <c r="F685" s="273"/>
      <c r="G685" s="273"/>
      <c r="H685" s="273"/>
      <c r="I685" s="273"/>
      <c r="J685" s="50"/>
      <c r="K685" s="273"/>
      <c r="L685" s="273"/>
      <c r="M685" s="273"/>
      <c r="N685" s="273"/>
      <c r="O685" s="273"/>
      <c r="P685" s="273"/>
      <c r="Q685" s="273"/>
      <c r="R685" s="273"/>
      <c r="S685" s="273"/>
      <c r="T685" s="273"/>
      <c r="U685" s="273"/>
      <c r="V685" s="273"/>
      <c r="W685" s="273">
        <f>SUM(Z685:AD685)</f>
        <v>228488.21</v>
      </c>
      <c r="Z685" s="94"/>
      <c r="AA685" s="269"/>
      <c r="AB685" s="271"/>
      <c r="AD685" s="269">
        <v>228488.21</v>
      </c>
    </row>
    <row r="686" spans="1:32" x14ac:dyDescent="0.3">
      <c r="A686" s="259">
        <f t="shared" si="149"/>
        <v>519</v>
      </c>
      <c r="B686" s="20" t="s">
        <v>2156</v>
      </c>
      <c r="C686" s="273">
        <f t="shared" si="150"/>
        <v>788403</v>
      </c>
      <c r="D686" s="273">
        <f>E686+F686+G686+H686+I686</f>
        <v>788403</v>
      </c>
      <c r="E686" s="273">
        <v>788403</v>
      </c>
      <c r="F686" s="273"/>
      <c r="G686" s="273"/>
      <c r="H686" s="273"/>
      <c r="I686" s="273"/>
      <c r="J686" s="50"/>
      <c r="K686" s="273"/>
      <c r="L686" s="273"/>
      <c r="M686" s="273"/>
      <c r="N686" s="273"/>
      <c r="O686" s="273"/>
      <c r="P686" s="273"/>
      <c r="Q686" s="273"/>
      <c r="R686" s="273"/>
      <c r="S686" s="273"/>
      <c r="T686" s="273"/>
      <c r="U686" s="273"/>
      <c r="V686" s="273"/>
      <c r="W686" s="273"/>
      <c r="Z686" s="94"/>
      <c r="AA686" s="269"/>
      <c r="AB686" s="271">
        <v>114992.99</v>
      </c>
      <c r="AD686" s="269"/>
    </row>
    <row r="687" spans="1:32" x14ac:dyDescent="0.3">
      <c r="A687" s="259">
        <f t="shared" si="149"/>
        <v>520</v>
      </c>
      <c r="B687" s="20" t="s">
        <v>2157</v>
      </c>
      <c r="C687" s="273">
        <f t="shared" si="150"/>
        <v>91685.58</v>
      </c>
      <c r="D687" s="273"/>
      <c r="E687" s="273"/>
      <c r="F687" s="273"/>
      <c r="G687" s="273"/>
      <c r="H687" s="273"/>
      <c r="I687" s="273"/>
      <c r="J687" s="50"/>
      <c r="K687" s="273"/>
      <c r="L687" s="273"/>
      <c r="M687" s="273"/>
      <c r="N687" s="273"/>
      <c r="O687" s="273"/>
      <c r="P687" s="273"/>
      <c r="Q687" s="273"/>
      <c r="R687" s="273"/>
      <c r="S687" s="273"/>
      <c r="T687" s="273"/>
      <c r="U687" s="273"/>
      <c r="V687" s="273"/>
      <c r="W687" s="273">
        <v>91685.58</v>
      </c>
      <c r="Z687" s="94"/>
      <c r="AA687" s="269"/>
      <c r="AB687" s="271">
        <v>91685.58</v>
      </c>
      <c r="AD687" s="269"/>
    </row>
    <row r="688" spans="1:32" x14ac:dyDescent="0.3">
      <c r="A688" s="259">
        <f t="shared" si="149"/>
        <v>521</v>
      </c>
      <c r="B688" s="20" t="s">
        <v>2158</v>
      </c>
      <c r="C688" s="273">
        <f t="shared" si="150"/>
        <v>109932.97</v>
      </c>
      <c r="D688" s="273"/>
      <c r="E688" s="273"/>
      <c r="F688" s="273"/>
      <c r="G688" s="273"/>
      <c r="H688" s="273"/>
      <c r="I688" s="273"/>
      <c r="J688" s="50"/>
      <c r="K688" s="273"/>
      <c r="L688" s="273"/>
      <c r="M688" s="273"/>
      <c r="N688" s="273"/>
      <c r="O688" s="273"/>
      <c r="P688" s="273"/>
      <c r="Q688" s="273"/>
      <c r="R688" s="273"/>
      <c r="S688" s="273"/>
      <c r="T688" s="273"/>
      <c r="U688" s="273"/>
      <c r="V688" s="273"/>
      <c r="W688" s="273">
        <f t="shared" ref="W688:W693" si="151">SUM(Z688:AD688)</f>
        <v>109932.97</v>
      </c>
      <c r="Z688" s="94"/>
      <c r="AA688" s="269"/>
      <c r="AB688" s="271">
        <v>109932.97</v>
      </c>
      <c r="AD688" s="269"/>
    </row>
    <row r="689" spans="1:32" x14ac:dyDescent="0.3">
      <c r="A689" s="259">
        <f t="shared" si="149"/>
        <v>522</v>
      </c>
      <c r="B689" s="20" t="s">
        <v>2159</v>
      </c>
      <c r="C689" s="273">
        <f t="shared" si="150"/>
        <v>107083.18</v>
      </c>
      <c r="D689" s="273"/>
      <c r="E689" s="273"/>
      <c r="F689" s="273"/>
      <c r="G689" s="273"/>
      <c r="H689" s="273"/>
      <c r="I689" s="273"/>
      <c r="J689" s="50"/>
      <c r="K689" s="273"/>
      <c r="L689" s="273"/>
      <c r="M689" s="273"/>
      <c r="N689" s="273"/>
      <c r="O689" s="273"/>
      <c r="P689" s="273"/>
      <c r="Q689" s="273"/>
      <c r="R689" s="273"/>
      <c r="S689" s="273"/>
      <c r="T689" s="273"/>
      <c r="U689" s="273"/>
      <c r="V689" s="273"/>
      <c r="W689" s="273">
        <f t="shared" si="151"/>
        <v>107083.18</v>
      </c>
      <c r="Z689" s="94"/>
      <c r="AA689" s="269"/>
      <c r="AB689" s="271">
        <v>107083.18</v>
      </c>
      <c r="AD689" s="269"/>
    </row>
    <row r="690" spans="1:32" x14ac:dyDescent="0.3">
      <c r="A690" s="259">
        <f t="shared" si="149"/>
        <v>523</v>
      </c>
      <c r="B690" s="20" t="s">
        <v>2160</v>
      </c>
      <c r="C690" s="273">
        <f t="shared" si="150"/>
        <v>376209.98</v>
      </c>
      <c r="D690" s="273"/>
      <c r="E690" s="273"/>
      <c r="F690" s="273"/>
      <c r="G690" s="273"/>
      <c r="H690" s="273"/>
      <c r="I690" s="273"/>
      <c r="J690" s="50"/>
      <c r="K690" s="273"/>
      <c r="L690" s="273"/>
      <c r="M690" s="273"/>
      <c r="N690" s="273"/>
      <c r="O690" s="273"/>
      <c r="P690" s="273"/>
      <c r="Q690" s="273"/>
      <c r="R690" s="273"/>
      <c r="S690" s="273"/>
      <c r="T690" s="273"/>
      <c r="U690" s="273"/>
      <c r="V690" s="273"/>
      <c r="W690" s="273">
        <f t="shared" si="151"/>
        <v>376209.98</v>
      </c>
      <c r="Z690" s="94"/>
      <c r="AA690" s="269"/>
      <c r="AB690" s="271"/>
      <c r="AD690" s="269">
        <v>376209.98</v>
      </c>
    </row>
    <row r="691" spans="1:32" x14ac:dyDescent="0.3">
      <c r="A691" s="259">
        <f t="shared" si="149"/>
        <v>524</v>
      </c>
      <c r="B691" s="20" t="s">
        <v>2161</v>
      </c>
      <c r="C691" s="273">
        <f t="shared" si="150"/>
        <v>204609.5</v>
      </c>
      <c r="D691" s="273"/>
      <c r="E691" s="273"/>
      <c r="F691" s="273"/>
      <c r="G691" s="273"/>
      <c r="H691" s="273"/>
      <c r="I691" s="273"/>
      <c r="J691" s="50"/>
      <c r="K691" s="273"/>
      <c r="L691" s="273"/>
      <c r="M691" s="273"/>
      <c r="N691" s="273"/>
      <c r="O691" s="273"/>
      <c r="P691" s="273"/>
      <c r="Q691" s="273"/>
      <c r="R691" s="273"/>
      <c r="S691" s="273"/>
      <c r="T691" s="273"/>
      <c r="U691" s="273"/>
      <c r="V691" s="273"/>
      <c r="W691" s="273">
        <f t="shared" si="151"/>
        <v>204609.5</v>
      </c>
      <c r="Z691" s="94"/>
      <c r="AA691" s="269"/>
      <c r="AB691" s="271">
        <v>204609.5</v>
      </c>
      <c r="AD691" s="269"/>
    </row>
    <row r="692" spans="1:32" x14ac:dyDescent="0.3">
      <c r="A692" s="259">
        <f t="shared" si="149"/>
        <v>525</v>
      </c>
      <c r="B692" s="20" t="s">
        <v>2162</v>
      </c>
      <c r="C692" s="273">
        <f t="shared" si="150"/>
        <v>204609.5</v>
      </c>
      <c r="D692" s="273"/>
      <c r="E692" s="273"/>
      <c r="F692" s="273"/>
      <c r="G692" s="273"/>
      <c r="H692" s="273"/>
      <c r="I692" s="273"/>
      <c r="J692" s="50"/>
      <c r="K692" s="273"/>
      <c r="L692" s="273"/>
      <c r="M692" s="273"/>
      <c r="N692" s="273"/>
      <c r="O692" s="273"/>
      <c r="P692" s="273"/>
      <c r="Q692" s="273"/>
      <c r="R692" s="273"/>
      <c r="S692" s="273"/>
      <c r="T692" s="273"/>
      <c r="U692" s="273"/>
      <c r="V692" s="273"/>
      <c r="W692" s="273">
        <f t="shared" si="151"/>
        <v>204609.5</v>
      </c>
      <c r="Z692" s="94"/>
      <c r="AA692" s="269"/>
      <c r="AB692" s="271">
        <v>204609.5</v>
      </c>
      <c r="AD692" s="269"/>
    </row>
    <row r="693" spans="1:32" x14ac:dyDescent="0.3">
      <c r="A693" s="259">
        <f t="shared" si="149"/>
        <v>526</v>
      </c>
      <c r="B693" s="20" t="s">
        <v>2163</v>
      </c>
      <c r="C693" s="273">
        <f>D693+K693+L693+N693+P693+R693+S693+U693+V693+W693</f>
        <v>201542.47</v>
      </c>
      <c r="D693" s="273"/>
      <c r="E693" s="273"/>
      <c r="F693" s="273"/>
      <c r="G693" s="273"/>
      <c r="H693" s="273"/>
      <c r="I693" s="273"/>
      <c r="J693" s="50"/>
      <c r="K693" s="273"/>
      <c r="L693" s="273"/>
      <c r="M693" s="273"/>
      <c r="N693" s="273"/>
      <c r="O693" s="273"/>
      <c r="P693" s="273"/>
      <c r="Q693" s="273"/>
      <c r="R693" s="273"/>
      <c r="S693" s="273"/>
      <c r="T693" s="273"/>
      <c r="U693" s="273"/>
      <c r="V693" s="273"/>
      <c r="W693" s="273">
        <f t="shared" si="151"/>
        <v>201542.47</v>
      </c>
      <c r="Z693" s="94"/>
      <c r="AA693" s="269"/>
      <c r="AB693" s="271">
        <v>201542.47</v>
      </c>
      <c r="AD693" s="269"/>
    </row>
    <row r="694" spans="1:32" x14ac:dyDescent="0.3">
      <c r="A694" s="259">
        <f t="shared" si="149"/>
        <v>527</v>
      </c>
      <c r="B694" s="20" t="s">
        <v>2164</v>
      </c>
      <c r="C694" s="273">
        <f>D694+K694+L694+N694+P694+R694+S694+U694+V694+W694</f>
        <v>130000</v>
      </c>
      <c r="D694" s="273"/>
      <c r="E694" s="273"/>
      <c r="F694" s="273"/>
      <c r="G694" s="273"/>
      <c r="H694" s="273"/>
      <c r="I694" s="273"/>
      <c r="J694" s="50"/>
      <c r="K694" s="273"/>
      <c r="L694" s="273"/>
      <c r="M694" s="273"/>
      <c r="N694" s="273"/>
      <c r="O694" s="273"/>
      <c r="P694" s="273"/>
      <c r="Q694" s="273"/>
      <c r="R694" s="273"/>
      <c r="S694" s="273"/>
      <c r="T694" s="273"/>
      <c r="U694" s="273"/>
      <c r="V694" s="273"/>
      <c r="W694" s="273">
        <v>130000</v>
      </c>
      <c r="Z694" s="94"/>
      <c r="AA694" s="269"/>
      <c r="AB694" s="271"/>
      <c r="AC694" s="269"/>
    </row>
    <row r="695" spans="1:32" x14ac:dyDescent="0.3">
      <c r="A695" s="302" t="s">
        <v>208</v>
      </c>
      <c r="B695" s="302"/>
      <c r="C695" s="273">
        <f t="shared" ref="C695:W695" si="152">SUM(C683:C694)</f>
        <v>2686088.93</v>
      </c>
      <c r="D695" s="273">
        <f t="shared" si="152"/>
        <v>788403</v>
      </c>
      <c r="E695" s="273">
        <f t="shared" si="152"/>
        <v>788403</v>
      </c>
      <c r="F695" s="273">
        <f t="shared" si="152"/>
        <v>0</v>
      </c>
      <c r="G695" s="273">
        <f t="shared" si="152"/>
        <v>0</v>
      </c>
      <c r="H695" s="273">
        <f t="shared" si="152"/>
        <v>0</v>
      </c>
      <c r="I695" s="273">
        <f t="shared" si="152"/>
        <v>0</v>
      </c>
      <c r="J695" s="50">
        <f t="shared" si="152"/>
        <v>0</v>
      </c>
      <c r="K695" s="273">
        <f t="shared" si="152"/>
        <v>0</v>
      </c>
      <c r="L695" s="273">
        <f t="shared" si="152"/>
        <v>0</v>
      </c>
      <c r="M695" s="273">
        <f t="shared" si="152"/>
        <v>0</v>
      </c>
      <c r="N695" s="273">
        <f t="shared" si="152"/>
        <v>0</v>
      </c>
      <c r="O695" s="273">
        <f t="shared" si="152"/>
        <v>0</v>
      </c>
      <c r="P695" s="273">
        <f t="shared" si="152"/>
        <v>0</v>
      </c>
      <c r="Q695" s="273">
        <f t="shared" si="152"/>
        <v>0</v>
      </c>
      <c r="R695" s="273">
        <f t="shared" si="152"/>
        <v>0</v>
      </c>
      <c r="S695" s="273">
        <f t="shared" si="152"/>
        <v>0</v>
      </c>
      <c r="T695" s="273">
        <f t="shared" si="152"/>
        <v>0</v>
      </c>
      <c r="U695" s="273">
        <f t="shared" si="152"/>
        <v>0</v>
      </c>
      <c r="V695" s="273">
        <f t="shared" si="152"/>
        <v>0</v>
      </c>
      <c r="W695" s="273">
        <f t="shared" si="152"/>
        <v>1897685.93</v>
      </c>
      <c r="X695" s="271"/>
      <c r="Y695" s="269"/>
      <c r="Z695" s="94"/>
      <c r="AA695" s="269"/>
      <c r="AB695" s="82"/>
      <c r="AC695" s="82"/>
    </row>
    <row r="696" spans="1:32" x14ac:dyDescent="0.3">
      <c r="A696" s="301" t="s">
        <v>2165</v>
      </c>
      <c r="B696" s="301"/>
      <c r="C696" s="273"/>
      <c r="D696" s="273"/>
      <c r="E696" s="273"/>
      <c r="F696" s="273"/>
      <c r="G696" s="273"/>
      <c r="H696" s="273"/>
      <c r="I696" s="273"/>
      <c r="J696" s="50"/>
      <c r="K696" s="273"/>
      <c r="L696" s="273"/>
      <c r="M696" s="273"/>
      <c r="N696" s="273"/>
      <c r="O696" s="273"/>
      <c r="P696" s="273"/>
      <c r="Q696" s="273"/>
      <c r="R696" s="273"/>
      <c r="S696" s="273"/>
      <c r="T696" s="273"/>
      <c r="U696" s="273"/>
      <c r="V696" s="273"/>
      <c r="W696" s="273"/>
      <c r="X696" s="271"/>
      <c r="Y696" s="269"/>
      <c r="Z696" s="94"/>
      <c r="AA696" s="269"/>
      <c r="AB696" s="82"/>
      <c r="AC696" s="82"/>
    </row>
    <row r="697" spans="1:32" x14ac:dyDescent="0.3">
      <c r="A697" s="259">
        <f>A694+1</f>
        <v>528</v>
      </c>
      <c r="B697" s="20" t="s">
        <v>2167</v>
      </c>
      <c r="C697" s="273">
        <f>D697+K697+L697+N697+P697+R697+S697+U697+V697+W697</f>
        <v>407673.7</v>
      </c>
      <c r="D697" s="273"/>
      <c r="E697" s="273"/>
      <c r="F697" s="273"/>
      <c r="G697" s="273"/>
      <c r="H697" s="273"/>
      <c r="I697" s="273"/>
      <c r="J697" s="50"/>
      <c r="K697" s="273"/>
      <c r="L697" s="273"/>
      <c r="M697" s="273"/>
      <c r="N697" s="273"/>
      <c r="O697" s="273"/>
      <c r="P697" s="273"/>
      <c r="Q697" s="273"/>
      <c r="R697" s="273"/>
      <c r="S697" s="273"/>
      <c r="T697" s="273"/>
      <c r="U697" s="273"/>
      <c r="V697" s="273"/>
      <c r="W697" s="273">
        <f>SUM(X697:AD697)</f>
        <v>407673.7</v>
      </c>
      <c r="X697" s="271"/>
      <c r="Y697" s="269"/>
      <c r="Z697" s="94">
        <v>407673.7</v>
      </c>
      <c r="AA697" s="269"/>
      <c r="AB697" s="82"/>
      <c r="AC697" s="82"/>
    </row>
    <row r="698" spans="1:32" x14ac:dyDescent="0.3">
      <c r="A698" s="302" t="s">
        <v>208</v>
      </c>
      <c r="B698" s="302"/>
      <c r="C698" s="273">
        <f t="shared" ref="C698:W698" si="153">SUM(C697:C697)</f>
        <v>407673.7</v>
      </c>
      <c r="D698" s="273">
        <f t="shared" si="153"/>
        <v>0</v>
      </c>
      <c r="E698" s="273">
        <f t="shared" si="153"/>
        <v>0</v>
      </c>
      <c r="F698" s="273">
        <f t="shared" si="153"/>
        <v>0</v>
      </c>
      <c r="G698" s="273">
        <f t="shared" si="153"/>
        <v>0</v>
      </c>
      <c r="H698" s="273">
        <f t="shared" si="153"/>
        <v>0</v>
      </c>
      <c r="I698" s="273">
        <f t="shared" si="153"/>
        <v>0</v>
      </c>
      <c r="J698" s="50">
        <f t="shared" si="153"/>
        <v>0</v>
      </c>
      <c r="K698" s="273">
        <f t="shared" si="153"/>
        <v>0</v>
      </c>
      <c r="L698" s="273">
        <f t="shared" si="153"/>
        <v>0</v>
      </c>
      <c r="M698" s="273">
        <f t="shared" si="153"/>
        <v>0</v>
      </c>
      <c r="N698" s="273">
        <f t="shared" si="153"/>
        <v>0</v>
      </c>
      <c r="O698" s="273">
        <f t="shared" si="153"/>
        <v>0</v>
      </c>
      <c r="P698" s="273">
        <f t="shared" si="153"/>
        <v>0</v>
      </c>
      <c r="Q698" s="273">
        <f t="shared" si="153"/>
        <v>0</v>
      </c>
      <c r="R698" s="273">
        <f t="shared" si="153"/>
        <v>0</v>
      </c>
      <c r="S698" s="273">
        <f t="shared" si="153"/>
        <v>0</v>
      </c>
      <c r="T698" s="273">
        <f t="shared" si="153"/>
        <v>0</v>
      </c>
      <c r="U698" s="273">
        <f t="shared" si="153"/>
        <v>0</v>
      </c>
      <c r="V698" s="273">
        <f t="shared" si="153"/>
        <v>0</v>
      </c>
      <c r="W698" s="273">
        <f t="shared" si="153"/>
        <v>407673.7</v>
      </c>
      <c r="X698" s="271"/>
      <c r="Y698" s="269"/>
      <c r="Z698" s="94"/>
      <c r="AA698" s="269"/>
      <c r="AB698" s="82"/>
      <c r="AC698" s="82"/>
    </row>
    <row r="699" spans="1:32" x14ac:dyDescent="0.3">
      <c r="A699" s="301" t="s">
        <v>2168</v>
      </c>
      <c r="B699" s="301"/>
      <c r="C699" s="273"/>
      <c r="D699" s="273"/>
      <c r="E699" s="273"/>
      <c r="F699" s="273"/>
      <c r="G699" s="273"/>
      <c r="H699" s="273"/>
      <c r="I699" s="273"/>
      <c r="J699" s="50"/>
      <c r="K699" s="273"/>
      <c r="L699" s="273"/>
      <c r="M699" s="273"/>
      <c r="N699" s="273"/>
      <c r="O699" s="273"/>
      <c r="P699" s="273"/>
      <c r="Q699" s="273"/>
      <c r="R699" s="273"/>
      <c r="S699" s="273"/>
      <c r="T699" s="273"/>
      <c r="U699" s="273"/>
      <c r="V699" s="273"/>
      <c r="W699" s="273"/>
      <c r="X699" s="271"/>
      <c r="Y699" s="269"/>
      <c r="Z699" s="94"/>
      <c r="AA699" s="269"/>
      <c r="AB699" s="82"/>
      <c r="AC699" s="82"/>
    </row>
    <row r="700" spans="1:32" x14ac:dyDescent="0.3">
      <c r="A700" s="259">
        <f>A697+1</f>
        <v>529</v>
      </c>
      <c r="B700" s="20" t="s">
        <v>2171</v>
      </c>
      <c r="C700" s="273">
        <f>D700+K700+L700+N700+P700+R700+S700+U700+V700+W700</f>
        <v>25416229.440000001</v>
      </c>
      <c r="D700" s="273"/>
      <c r="E700" s="273"/>
      <c r="F700" s="273"/>
      <c r="G700" s="273"/>
      <c r="H700" s="273"/>
      <c r="I700" s="273"/>
      <c r="J700" s="50"/>
      <c r="K700" s="273"/>
      <c r="L700" s="273"/>
      <c r="M700" s="273"/>
      <c r="N700" s="273"/>
      <c r="O700" s="273"/>
      <c r="P700" s="273"/>
      <c r="Q700" s="273">
        <v>2450</v>
      </c>
      <c r="R700" s="273">
        <v>25416229.440000001</v>
      </c>
      <c r="S700" s="273"/>
      <c r="T700" s="273"/>
      <c r="U700" s="273"/>
      <c r="V700" s="273"/>
      <c r="W700" s="273"/>
      <c r="X700" s="271"/>
      <c r="Y700" s="269"/>
      <c r="Z700" s="94"/>
      <c r="AA700" s="269"/>
      <c r="AB700" s="82"/>
      <c r="AC700" s="82"/>
    </row>
    <row r="701" spans="1:32" x14ac:dyDescent="0.3">
      <c r="A701" s="302" t="s">
        <v>208</v>
      </c>
      <c r="B701" s="302"/>
      <c r="C701" s="273">
        <f t="shared" ref="C701:W701" si="154">SUM(C700:C700)</f>
        <v>25416229.440000001</v>
      </c>
      <c r="D701" s="273">
        <f t="shared" si="154"/>
        <v>0</v>
      </c>
      <c r="E701" s="273">
        <f t="shared" si="154"/>
        <v>0</v>
      </c>
      <c r="F701" s="273">
        <f t="shared" si="154"/>
        <v>0</v>
      </c>
      <c r="G701" s="273">
        <f t="shared" si="154"/>
        <v>0</v>
      </c>
      <c r="H701" s="273">
        <f t="shared" si="154"/>
        <v>0</v>
      </c>
      <c r="I701" s="273">
        <f t="shared" si="154"/>
        <v>0</v>
      </c>
      <c r="J701" s="50">
        <f t="shared" si="154"/>
        <v>0</v>
      </c>
      <c r="K701" s="273">
        <f t="shared" si="154"/>
        <v>0</v>
      </c>
      <c r="L701" s="273">
        <f t="shared" si="154"/>
        <v>0</v>
      </c>
      <c r="M701" s="273">
        <f t="shared" si="154"/>
        <v>0</v>
      </c>
      <c r="N701" s="273">
        <f t="shared" si="154"/>
        <v>0</v>
      </c>
      <c r="O701" s="273">
        <f t="shared" si="154"/>
        <v>0</v>
      </c>
      <c r="P701" s="273">
        <f t="shared" si="154"/>
        <v>0</v>
      </c>
      <c r="Q701" s="273">
        <f t="shared" si="154"/>
        <v>2450</v>
      </c>
      <c r="R701" s="273">
        <f t="shared" si="154"/>
        <v>25416229.440000001</v>
      </c>
      <c r="S701" s="273">
        <f t="shared" si="154"/>
        <v>0</v>
      </c>
      <c r="T701" s="273">
        <f t="shared" si="154"/>
        <v>0</v>
      </c>
      <c r="U701" s="273">
        <f t="shared" si="154"/>
        <v>0</v>
      </c>
      <c r="V701" s="273">
        <f t="shared" si="154"/>
        <v>0</v>
      </c>
      <c r="W701" s="273">
        <f t="shared" si="154"/>
        <v>0</v>
      </c>
      <c r="X701" s="271"/>
      <c r="Y701" s="269"/>
      <c r="Z701" s="94"/>
      <c r="AA701" s="269"/>
      <c r="AB701" s="82"/>
      <c r="AC701" s="82"/>
    </row>
    <row r="702" spans="1:32" x14ac:dyDescent="0.3">
      <c r="A702" s="301" t="s">
        <v>2176</v>
      </c>
      <c r="B702" s="301"/>
      <c r="C702" s="273"/>
      <c r="D702" s="273"/>
      <c r="E702" s="273"/>
      <c r="F702" s="273"/>
      <c r="G702" s="273"/>
      <c r="H702" s="273"/>
      <c r="I702" s="273"/>
      <c r="J702" s="50"/>
      <c r="K702" s="273"/>
      <c r="L702" s="273"/>
      <c r="M702" s="273"/>
      <c r="N702" s="273"/>
      <c r="O702" s="273"/>
      <c r="P702" s="273"/>
      <c r="Q702" s="273"/>
      <c r="R702" s="273"/>
      <c r="S702" s="273"/>
      <c r="T702" s="273"/>
      <c r="U702" s="273"/>
      <c r="V702" s="273"/>
      <c r="W702" s="273"/>
      <c r="X702" s="271"/>
      <c r="Y702" s="269"/>
      <c r="Z702" s="94"/>
      <c r="AA702" s="269"/>
      <c r="AB702" s="82"/>
      <c r="AC702" s="82"/>
    </row>
    <row r="703" spans="1:32" x14ac:dyDescent="0.3">
      <c r="A703" s="259">
        <f>A700+1</f>
        <v>530</v>
      </c>
      <c r="B703" s="20" t="s">
        <v>2177</v>
      </c>
      <c r="C703" s="273">
        <f>D703+K703+L703+N703+P703+R703+S703+U703+V703+W703</f>
        <v>103314.9</v>
      </c>
      <c r="D703" s="273">
        <f t="shared" ref="D703" si="155">E703+F703+G703+H703+I703</f>
        <v>0</v>
      </c>
      <c r="E703" s="273"/>
      <c r="F703" s="273"/>
      <c r="G703" s="273"/>
      <c r="H703" s="273"/>
      <c r="I703" s="273"/>
      <c r="J703" s="50"/>
      <c r="K703" s="273"/>
      <c r="L703" s="273"/>
      <c r="M703" s="273"/>
      <c r="N703" s="273"/>
      <c r="O703" s="273"/>
      <c r="P703" s="273"/>
      <c r="Q703" s="273"/>
      <c r="R703" s="273"/>
      <c r="S703" s="273"/>
      <c r="T703" s="273"/>
      <c r="U703" s="273"/>
      <c r="V703" s="273"/>
      <c r="W703" s="273">
        <f>SUM(AB703:AF703)</f>
        <v>103314.9</v>
      </c>
      <c r="AB703" s="271">
        <v>103314.9</v>
      </c>
      <c r="AD703" s="269"/>
      <c r="AE703" s="94"/>
      <c r="AF703" s="269"/>
    </row>
    <row r="704" spans="1:32" x14ac:dyDescent="0.3">
      <c r="A704" s="259">
        <f>A703+1</f>
        <v>531</v>
      </c>
      <c r="B704" s="20" t="s">
        <v>2178</v>
      </c>
      <c r="C704" s="273">
        <f>D704+K704+L704+N704+P704+R704+S704+U704+V704+W704</f>
        <v>105693.47</v>
      </c>
      <c r="D704" s="273"/>
      <c r="E704" s="273"/>
      <c r="F704" s="273"/>
      <c r="G704" s="273"/>
      <c r="H704" s="273"/>
      <c r="I704" s="273"/>
      <c r="J704" s="50"/>
      <c r="K704" s="273"/>
      <c r="L704" s="273"/>
      <c r="M704" s="273"/>
      <c r="N704" s="273"/>
      <c r="O704" s="273"/>
      <c r="P704" s="273"/>
      <c r="Q704" s="273"/>
      <c r="R704" s="273"/>
      <c r="S704" s="273"/>
      <c r="T704" s="273"/>
      <c r="U704" s="273"/>
      <c r="V704" s="273"/>
      <c r="W704" s="273">
        <f>SUM(AB704:AF704)</f>
        <v>105693.47</v>
      </c>
      <c r="AB704" s="271">
        <v>105693.47</v>
      </c>
      <c r="AD704" s="269"/>
      <c r="AE704" s="94"/>
      <c r="AF704" s="269"/>
    </row>
    <row r="705" spans="1:38" x14ac:dyDescent="0.3">
      <c r="A705" s="259">
        <f>A704+1</f>
        <v>532</v>
      </c>
      <c r="B705" s="20" t="s">
        <v>2179</v>
      </c>
      <c r="C705" s="273">
        <f>D705+K705+L705+N705+P705+R705+S705+U705+V705+W705</f>
        <v>333294.25</v>
      </c>
      <c r="D705" s="273"/>
      <c r="E705" s="273"/>
      <c r="F705" s="273"/>
      <c r="G705" s="273"/>
      <c r="H705" s="273"/>
      <c r="I705" s="273"/>
      <c r="J705" s="50"/>
      <c r="K705" s="273"/>
      <c r="L705" s="273"/>
      <c r="M705" s="273"/>
      <c r="N705" s="273"/>
      <c r="O705" s="273"/>
      <c r="P705" s="273"/>
      <c r="Q705" s="273"/>
      <c r="R705" s="273"/>
      <c r="S705" s="273"/>
      <c r="T705" s="273"/>
      <c r="U705" s="273"/>
      <c r="V705" s="273"/>
      <c r="W705" s="273">
        <f>SUM(AB705:AF705)</f>
        <v>333294.25</v>
      </c>
      <c r="AB705" s="271">
        <f>104094.32+127545.29+101654.64</f>
        <v>333294.25</v>
      </c>
      <c r="AD705" s="269"/>
      <c r="AE705" s="94"/>
      <c r="AF705" s="269"/>
    </row>
    <row r="706" spans="1:38" x14ac:dyDescent="0.3">
      <c r="A706" s="259">
        <f>A705+1</f>
        <v>533</v>
      </c>
      <c r="B706" s="20" t="s">
        <v>2180</v>
      </c>
      <c r="C706" s="273">
        <f>D706+K706+L706+N706+P706+R706+S706+U706+V706+W706</f>
        <v>334699.55</v>
      </c>
      <c r="D706" s="273"/>
      <c r="E706" s="273"/>
      <c r="F706" s="273"/>
      <c r="G706" s="273"/>
      <c r="H706" s="273"/>
      <c r="I706" s="273"/>
      <c r="J706" s="50"/>
      <c r="K706" s="273"/>
      <c r="L706" s="273"/>
      <c r="M706" s="273"/>
      <c r="N706" s="273"/>
      <c r="O706" s="273"/>
      <c r="P706" s="273"/>
      <c r="Q706" s="273"/>
      <c r="R706" s="273"/>
      <c r="S706" s="273"/>
      <c r="T706" s="273"/>
      <c r="U706" s="273"/>
      <c r="V706" s="273"/>
      <c r="W706" s="273">
        <f>SUM(AB706:AF706)</f>
        <v>334699.55</v>
      </c>
      <c r="AB706" s="271">
        <f>106158.73+124275.88+104264.94</f>
        <v>334699.55</v>
      </c>
      <c r="AD706" s="269"/>
      <c r="AE706" s="94"/>
      <c r="AF706" s="269"/>
    </row>
    <row r="707" spans="1:38" x14ac:dyDescent="0.3">
      <c r="A707" s="302" t="s">
        <v>208</v>
      </c>
      <c r="B707" s="302"/>
      <c r="C707" s="273">
        <f t="shared" ref="C707:W707" si="156">SUM(C703:C706)</f>
        <v>877002.16999999993</v>
      </c>
      <c r="D707" s="273">
        <f t="shared" si="156"/>
        <v>0</v>
      </c>
      <c r="E707" s="273">
        <f t="shared" si="156"/>
        <v>0</v>
      </c>
      <c r="F707" s="273">
        <f t="shared" si="156"/>
        <v>0</v>
      </c>
      <c r="G707" s="273">
        <f t="shared" si="156"/>
        <v>0</v>
      </c>
      <c r="H707" s="273">
        <f t="shared" si="156"/>
        <v>0</v>
      </c>
      <c r="I707" s="273">
        <f t="shared" si="156"/>
        <v>0</v>
      </c>
      <c r="J707" s="50">
        <f t="shared" si="156"/>
        <v>0</v>
      </c>
      <c r="K707" s="273">
        <f t="shared" si="156"/>
        <v>0</v>
      </c>
      <c r="L707" s="273">
        <f t="shared" si="156"/>
        <v>0</v>
      </c>
      <c r="M707" s="273">
        <f t="shared" si="156"/>
        <v>0</v>
      </c>
      <c r="N707" s="273">
        <f t="shared" si="156"/>
        <v>0</v>
      </c>
      <c r="O707" s="273">
        <f t="shared" si="156"/>
        <v>0</v>
      </c>
      <c r="P707" s="273">
        <f t="shared" si="156"/>
        <v>0</v>
      </c>
      <c r="Q707" s="273">
        <f t="shared" si="156"/>
        <v>0</v>
      </c>
      <c r="R707" s="273">
        <f t="shared" si="156"/>
        <v>0</v>
      </c>
      <c r="S707" s="273">
        <f t="shared" si="156"/>
        <v>0</v>
      </c>
      <c r="T707" s="273">
        <f t="shared" si="156"/>
        <v>0</v>
      </c>
      <c r="U707" s="273">
        <f t="shared" si="156"/>
        <v>0</v>
      </c>
      <c r="V707" s="273">
        <f t="shared" si="156"/>
        <v>0</v>
      </c>
      <c r="W707" s="273">
        <f t="shared" si="156"/>
        <v>877002.16999999993</v>
      </c>
      <c r="X707" s="271"/>
      <c r="Y707" s="269"/>
      <c r="Z707" s="94"/>
      <c r="AA707" s="269"/>
      <c r="AB707" s="82"/>
      <c r="AC707" s="82"/>
    </row>
    <row r="708" spans="1:38" x14ac:dyDescent="0.3">
      <c r="A708" s="304" t="s">
        <v>2190</v>
      </c>
      <c r="B708" s="304"/>
      <c r="C708" s="251">
        <f t="shared" ref="C708:W708" si="157">C707+C701+C698+C695+C681+C668+C665+C662+C658+C654</f>
        <v>111122654.02000001</v>
      </c>
      <c r="D708" s="251">
        <f t="shared" si="157"/>
        <v>788403</v>
      </c>
      <c r="E708" s="251">
        <f t="shared" si="157"/>
        <v>788403</v>
      </c>
      <c r="F708" s="251">
        <f t="shared" si="157"/>
        <v>0</v>
      </c>
      <c r="G708" s="251">
        <f t="shared" si="157"/>
        <v>0</v>
      </c>
      <c r="H708" s="251">
        <f t="shared" si="157"/>
        <v>0</v>
      </c>
      <c r="I708" s="251">
        <f t="shared" si="157"/>
        <v>0</v>
      </c>
      <c r="J708" s="57">
        <f t="shared" si="157"/>
        <v>0</v>
      </c>
      <c r="K708" s="251">
        <f t="shared" si="157"/>
        <v>0</v>
      </c>
      <c r="L708" s="251">
        <f t="shared" si="157"/>
        <v>0</v>
      </c>
      <c r="M708" s="251">
        <f t="shared" si="157"/>
        <v>0</v>
      </c>
      <c r="N708" s="251">
        <f t="shared" si="157"/>
        <v>0</v>
      </c>
      <c r="O708" s="251">
        <f t="shared" si="157"/>
        <v>0</v>
      </c>
      <c r="P708" s="251">
        <f t="shared" si="157"/>
        <v>0</v>
      </c>
      <c r="Q708" s="251">
        <f t="shared" si="157"/>
        <v>11803.6</v>
      </c>
      <c r="R708" s="251">
        <f t="shared" si="157"/>
        <v>102267445.43000001</v>
      </c>
      <c r="S708" s="251">
        <f t="shared" si="157"/>
        <v>0</v>
      </c>
      <c r="T708" s="251">
        <f t="shared" si="157"/>
        <v>0</v>
      </c>
      <c r="U708" s="251">
        <f t="shared" si="157"/>
        <v>0</v>
      </c>
      <c r="V708" s="251">
        <f t="shared" si="157"/>
        <v>1619221.8</v>
      </c>
      <c r="W708" s="251">
        <f t="shared" si="157"/>
        <v>6447583.7899999991</v>
      </c>
      <c r="X708" s="271"/>
      <c r="Y708" s="269"/>
      <c r="Z708" s="94"/>
      <c r="AA708" s="269"/>
      <c r="AB708" s="82"/>
      <c r="AC708" s="82"/>
    </row>
    <row r="709" spans="1:38" x14ac:dyDescent="0.3">
      <c r="A709" s="303" t="s">
        <v>3206</v>
      </c>
      <c r="B709" s="303"/>
      <c r="C709" s="303"/>
      <c r="D709" s="303"/>
      <c r="E709" s="303"/>
      <c r="F709" s="303"/>
      <c r="G709" s="303"/>
      <c r="H709" s="303"/>
      <c r="I709" s="303"/>
      <c r="J709" s="303"/>
      <c r="K709" s="303"/>
      <c r="L709" s="303"/>
      <c r="M709" s="303"/>
      <c r="N709" s="303"/>
      <c r="O709" s="303"/>
      <c r="P709" s="303"/>
      <c r="Q709" s="303"/>
      <c r="R709" s="303"/>
      <c r="S709" s="303"/>
      <c r="T709" s="303"/>
      <c r="U709" s="303"/>
      <c r="V709" s="303"/>
      <c r="W709" s="303"/>
      <c r="X709" s="37"/>
      <c r="Y709" s="273"/>
      <c r="Z709" s="273"/>
      <c r="AA709" s="273"/>
      <c r="AB709" s="273"/>
      <c r="AC709" s="273"/>
      <c r="AD709" s="273"/>
      <c r="AE709" s="273"/>
      <c r="AF709" s="273"/>
      <c r="AG709" s="273"/>
      <c r="AH709" s="261"/>
      <c r="AI709" s="273"/>
      <c r="AJ709" s="273"/>
      <c r="AK709" s="273"/>
      <c r="AL709" s="273"/>
    </row>
    <row r="710" spans="1:38" x14ac:dyDescent="0.3">
      <c r="A710" s="301" t="s">
        <v>3287</v>
      </c>
      <c r="B710" s="301"/>
      <c r="C710" s="251"/>
      <c r="D710" s="251"/>
      <c r="E710" s="251"/>
      <c r="F710" s="251"/>
      <c r="G710" s="251"/>
      <c r="H710" s="251"/>
      <c r="I710" s="251"/>
      <c r="J710" s="57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37"/>
      <c r="Y710" s="273"/>
      <c r="Z710" s="273"/>
      <c r="AA710" s="273"/>
      <c r="AB710" s="273"/>
      <c r="AC710" s="273"/>
      <c r="AD710" s="273"/>
      <c r="AE710" s="273"/>
      <c r="AF710" s="273"/>
      <c r="AG710" s="273"/>
      <c r="AH710" s="261"/>
      <c r="AI710" s="273"/>
      <c r="AJ710" s="273"/>
      <c r="AK710" s="273"/>
      <c r="AL710" s="273"/>
    </row>
    <row r="711" spans="1:38" x14ac:dyDescent="0.3">
      <c r="A711" s="259">
        <f>A706+1</f>
        <v>534</v>
      </c>
      <c r="B711" s="20" t="s">
        <v>3288</v>
      </c>
      <c r="C711" s="273">
        <f t="shared" ref="C711:C716" si="158">D711+K711+L711+N711+P711+R711+S711+U711+V711+W711</f>
        <v>847073.73</v>
      </c>
      <c r="D711" s="273">
        <f t="shared" ref="D711" si="159">E711+F711+G711+H711+I711</f>
        <v>0</v>
      </c>
      <c r="E711" s="273"/>
      <c r="F711" s="273"/>
      <c r="G711" s="273"/>
      <c r="H711" s="273"/>
      <c r="I711" s="273"/>
      <c r="J711" s="50"/>
      <c r="K711" s="273"/>
      <c r="L711" s="273"/>
      <c r="M711" s="273"/>
      <c r="N711" s="273"/>
      <c r="O711" s="273"/>
      <c r="P711" s="273"/>
      <c r="Q711" s="273"/>
      <c r="R711" s="273"/>
      <c r="S711" s="273"/>
      <c r="T711" s="273"/>
      <c r="U711" s="273"/>
      <c r="V711" s="273"/>
      <c r="W711" s="273">
        <f>SUM(Y711:AL711)</f>
        <v>847073.73</v>
      </c>
      <c r="X711" s="283"/>
      <c r="Y711" s="273"/>
      <c r="Z711" s="273"/>
      <c r="AB711" s="273">
        <v>102470.89</v>
      </c>
      <c r="AC711" s="273"/>
      <c r="AD711" s="273">
        <v>193476.59</v>
      </c>
      <c r="AE711" s="261"/>
      <c r="AF711" s="273">
        <v>371705.89</v>
      </c>
      <c r="AG711" s="273">
        <v>179420.36</v>
      </c>
      <c r="AK711" s="273"/>
      <c r="AL711" s="273"/>
    </row>
    <row r="712" spans="1:38" x14ac:dyDescent="0.3">
      <c r="A712" s="259">
        <f>A711+1</f>
        <v>535</v>
      </c>
      <c r="B712" s="20" t="s">
        <v>3289</v>
      </c>
      <c r="C712" s="273">
        <f t="shared" si="158"/>
        <v>859261.85</v>
      </c>
      <c r="D712" s="273"/>
      <c r="E712" s="273"/>
      <c r="F712" s="273"/>
      <c r="G712" s="273"/>
      <c r="H712" s="273"/>
      <c r="I712" s="273"/>
      <c r="J712" s="50"/>
      <c r="K712" s="273"/>
      <c r="L712" s="273"/>
      <c r="M712" s="273"/>
      <c r="N712" s="273"/>
      <c r="O712" s="273"/>
      <c r="P712" s="273"/>
      <c r="Q712" s="273"/>
      <c r="R712" s="273"/>
      <c r="S712" s="273"/>
      <c r="T712" s="273"/>
      <c r="U712" s="273"/>
      <c r="V712" s="273"/>
      <c r="W712" s="273">
        <f t="shared" ref="W712" si="160">SUM(Y712:AL712)</f>
        <v>859261.85</v>
      </c>
      <c r="X712" s="283"/>
      <c r="Y712" s="273"/>
      <c r="Z712" s="273"/>
      <c r="AB712" s="273">
        <v>104148.19</v>
      </c>
      <c r="AC712" s="273"/>
      <c r="AD712" s="273">
        <v>196158.62</v>
      </c>
      <c r="AE712" s="261"/>
      <c r="AF712" s="273">
        <v>376882.3</v>
      </c>
      <c r="AG712" s="273">
        <v>182072.74</v>
      </c>
      <c r="AK712" s="273"/>
      <c r="AL712" s="273"/>
    </row>
    <row r="713" spans="1:38" x14ac:dyDescent="0.3">
      <c r="A713" s="259">
        <f>A712+1</f>
        <v>536</v>
      </c>
      <c r="B713" s="20" t="s">
        <v>3290</v>
      </c>
      <c r="C713" s="273">
        <f t="shared" si="158"/>
        <v>843727.49</v>
      </c>
      <c r="D713" s="273"/>
      <c r="E713" s="273"/>
      <c r="F713" s="273"/>
      <c r="G713" s="273"/>
      <c r="H713" s="273"/>
      <c r="I713" s="273"/>
      <c r="J713" s="50"/>
      <c r="K713" s="273"/>
      <c r="L713" s="273"/>
      <c r="M713" s="273"/>
      <c r="N713" s="273"/>
      <c r="O713" s="273"/>
      <c r="P713" s="273"/>
      <c r="Q713" s="273"/>
      <c r="R713" s="273"/>
      <c r="S713" s="273"/>
      <c r="T713" s="273"/>
      <c r="U713" s="273"/>
      <c r="V713" s="273"/>
      <c r="W713" s="273">
        <f>SUM(X713:AL713)</f>
        <v>843727.49</v>
      </c>
      <c r="X713" s="283"/>
      <c r="Y713" s="273"/>
      <c r="Z713" s="273"/>
      <c r="AB713" s="273">
        <v>102009.97</v>
      </c>
      <c r="AC713" s="273"/>
      <c r="AD713" s="273">
        <v>192740.35</v>
      </c>
      <c r="AE713" s="261"/>
      <c r="AF713" s="273">
        <v>370284.91</v>
      </c>
      <c r="AG713" s="273">
        <v>178692.26</v>
      </c>
      <c r="AK713" s="273"/>
      <c r="AL713" s="273"/>
    </row>
    <row r="714" spans="1:38" x14ac:dyDescent="0.3">
      <c r="A714" s="259">
        <f>A713+1</f>
        <v>537</v>
      </c>
      <c r="B714" s="20" t="s">
        <v>3291</v>
      </c>
      <c r="C714" s="273">
        <f t="shared" si="158"/>
        <v>833688.76</v>
      </c>
      <c r="D714" s="273"/>
      <c r="E714" s="273"/>
      <c r="F714" s="273"/>
      <c r="G714" s="273"/>
      <c r="H714" s="273"/>
      <c r="I714" s="273"/>
      <c r="J714" s="50"/>
      <c r="K714" s="273"/>
      <c r="L714" s="273"/>
      <c r="M714" s="273"/>
      <c r="N714" s="273"/>
      <c r="O714" s="273"/>
      <c r="P714" s="273"/>
      <c r="Q714" s="273"/>
      <c r="R714" s="273"/>
      <c r="S714" s="273"/>
      <c r="T714" s="273"/>
      <c r="U714" s="273"/>
      <c r="V714" s="273"/>
      <c r="W714" s="273">
        <f t="shared" ref="W714:W716" si="161">SUM(X714:AL714)</f>
        <v>833688.76</v>
      </c>
      <c r="X714" s="283"/>
      <c r="Y714" s="273"/>
      <c r="Z714" s="273"/>
      <c r="AB714" s="273">
        <v>100627.19</v>
      </c>
      <c r="AC714" s="273"/>
      <c r="AD714" s="273">
        <v>190531.63</v>
      </c>
      <c r="AE714" s="261"/>
      <c r="AF714" s="273">
        <v>366022</v>
      </c>
      <c r="AG714" s="273">
        <v>176507.94</v>
      </c>
      <c r="AK714" s="273"/>
      <c r="AL714" s="273"/>
    </row>
    <row r="715" spans="1:38" x14ac:dyDescent="0.3">
      <c r="A715" s="259">
        <f>A714+1</f>
        <v>538</v>
      </c>
      <c r="B715" s="20" t="s">
        <v>3292</v>
      </c>
      <c r="C715" s="273">
        <f t="shared" si="158"/>
        <v>825323.14999999991</v>
      </c>
      <c r="D715" s="273"/>
      <c r="E715" s="273"/>
      <c r="F715" s="273"/>
      <c r="G715" s="273"/>
      <c r="H715" s="273"/>
      <c r="I715" s="273"/>
      <c r="J715" s="50"/>
      <c r="K715" s="273"/>
      <c r="L715" s="273"/>
      <c r="M715" s="273"/>
      <c r="N715" s="273"/>
      <c r="O715" s="273"/>
      <c r="P715" s="273"/>
      <c r="Q715" s="273"/>
      <c r="R715" s="273"/>
      <c r="S715" s="273"/>
      <c r="T715" s="273"/>
      <c r="U715" s="273"/>
      <c r="V715" s="273"/>
      <c r="W715" s="273">
        <f t="shared" si="161"/>
        <v>825323.14999999991</v>
      </c>
      <c r="X715" s="283"/>
      <c r="Y715" s="273"/>
      <c r="Z715" s="273"/>
      <c r="AB715" s="273">
        <v>99474.880000000005</v>
      </c>
      <c r="AC715" s="273"/>
      <c r="AD715" s="273">
        <v>188691.02</v>
      </c>
      <c r="AE715" s="261"/>
      <c r="AF715" s="273">
        <v>362469.55</v>
      </c>
      <c r="AG715" s="273">
        <v>174687.7</v>
      </c>
      <c r="AK715" s="273"/>
      <c r="AL715" s="273"/>
    </row>
    <row r="716" spans="1:38" x14ac:dyDescent="0.3">
      <c r="A716" s="259">
        <f>A715+1</f>
        <v>539</v>
      </c>
      <c r="B716" s="20" t="s">
        <v>3293</v>
      </c>
      <c r="C716" s="273">
        <f t="shared" si="158"/>
        <v>860422.21</v>
      </c>
      <c r="D716" s="273"/>
      <c r="E716" s="273"/>
      <c r="F716" s="273"/>
      <c r="G716" s="273"/>
      <c r="H716" s="273"/>
      <c r="I716" s="273"/>
      <c r="J716" s="50"/>
      <c r="K716" s="273"/>
      <c r="L716" s="273"/>
      <c r="M716" s="273"/>
      <c r="N716" s="273"/>
      <c r="O716" s="273"/>
      <c r="P716" s="273"/>
      <c r="Q716" s="273"/>
      <c r="R716" s="273"/>
      <c r="S716" s="273"/>
      <c r="T716" s="273"/>
      <c r="U716" s="273"/>
      <c r="V716" s="273"/>
      <c r="W716" s="273">
        <f t="shared" si="161"/>
        <v>860422.21</v>
      </c>
      <c r="X716" s="273">
        <v>103972.26</v>
      </c>
      <c r="Y716" s="273"/>
      <c r="Z716" s="273">
        <v>103972.26</v>
      </c>
      <c r="AB716" s="273">
        <v>102272.47</v>
      </c>
      <c r="AD716" s="273"/>
      <c r="AE716" s="273"/>
      <c r="AF716" s="273">
        <v>371096.9</v>
      </c>
      <c r="AG716" s="273">
        <v>179108.32</v>
      </c>
      <c r="AK716" s="273"/>
      <c r="AL716" s="273"/>
    </row>
    <row r="717" spans="1:38" x14ac:dyDescent="0.3">
      <c r="A717" s="302" t="s">
        <v>208</v>
      </c>
      <c r="B717" s="302"/>
      <c r="C717" s="273">
        <f t="shared" ref="C717:W717" si="162">SUM(C711:C716)</f>
        <v>5069497.1900000004</v>
      </c>
      <c r="D717" s="273">
        <f t="shared" si="162"/>
        <v>0</v>
      </c>
      <c r="E717" s="273">
        <f t="shared" si="162"/>
        <v>0</v>
      </c>
      <c r="F717" s="273">
        <f t="shared" si="162"/>
        <v>0</v>
      </c>
      <c r="G717" s="273">
        <f t="shared" si="162"/>
        <v>0</v>
      </c>
      <c r="H717" s="273">
        <f t="shared" si="162"/>
        <v>0</v>
      </c>
      <c r="I717" s="273">
        <f t="shared" si="162"/>
        <v>0</v>
      </c>
      <c r="J717" s="50">
        <f t="shared" si="162"/>
        <v>0</v>
      </c>
      <c r="K717" s="273">
        <f t="shared" si="162"/>
        <v>0</v>
      </c>
      <c r="L717" s="273">
        <f t="shared" si="162"/>
        <v>0</v>
      </c>
      <c r="M717" s="273">
        <f t="shared" si="162"/>
        <v>0</v>
      </c>
      <c r="N717" s="273">
        <f t="shared" si="162"/>
        <v>0</v>
      </c>
      <c r="O717" s="273">
        <f t="shared" si="162"/>
        <v>0</v>
      </c>
      <c r="P717" s="273">
        <f t="shared" si="162"/>
        <v>0</v>
      </c>
      <c r="Q717" s="273">
        <f t="shared" si="162"/>
        <v>0</v>
      </c>
      <c r="R717" s="273">
        <f t="shared" si="162"/>
        <v>0</v>
      </c>
      <c r="S717" s="273">
        <f t="shared" si="162"/>
        <v>0</v>
      </c>
      <c r="T717" s="273">
        <f t="shared" si="162"/>
        <v>0</v>
      </c>
      <c r="U717" s="273">
        <f t="shared" si="162"/>
        <v>0</v>
      </c>
      <c r="V717" s="273">
        <f t="shared" si="162"/>
        <v>0</v>
      </c>
      <c r="W717" s="273">
        <f t="shared" si="162"/>
        <v>5069497.1900000004</v>
      </c>
      <c r="X717" s="83"/>
      <c r="Y717" s="273"/>
      <c r="Z717" s="273"/>
      <c r="AA717" s="273"/>
      <c r="AB717" s="273"/>
      <c r="AC717" s="273"/>
      <c r="AD717" s="273"/>
      <c r="AE717" s="273"/>
      <c r="AF717" s="273"/>
      <c r="AG717" s="273"/>
      <c r="AH717" s="261"/>
      <c r="AI717" s="273"/>
      <c r="AJ717" s="273"/>
      <c r="AK717" s="273"/>
      <c r="AL717" s="273"/>
    </row>
    <row r="718" spans="1:38" x14ac:dyDescent="0.3">
      <c r="A718" s="301" t="s">
        <v>3209</v>
      </c>
      <c r="B718" s="301"/>
      <c r="C718" s="273"/>
      <c r="D718" s="273"/>
      <c r="E718" s="273"/>
      <c r="F718" s="273"/>
      <c r="G718" s="273"/>
      <c r="H718" s="273"/>
      <c r="I718" s="273"/>
      <c r="J718" s="50"/>
      <c r="K718" s="273"/>
      <c r="L718" s="273"/>
      <c r="M718" s="273"/>
      <c r="N718" s="273"/>
      <c r="O718" s="273"/>
      <c r="P718" s="273"/>
      <c r="Q718" s="273"/>
      <c r="R718" s="273"/>
      <c r="S718" s="273"/>
      <c r="T718" s="273"/>
      <c r="U718" s="273"/>
      <c r="V718" s="273"/>
      <c r="W718" s="273"/>
      <c r="X718" s="283"/>
      <c r="Y718" s="273"/>
      <c r="Z718" s="273"/>
      <c r="AA718" s="273"/>
      <c r="AB718" s="273"/>
      <c r="AC718" s="273"/>
      <c r="AD718" s="273"/>
      <c r="AE718" s="273"/>
      <c r="AF718" s="273"/>
      <c r="AG718" s="273"/>
      <c r="AH718" s="261"/>
      <c r="AI718" s="273"/>
      <c r="AJ718" s="273"/>
      <c r="AK718" s="273"/>
      <c r="AL718" s="273"/>
    </row>
    <row r="719" spans="1:38" x14ac:dyDescent="0.3">
      <c r="A719" s="259">
        <f>A716+1</f>
        <v>540</v>
      </c>
      <c r="B719" s="20" t="s">
        <v>3401</v>
      </c>
      <c r="C719" s="273">
        <f>D719+K719+L719+N719+P719+R719+S719+U719+V719+W719</f>
        <v>4696462.8</v>
      </c>
      <c r="D719" s="273">
        <f t="shared" ref="D719" si="163">E719+F719+G719+H719+I719</f>
        <v>0</v>
      </c>
      <c r="E719" s="273"/>
      <c r="F719" s="273"/>
      <c r="G719" s="273"/>
      <c r="H719" s="273"/>
      <c r="I719" s="273"/>
      <c r="J719" s="50"/>
      <c r="K719" s="273"/>
      <c r="L719" s="273"/>
      <c r="M719" s="273"/>
      <c r="N719" s="273"/>
      <c r="O719" s="273"/>
      <c r="P719" s="273"/>
      <c r="Q719" s="273">
        <v>1968</v>
      </c>
      <c r="R719" s="273">
        <v>4696462.8</v>
      </c>
      <c r="S719" s="273"/>
      <c r="T719" s="273"/>
      <c r="U719" s="273"/>
      <c r="V719" s="273"/>
      <c r="W719" s="273"/>
      <c r="X719" s="283"/>
      <c r="Y719" s="273"/>
      <c r="Z719" s="273"/>
      <c r="AA719" s="273"/>
      <c r="AB719" s="273"/>
      <c r="AC719" s="273"/>
      <c r="AD719" s="273"/>
      <c r="AE719" s="273"/>
      <c r="AF719" s="273"/>
      <c r="AG719" s="273"/>
      <c r="AH719" s="261"/>
      <c r="AI719" s="273"/>
      <c r="AJ719" s="273"/>
      <c r="AK719" s="273"/>
      <c r="AL719" s="273"/>
    </row>
    <row r="720" spans="1:38" x14ac:dyDescent="0.3">
      <c r="A720" s="259">
        <f>A719+1</f>
        <v>541</v>
      </c>
      <c r="B720" s="20" t="s">
        <v>3402</v>
      </c>
      <c r="C720" s="273">
        <f>D720+K720+L720+N720+P720+R720+S720+U720+V720+W720</f>
        <v>5264296.8</v>
      </c>
      <c r="D720" s="273"/>
      <c r="E720" s="273"/>
      <c r="F720" s="273"/>
      <c r="G720" s="273"/>
      <c r="H720" s="273"/>
      <c r="I720" s="273"/>
      <c r="J720" s="50"/>
      <c r="K720" s="273"/>
      <c r="L720" s="273"/>
      <c r="M720" s="273"/>
      <c r="N720" s="273"/>
      <c r="O720" s="273"/>
      <c r="P720" s="273"/>
      <c r="Q720" s="273">
        <v>1865</v>
      </c>
      <c r="R720" s="273">
        <v>5264296.8</v>
      </c>
      <c r="S720" s="273"/>
      <c r="T720" s="273"/>
      <c r="U720" s="273"/>
      <c r="V720" s="273"/>
      <c r="W720" s="273"/>
      <c r="X720" s="283"/>
      <c r="Y720" s="273"/>
      <c r="Z720" s="273"/>
      <c r="AA720" s="273"/>
      <c r="AB720" s="273"/>
      <c r="AC720" s="273"/>
      <c r="AD720" s="273"/>
      <c r="AE720" s="273"/>
      <c r="AF720" s="273"/>
      <c r="AG720" s="273"/>
      <c r="AH720" s="261"/>
      <c r="AI720" s="273"/>
      <c r="AJ720" s="273"/>
      <c r="AK720" s="273"/>
      <c r="AL720" s="273"/>
    </row>
    <row r="721" spans="1:38" s="36" customFormat="1" x14ac:dyDescent="0.3">
      <c r="A721" s="10">
        <f>A720+1</f>
        <v>542</v>
      </c>
      <c r="B721" s="124" t="s">
        <v>3215</v>
      </c>
      <c r="C721" s="273">
        <f>D721+K721+L721+N721+P721+R721+S721+U721+V721+W721</f>
        <v>37364835</v>
      </c>
      <c r="D721" s="273">
        <f>E721+F721+G721+H721+I721</f>
        <v>27448775</v>
      </c>
      <c r="E721" s="273"/>
      <c r="F721" s="273">
        <v>19728450</v>
      </c>
      <c r="G721" s="273">
        <v>2607920</v>
      </c>
      <c r="H721" s="273">
        <v>5112405</v>
      </c>
      <c r="I721" s="273"/>
      <c r="J721" s="50"/>
      <c r="K721" s="273"/>
      <c r="L721" s="273"/>
      <c r="M721" s="273">
        <v>13</v>
      </c>
      <c r="N721" s="273">
        <v>9916060</v>
      </c>
      <c r="O721" s="273"/>
      <c r="P721" s="273"/>
      <c r="Q721" s="273"/>
      <c r="R721" s="273"/>
      <c r="S721" s="273"/>
      <c r="T721" s="273"/>
      <c r="U721" s="273"/>
      <c r="V721" s="273"/>
      <c r="W721" s="273"/>
      <c r="X721" s="283"/>
      <c r="Y721" s="273"/>
      <c r="Z721" s="273"/>
      <c r="AA721" s="273"/>
      <c r="AB721" s="273"/>
      <c r="AC721" s="273"/>
      <c r="AD721" s="273"/>
      <c r="AE721" s="273"/>
      <c r="AF721" s="273"/>
      <c r="AG721" s="273"/>
      <c r="AH721" s="261"/>
      <c r="AI721" s="273"/>
      <c r="AJ721" s="273"/>
      <c r="AK721" s="273"/>
      <c r="AL721" s="273"/>
    </row>
    <row r="722" spans="1:38" x14ac:dyDescent="0.3">
      <c r="A722" s="10">
        <f>A721+1</f>
        <v>543</v>
      </c>
      <c r="B722" s="20" t="s">
        <v>3403</v>
      </c>
      <c r="C722" s="273">
        <f>D722+K722+L722+N722+P722+R722+S722+U722+V722+W722</f>
        <v>25584548.399999999</v>
      </c>
      <c r="D722" s="273"/>
      <c r="E722" s="273"/>
      <c r="F722" s="273"/>
      <c r="G722" s="273"/>
      <c r="H722" s="273"/>
      <c r="I722" s="273"/>
      <c r="J722" s="50"/>
      <c r="K722" s="273"/>
      <c r="L722" s="273"/>
      <c r="M722" s="273"/>
      <c r="N722" s="273"/>
      <c r="O722" s="273"/>
      <c r="P722" s="273"/>
      <c r="Q722" s="273">
        <v>3561</v>
      </c>
      <c r="R722" s="273">
        <v>25584548.399999999</v>
      </c>
      <c r="S722" s="273"/>
      <c r="T722" s="273"/>
      <c r="U722" s="273"/>
      <c r="V722" s="273"/>
      <c r="W722" s="273"/>
      <c r="X722" s="283"/>
      <c r="Y722" s="273"/>
      <c r="Z722" s="273"/>
      <c r="AA722" s="273"/>
      <c r="AB722" s="273"/>
      <c r="AC722" s="273"/>
      <c r="AD722" s="273"/>
      <c r="AE722" s="273"/>
      <c r="AF722" s="273"/>
      <c r="AG722" s="273"/>
      <c r="AH722" s="261"/>
      <c r="AI722" s="273"/>
      <c r="AJ722" s="273"/>
      <c r="AK722" s="273"/>
      <c r="AL722" s="273"/>
    </row>
    <row r="723" spans="1:38" x14ac:dyDescent="0.3">
      <c r="A723" s="259">
        <f>A722+1</f>
        <v>544</v>
      </c>
      <c r="B723" s="20" t="s">
        <v>3404</v>
      </c>
      <c r="C723" s="273">
        <f>D723+K723+L723+N723+P723+R723+S723+U723+V723+W723</f>
        <v>22961302.800000001</v>
      </c>
      <c r="D723" s="273"/>
      <c r="E723" s="273"/>
      <c r="F723" s="273"/>
      <c r="G723" s="273"/>
      <c r="H723" s="273"/>
      <c r="I723" s="273"/>
      <c r="J723" s="50"/>
      <c r="K723" s="273"/>
      <c r="L723" s="273"/>
      <c r="M723" s="273"/>
      <c r="N723" s="273"/>
      <c r="O723" s="273"/>
      <c r="P723" s="273"/>
      <c r="Q723" s="273">
        <v>3513</v>
      </c>
      <c r="R723" s="273">
        <v>22961302.800000001</v>
      </c>
      <c r="S723" s="273"/>
      <c r="T723" s="273"/>
      <c r="U723" s="273"/>
      <c r="V723" s="273"/>
      <c r="W723" s="273"/>
      <c r="X723" s="283"/>
      <c r="Y723" s="273"/>
      <c r="Z723" s="273"/>
      <c r="AA723" s="273"/>
      <c r="AB723" s="273"/>
      <c r="AC723" s="273"/>
      <c r="AD723" s="273"/>
      <c r="AE723" s="273"/>
      <c r="AF723" s="273"/>
      <c r="AG723" s="273"/>
      <c r="AH723" s="261"/>
      <c r="AI723" s="273"/>
      <c r="AJ723" s="273"/>
      <c r="AK723" s="273"/>
      <c r="AL723" s="273"/>
    </row>
    <row r="724" spans="1:38" x14ac:dyDescent="0.3">
      <c r="A724" s="302" t="s">
        <v>208</v>
      </c>
      <c r="B724" s="302"/>
      <c r="C724" s="273">
        <f t="shared" ref="C724:W724" si="164">SUM(C719:C723)</f>
        <v>95871445.799999997</v>
      </c>
      <c r="D724" s="273">
        <f t="shared" si="164"/>
        <v>27448775</v>
      </c>
      <c r="E724" s="273">
        <f t="shared" si="164"/>
        <v>0</v>
      </c>
      <c r="F724" s="273">
        <f t="shared" si="164"/>
        <v>19728450</v>
      </c>
      <c r="G724" s="273">
        <f t="shared" si="164"/>
        <v>2607920</v>
      </c>
      <c r="H724" s="273">
        <f t="shared" si="164"/>
        <v>5112405</v>
      </c>
      <c r="I724" s="273">
        <f t="shared" si="164"/>
        <v>0</v>
      </c>
      <c r="J724" s="50">
        <f t="shared" si="164"/>
        <v>0</v>
      </c>
      <c r="K724" s="273">
        <f t="shared" si="164"/>
        <v>0</v>
      </c>
      <c r="L724" s="273">
        <f t="shared" si="164"/>
        <v>0</v>
      </c>
      <c r="M724" s="273">
        <f t="shared" si="164"/>
        <v>13</v>
      </c>
      <c r="N724" s="273">
        <f t="shared" si="164"/>
        <v>9916060</v>
      </c>
      <c r="O724" s="273">
        <f t="shared" si="164"/>
        <v>0</v>
      </c>
      <c r="P724" s="273">
        <f t="shared" si="164"/>
        <v>0</v>
      </c>
      <c r="Q724" s="273">
        <f t="shared" si="164"/>
        <v>10907</v>
      </c>
      <c r="R724" s="273">
        <f t="shared" si="164"/>
        <v>58506610.799999997</v>
      </c>
      <c r="S724" s="273">
        <f t="shared" si="164"/>
        <v>0</v>
      </c>
      <c r="T724" s="273">
        <f t="shared" si="164"/>
        <v>0</v>
      </c>
      <c r="U724" s="273">
        <f t="shared" si="164"/>
        <v>0</v>
      </c>
      <c r="V724" s="273">
        <f t="shared" si="164"/>
        <v>0</v>
      </c>
      <c r="W724" s="273">
        <f t="shared" si="164"/>
        <v>0</v>
      </c>
      <c r="X724" s="83"/>
      <c r="Y724" s="273"/>
      <c r="Z724" s="273"/>
      <c r="AA724" s="273"/>
      <c r="AB724" s="273"/>
      <c r="AC724" s="273"/>
      <c r="AD724" s="273"/>
      <c r="AE724" s="273"/>
      <c r="AF724" s="273"/>
      <c r="AG724" s="273"/>
      <c r="AH724" s="261"/>
      <c r="AI724" s="273"/>
      <c r="AJ724" s="273"/>
      <c r="AK724" s="273"/>
      <c r="AL724" s="273"/>
    </row>
    <row r="725" spans="1:38" x14ac:dyDescent="0.3">
      <c r="A725" s="301" t="s">
        <v>3234</v>
      </c>
      <c r="B725" s="301"/>
      <c r="C725" s="273"/>
      <c r="D725" s="273"/>
      <c r="E725" s="273"/>
      <c r="F725" s="273"/>
      <c r="G725" s="273"/>
      <c r="H725" s="273"/>
      <c r="I725" s="273"/>
      <c r="J725" s="50"/>
      <c r="K725" s="273"/>
      <c r="L725" s="273"/>
      <c r="M725" s="273"/>
      <c r="N725" s="273"/>
      <c r="O725" s="273"/>
      <c r="P725" s="273"/>
      <c r="Q725" s="273"/>
      <c r="R725" s="273"/>
      <c r="S725" s="273"/>
      <c r="T725" s="273"/>
      <c r="U725" s="273"/>
      <c r="V725" s="273"/>
      <c r="W725" s="273"/>
      <c r="X725" s="283"/>
      <c r="Y725" s="273"/>
      <c r="Z725" s="273"/>
      <c r="AA725" s="273"/>
      <c r="AB725" s="273"/>
      <c r="AC725" s="273"/>
      <c r="AD725" s="273"/>
      <c r="AE725" s="273"/>
      <c r="AF725" s="273"/>
      <c r="AG725" s="273"/>
      <c r="AH725" s="261"/>
      <c r="AI725" s="273"/>
      <c r="AJ725" s="273"/>
      <c r="AK725" s="273"/>
      <c r="AL725" s="273"/>
    </row>
    <row r="726" spans="1:38" x14ac:dyDescent="0.3">
      <c r="A726" s="259">
        <f>A723+1</f>
        <v>545</v>
      </c>
      <c r="B726" s="20" t="s">
        <v>3235</v>
      </c>
      <c r="C726" s="273">
        <f>D726+K726+L726+N726+P726+R726+S726+U726+V726+W726</f>
        <v>4902662.4000000004</v>
      </c>
      <c r="D726" s="273">
        <f t="shared" ref="D726" si="165">E726+F726+G726+H726+I726</f>
        <v>0</v>
      </c>
      <c r="E726" s="273"/>
      <c r="F726" s="273"/>
      <c r="G726" s="273"/>
      <c r="H726" s="273"/>
      <c r="I726" s="273"/>
      <c r="J726" s="50"/>
      <c r="K726" s="273"/>
      <c r="L726" s="273"/>
      <c r="M726" s="273"/>
      <c r="N726" s="273"/>
      <c r="O726" s="273"/>
      <c r="P726" s="273"/>
      <c r="Q726" s="273"/>
      <c r="R726" s="273"/>
      <c r="S726" s="273"/>
      <c r="T726" s="273">
        <v>2110.1999999999998</v>
      </c>
      <c r="U726" s="273">
        <v>4902662.4000000004</v>
      </c>
      <c r="V726" s="273"/>
      <c r="W726" s="273"/>
      <c r="X726" s="283"/>
      <c r="Y726" s="273"/>
      <c r="Z726" s="273"/>
      <c r="AA726" s="273"/>
      <c r="AB726" s="273"/>
      <c r="AC726" s="273"/>
      <c r="AD726" s="273"/>
      <c r="AE726" s="273"/>
      <c r="AF726" s="273"/>
      <c r="AG726" s="273"/>
      <c r="AH726" s="261"/>
      <c r="AI726" s="273"/>
      <c r="AJ726" s="273"/>
      <c r="AK726" s="273"/>
      <c r="AL726" s="273"/>
    </row>
    <row r="727" spans="1:38" x14ac:dyDescent="0.3">
      <c r="A727" s="259">
        <f>A726+1</f>
        <v>546</v>
      </c>
      <c r="B727" s="20" t="s">
        <v>3405</v>
      </c>
      <c r="C727" s="273">
        <f>D727+K727+L727+N727+P727+R727+S727+U727+V727+W727</f>
        <v>4902662.4000000004</v>
      </c>
      <c r="D727" s="273"/>
      <c r="E727" s="273"/>
      <c r="F727" s="273"/>
      <c r="G727" s="273"/>
      <c r="H727" s="273"/>
      <c r="I727" s="273"/>
      <c r="J727" s="50"/>
      <c r="K727" s="273"/>
      <c r="L727" s="273"/>
      <c r="M727" s="273"/>
      <c r="N727" s="273"/>
      <c r="O727" s="273"/>
      <c r="P727" s="273"/>
      <c r="Q727" s="273"/>
      <c r="R727" s="273"/>
      <c r="S727" s="273"/>
      <c r="T727" s="273">
        <v>2102.1</v>
      </c>
      <c r="U727" s="273">
        <v>4902662.4000000004</v>
      </c>
      <c r="V727" s="273"/>
      <c r="W727" s="273"/>
      <c r="X727" s="283"/>
      <c r="Y727" s="273"/>
      <c r="Z727" s="273"/>
      <c r="AA727" s="273"/>
      <c r="AB727" s="273"/>
      <c r="AC727" s="273"/>
      <c r="AD727" s="273"/>
      <c r="AE727" s="273"/>
      <c r="AF727" s="273"/>
      <c r="AG727" s="273"/>
      <c r="AH727" s="261"/>
      <c r="AI727" s="273"/>
      <c r="AJ727" s="273"/>
      <c r="AK727" s="273"/>
      <c r="AL727" s="273"/>
    </row>
    <row r="728" spans="1:38" x14ac:dyDescent="0.3">
      <c r="A728" s="259">
        <f>A727+1</f>
        <v>547</v>
      </c>
      <c r="B728" s="20" t="s">
        <v>3237</v>
      </c>
      <c r="C728" s="273">
        <f>D728+K728+L728+N728+P728+R728+S728+U728+V728+W728</f>
        <v>4126047.6</v>
      </c>
      <c r="D728" s="273"/>
      <c r="E728" s="273"/>
      <c r="F728" s="273"/>
      <c r="G728" s="273"/>
      <c r="H728" s="273"/>
      <c r="I728" s="273"/>
      <c r="J728" s="50"/>
      <c r="K728" s="273"/>
      <c r="L728" s="273"/>
      <c r="M728" s="273"/>
      <c r="N728" s="273"/>
      <c r="O728" s="273"/>
      <c r="P728" s="273"/>
      <c r="Q728" s="273"/>
      <c r="R728" s="273"/>
      <c r="S728" s="273"/>
      <c r="T728" s="273">
        <v>1282.7</v>
      </c>
      <c r="U728" s="273">
        <v>4126047.6</v>
      </c>
      <c r="V728" s="273"/>
      <c r="W728" s="273"/>
      <c r="X728" s="283"/>
      <c r="Y728" s="273"/>
      <c r="Z728" s="273"/>
      <c r="AA728" s="273"/>
      <c r="AB728" s="273"/>
      <c r="AC728" s="273"/>
      <c r="AD728" s="273"/>
      <c r="AE728" s="273"/>
      <c r="AF728" s="273"/>
      <c r="AG728" s="273"/>
      <c r="AH728" s="261"/>
      <c r="AI728" s="273"/>
      <c r="AJ728" s="273"/>
      <c r="AK728" s="273"/>
      <c r="AL728" s="273"/>
    </row>
    <row r="729" spans="1:38" x14ac:dyDescent="0.3">
      <c r="A729" s="302" t="s">
        <v>208</v>
      </c>
      <c r="B729" s="302"/>
      <c r="C729" s="273">
        <f t="shared" ref="C729:W729" si="166">SUM(C726:C728)</f>
        <v>13931372.4</v>
      </c>
      <c r="D729" s="273">
        <f t="shared" si="166"/>
        <v>0</v>
      </c>
      <c r="E729" s="273">
        <f t="shared" si="166"/>
        <v>0</v>
      </c>
      <c r="F729" s="273">
        <f t="shared" si="166"/>
        <v>0</v>
      </c>
      <c r="G729" s="273">
        <f t="shared" si="166"/>
        <v>0</v>
      </c>
      <c r="H729" s="273">
        <f t="shared" si="166"/>
        <v>0</v>
      </c>
      <c r="I729" s="273">
        <f t="shared" si="166"/>
        <v>0</v>
      </c>
      <c r="J729" s="50">
        <f t="shared" si="166"/>
        <v>0</v>
      </c>
      <c r="K729" s="273">
        <f t="shared" si="166"/>
        <v>0</v>
      </c>
      <c r="L729" s="273">
        <f t="shared" si="166"/>
        <v>0</v>
      </c>
      <c r="M729" s="273">
        <f t="shared" si="166"/>
        <v>0</v>
      </c>
      <c r="N729" s="273">
        <f t="shared" si="166"/>
        <v>0</v>
      </c>
      <c r="O729" s="273">
        <f t="shared" si="166"/>
        <v>0</v>
      </c>
      <c r="P729" s="273">
        <f t="shared" si="166"/>
        <v>0</v>
      </c>
      <c r="Q729" s="273">
        <f t="shared" si="166"/>
        <v>0</v>
      </c>
      <c r="R729" s="273">
        <f t="shared" si="166"/>
        <v>0</v>
      </c>
      <c r="S729" s="273">
        <f t="shared" si="166"/>
        <v>0</v>
      </c>
      <c r="T729" s="273">
        <f t="shared" si="166"/>
        <v>5494.9999999999991</v>
      </c>
      <c r="U729" s="273">
        <f t="shared" si="166"/>
        <v>13931372.4</v>
      </c>
      <c r="V729" s="273">
        <f t="shared" si="166"/>
        <v>0</v>
      </c>
      <c r="W729" s="273">
        <f t="shared" si="166"/>
        <v>0</v>
      </c>
      <c r="X729" s="83"/>
      <c r="Y729" s="273"/>
      <c r="Z729" s="273"/>
      <c r="AA729" s="273"/>
      <c r="AB729" s="273"/>
      <c r="AC729" s="273"/>
      <c r="AD729" s="273"/>
      <c r="AE729" s="273"/>
      <c r="AF729" s="273"/>
      <c r="AG729" s="273"/>
      <c r="AH729" s="261"/>
      <c r="AI729" s="273"/>
      <c r="AJ729" s="273"/>
      <c r="AK729" s="273"/>
      <c r="AL729" s="273"/>
    </row>
    <row r="730" spans="1:38" x14ac:dyDescent="0.3">
      <c r="A730" s="301" t="s">
        <v>3238</v>
      </c>
      <c r="B730" s="301"/>
      <c r="C730" s="273"/>
      <c r="D730" s="273"/>
      <c r="E730" s="273"/>
      <c r="F730" s="273"/>
      <c r="G730" s="273"/>
      <c r="H730" s="273"/>
      <c r="I730" s="273"/>
      <c r="J730" s="50"/>
      <c r="K730" s="273"/>
      <c r="L730" s="273"/>
      <c r="M730" s="273"/>
      <c r="N730" s="273"/>
      <c r="O730" s="273"/>
      <c r="P730" s="273"/>
      <c r="Q730" s="273"/>
      <c r="R730" s="273"/>
      <c r="S730" s="273"/>
      <c r="T730" s="273"/>
      <c r="U730" s="273"/>
      <c r="V730" s="273"/>
      <c r="W730" s="273"/>
      <c r="X730" s="283"/>
      <c r="Y730" s="273"/>
      <c r="Z730" s="273"/>
      <c r="AA730" s="273"/>
      <c r="AB730" s="273"/>
      <c r="AC730" s="273"/>
      <c r="AD730" s="273"/>
      <c r="AE730" s="273"/>
      <c r="AF730" s="273"/>
      <c r="AG730" s="273"/>
      <c r="AH730" s="261"/>
      <c r="AI730" s="273"/>
      <c r="AJ730" s="273"/>
      <c r="AK730" s="273"/>
      <c r="AL730" s="273"/>
    </row>
    <row r="731" spans="1:38" x14ac:dyDescent="0.3">
      <c r="A731" s="259">
        <f>A728+1</f>
        <v>548</v>
      </c>
      <c r="B731" s="20" t="s">
        <v>3406</v>
      </c>
      <c r="C731" s="273">
        <f t="shared" ref="C731:C738" si="167">D731+K731+L731+N731+P731+R731+S731+U731+V731+W731</f>
        <v>106053.88</v>
      </c>
      <c r="D731" s="273">
        <f t="shared" ref="D731:D738" si="168">E731+F731+G731+H731+I731</f>
        <v>0</v>
      </c>
      <c r="E731" s="273"/>
      <c r="F731" s="273"/>
      <c r="G731" s="273"/>
      <c r="H731" s="273"/>
      <c r="I731" s="273"/>
      <c r="J731" s="50"/>
      <c r="K731" s="273"/>
      <c r="L731" s="273"/>
      <c r="M731" s="273"/>
      <c r="N731" s="273"/>
      <c r="O731" s="273"/>
      <c r="P731" s="273"/>
      <c r="Q731" s="273"/>
      <c r="R731" s="273"/>
      <c r="S731" s="273"/>
      <c r="T731" s="273"/>
      <c r="U731" s="273"/>
      <c r="V731" s="273"/>
      <c r="W731" s="273">
        <f t="shared" ref="W731" si="169">SUM(Y731:AL731)</f>
        <v>106053.88</v>
      </c>
      <c r="X731" s="283"/>
      <c r="Y731" s="273"/>
      <c r="Z731" s="273"/>
      <c r="AB731" s="273">
        <v>106053.88</v>
      </c>
      <c r="AC731" s="273"/>
      <c r="AD731" s="273"/>
      <c r="AE731" s="273"/>
      <c r="AF731" s="273"/>
      <c r="AG731" s="273"/>
      <c r="AH731" s="261"/>
      <c r="AI731" s="273"/>
      <c r="AJ731" s="273"/>
      <c r="AK731" s="273"/>
      <c r="AL731" s="273"/>
    </row>
    <row r="732" spans="1:38" x14ac:dyDescent="0.3">
      <c r="A732" s="259">
        <f>A731+1</f>
        <v>549</v>
      </c>
      <c r="B732" s="20" t="s">
        <v>3407</v>
      </c>
      <c r="C732" s="273">
        <f t="shared" si="167"/>
        <v>130000</v>
      </c>
      <c r="D732" s="273">
        <f t="shared" si="168"/>
        <v>0</v>
      </c>
      <c r="E732" s="273"/>
      <c r="F732" s="273"/>
      <c r="G732" s="273"/>
      <c r="H732" s="273"/>
      <c r="I732" s="273"/>
      <c r="J732" s="50"/>
      <c r="K732" s="273"/>
      <c r="L732" s="273"/>
      <c r="M732" s="273"/>
      <c r="N732" s="273"/>
      <c r="O732" s="273"/>
      <c r="P732" s="273"/>
      <c r="Q732" s="273"/>
      <c r="R732" s="273"/>
      <c r="S732" s="273"/>
      <c r="T732" s="273"/>
      <c r="U732" s="273"/>
      <c r="V732" s="273"/>
      <c r="W732" s="273">
        <v>130000</v>
      </c>
      <c r="X732" s="283"/>
      <c r="Y732" s="273"/>
      <c r="Z732" s="273"/>
      <c r="AA732" s="273"/>
      <c r="AB732" s="273">
        <v>130000</v>
      </c>
      <c r="AC732" s="273"/>
      <c r="AD732" s="273"/>
      <c r="AE732" s="273"/>
      <c r="AF732" s="273"/>
      <c r="AG732" s="273"/>
      <c r="AH732" s="261"/>
      <c r="AI732" s="273"/>
      <c r="AJ732" s="273"/>
      <c r="AK732" s="273"/>
      <c r="AL732" s="273"/>
    </row>
    <row r="733" spans="1:38" x14ac:dyDescent="0.3">
      <c r="A733" s="259">
        <f>A732+1</f>
        <v>550</v>
      </c>
      <c r="B733" s="20" t="s">
        <v>3408</v>
      </c>
      <c r="C733" s="273">
        <f t="shared" si="167"/>
        <v>130000</v>
      </c>
      <c r="D733" s="273">
        <f t="shared" si="168"/>
        <v>0</v>
      </c>
      <c r="E733" s="273"/>
      <c r="F733" s="273"/>
      <c r="G733" s="273"/>
      <c r="H733" s="273"/>
      <c r="I733" s="273"/>
      <c r="J733" s="50"/>
      <c r="K733" s="273"/>
      <c r="L733" s="273"/>
      <c r="M733" s="273"/>
      <c r="N733" s="273"/>
      <c r="O733" s="273"/>
      <c r="P733" s="273"/>
      <c r="Q733" s="273"/>
      <c r="R733" s="273"/>
      <c r="S733" s="273"/>
      <c r="T733" s="273"/>
      <c r="U733" s="273"/>
      <c r="V733" s="273"/>
      <c r="W733" s="273">
        <v>130000</v>
      </c>
      <c r="X733" s="283"/>
      <c r="Y733" s="273"/>
      <c r="Z733" s="273"/>
      <c r="AA733" s="273"/>
      <c r="AB733" s="273">
        <v>130000</v>
      </c>
      <c r="AC733" s="273"/>
      <c r="AD733" s="273"/>
      <c r="AE733" s="273"/>
      <c r="AF733" s="273"/>
      <c r="AG733" s="273"/>
      <c r="AH733" s="261"/>
      <c r="AI733" s="273"/>
      <c r="AJ733" s="273"/>
      <c r="AK733" s="273"/>
      <c r="AL733" s="273"/>
    </row>
    <row r="734" spans="1:38" x14ac:dyDescent="0.3">
      <c r="A734" s="259">
        <f t="shared" ref="A734:A738" si="170">A733+1</f>
        <v>551</v>
      </c>
      <c r="B734" s="20" t="s">
        <v>3246</v>
      </c>
      <c r="C734" s="273">
        <f t="shared" si="167"/>
        <v>130000</v>
      </c>
      <c r="D734" s="273">
        <f t="shared" si="168"/>
        <v>0</v>
      </c>
      <c r="E734" s="273"/>
      <c r="F734" s="273"/>
      <c r="G734" s="273"/>
      <c r="H734" s="273"/>
      <c r="I734" s="273"/>
      <c r="J734" s="50"/>
      <c r="K734" s="273"/>
      <c r="L734" s="273"/>
      <c r="M734" s="273"/>
      <c r="N734" s="273"/>
      <c r="O734" s="273"/>
      <c r="P734" s="273"/>
      <c r="Q734" s="273"/>
      <c r="R734" s="273"/>
      <c r="S734" s="273"/>
      <c r="T734" s="273"/>
      <c r="U734" s="273"/>
      <c r="V734" s="273"/>
      <c r="W734" s="273">
        <v>130000</v>
      </c>
      <c r="X734" s="283"/>
      <c r="Y734" s="273"/>
      <c r="Z734" s="273"/>
      <c r="AA734" s="273"/>
      <c r="AB734" s="273">
        <v>130000</v>
      </c>
      <c r="AC734" s="273"/>
      <c r="AD734" s="273"/>
      <c r="AE734" s="273"/>
      <c r="AF734" s="273"/>
      <c r="AG734" s="273"/>
      <c r="AH734" s="261"/>
      <c r="AI734" s="273"/>
      <c r="AJ734" s="273"/>
      <c r="AK734" s="273"/>
      <c r="AL734" s="273"/>
    </row>
    <row r="735" spans="1:38" x14ac:dyDescent="0.3">
      <c r="A735" s="259">
        <f t="shared" si="170"/>
        <v>552</v>
      </c>
      <c r="B735" s="20" t="s">
        <v>3409</v>
      </c>
      <c r="C735" s="273">
        <f t="shared" si="167"/>
        <v>130000</v>
      </c>
      <c r="D735" s="273">
        <f t="shared" si="168"/>
        <v>0</v>
      </c>
      <c r="E735" s="273"/>
      <c r="F735" s="273"/>
      <c r="G735" s="273"/>
      <c r="H735" s="273"/>
      <c r="I735" s="273"/>
      <c r="J735" s="50"/>
      <c r="K735" s="273"/>
      <c r="L735" s="273"/>
      <c r="M735" s="273"/>
      <c r="N735" s="273"/>
      <c r="O735" s="273"/>
      <c r="P735" s="273"/>
      <c r="Q735" s="273"/>
      <c r="R735" s="273"/>
      <c r="S735" s="273"/>
      <c r="T735" s="273"/>
      <c r="U735" s="273"/>
      <c r="V735" s="273"/>
      <c r="W735" s="273">
        <v>130000</v>
      </c>
      <c r="X735" s="283"/>
      <c r="Y735" s="273"/>
      <c r="Z735" s="273"/>
      <c r="AA735" s="273"/>
      <c r="AB735" s="273">
        <v>130000</v>
      </c>
      <c r="AC735" s="273"/>
      <c r="AD735" s="273"/>
      <c r="AE735" s="273"/>
      <c r="AF735" s="273"/>
      <c r="AG735" s="273"/>
      <c r="AH735" s="261"/>
      <c r="AI735" s="273"/>
      <c r="AJ735" s="273"/>
      <c r="AK735" s="273"/>
      <c r="AL735" s="273"/>
    </row>
    <row r="736" spans="1:38" x14ac:dyDescent="0.3">
      <c r="A736" s="259">
        <f t="shared" si="170"/>
        <v>553</v>
      </c>
      <c r="B736" s="20" t="s">
        <v>3410</v>
      </c>
      <c r="C736" s="273">
        <f t="shared" si="167"/>
        <v>130000</v>
      </c>
      <c r="D736" s="273">
        <f t="shared" si="168"/>
        <v>0</v>
      </c>
      <c r="E736" s="273"/>
      <c r="F736" s="273"/>
      <c r="G736" s="273"/>
      <c r="H736" s="273"/>
      <c r="I736" s="273"/>
      <c r="J736" s="50"/>
      <c r="K736" s="273"/>
      <c r="L736" s="273"/>
      <c r="M736" s="273"/>
      <c r="N736" s="273"/>
      <c r="O736" s="273"/>
      <c r="P736" s="273"/>
      <c r="Q736" s="273"/>
      <c r="R736" s="273"/>
      <c r="S736" s="273"/>
      <c r="T736" s="273"/>
      <c r="U736" s="273"/>
      <c r="V736" s="273"/>
      <c r="W736" s="273">
        <v>130000</v>
      </c>
      <c r="X736" s="283"/>
      <c r="Y736" s="273"/>
      <c r="Z736" s="273"/>
      <c r="AA736" s="273"/>
      <c r="AB736" s="273">
        <v>130000</v>
      </c>
      <c r="AC736" s="273"/>
      <c r="AD736" s="273"/>
      <c r="AE736" s="273"/>
      <c r="AF736" s="273"/>
      <c r="AG736" s="273"/>
      <c r="AH736" s="261"/>
      <c r="AI736" s="273"/>
      <c r="AJ736" s="273"/>
      <c r="AK736" s="273"/>
      <c r="AL736" s="273"/>
    </row>
    <row r="737" spans="1:38" x14ac:dyDescent="0.3">
      <c r="A737" s="259">
        <f t="shared" si="170"/>
        <v>554</v>
      </c>
      <c r="B737" s="20" t="s">
        <v>3411</v>
      </c>
      <c r="C737" s="273">
        <f t="shared" si="167"/>
        <v>130000</v>
      </c>
      <c r="D737" s="273">
        <f t="shared" si="168"/>
        <v>0</v>
      </c>
      <c r="E737" s="273"/>
      <c r="F737" s="273"/>
      <c r="G737" s="273"/>
      <c r="H737" s="273"/>
      <c r="I737" s="273"/>
      <c r="J737" s="50"/>
      <c r="K737" s="273"/>
      <c r="L737" s="273"/>
      <c r="M737" s="273"/>
      <c r="N737" s="273"/>
      <c r="O737" s="273"/>
      <c r="P737" s="273"/>
      <c r="Q737" s="273"/>
      <c r="R737" s="273"/>
      <c r="S737" s="273"/>
      <c r="T737" s="273"/>
      <c r="U737" s="273"/>
      <c r="V737" s="273"/>
      <c r="W737" s="273">
        <v>130000</v>
      </c>
      <c r="X737" s="283"/>
      <c r="Y737" s="273"/>
      <c r="Z737" s="273"/>
      <c r="AA737" s="273"/>
      <c r="AB737" s="273">
        <v>130000</v>
      </c>
      <c r="AC737" s="273"/>
      <c r="AD737" s="273"/>
      <c r="AE737" s="273"/>
      <c r="AF737" s="273"/>
      <c r="AG737" s="273"/>
      <c r="AH737" s="261"/>
      <c r="AI737" s="273"/>
      <c r="AJ737" s="273"/>
      <c r="AK737" s="273"/>
      <c r="AL737" s="273"/>
    </row>
    <row r="738" spans="1:38" x14ac:dyDescent="0.3">
      <c r="A738" s="259">
        <f t="shared" si="170"/>
        <v>555</v>
      </c>
      <c r="B738" s="20" t="s">
        <v>3412</v>
      </c>
      <c r="C738" s="273">
        <f t="shared" si="167"/>
        <v>130000</v>
      </c>
      <c r="D738" s="273">
        <f t="shared" si="168"/>
        <v>0</v>
      </c>
      <c r="E738" s="273"/>
      <c r="F738" s="273"/>
      <c r="G738" s="273"/>
      <c r="H738" s="273"/>
      <c r="I738" s="273"/>
      <c r="J738" s="50"/>
      <c r="K738" s="273"/>
      <c r="L738" s="273"/>
      <c r="M738" s="273"/>
      <c r="N738" s="273"/>
      <c r="O738" s="273"/>
      <c r="P738" s="273"/>
      <c r="Q738" s="273"/>
      <c r="R738" s="273"/>
      <c r="S738" s="273"/>
      <c r="T738" s="273"/>
      <c r="U738" s="273"/>
      <c r="V738" s="273"/>
      <c r="W738" s="273">
        <v>130000</v>
      </c>
      <c r="X738" s="283"/>
      <c r="Y738" s="273"/>
      <c r="Z738" s="273"/>
      <c r="AA738" s="273"/>
      <c r="AB738" s="273">
        <v>130000</v>
      </c>
      <c r="AC738" s="273"/>
      <c r="AD738" s="273"/>
      <c r="AE738" s="273"/>
      <c r="AF738" s="273"/>
      <c r="AG738" s="273"/>
      <c r="AH738" s="261"/>
      <c r="AI738" s="273"/>
      <c r="AJ738" s="273"/>
      <c r="AK738" s="273"/>
      <c r="AL738" s="273"/>
    </row>
    <row r="739" spans="1:38" x14ac:dyDescent="0.3">
      <c r="A739" s="302" t="s">
        <v>208</v>
      </c>
      <c r="B739" s="302"/>
      <c r="C739" s="273">
        <f t="shared" ref="C739:W739" si="171">SUM(C731:C738)</f>
        <v>1016053.88</v>
      </c>
      <c r="D739" s="273">
        <f t="shared" si="171"/>
        <v>0</v>
      </c>
      <c r="E739" s="273">
        <f t="shared" si="171"/>
        <v>0</v>
      </c>
      <c r="F739" s="273">
        <f t="shared" si="171"/>
        <v>0</v>
      </c>
      <c r="G739" s="273">
        <f t="shared" si="171"/>
        <v>0</v>
      </c>
      <c r="H739" s="273">
        <f t="shared" si="171"/>
        <v>0</v>
      </c>
      <c r="I739" s="273">
        <f t="shared" si="171"/>
        <v>0</v>
      </c>
      <c r="J739" s="50">
        <f t="shared" si="171"/>
        <v>0</v>
      </c>
      <c r="K739" s="273">
        <f t="shared" si="171"/>
        <v>0</v>
      </c>
      <c r="L739" s="273">
        <f t="shared" si="171"/>
        <v>0</v>
      </c>
      <c r="M739" s="273">
        <f t="shared" si="171"/>
        <v>0</v>
      </c>
      <c r="N739" s="273">
        <f t="shared" si="171"/>
        <v>0</v>
      </c>
      <c r="O739" s="273">
        <f t="shared" si="171"/>
        <v>0</v>
      </c>
      <c r="P739" s="273">
        <f t="shared" si="171"/>
        <v>0</v>
      </c>
      <c r="Q739" s="273">
        <f t="shared" si="171"/>
        <v>0</v>
      </c>
      <c r="R739" s="273">
        <f t="shared" si="171"/>
        <v>0</v>
      </c>
      <c r="S739" s="273">
        <f t="shared" si="171"/>
        <v>0</v>
      </c>
      <c r="T739" s="273">
        <f t="shared" si="171"/>
        <v>0</v>
      </c>
      <c r="U739" s="273">
        <f t="shared" si="171"/>
        <v>0</v>
      </c>
      <c r="V739" s="273">
        <f t="shared" si="171"/>
        <v>0</v>
      </c>
      <c r="W739" s="273">
        <f t="shared" si="171"/>
        <v>1016053.88</v>
      </c>
      <c r="X739" s="8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61"/>
      <c r="AI739" s="273"/>
      <c r="AJ739" s="273"/>
      <c r="AK739" s="273"/>
      <c r="AL739" s="273"/>
    </row>
    <row r="740" spans="1:38" x14ac:dyDescent="0.3">
      <c r="A740" s="301" t="s">
        <v>3261</v>
      </c>
      <c r="B740" s="301"/>
      <c r="C740" s="273"/>
      <c r="D740" s="273"/>
      <c r="E740" s="273"/>
      <c r="F740" s="273"/>
      <c r="G740" s="273"/>
      <c r="H740" s="273"/>
      <c r="I740" s="273"/>
      <c r="J740" s="50"/>
      <c r="K740" s="273"/>
      <c r="L740" s="273"/>
      <c r="M740" s="273"/>
      <c r="N740" s="273"/>
      <c r="O740" s="273"/>
      <c r="P740" s="273"/>
      <c r="Q740" s="273"/>
      <c r="R740" s="273"/>
      <c r="S740" s="273"/>
      <c r="T740" s="273"/>
      <c r="U740" s="273"/>
      <c r="V740" s="273"/>
      <c r="W740" s="273"/>
      <c r="X740" s="28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61"/>
      <c r="AI740" s="273"/>
      <c r="AJ740" s="273"/>
      <c r="AK740" s="273"/>
      <c r="AL740" s="273"/>
    </row>
    <row r="741" spans="1:38" x14ac:dyDescent="0.3">
      <c r="A741" s="259">
        <f>A738+1</f>
        <v>556</v>
      </c>
      <c r="B741" s="20" t="s">
        <v>3268</v>
      </c>
      <c r="C741" s="273">
        <f>D741+K741+L741+N741+P741+R741+S741+U741+V741+W741</f>
        <v>14235768</v>
      </c>
      <c r="D741" s="273"/>
      <c r="E741" s="273"/>
      <c r="F741" s="273"/>
      <c r="G741" s="273"/>
      <c r="H741" s="273"/>
      <c r="I741" s="273"/>
      <c r="J741" s="50"/>
      <c r="K741" s="273"/>
      <c r="L741" s="273"/>
      <c r="M741" s="273"/>
      <c r="N741" s="273"/>
      <c r="O741" s="273"/>
      <c r="P741" s="273"/>
      <c r="Q741" s="273">
        <v>3060</v>
      </c>
      <c r="R741" s="273">
        <v>14235768</v>
      </c>
      <c r="S741" s="273"/>
      <c r="T741" s="273"/>
      <c r="U741" s="273"/>
      <c r="V741" s="273"/>
      <c r="W741" s="273"/>
      <c r="X741" s="283"/>
      <c r="Y741" s="273"/>
      <c r="Z741" s="273"/>
      <c r="AA741" s="273"/>
      <c r="AB741" s="273"/>
      <c r="AC741" s="273"/>
      <c r="AD741" s="273"/>
      <c r="AE741" s="273"/>
      <c r="AF741" s="273"/>
      <c r="AG741" s="273"/>
      <c r="AH741" s="261"/>
      <c r="AI741" s="273"/>
      <c r="AJ741" s="273"/>
      <c r="AK741" s="273"/>
      <c r="AL741" s="273"/>
    </row>
    <row r="742" spans="1:38" x14ac:dyDescent="0.3">
      <c r="A742" s="302" t="s">
        <v>208</v>
      </c>
      <c r="B742" s="302"/>
      <c r="C742" s="273">
        <f t="shared" ref="C742:W742" si="172">SUM(C741:C741)</f>
        <v>14235768</v>
      </c>
      <c r="D742" s="273">
        <f t="shared" si="172"/>
        <v>0</v>
      </c>
      <c r="E742" s="273">
        <f t="shared" si="172"/>
        <v>0</v>
      </c>
      <c r="F742" s="273">
        <f t="shared" si="172"/>
        <v>0</v>
      </c>
      <c r="G742" s="273">
        <f t="shared" si="172"/>
        <v>0</v>
      </c>
      <c r="H742" s="273">
        <f t="shared" si="172"/>
        <v>0</v>
      </c>
      <c r="I742" s="273">
        <f t="shared" si="172"/>
        <v>0</v>
      </c>
      <c r="J742" s="50">
        <f t="shared" si="172"/>
        <v>0</v>
      </c>
      <c r="K742" s="273">
        <f t="shared" si="172"/>
        <v>0</v>
      </c>
      <c r="L742" s="273">
        <f t="shared" si="172"/>
        <v>0</v>
      </c>
      <c r="M742" s="273">
        <f t="shared" si="172"/>
        <v>0</v>
      </c>
      <c r="N742" s="273">
        <f t="shared" si="172"/>
        <v>0</v>
      </c>
      <c r="O742" s="273">
        <f t="shared" si="172"/>
        <v>0</v>
      </c>
      <c r="P742" s="273">
        <f t="shared" si="172"/>
        <v>0</v>
      </c>
      <c r="Q742" s="273">
        <f t="shared" si="172"/>
        <v>3060</v>
      </c>
      <c r="R742" s="273">
        <f t="shared" si="172"/>
        <v>14235768</v>
      </c>
      <c r="S742" s="273">
        <f t="shared" si="172"/>
        <v>0</v>
      </c>
      <c r="T742" s="273">
        <f t="shared" si="172"/>
        <v>0</v>
      </c>
      <c r="U742" s="273">
        <f t="shared" si="172"/>
        <v>0</v>
      </c>
      <c r="V742" s="273">
        <f t="shared" si="172"/>
        <v>0</v>
      </c>
      <c r="W742" s="273">
        <f t="shared" si="172"/>
        <v>0</v>
      </c>
      <c r="X742" s="83"/>
      <c r="Y742" s="273"/>
      <c r="Z742" s="273"/>
      <c r="AA742" s="273"/>
      <c r="AB742" s="273"/>
      <c r="AC742" s="273"/>
      <c r="AD742" s="273"/>
      <c r="AE742" s="273"/>
      <c r="AF742" s="273"/>
      <c r="AG742" s="273"/>
      <c r="AH742" s="261"/>
      <c r="AI742" s="273"/>
      <c r="AJ742" s="273"/>
      <c r="AK742" s="273"/>
      <c r="AL742" s="273"/>
    </row>
    <row r="743" spans="1:38" x14ac:dyDescent="0.3">
      <c r="A743" s="301" t="s">
        <v>3274</v>
      </c>
      <c r="B743" s="301"/>
      <c r="C743" s="273"/>
      <c r="D743" s="273"/>
      <c r="E743" s="273"/>
      <c r="F743" s="273"/>
      <c r="G743" s="273"/>
      <c r="H743" s="273"/>
      <c r="I743" s="273"/>
      <c r="J743" s="50"/>
      <c r="K743" s="273"/>
      <c r="L743" s="273"/>
      <c r="M743" s="273"/>
      <c r="N743" s="273"/>
      <c r="O743" s="273"/>
      <c r="P743" s="273"/>
      <c r="Q743" s="273"/>
      <c r="R743" s="273"/>
      <c r="S743" s="273"/>
      <c r="T743" s="273"/>
      <c r="U743" s="273"/>
      <c r="V743" s="273"/>
      <c r="W743" s="273"/>
      <c r="X743" s="283"/>
      <c r="Y743" s="273"/>
      <c r="Z743" s="273"/>
      <c r="AA743" s="273"/>
      <c r="AB743" s="273"/>
      <c r="AC743" s="273"/>
      <c r="AD743" s="273"/>
      <c r="AE743" s="273"/>
      <c r="AF743" s="273"/>
      <c r="AG743" s="273"/>
      <c r="AH743" s="261"/>
      <c r="AI743" s="273"/>
      <c r="AJ743" s="273"/>
      <c r="AK743" s="273"/>
      <c r="AL743" s="273"/>
    </row>
    <row r="744" spans="1:38" x14ac:dyDescent="0.3">
      <c r="A744" s="259">
        <f>A741+1</f>
        <v>557</v>
      </c>
      <c r="B744" s="20" t="s">
        <v>3275</v>
      </c>
      <c r="C744" s="273">
        <f>D744+K744+L744+N744+P744+R744+S744+U744+V744+W744</f>
        <v>4075405.2</v>
      </c>
      <c r="D744" s="273"/>
      <c r="E744" s="273"/>
      <c r="F744" s="273"/>
      <c r="G744" s="273"/>
      <c r="H744" s="273"/>
      <c r="I744" s="273"/>
      <c r="J744" s="50"/>
      <c r="K744" s="273"/>
      <c r="L744" s="273"/>
      <c r="M744" s="273"/>
      <c r="N744" s="273"/>
      <c r="O744" s="273"/>
      <c r="P744" s="273"/>
      <c r="Q744" s="273">
        <v>585</v>
      </c>
      <c r="R744" s="273">
        <v>4075405.2</v>
      </c>
      <c r="S744" s="273"/>
      <c r="T744" s="273"/>
      <c r="U744" s="273"/>
      <c r="V744" s="273"/>
      <c r="W744" s="273"/>
      <c r="X744" s="283"/>
      <c r="Y744" s="273"/>
      <c r="Z744" s="273"/>
      <c r="AA744" s="273"/>
      <c r="AB744" s="273"/>
      <c r="AC744" s="273"/>
      <c r="AD744" s="273"/>
      <c r="AE744" s="273"/>
      <c r="AF744" s="273"/>
      <c r="AG744" s="273"/>
      <c r="AH744" s="261"/>
      <c r="AI744" s="273"/>
      <c r="AJ744" s="273"/>
      <c r="AK744" s="273"/>
      <c r="AL744" s="273"/>
    </row>
    <row r="745" spans="1:38" x14ac:dyDescent="0.3">
      <c r="A745" s="259">
        <f>A744+1</f>
        <v>558</v>
      </c>
      <c r="B745" s="20" t="s">
        <v>3413</v>
      </c>
      <c r="C745" s="273">
        <f>D745+K745+L745+N745+P745+R745+S745+U745+V745+W745</f>
        <v>6448930.7999999998</v>
      </c>
      <c r="D745" s="273"/>
      <c r="E745" s="273"/>
      <c r="F745" s="273"/>
      <c r="G745" s="273"/>
      <c r="H745" s="273"/>
      <c r="I745" s="273"/>
      <c r="J745" s="50"/>
      <c r="K745" s="273"/>
      <c r="L745" s="273"/>
      <c r="M745" s="273"/>
      <c r="N745" s="273"/>
      <c r="O745" s="273"/>
      <c r="P745" s="273"/>
      <c r="Q745" s="273">
        <v>1346</v>
      </c>
      <c r="R745" s="273">
        <v>6448930.7999999998</v>
      </c>
      <c r="S745" s="273"/>
      <c r="T745" s="273"/>
      <c r="U745" s="273"/>
      <c r="V745" s="273"/>
      <c r="W745" s="273"/>
      <c r="X745" s="283"/>
      <c r="Y745" s="273"/>
      <c r="Z745" s="273"/>
      <c r="AA745" s="273"/>
      <c r="AB745" s="273"/>
      <c r="AC745" s="273"/>
      <c r="AD745" s="273"/>
      <c r="AE745" s="273"/>
      <c r="AF745" s="273"/>
      <c r="AG745" s="273"/>
      <c r="AH745" s="261"/>
      <c r="AI745" s="273"/>
      <c r="AJ745" s="273"/>
      <c r="AK745" s="273"/>
      <c r="AL745" s="273"/>
    </row>
    <row r="746" spans="1:38" x14ac:dyDescent="0.3">
      <c r="A746" s="302" t="s">
        <v>208</v>
      </c>
      <c r="B746" s="302"/>
      <c r="C746" s="273">
        <f t="shared" ref="C746:W746" si="173">SUM(C744:C745)</f>
        <v>10524336</v>
      </c>
      <c r="D746" s="273">
        <f t="shared" si="173"/>
        <v>0</v>
      </c>
      <c r="E746" s="273">
        <f t="shared" si="173"/>
        <v>0</v>
      </c>
      <c r="F746" s="273">
        <f t="shared" si="173"/>
        <v>0</v>
      </c>
      <c r="G746" s="273">
        <f t="shared" si="173"/>
        <v>0</v>
      </c>
      <c r="H746" s="273">
        <f t="shared" si="173"/>
        <v>0</v>
      </c>
      <c r="I746" s="273">
        <f t="shared" si="173"/>
        <v>0</v>
      </c>
      <c r="J746" s="50">
        <f t="shared" si="173"/>
        <v>0</v>
      </c>
      <c r="K746" s="273">
        <f t="shared" si="173"/>
        <v>0</v>
      </c>
      <c r="L746" s="273">
        <f t="shared" si="173"/>
        <v>0</v>
      </c>
      <c r="M746" s="273">
        <f t="shared" si="173"/>
        <v>0</v>
      </c>
      <c r="N746" s="273">
        <f t="shared" si="173"/>
        <v>0</v>
      </c>
      <c r="O746" s="273">
        <f t="shared" si="173"/>
        <v>0</v>
      </c>
      <c r="P746" s="273">
        <f t="shared" si="173"/>
        <v>0</v>
      </c>
      <c r="Q746" s="273">
        <f t="shared" si="173"/>
        <v>1931</v>
      </c>
      <c r="R746" s="273">
        <f t="shared" si="173"/>
        <v>10524336</v>
      </c>
      <c r="S746" s="273">
        <f t="shared" si="173"/>
        <v>0</v>
      </c>
      <c r="T746" s="273">
        <f t="shared" si="173"/>
        <v>0</v>
      </c>
      <c r="U746" s="273">
        <f t="shared" si="173"/>
        <v>0</v>
      </c>
      <c r="V746" s="273">
        <f t="shared" si="173"/>
        <v>0</v>
      </c>
      <c r="W746" s="273">
        <f t="shared" si="173"/>
        <v>0</v>
      </c>
      <c r="X746" s="83"/>
      <c r="Y746" s="273"/>
      <c r="Z746" s="273"/>
      <c r="AA746" s="273"/>
      <c r="AB746" s="273"/>
      <c r="AC746" s="273"/>
      <c r="AD746" s="273"/>
      <c r="AE746" s="273"/>
      <c r="AF746" s="273"/>
      <c r="AG746" s="273"/>
      <c r="AH746" s="261"/>
      <c r="AI746" s="273"/>
      <c r="AJ746" s="273"/>
      <c r="AK746" s="273"/>
      <c r="AL746" s="273"/>
    </row>
    <row r="747" spans="1:38" x14ac:dyDescent="0.3">
      <c r="A747" s="301" t="s">
        <v>3385</v>
      </c>
      <c r="B747" s="301"/>
      <c r="C747" s="273"/>
      <c r="D747" s="273"/>
      <c r="E747" s="273"/>
      <c r="F747" s="273"/>
      <c r="G747" s="273"/>
      <c r="H747" s="273"/>
      <c r="I747" s="273"/>
      <c r="J747" s="50"/>
      <c r="K747" s="273"/>
      <c r="L747" s="273"/>
      <c r="M747" s="273"/>
      <c r="N747" s="273"/>
      <c r="O747" s="273"/>
      <c r="P747" s="273"/>
      <c r="Q747" s="273"/>
      <c r="R747" s="273"/>
      <c r="S747" s="273"/>
      <c r="T747" s="273"/>
      <c r="U747" s="273"/>
      <c r="V747" s="273"/>
      <c r="W747" s="273"/>
      <c r="X747" s="283"/>
      <c r="Y747" s="273"/>
      <c r="Z747" s="273"/>
      <c r="AA747" s="273"/>
      <c r="AB747" s="273"/>
      <c r="AC747" s="273"/>
      <c r="AD747" s="273"/>
      <c r="AE747" s="273"/>
      <c r="AF747" s="273"/>
      <c r="AG747" s="273"/>
      <c r="AH747" s="261"/>
      <c r="AI747" s="273"/>
      <c r="AJ747" s="273"/>
      <c r="AK747" s="273"/>
      <c r="AL747" s="273"/>
    </row>
    <row r="748" spans="1:38" ht="31.2" x14ac:dyDescent="0.3">
      <c r="A748" s="259">
        <f>A745+1</f>
        <v>559</v>
      </c>
      <c r="B748" s="20" t="s">
        <v>3414</v>
      </c>
      <c r="C748" s="273">
        <f>D748+K748+L748+N748+P748+R748+S748+U748+V748+W748</f>
        <v>31388754</v>
      </c>
      <c r="D748" s="273"/>
      <c r="E748" s="273"/>
      <c r="F748" s="273"/>
      <c r="G748" s="273"/>
      <c r="H748" s="273"/>
      <c r="I748" s="273"/>
      <c r="J748" s="50"/>
      <c r="K748" s="273"/>
      <c r="L748" s="273"/>
      <c r="M748" s="273"/>
      <c r="N748" s="273"/>
      <c r="O748" s="273"/>
      <c r="P748" s="273"/>
      <c r="Q748" s="273">
        <v>2990</v>
      </c>
      <c r="R748" s="273">
        <v>31388754</v>
      </c>
      <c r="S748" s="273"/>
      <c r="T748" s="273"/>
      <c r="U748" s="273"/>
      <c r="V748" s="273"/>
      <c r="W748" s="273"/>
      <c r="X748" s="283"/>
      <c r="Y748" s="273"/>
      <c r="Z748" s="273"/>
      <c r="AA748" s="273"/>
      <c r="AB748" s="273"/>
      <c r="AC748" s="273"/>
      <c r="AD748" s="273"/>
      <c r="AE748" s="273"/>
      <c r="AF748" s="273"/>
      <c r="AG748" s="273"/>
      <c r="AH748" s="261"/>
      <c r="AI748" s="273"/>
      <c r="AJ748" s="273"/>
      <c r="AK748" s="273"/>
      <c r="AL748" s="273"/>
    </row>
    <row r="749" spans="1:38" x14ac:dyDescent="0.3">
      <c r="A749" s="259">
        <f>A748+1</f>
        <v>560</v>
      </c>
      <c r="B749" s="20" t="s">
        <v>3415</v>
      </c>
      <c r="C749" s="273">
        <f>D749+K749+L749+N749+P749+R749+S749+U749+V749+W749</f>
        <v>4386566.4000000004</v>
      </c>
      <c r="D749" s="273"/>
      <c r="E749" s="273"/>
      <c r="F749" s="273"/>
      <c r="G749" s="273"/>
      <c r="H749" s="273"/>
      <c r="I749" s="273"/>
      <c r="J749" s="50"/>
      <c r="K749" s="273"/>
      <c r="L749" s="273"/>
      <c r="M749" s="273"/>
      <c r="N749" s="273"/>
      <c r="O749" s="273"/>
      <c r="P749" s="273"/>
      <c r="Q749" s="273">
        <v>547</v>
      </c>
      <c r="R749" s="273">
        <v>4386566.4000000004</v>
      </c>
      <c r="S749" s="273"/>
      <c r="T749" s="273"/>
      <c r="U749" s="273"/>
      <c r="V749" s="273"/>
      <c r="W749" s="273"/>
      <c r="X749" s="28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61"/>
      <c r="AI749" s="273"/>
      <c r="AJ749" s="273"/>
      <c r="AK749" s="273"/>
      <c r="AL749" s="273"/>
    </row>
    <row r="750" spans="1:38" x14ac:dyDescent="0.3">
      <c r="A750" s="302" t="s">
        <v>208</v>
      </c>
      <c r="B750" s="302"/>
      <c r="C750" s="273">
        <f t="shared" ref="C750:W750" si="174">SUM(C748:C749)</f>
        <v>35775320.399999999</v>
      </c>
      <c r="D750" s="273">
        <f t="shared" si="174"/>
        <v>0</v>
      </c>
      <c r="E750" s="273">
        <f t="shared" si="174"/>
        <v>0</v>
      </c>
      <c r="F750" s="273">
        <f t="shared" si="174"/>
        <v>0</v>
      </c>
      <c r="G750" s="273">
        <f t="shared" si="174"/>
        <v>0</v>
      </c>
      <c r="H750" s="273">
        <f t="shared" si="174"/>
        <v>0</v>
      </c>
      <c r="I750" s="273">
        <f t="shared" si="174"/>
        <v>0</v>
      </c>
      <c r="J750" s="50">
        <f t="shared" si="174"/>
        <v>0</v>
      </c>
      <c r="K750" s="273">
        <f t="shared" si="174"/>
        <v>0</v>
      </c>
      <c r="L750" s="273">
        <f t="shared" si="174"/>
        <v>0</v>
      </c>
      <c r="M750" s="273">
        <f t="shared" si="174"/>
        <v>0</v>
      </c>
      <c r="N750" s="273">
        <f t="shared" si="174"/>
        <v>0</v>
      </c>
      <c r="O750" s="273">
        <f t="shared" si="174"/>
        <v>0</v>
      </c>
      <c r="P750" s="273">
        <f t="shared" si="174"/>
        <v>0</v>
      </c>
      <c r="Q750" s="273">
        <f t="shared" si="174"/>
        <v>3537</v>
      </c>
      <c r="R750" s="273">
        <f t="shared" si="174"/>
        <v>35775320.399999999</v>
      </c>
      <c r="S750" s="273">
        <f t="shared" si="174"/>
        <v>0</v>
      </c>
      <c r="T750" s="273">
        <f t="shared" si="174"/>
        <v>0</v>
      </c>
      <c r="U750" s="273">
        <f t="shared" si="174"/>
        <v>0</v>
      </c>
      <c r="V750" s="273">
        <f t="shared" si="174"/>
        <v>0</v>
      </c>
      <c r="W750" s="273">
        <f t="shared" si="174"/>
        <v>0</v>
      </c>
      <c r="X750" s="8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61"/>
      <c r="AI750" s="273"/>
      <c r="AJ750" s="273"/>
      <c r="AK750" s="273"/>
      <c r="AL750" s="273"/>
    </row>
    <row r="751" spans="1:38" x14ac:dyDescent="0.3">
      <c r="A751" s="301" t="s">
        <v>3388</v>
      </c>
      <c r="B751" s="301"/>
      <c r="C751" s="273"/>
      <c r="D751" s="273"/>
      <c r="E751" s="273"/>
      <c r="F751" s="273"/>
      <c r="G751" s="273"/>
      <c r="H751" s="273"/>
      <c r="I751" s="273"/>
      <c r="J751" s="50"/>
      <c r="K751" s="273"/>
      <c r="L751" s="273"/>
      <c r="M751" s="273"/>
      <c r="N751" s="273"/>
      <c r="O751" s="273"/>
      <c r="P751" s="273"/>
      <c r="Q751" s="273"/>
      <c r="R751" s="273"/>
      <c r="S751" s="273"/>
      <c r="T751" s="273"/>
      <c r="U751" s="273"/>
      <c r="V751" s="273"/>
      <c r="W751" s="273"/>
      <c r="X751" s="283"/>
      <c r="Y751" s="273"/>
      <c r="Z751" s="273"/>
      <c r="AA751" s="273"/>
      <c r="AB751" s="273"/>
      <c r="AC751" s="273"/>
      <c r="AD751" s="273"/>
      <c r="AE751" s="273"/>
      <c r="AF751" s="273"/>
      <c r="AG751" s="273"/>
      <c r="AH751" s="261"/>
      <c r="AI751" s="273"/>
      <c r="AJ751" s="273"/>
      <c r="AK751" s="273"/>
      <c r="AL751" s="273"/>
    </row>
    <row r="752" spans="1:38" x14ac:dyDescent="0.3">
      <c r="A752" s="259">
        <f>A749+1</f>
        <v>561</v>
      </c>
      <c r="B752" s="20" t="s">
        <v>3389</v>
      </c>
      <c r="C752" s="273">
        <f t="shared" ref="C752:C762" si="175">D752+K752+L752+N752+P752+R752+S752+U752+V752+W752</f>
        <v>130000</v>
      </c>
      <c r="D752" s="273"/>
      <c r="E752" s="273"/>
      <c r="F752" s="273"/>
      <c r="G752" s="273"/>
      <c r="H752" s="273"/>
      <c r="I752" s="273"/>
      <c r="J752" s="50"/>
      <c r="K752" s="273"/>
      <c r="L752" s="273"/>
      <c r="M752" s="273"/>
      <c r="N752" s="273"/>
      <c r="O752" s="273"/>
      <c r="P752" s="273"/>
      <c r="Q752" s="273"/>
      <c r="R752" s="273"/>
      <c r="S752" s="273"/>
      <c r="T752" s="273"/>
      <c r="U752" s="273"/>
      <c r="V752" s="273"/>
      <c r="W752" s="273">
        <v>130000</v>
      </c>
      <c r="X752" s="283"/>
      <c r="Y752" s="273"/>
      <c r="Z752" s="273"/>
      <c r="AA752" s="273"/>
      <c r="AB752" s="273"/>
      <c r="AC752" s="273"/>
      <c r="AD752" s="273"/>
      <c r="AE752" s="273"/>
      <c r="AF752" s="273"/>
      <c r="AG752" s="273"/>
      <c r="AH752" s="261"/>
      <c r="AI752" s="273"/>
      <c r="AJ752" s="273"/>
      <c r="AK752" s="273"/>
      <c r="AL752" s="273"/>
    </row>
    <row r="753" spans="1:38" x14ac:dyDescent="0.3">
      <c r="A753" s="259">
        <f t="shared" ref="A753:A762" si="176">A752+1</f>
        <v>562</v>
      </c>
      <c r="B753" s="20" t="s">
        <v>3390</v>
      </c>
      <c r="C753" s="273">
        <f t="shared" si="175"/>
        <v>582867.61</v>
      </c>
      <c r="D753" s="273"/>
      <c r="E753" s="273"/>
      <c r="F753" s="273"/>
      <c r="G753" s="273"/>
      <c r="H753" s="273"/>
      <c r="I753" s="273"/>
      <c r="J753" s="50"/>
      <c r="K753" s="273"/>
      <c r="L753" s="273"/>
      <c r="M753" s="273"/>
      <c r="N753" s="273"/>
      <c r="O753" s="273"/>
      <c r="P753" s="273"/>
      <c r="Q753" s="273"/>
      <c r="R753" s="273"/>
      <c r="S753" s="273"/>
      <c r="T753" s="273"/>
      <c r="U753" s="273"/>
      <c r="V753" s="273"/>
      <c r="W753" s="273">
        <f t="shared" ref="W753:W762" si="177">SUM(Y753:AL753)</f>
        <v>582867.61</v>
      </c>
      <c r="X753" s="283"/>
      <c r="Y753" s="273"/>
      <c r="Z753" s="273"/>
      <c r="AA753" s="273">
        <v>100460.82</v>
      </c>
      <c r="AB753" s="273"/>
      <c r="AC753" s="273"/>
      <c r="AD753" s="273"/>
      <c r="AE753" s="261"/>
      <c r="AF753" s="273">
        <v>482406.79</v>
      </c>
      <c r="AG753" s="273"/>
      <c r="AJ753" s="273"/>
      <c r="AK753" s="273"/>
      <c r="AL753" s="273"/>
    </row>
    <row r="754" spans="1:38" x14ac:dyDescent="0.3">
      <c r="A754" s="259">
        <f t="shared" si="176"/>
        <v>563</v>
      </c>
      <c r="B754" s="20" t="s">
        <v>3391</v>
      </c>
      <c r="C754" s="273">
        <f t="shared" si="175"/>
        <v>734289.68</v>
      </c>
      <c r="D754" s="273"/>
      <c r="E754" s="273"/>
      <c r="F754" s="273"/>
      <c r="G754" s="273"/>
      <c r="H754" s="273"/>
      <c r="I754" s="273"/>
      <c r="J754" s="50"/>
      <c r="K754" s="273"/>
      <c r="L754" s="273"/>
      <c r="M754" s="273"/>
      <c r="N754" s="273"/>
      <c r="O754" s="273"/>
      <c r="P754" s="273"/>
      <c r="Q754" s="273"/>
      <c r="R754" s="273"/>
      <c r="S754" s="273"/>
      <c r="T754" s="273"/>
      <c r="U754" s="273"/>
      <c r="V754" s="273"/>
      <c r="W754" s="273">
        <f t="shared" si="177"/>
        <v>734289.68</v>
      </c>
      <c r="X754" s="283"/>
      <c r="Y754" s="273"/>
      <c r="Z754" s="273"/>
      <c r="AA754" s="273">
        <v>108038.58</v>
      </c>
      <c r="AB754" s="273"/>
      <c r="AC754" s="273"/>
      <c r="AD754" s="273"/>
      <c r="AE754" s="261">
        <v>110432.71</v>
      </c>
      <c r="AF754" s="273">
        <v>515818.39</v>
      </c>
      <c r="AG754" s="273"/>
      <c r="AJ754" s="273"/>
      <c r="AK754" s="273"/>
      <c r="AL754" s="273"/>
    </row>
    <row r="755" spans="1:38" x14ac:dyDescent="0.3">
      <c r="A755" s="259">
        <f t="shared" si="176"/>
        <v>564</v>
      </c>
      <c r="B755" s="20" t="s">
        <v>3392</v>
      </c>
      <c r="C755" s="273">
        <f t="shared" si="175"/>
        <v>611656.67000000004</v>
      </c>
      <c r="D755" s="273"/>
      <c r="E755" s="273"/>
      <c r="F755" s="273"/>
      <c r="G755" s="273"/>
      <c r="H755" s="273"/>
      <c r="I755" s="273"/>
      <c r="J755" s="50"/>
      <c r="K755" s="273"/>
      <c r="L755" s="273"/>
      <c r="M755" s="273"/>
      <c r="N755" s="273"/>
      <c r="O755" s="273"/>
      <c r="P755" s="273"/>
      <c r="Q755" s="273"/>
      <c r="R755" s="273"/>
      <c r="S755" s="273"/>
      <c r="T755" s="273"/>
      <c r="U755" s="273"/>
      <c r="V755" s="273"/>
      <c r="W755" s="273">
        <f t="shared" si="177"/>
        <v>611656.67000000004</v>
      </c>
      <c r="X755" s="283"/>
      <c r="Y755" s="273"/>
      <c r="Z755" s="273"/>
      <c r="AA755" s="273"/>
      <c r="AB755" s="273"/>
      <c r="AC755" s="273"/>
      <c r="AD755" s="273">
        <v>123455.83</v>
      </c>
      <c r="AE755" s="261"/>
      <c r="AF755" s="273">
        <v>488200.84</v>
      </c>
      <c r="AG755" s="273"/>
      <c r="AJ755" s="273"/>
      <c r="AK755" s="273"/>
      <c r="AL755" s="273"/>
    </row>
    <row r="756" spans="1:38" x14ac:dyDescent="0.3">
      <c r="A756" s="259">
        <f t="shared" si="176"/>
        <v>565</v>
      </c>
      <c r="B756" s="20" t="s">
        <v>3393</v>
      </c>
      <c r="C756" s="273">
        <f t="shared" si="175"/>
        <v>482793.07</v>
      </c>
      <c r="D756" s="273"/>
      <c r="E756" s="273"/>
      <c r="F756" s="273"/>
      <c r="G756" s="273"/>
      <c r="H756" s="273"/>
      <c r="I756" s="273"/>
      <c r="J756" s="50"/>
      <c r="K756" s="273"/>
      <c r="L756" s="273"/>
      <c r="M756" s="273"/>
      <c r="N756" s="273"/>
      <c r="O756" s="273"/>
      <c r="P756" s="273"/>
      <c r="Q756" s="273"/>
      <c r="R756" s="273"/>
      <c r="S756" s="273"/>
      <c r="T756" s="273"/>
      <c r="U756" s="273"/>
      <c r="V756" s="273"/>
      <c r="W756" s="273">
        <f t="shared" si="177"/>
        <v>482793.07</v>
      </c>
      <c r="X756" s="283"/>
      <c r="Y756" s="273"/>
      <c r="Z756" s="273"/>
      <c r="AA756" s="273"/>
      <c r="AB756" s="273"/>
      <c r="AC756" s="273"/>
      <c r="AD756" s="273"/>
      <c r="AE756" s="261"/>
      <c r="AF756" s="273">
        <v>482793.07</v>
      </c>
      <c r="AG756" s="273"/>
      <c r="AJ756" s="273"/>
      <c r="AK756" s="273"/>
      <c r="AL756" s="273"/>
    </row>
    <row r="757" spans="1:38" x14ac:dyDescent="0.3">
      <c r="A757" s="259">
        <f t="shared" si="176"/>
        <v>566</v>
      </c>
      <c r="B757" s="20" t="s">
        <v>3394</v>
      </c>
      <c r="C757" s="273">
        <f t="shared" si="175"/>
        <v>613288.43000000005</v>
      </c>
      <c r="D757" s="273"/>
      <c r="E757" s="273"/>
      <c r="F757" s="273"/>
      <c r="G757" s="273"/>
      <c r="H757" s="273"/>
      <c r="I757" s="273"/>
      <c r="J757" s="50"/>
      <c r="K757" s="273"/>
      <c r="L757" s="273"/>
      <c r="M757" s="273"/>
      <c r="N757" s="273"/>
      <c r="O757" s="273"/>
      <c r="P757" s="273"/>
      <c r="Q757" s="273"/>
      <c r="R757" s="273"/>
      <c r="S757" s="273"/>
      <c r="T757" s="273"/>
      <c r="U757" s="273"/>
      <c r="V757" s="273"/>
      <c r="W757" s="273">
        <f>SUM(X757:AK757)</f>
        <v>613288.43000000005</v>
      </c>
      <c r="X757" s="283"/>
      <c r="Y757" s="273"/>
      <c r="Z757" s="273"/>
      <c r="AA757" s="273"/>
      <c r="AB757" s="273"/>
      <c r="AC757" s="273"/>
      <c r="AD757" s="273">
        <v>123800.03</v>
      </c>
      <c r="AE757" s="261"/>
      <c r="AF757" s="273">
        <v>489488.4</v>
      </c>
      <c r="AG757" s="273"/>
      <c r="AJ757" s="273"/>
      <c r="AK757" s="273"/>
      <c r="AL757" s="273"/>
    </row>
    <row r="758" spans="1:38" x14ac:dyDescent="0.3">
      <c r="A758" s="259">
        <f t="shared" si="176"/>
        <v>567</v>
      </c>
      <c r="B758" s="20" t="s">
        <v>3395</v>
      </c>
      <c r="C758" s="273">
        <f t="shared" si="175"/>
        <v>172165.25</v>
      </c>
      <c r="D758" s="273"/>
      <c r="E758" s="273"/>
      <c r="F758" s="273"/>
      <c r="G758" s="273"/>
      <c r="H758" s="273"/>
      <c r="I758" s="273"/>
      <c r="J758" s="50"/>
      <c r="K758" s="273"/>
      <c r="L758" s="273"/>
      <c r="M758" s="273"/>
      <c r="N758" s="273"/>
      <c r="O758" s="273"/>
      <c r="P758" s="273"/>
      <c r="Q758" s="273"/>
      <c r="R758" s="273"/>
      <c r="S758" s="273"/>
      <c r="T758" s="273"/>
      <c r="U758" s="273"/>
      <c r="V758" s="273"/>
      <c r="W758" s="273">
        <f t="shared" ref="W758:W760" si="178">SUM(X758:AK758)</f>
        <v>172165.25</v>
      </c>
      <c r="X758" s="283"/>
      <c r="Y758" s="273"/>
      <c r="Z758" s="273"/>
      <c r="AA758" s="273">
        <v>172165.25</v>
      </c>
      <c r="AB758" s="273"/>
      <c r="AC758" s="273"/>
      <c r="AD758" s="273"/>
      <c r="AE758" s="273"/>
      <c r="AF758" s="273"/>
      <c r="AG758" s="273"/>
      <c r="AH758" s="261"/>
      <c r="AI758" s="273"/>
      <c r="AJ758" s="273"/>
      <c r="AK758" s="273"/>
      <c r="AL758" s="273"/>
    </row>
    <row r="759" spans="1:38" x14ac:dyDescent="0.3">
      <c r="A759" s="259">
        <f t="shared" si="176"/>
        <v>568</v>
      </c>
      <c r="B759" s="20" t="s">
        <v>3396</v>
      </c>
      <c r="C759" s="273">
        <f t="shared" si="175"/>
        <v>1739130.3</v>
      </c>
      <c r="D759" s="273"/>
      <c r="E759" s="273"/>
      <c r="F759" s="273"/>
      <c r="G759" s="273"/>
      <c r="H759" s="273"/>
      <c r="I759" s="273"/>
      <c r="J759" s="50"/>
      <c r="K759" s="273"/>
      <c r="L759" s="273"/>
      <c r="M759" s="273"/>
      <c r="N759" s="273"/>
      <c r="O759" s="273"/>
      <c r="P759" s="273"/>
      <c r="Q759" s="273"/>
      <c r="R759" s="273"/>
      <c r="S759" s="273"/>
      <c r="T759" s="273"/>
      <c r="U759" s="273"/>
      <c r="V759" s="273"/>
      <c r="W759" s="273">
        <f t="shared" si="178"/>
        <v>1739130.3</v>
      </c>
      <c r="X759" s="283"/>
      <c r="Y759" s="273"/>
      <c r="Z759" s="273"/>
      <c r="AA759" s="273">
        <v>210214.81</v>
      </c>
      <c r="AB759" s="273"/>
      <c r="AC759" s="273"/>
      <c r="AD759" s="273"/>
      <c r="AE759" s="261">
        <v>325573.78000000003</v>
      </c>
      <c r="AF759" s="273">
        <v>1203341.71</v>
      </c>
      <c r="AG759" s="273"/>
      <c r="AJ759" s="273"/>
      <c r="AK759" s="273"/>
      <c r="AL759" s="273"/>
    </row>
    <row r="760" spans="1:38" x14ac:dyDescent="0.3">
      <c r="A760" s="259">
        <f t="shared" si="176"/>
        <v>569</v>
      </c>
      <c r="B760" s="20" t="s">
        <v>3397</v>
      </c>
      <c r="C760" s="273">
        <f t="shared" si="175"/>
        <v>210666.14</v>
      </c>
      <c r="D760" s="273"/>
      <c r="E760" s="273"/>
      <c r="F760" s="273"/>
      <c r="G760" s="273"/>
      <c r="H760" s="273"/>
      <c r="I760" s="273"/>
      <c r="J760" s="50"/>
      <c r="K760" s="273"/>
      <c r="L760" s="273"/>
      <c r="M760" s="273"/>
      <c r="N760" s="273"/>
      <c r="O760" s="273"/>
      <c r="P760" s="273"/>
      <c r="Q760" s="273"/>
      <c r="R760" s="273"/>
      <c r="S760" s="273"/>
      <c r="T760" s="273"/>
      <c r="U760" s="273"/>
      <c r="V760" s="273"/>
      <c r="W760" s="273">
        <f t="shared" si="178"/>
        <v>210666.14</v>
      </c>
      <c r="X760" s="283"/>
      <c r="Y760" s="273"/>
      <c r="Z760" s="273"/>
      <c r="AA760" s="273">
        <v>210666.14</v>
      </c>
      <c r="AB760" s="273"/>
      <c r="AC760" s="273"/>
      <c r="AD760" s="273"/>
      <c r="AE760" s="273"/>
      <c r="AF760" s="273"/>
      <c r="AG760" s="273"/>
      <c r="AH760" s="261"/>
      <c r="AI760" s="273"/>
      <c r="AJ760" s="273"/>
      <c r="AK760" s="273"/>
      <c r="AL760" s="273"/>
    </row>
    <row r="761" spans="1:38" x14ac:dyDescent="0.3">
      <c r="A761" s="259">
        <f t="shared" si="176"/>
        <v>570</v>
      </c>
      <c r="B761" s="20" t="s">
        <v>3398</v>
      </c>
      <c r="C761" s="273">
        <f t="shared" si="175"/>
        <v>1576538.24</v>
      </c>
      <c r="D761" s="273"/>
      <c r="E761" s="273"/>
      <c r="F761" s="273"/>
      <c r="G761" s="273"/>
      <c r="H761" s="273"/>
      <c r="I761" s="273"/>
      <c r="J761" s="50"/>
      <c r="K761" s="273"/>
      <c r="L761" s="273"/>
      <c r="M761" s="273"/>
      <c r="N761" s="273"/>
      <c r="O761" s="273"/>
      <c r="P761" s="273"/>
      <c r="Q761" s="273"/>
      <c r="R761" s="273"/>
      <c r="S761" s="273"/>
      <c r="T761" s="273"/>
      <c r="U761" s="273"/>
      <c r="V761" s="273"/>
      <c r="W761" s="273">
        <f>SUM(X761:AK761)</f>
        <v>1576538.24</v>
      </c>
      <c r="X761" s="283"/>
      <c r="Y761" s="273"/>
      <c r="Z761" s="273"/>
      <c r="AA761" s="273"/>
      <c r="AB761" s="273"/>
      <c r="AC761" s="273"/>
      <c r="AD761" s="273"/>
      <c r="AE761" s="261">
        <v>344343.42</v>
      </c>
      <c r="AF761" s="273">
        <v>1232194.82</v>
      </c>
      <c r="AG761" s="273"/>
      <c r="AJ761" s="273"/>
      <c r="AK761" s="273"/>
      <c r="AL761" s="273"/>
    </row>
    <row r="762" spans="1:38" x14ac:dyDescent="0.3">
      <c r="A762" s="259">
        <f t="shared" si="176"/>
        <v>571</v>
      </c>
      <c r="B762" s="20" t="s">
        <v>3399</v>
      </c>
      <c r="C762" s="273">
        <f t="shared" si="175"/>
        <v>710857.14</v>
      </c>
      <c r="D762" s="273"/>
      <c r="E762" s="273"/>
      <c r="F762" s="273"/>
      <c r="G762" s="273"/>
      <c r="H762" s="273"/>
      <c r="I762" s="273"/>
      <c r="J762" s="50"/>
      <c r="K762" s="273"/>
      <c r="L762" s="273"/>
      <c r="M762" s="273"/>
      <c r="N762" s="273"/>
      <c r="O762" s="273"/>
      <c r="P762" s="273"/>
      <c r="Q762" s="273"/>
      <c r="R762" s="273"/>
      <c r="S762" s="273"/>
      <c r="T762" s="273"/>
      <c r="U762" s="273"/>
      <c r="V762" s="273"/>
      <c r="W762" s="273">
        <f t="shared" si="177"/>
        <v>710857.14</v>
      </c>
      <c r="X762" s="283"/>
      <c r="Y762" s="273"/>
      <c r="Z762" s="273"/>
      <c r="AA762" s="273">
        <v>101484.96</v>
      </c>
      <c r="AB762" s="273"/>
      <c r="AC762" s="273"/>
      <c r="AD762" s="273">
        <v>122973.95</v>
      </c>
      <c r="AE762" s="273"/>
      <c r="AF762" s="273">
        <v>486398.23</v>
      </c>
      <c r="AG762" s="273"/>
      <c r="AH762" s="261"/>
      <c r="AJ762" s="273"/>
      <c r="AK762" s="273"/>
      <c r="AL762" s="273"/>
    </row>
    <row r="763" spans="1:38" x14ac:dyDescent="0.3">
      <c r="A763" s="302" t="s">
        <v>208</v>
      </c>
      <c r="B763" s="302"/>
      <c r="C763" s="273">
        <f t="shared" ref="C763:W763" si="179">SUM(C752:C762)</f>
        <v>7564252.5299999993</v>
      </c>
      <c r="D763" s="273">
        <f t="shared" si="179"/>
        <v>0</v>
      </c>
      <c r="E763" s="273">
        <f t="shared" si="179"/>
        <v>0</v>
      </c>
      <c r="F763" s="273">
        <f t="shared" si="179"/>
        <v>0</v>
      </c>
      <c r="G763" s="273">
        <f t="shared" si="179"/>
        <v>0</v>
      </c>
      <c r="H763" s="273">
        <f t="shared" si="179"/>
        <v>0</v>
      </c>
      <c r="I763" s="273">
        <f t="shared" si="179"/>
        <v>0</v>
      </c>
      <c r="J763" s="50">
        <f t="shared" si="179"/>
        <v>0</v>
      </c>
      <c r="K763" s="273">
        <f t="shared" si="179"/>
        <v>0</v>
      </c>
      <c r="L763" s="273">
        <f t="shared" si="179"/>
        <v>0</v>
      </c>
      <c r="M763" s="273">
        <f t="shared" si="179"/>
        <v>0</v>
      </c>
      <c r="N763" s="273">
        <f t="shared" si="179"/>
        <v>0</v>
      </c>
      <c r="O763" s="273">
        <f t="shared" si="179"/>
        <v>0</v>
      </c>
      <c r="P763" s="273">
        <f t="shared" si="179"/>
        <v>0</v>
      </c>
      <c r="Q763" s="273">
        <f t="shared" si="179"/>
        <v>0</v>
      </c>
      <c r="R763" s="273">
        <f t="shared" si="179"/>
        <v>0</v>
      </c>
      <c r="S763" s="273">
        <f t="shared" si="179"/>
        <v>0</v>
      </c>
      <c r="T763" s="273">
        <f t="shared" si="179"/>
        <v>0</v>
      </c>
      <c r="U763" s="273">
        <f t="shared" si="179"/>
        <v>0</v>
      </c>
      <c r="V763" s="273">
        <f t="shared" si="179"/>
        <v>0</v>
      </c>
      <c r="W763" s="273">
        <f t="shared" si="179"/>
        <v>7564252.5299999993</v>
      </c>
      <c r="X763" s="98"/>
      <c r="Y763" s="271"/>
      <c r="Z763" s="271"/>
      <c r="AA763" s="271"/>
      <c r="AB763" s="271"/>
      <c r="AC763" s="271"/>
      <c r="AD763" s="271"/>
      <c r="AE763" s="271"/>
      <c r="AF763" s="271"/>
      <c r="AG763" s="269"/>
      <c r="AH763" s="94"/>
      <c r="AI763" s="269"/>
      <c r="AJ763" s="269"/>
      <c r="AK763" s="269"/>
      <c r="AL763" s="269"/>
    </row>
    <row r="764" spans="1:38" x14ac:dyDescent="0.3">
      <c r="A764" s="304" t="s">
        <v>3279</v>
      </c>
      <c r="B764" s="304"/>
      <c r="C764" s="251">
        <f t="shared" ref="C764:W764" si="180">C717+C724+C729+C739+C742+C746+C750+C763</f>
        <v>183988046.19999999</v>
      </c>
      <c r="D764" s="251">
        <f t="shared" si="180"/>
        <v>27448775</v>
      </c>
      <c r="E764" s="251">
        <f t="shared" si="180"/>
        <v>0</v>
      </c>
      <c r="F764" s="251">
        <f t="shared" si="180"/>
        <v>19728450</v>
      </c>
      <c r="G764" s="251">
        <f t="shared" si="180"/>
        <v>2607920</v>
      </c>
      <c r="H764" s="251">
        <f t="shared" si="180"/>
        <v>5112405</v>
      </c>
      <c r="I764" s="251">
        <f t="shared" si="180"/>
        <v>0</v>
      </c>
      <c r="J764" s="57">
        <f t="shared" si="180"/>
        <v>0</v>
      </c>
      <c r="K764" s="251">
        <f t="shared" si="180"/>
        <v>0</v>
      </c>
      <c r="L764" s="251">
        <f t="shared" si="180"/>
        <v>0</v>
      </c>
      <c r="M764" s="251">
        <f t="shared" si="180"/>
        <v>13</v>
      </c>
      <c r="N764" s="251">
        <f t="shared" si="180"/>
        <v>9916060</v>
      </c>
      <c r="O764" s="251">
        <f t="shared" si="180"/>
        <v>0</v>
      </c>
      <c r="P764" s="251">
        <f t="shared" si="180"/>
        <v>0</v>
      </c>
      <c r="Q764" s="251">
        <f t="shared" si="180"/>
        <v>19435</v>
      </c>
      <c r="R764" s="251">
        <f t="shared" si="180"/>
        <v>119042035.19999999</v>
      </c>
      <c r="S764" s="251">
        <f t="shared" si="180"/>
        <v>0</v>
      </c>
      <c r="T764" s="251">
        <f t="shared" si="180"/>
        <v>5494.9999999999991</v>
      </c>
      <c r="U764" s="251">
        <f t="shared" si="180"/>
        <v>13931372.4</v>
      </c>
      <c r="V764" s="251">
        <f t="shared" si="180"/>
        <v>0</v>
      </c>
      <c r="W764" s="251">
        <f t="shared" si="180"/>
        <v>13649803.6</v>
      </c>
      <c r="X764" s="269"/>
      <c r="Y764" s="271"/>
      <c r="Z764" s="271"/>
      <c r="AA764" s="271"/>
      <c r="AB764" s="271"/>
      <c r="AC764" s="271"/>
      <c r="AD764" s="271"/>
      <c r="AE764" s="271"/>
      <c r="AF764" s="271"/>
      <c r="AG764" s="269"/>
      <c r="AH764" s="94"/>
      <c r="AI764" s="269"/>
      <c r="AJ764" s="269"/>
      <c r="AK764" s="269"/>
      <c r="AL764" s="269"/>
    </row>
    <row r="765" spans="1:38" x14ac:dyDescent="0.3">
      <c r="A765" s="303" t="s">
        <v>2191</v>
      </c>
      <c r="B765" s="303"/>
      <c r="C765" s="303"/>
      <c r="D765" s="303"/>
      <c r="E765" s="303"/>
      <c r="F765" s="303"/>
      <c r="G765" s="303"/>
      <c r="H765" s="303"/>
      <c r="I765" s="303"/>
      <c r="J765" s="303"/>
      <c r="K765" s="303"/>
      <c r="L765" s="303"/>
      <c r="M765" s="303"/>
      <c r="N765" s="303"/>
      <c r="O765" s="303"/>
      <c r="P765" s="303"/>
      <c r="Q765" s="303"/>
      <c r="R765" s="303"/>
      <c r="S765" s="303"/>
      <c r="T765" s="303"/>
      <c r="U765" s="303"/>
      <c r="V765" s="303"/>
      <c r="W765" s="303"/>
      <c r="X765" s="254"/>
      <c r="Y765" s="273"/>
      <c r="Z765" s="273"/>
      <c r="AA765" s="14"/>
      <c r="AB765" s="15"/>
      <c r="AC765" s="15"/>
      <c r="AD765" s="15"/>
      <c r="AE765" s="13"/>
    </row>
    <row r="766" spans="1:38" x14ac:dyDescent="0.3">
      <c r="A766" s="301" t="s">
        <v>2192</v>
      </c>
      <c r="B766" s="301"/>
      <c r="C766" s="251"/>
      <c r="D766" s="251"/>
      <c r="E766" s="251"/>
      <c r="F766" s="251"/>
      <c r="G766" s="251"/>
      <c r="H766" s="251"/>
      <c r="I766" s="251"/>
      <c r="J766" s="57"/>
      <c r="K766" s="251"/>
      <c r="L766" s="251"/>
      <c r="M766" s="251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4"/>
      <c r="Y766" s="273"/>
      <c r="Z766" s="273"/>
      <c r="AA766" s="14"/>
      <c r="AB766" s="15"/>
      <c r="AC766" s="15"/>
      <c r="AD766" s="15"/>
      <c r="AE766" s="13"/>
    </row>
    <row r="767" spans="1:38" x14ac:dyDescent="0.3">
      <c r="A767" s="259">
        <f>A762+1</f>
        <v>572</v>
      </c>
      <c r="B767" s="20" t="s">
        <v>2197</v>
      </c>
      <c r="C767" s="273">
        <f>D767+K767+L767+N767+P767+R767+S767+U767+V767+W767</f>
        <v>115125.12</v>
      </c>
      <c r="D767" s="273"/>
      <c r="E767" s="273"/>
      <c r="F767" s="273"/>
      <c r="G767" s="273"/>
      <c r="H767" s="273"/>
      <c r="I767" s="273"/>
      <c r="J767" s="50"/>
      <c r="K767" s="273"/>
      <c r="L767" s="273"/>
      <c r="M767" s="273"/>
      <c r="N767" s="273"/>
      <c r="O767" s="273"/>
      <c r="P767" s="273"/>
      <c r="Q767" s="273"/>
      <c r="R767" s="273"/>
      <c r="S767" s="273"/>
      <c r="T767" s="273"/>
      <c r="U767" s="273"/>
      <c r="V767" s="273"/>
      <c r="W767" s="273">
        <f>SUM(Y767:AE767)</f>
        <v>115125.12</v>
      </c>
      <c r="X767" s="271"/>
      <c r="Y767" s="273"/>
      <c r="Z767" s="273"/>
      <c r="AA767" s="14">
        <v>115125.12</v>
      </c>
      <c r="AB767" s="15"/>
      <c r="AC767" s="15"/>
      <c r="AD767" s="15"/>
      <c r="AE767" s="13"/>
    </row>
    <row r="768" spans="1:38" x14ac:dyDescent="0.3">
      <c r="A768" s="302" t="s">
        <v>208</v>
      </c>
      <c r="B768" s="302"/>
      <c r="C768" s="273">
        <f t="shared" ref="C768:W768" si="181">SUM(C767:C767)</f>
        <v>115125.12</v>
      </c>
      <c r="D768" s="273">
        <f t="shared" si="181"/>
        <v>0</v>
      </c>
      <c r="E768" s="273">
        <f t="shared" si="181"/>
        <v>0</v>
      </c>
      <c r="F768" s="273">
        <f t="shared" si="181"/>
        <v>0</v>
      </c>
      <c r="G768" s="273">
        <f t="shared" si="181"/>
        <v>0</v>
      </c>
      <c r="H768" s="273">
        <f t="shared" si="181"/>
        <v>0</v>
      </c>
      <c r="I768" s="273">
        <f t="shared" si="181"/>
        <v>0</v>
      </c>
      <c r="J768" s="50">
        <f t="shared" si="181"/>
        <v>0</v>
      </c>
      <c r="K768" s="273">
        <f t="shared" si="181"/>
        <v>0</v>
      </c>
      <c r="L768" s="273">
        <f t="shared" si="181"/>
        <v>0</v>
      </c>
      <c r="M768" s="273">
        <f t="shared" si="181"/>
        <v>0</v>
      </c>
      <c r="N768" s="273">
        <f t="shared" si="181"/>
        <v>0</v>
      </c>
      <c r="O768" s="273">
        <f t="shared" si="181"/>
        <v>0</v>
      </c>
      <c r="P768" s="273">
        <f t="shared" si="181"/>
        <v>0</v>
      </c>
      <c r="Q768" s="273">
        <f t="shared" si="181"/>
        <v>0</v>
      </c>
      <c r="R768" s="273">
        <f t="shared" si="181"/>
        <v>0</v>
      </c>
      <c r="S768" s="273">
        <f t="shared" si="181"/>
        <v>0</v>
      </c>
      <c r="T768" s="273">
        <f t="shared" si="181"/>
        <v>0</v>
      </c>
      <c r="U768" s="273">
        <f t="shared" si="181"/>
        <v>0</v>
      </c>
      <c r="V768" s="273">
        <f t="shared" si="181"/>
        <v>0</v>
      </c>
      <c r="W768" s="273">
        <f t="shared" si="181"/>
        <v>115125.12</v>
      </c>
      <c r="X768" s="271"/>
      <c r="Y768" s="273"/>
      <c r="Z768" s="273"/>
      <c r="AA768" s="14"/>
      <c r="AB768" s="15"/>
      <c r="AC768" s="15"/>
      <c r="AD768" s="15"/>
      <c r="AE768" s="13"/>
    </row>
    <row r="769" spans="1:32" x14ac:dyDescent="0.3">
      <c r="A769" s="301" t="s">
        <v>2198</v>
      </c>
      <c r="B769" s="301"/>
      <c r="C769" s="273"/>
      <c r="D769" s="273"/>
      <c r="E769" s="273"/>
      <c r="F769" s="273"/>
      <c r="G769" s="273"/>
      <c r="H769" s="273"/>
      <c r="I769" s="273"/>
      <c r="J769" s="50"/>
      <c r="K769" s="273"/>
      <c r="L769" s="273"/>
      <c r="M769" s="273"/>
      <c r="N769" s="273"/>
      <c r="O769" s="273"/>
      <c r="P769" s="273"/>
      <c r="Q769" s="273"/>
      <c r="R769" s="273"/>
      <c r="S769" s="273"/>
      <c r="T769" s="273"/>
      <c r="U769" s="273"/>
      <c r="V769" s="273"/>
      <c r="W769" s="273"/>
      <c r="X769" s="271"/>
      <c r="Y769" s="273"/>
      <c r="Z769" s="273"/>
      <c r="AA769" s="16"/>
      <c r="AB769" s="17"/>
      <c r="AC769" s="17"/>
      <c r="AD769" s="15"/>
      <c r="AE769" s="13"/>
    </row>
    <row r="770" spans="1:32" x14ac:dyDescent="0.3">
      <c r="A770" s="259">
        <f>A767+1</f>
        <v>573</v>
      </c>
      <c r="B770" s="20" t="s">
        <v>2199</v>
      </c>
      <c r="C770" s="273">
        <f>D770+K770+L770+N770+P770+R770+S770+U770+V770+W770</f>
        <v>130000</v>
      </c>
      <c r="D770" s="273"/>
      <c r="E770" s="273"/>
      <c r="F770" s="273"/>
      <c r="G770" s="273"/>
      <c r="H770" s="273"/>
      <c r="I770" s="273"/>
      <c r="J770" s="50"/>
      <c r="K770" s="273"/>
      <c r="L770" s="273"/>
      <c r="M770" s="273"/>
      <c r="N770" s="273"/>
      <c r="O770" s="273"/>
      <c r="P770" s="273"/>
      <c r="Q770" s="273"/>
      <c r="R770" s="273"/>
      <c r="S770" s="273"/>
      <c r="T770" s="273"/>
      <c r="U770" s="273"/>
      <c r="V770" s="273"/>
      <c r="W770" s="273">
        <v>130000</v>
      </c>
      <c r="X770" s="271"/>
      <c r="Y770" s="273"/>
      <c r="Z770" s="273"/>
      <c r="AA770" s="16"/>
      <c r="AB770" s="17"/>
      <c r="AC770" s="17"/>
      <c r="AD770" s="15"/>
      <c r="AE770" s="13"/>
    </row>
    <row r="771" spans="1:32" x14ac:dyDescent="0.3">
      <c r="A771" s="259">
        <f>A770+1</f>
        <v>574</v>
      </c>
      <c r="B771" s="20" t="s">
        <v>2200</v>
      </c>
      <c r="C771" s="273">
        <f>D771+K771+L771+N771+P771+R771+S771+U771+V771+W771</f>
        <v>567682.4</v>
      </c>
      <c r="D771" s="273"/>
      <c r="E771" s="273"/>
      <c r="F771" s="273"/>
      <c r="G771" s="273"/>
      <c r="H771" s="273"/>
      <c r="I771" s="273"/>
      <c r="J771" s="50"/>
      <c r="K771" s="273"/>
      <c r="L771" s="273"/>
      <c r="M771" s="273"/>
      <c r="N771" s="273"/>
      <c r="O771" s="273"/>
      <c r="P771" s="273"/>
      <c r="Q771" s="273"/>
      <c r="R771" s="273"/>
      <c r="S771" s="273"/>
      <c r="T771" s="273"/>
      <c r="U771" s="273"/>
      <c r="V771" s="273"/>
      <c r="W771" s="273">
        <f>SUM(Z771:AF771)</f>
        <v>567682.4</v>
      </c>
      <c r="X771" s="271"/>
      <c r="Y771" s="273"/>
      <c r="Z771" s="273">
        <v>213390.4</v>
      </c>
      <c r="AA771" s="16"/>
      <c r="AB771" s="17">
        <v>354292</v>
      </c>
      <c r="AC771" s="17"/>
      <c r="AD771" s="15"/>
      <c r="AE771" s="13"/>
    </row>
    <row r="772" spans="1:32" x14ac:dyDescent="0.3">
      <c r="A772" s="259">
        <f>A771+1</f>
        <v>575</v>
      </c>
      <c r="B772" s="20" t="s">
        <v>2201</v>
      </c>
      <c r="C772" s="273">
        <f>D772+K772+L772+N772+P772+R772+S772+U772+V772+W772</f>
        <v>355377.7</v>
      </c>
      <c r="D772" s="273"/>
      <c r="E772" s="273"/>
      <c r="F772" s="273"/>
      <c r="G772" s="273"/>
      <c r="H772" s="273"/>
      <c r="I772" s="273"/>
      <c r="J772" s="50"/>
      <c r="K772" s="273"/>
      <c r="L772" s="273"/>
      <c r="M772" s="273"/>
      <c r="N772" s="273"/>
      <c r="O772" s="273"/>
      <c r="P772" s="273"/>
      <c r="Q772" s="273"/>
      <c r="R772" s="273"/>
      <c r="S772" s="273"/>
      <c r="T772" s="273"/>
      <c r="U772" s="273"/>
      <c r="V772" s="273"/>
      <c r="W772" s="273">
        <f>SUM(Z772:AF772)</f>
        <v>355377.7</v>
      </c>
      <c r="X772" s="271"/>
      <c r="Y772" s="273"/>
      <c r="Z772" s="273"/>
      <c r="AA772" s="16"/>
      <c r="AB772" s="17">
        <v>355377.7</v>
      </c>
      <c r="AC772" s="17"/>
      <c r="AD772" s="15"/>
      <c r="AE772" s="13"/>
    </row>
    <row r="773" spans="1:32" x14ac:dyDescent="0.3">
      <c r="A773" s="259">
        <f>A772+1</f>
        <v>576</v>
      </c>
      <c r="B773" s="20" t="s">
        <v>2202</v>
      </c>
      <c r="C773" s="273">
        <f>D773+K773+L773+N773+P773+R773+S773+U773+V773+W773</f>
        <v>692338.3</v>
      </c>
      <c r="D773" s="273"/>
      <c r="E773" s="273"/>
      <c r="F773" s="273"/>
      <c r="G773" s="273"/>
      <c r="H773" s="273"/>
      <c r="I773" s="273"/>
      <c r="J773" s="50"/>
      <c r="K773" s="273"/>
      <c r="L773" s="273"/>
      <c r="M773" s="273"/>
      <c r="N773" s="273"/>
      <c r="O773" s="273"/>
      <c r="P773" s="273"/>
      <c r="Q773" s="273"/>
      <c r="R773" s="273"/>
      <c r="S773" s="273"/>
      <c r="T773" s="273"/>
      <c r="U773" s="273"/>
      <c r="V773" s="273"/>
      <c r="W773" s="273">
        <f>SUM(Y773:AF773)</f>
        <v>692338.3</v>
      </c>
      <c r="X773" s="271" t="s">
        <v>2217</v>
      </c>
      <c r="Y773" s="273">
        <f>219425.17+195027.44</f>
        <v>414452.61</v>
      </c>
      <c r="Z773" s="273"/>
      <c r="AA773" s="16"/>
      <c r="AB773" s="17">
        <v>277885.69</v>
      </c>
      <c r="AC773" s="17"/>
      <c r="AD773" s="15"/>
      <c r="AE773" s="13"/>
    </row>
    <row r="774" spans="1:32" x14ac:dyDescent="0.3">
      <c r="A774" s="302" t="s">
        <v>208</v>
      </c>
      <c r="B774" s="302"/>
      <c r="C774" s="273">
        <f t="shared" ref="C774:W774" si="182">SUM(C770:C773)</f>
        <v>1745398.4000000001</v>
      </c>
      <c r="D774" s="273">
        <f t="shared" si="182"/>
        <v>0</v>
      </c>
      <c r="E774" s="273">
        <f t="shared" si="182"/>
        <v>0</v>
      </c>
      <c r="F774" s="273">
        <f t="shared" si="182"/>
        <v>0</v>
      </c>
      <c r="G774" s="273">
        <f t="shared" si="182"/>
        <v>0</v>
      </c>
      <c r="H774" s="273">
        <f t="shared" si="182"/>
        <v>0</v>
      </c>
      <c r="I774" s="273">
        <f t="shared" si="182"/>
        <v>0</v>
      </c>
      <c r="J774" s="50">
        <f t="shared" si="182"/>
        <v>0</v>
      </c>
      <c r="K774" s="273">
        <f t="shared" si="182"/>
        <v>0</v>
      </c>
      <c r="L774" s="273">
        <f t="shared" si="182"/>
        <v>0</v>
      </c>
      <c r="M774" s="273">
        <f t="shared" si="182"/>
        <v>0</v>
      </c>
      <c r="N774" s="273">
        <f t="shared" si="182"/>
        <v>0</v>
      </c>
      <c r="O774" s="273">
        <f t="shared" si="182"/>
        <v>0</v>
      </c>
      <c r="P774" s="273">
        <f t="shared" si="182"/>
        <v>0</v>
      </c>
      <c r="Q774" s="273">
        <f t="shared" si="182"/>
        <v>0</v>
      </c>
      <c r="R774" s="273">
        <f t="shared" si="182"/>
        <v>0</v>
      </c>
      <c r="S774" s="273">
        <f t="shared" si="182"/>
        <v>0</v>
      </c>
      <c r="T774" s="273">
        <f t="shared" si="182"/>
        <v>0</v>
      </c>
      <c r="U774" s="273">
        <f t="shared" si="182"/>
        <v>0</v>
      </c>
      <c r="V774" s="273">
        <f t="shared" si="182"/>
        <v>0</v>
      </c>
      <c r="W774" s="273">
        <f t="shared" si="182"/>
        <v>1745398.4000000001</v>
      </c>
      <c r="X774" s="271"/>
      <c r="Y774" s="273"/>
      <c r="Z774" s="273"/>
      <c r="AA774" s="16"/>
      <c r="AB774" s="17"/>
      <c r="AC774" s="17"/>
      <c r="AD774" s="15"/>
      <c r="AE774" s="13"/>
    </row>
    <row r="775" spans="1:32" x14ac:dyDescent="0.3">
      <c r="A775" s="301" t="s">
        <v>2204</v>
      </c>
      <c r="B775" s="301"/>
      <c r="C775" s="273"/>
      <c r="D775" s="273"/>
      <c r="E775" s="273"/>
      <c r="F775" s="273"/>
      <c r="G775" s="273"/>
      <c r="H775" s="273"/>
      <c r="I775" s="273"/>
      <c r="J775" s="50"/>
      <c r="K775" s="273"/>
      <c r="L775" s="273"/>
      <c r="M775" s="273"/>
      <c r="N775" s="273"/>
      <c r="O775" s="273"/>
      <c r="P775" s="273"/>
      <c r="Q775" s="273"/>
      <c r="R775" s="273"/>
      <c r="S775" s="273"/>
      <c r="T775" s="273"/>
      <c r="U775" s="273"/>
      <c r="V775" s="273"/>
      <c r="W775" s="273"/>
      <c r="X775" s="271"/>
      <c r="Y775" s="273"/>
      <c r="Z775" s="273"/>
      <c r="AA775" s="16"/>
      <c r="AB775" s="17"/>
      <c r="AC775" s="17"/>
      <c r="AD775" s="15"/>
      <c r="AE775" s="13"/>
    </row>
    <row r="776" spans="1:32" x14ac:dyDescent="0.3">
      <c r="A776" s="259">
        <f>A773+1</f>
        <v>577</v>
      </c>
      <c r="B776" s="20" t="s">
        <v>2205</v>
      </c>
      <c r="C776" s="273">
        <f>D776+K776+L776+N776+P776+R776+S776+U776+V776+W776</f>
        <v>130000</v>
      </c>
      <c r="D776" s="273"/>
      <c r="E776" s="273"/>
      <c r="F776" s="273"/>
      <c r="G776" s="273"/>
      <c r="H776" s="273"/>
      <c r="I776" s="273"/>
      <c r="J776" s="50"/>
      <c r="K776" s="273"/>
      <c r="L776" s="273"/>
      <c r="M776" s="273"/>
      <c r="N776" s="273"/>
      <c r="O776" s="273"/>
      <c r="P776" s="273"/>
      <c r="Q776" s="273"/>
      <c r="R776" s="273"/>
      <c r="S776" s="273"/>
      <c r="T776" s="273"/>
      <c r="U776" s="273"/>
      <c r="V776" s="273"/>
      <c r="W776" s="273">
        <v>130000</v>
      </c>
      <c r="X776" s="271"/>
      <c r="Y776" s="273"/>
      <c r="Z776" s="273"/>
      <c r="AA776" s="16"/>
      <c r="AB776" s="17"/>
      <c r="AC776" s="17"/>
      <c r="AD776" s="15"/>
      <c r="AE776" s="13"/>
    </row>
    <row r="777" spans="1:32" x14ac:dyDescent="0.3">
      <c r="A777" s="259">
        <f>A776+1</f>
        <v>578</v>
      </c>
      <c r="B777" s="20" t="s">
        <v>2206</v>
      </c>
      <c r="C777" s="273">
        <f>D777+K777+L777+N777+P777+R777+S777+U777+V777+W777</f>
        <v>130000</v>
      </c>
      <c r="D777" s="273"/>
      <c r="E777" s="273"/>
      <c r="F777" s="273"/>
      <c r="G777" s="273"/>
      <c r="H777" s="273"/>
      <c r="I777" s="273"/>
      <c r="J777" s="50"/>
      <c r="K777" s="273"/>
      <c r="L777" s="273"/>
      <c r="M777" s="273"/>
      <c r="N777" s="273"/>
      <c r="O777" s="273"/>
      <c r="P777" s="273"/>
      <c r="Q777" s="273"/>
      <c r="R777" s="273"/>
      <c r="S777" s="273"/>
      <c r="T777" s="273"/>
      <c r="U777" s="273"/>
      <c r="V777" s="273"/>
      <c r="W777" s="273">
        <v>130000</v>
      </c>
      <c r="X777" s="271"/>
      <c r="Y777" s="273"/>
      <c r="Z777" s="273"/>
      <c r="AA777" s="16"/>
      <c r="AB777" s="17"/>
      <c r="AC777" s="17"/>
      <c r="AD777" s="15"/>
      <c r="AE777" s="13"/>
    </row>
    <row r="778" spans="1:32" x14ac:dyDescent="0.3">
      <c r="A778" s="259">
        <f>A777+1</f>
        <v>579</v>
      </c>
      <c r="B778" s="20" t="s">
        <v>2207</v>
      </c>
      <c r="C778" s="273">
        <f>D778+K778+L778+N778+P778+R778+S778+U778+V778+W778</f>
        <v>677022.62</v>
      </c>
      <c r="D778" s="273"/>
      <c r="E778" s="273"/>
      <c r="F778" s="273"/>
      <c r="G778" s="273"/>
      <c r="H778" s="273"/>
      <c r="I778" s="273"/>
      <c r="J778" s="50"/>
      <c r="K778" s="273"/>
      <c r="L778" s="273"/>
      <c r="M778" s="273"/>
      <c r="N778" s="273"/>
      <c r="O778" s="273"/>
      <c r="P778" s="273"/>
      <c r="Q778" s="273"/>
      <c r="R778" s="273"/>
      <c r="S778" s="273"/>
      <c r="T778" s="273"/>
      <c r="U778" s="273"/>
      <c r="V778" s="273"/>
      <c r="W778" s="273">
        <f>SUM(Z778:AF778)</f>
        <v>677022.62</v>
      </c>
      <c r="X778" s="271"/>
      <c r="Y778" s="273"/>
      <c r="Z778" s="273">
        <v>360086.3</v>
      </c>
      <c r="AA778" s="16">
        <v>316936.32000000001</v>
      </c>
      <c r="AB778" s="17"/>
      <c r="AC778" s="17"/>
      <c r="AD778" s="15"/>
      <c r="AE778" s="13"/>
    </row>
    <row r="779" spans="1:32" x14ac:dyDescent="0.3">
      <c r="A779" s="302" t="s">
        <v>208</v>
      </c>
      <c r="B779" s="302"/>
      <c r="C779" s="273">
        <f t="shared" ref="C779:W779" si="183">SUM(C776:C778)</f>
        <v>937022.62</v>
      </c>
      <c r="D779" s="273">
        <f t="shared" si="183"/>
        <v>0</v>
      </c>
      <c r="E779" s="273">
        <f t="shared" si="183"/>
        <v>0</v>
      </c>
      <c r="F779" s="273">
        <f t="shared" si="183"/>
        <v>0</v>
      </c>
      <c r="G779" s="273">
        <f t="shared" si="183"/>
        <v>0</v>
      </c>
      <c r="H779" s="273">
        <f t="shared" si="183"/>
        <v>0</v>
      </c>
      <c r="I779" s="273">
        <f t="shared" si="183"/>
        <v>0</v>
      </c>
      <c r="J779" s="50">
        <f t="shared" si="183"/>
        <v>0</v>
      </c>
      <c r="K779" s="273">
        <f t="shared" si="183"/>
        <v>0</v>
      </c>
      <c r="L779" s="273">
        <f t="shared" si="183"/>
        <v>0</v>
      </c>
      <c r="M779" s="273">
        <f t="shared" si="183"/>
        <v>0</v>
      </c>
      <c r="N779" s="273">
        <f t="shared" si="183"/>
        <v>0</v>
      </c>
      <c r="O779" s="273">
        <f t="shared" si="183"/>
        <v>0</v>
      </c>
      <c r="P779" s="273">
        <f t="shared" si="183"/>
        <v>0</v>
      </c>
      <c r="Q779" s="273">
        <f t="shared" si="183"/>
        <v>0</v>
      </c>
      <c r="R779" s="273">
        <f t="shared" si="183"/>
        <v>0</v>
      </c>
      <c r="S779" s="273">
        <f t="shared" si="183"/>
        <v>0</v>
      </c>
      <c r="T779" s="273">
        <f t="shared" si="183"/>
        <v>0</v>
      </c>
      <c r="U779" s="273">
        <f t="shared" si="183"/>
        <v>0</v>
      </c>
      <c r="V779" s="273">
        <f t="shared" si="183"/>
        <v>0</v>
      </c>
      <c r="W779" s="273">
        <f t="shared" si="183"/>
        <v>937022.62</v>
      </c>
      <c r="X779" s="271"/>
      <c r="Y779" s="273"/>
      <c r="Z779" s="273"/>
      <c r="AA779" s="16"/>
      <c r="AB779" s="17"/>
      <c r="AC779" s="17"/>
      <c r="AD779" s="15"/>
      <c r="AE779" s="13"/>
    </row>
    <row r="780" spans="1:32" x14ac:dyDescent="0.3">
      <c r="A780" s="301" t="s">
        <v>2209</v>
      </c>
      <c r="B780" s="301"/>
      <c r="C780" s="273"/>
      <c r="D780" s="273"/>
      <c r="E780" s="273"/>
      <c r="F780" s="273"/>
      <c r="G780" s="273"/>
      <c r="H780" s="273"/>
      <c r="I780" s="273"/>
      <c r="J780" s="50"/>
      <c r="K780" s="273"/>
      <c r="L780" s="273"/>
      <c r="M780" s="273"/>
      <c r="N780" s="273"/>
      <c r="O780" s="273"/>
      <c r="P780" s="273"/>
      <c r="Q780" s="273"/>
      <c r="R780" s="273"/>
      <c r="S780" s="273"/>
      <c r="T780" s="273"/>
      <c r="U780" s="273"/>
      <c r="V780" s="273"/>
      <c r="W780" s="273"/>
      <c r="X780" s="271"/>
      <c r="Y780" s="273"/>
      <c r="Z780" s="273"/>
      <c r="AA780" s="16"/>
      <c r="AB780" s="17"/>
      <c r="AC780" s="17"/>
      <c r="AD780" s="15"/>
      <c r="AE780" s="13"/>
    </row>
    <row r="781" spans="1:32" s="36" customFormat="1" x14ac:dyDescent="0.3">
      <c r="A781" s="10">
        <f>A778+1</f>
        <v>580</v>
      </c>
      <c r="B781" s="124" t="s">
        <v>3535</v>
      </c>
      <c r="C781" s="273">
        <f>D781+K781+L781+N781+P781+R781+S781+U781+V781+W781</f>
        <v>28244048</v>
      </c>
      <c r="D781" s="273"/>
      <c r="E781" s="273"/>
      <c r="F781" s="273"/>
      <c r="G781" s="273"/>
      <c r="H781" s="273"/>
      <c r="I781" s="273"/>
      <c r="J781" s="50"/>
      <c r="K781" s="273"/>
      <c r="L781" s="273"/>
      <c r="M781" s="273"/>
      <c r="N781" s="273"/>
      <c r="O781" s="273"/>
      <c r="P781" s="273"/>
      <c r="Q781" s="273">
        <v>3368</v>
      </c>
      <c r="R781" s="273">
        <v>28244048</v>
      </c>
      <c r="S781" s="273"/>
      <c r="T781" s="273"/>
      <c r="U781" s="273"/>
      <c r="V781" s="273"/>
      <c r="W781" s="273"/>
      <c r="X781" s="271"/>
      <c r="Y781" s="273"/>
      <c r="Z781" s="273"/>
      <c r="AA781" s="16"/>
      <c r="AB781" s="17"/>
      <c r="AC781" s="17"/>
      <c r="AD781" s="15"/>
      <c r="AE781" s="13"/>
      <c r="AF781" s="13"/>
    </row>
    <row r="782" spans="1:32" x14ac:dyDescent="0.3">
      <c r="A782" s="10">
        <f>A781+1</f>
        <v>581</v>
      </c>
      <c r="B782" s="20" t="s">
        <v>2210</v>
      </c>
      <c r="C782" s="273">
        <f>D782+K782+L782+N782+P782+R782+S782+U782+V782+W782</f>
        <v>264679.79000000004</v>
      </c>
      <c r="D782" s="273"/>
      <c r="E782" s="273"/>
      <c r="F782" s="273"/>
      <c r="G782" s="273"/>
      <c r="H782" s="273"/>
      <c r="I782" s="273"/>
      <c r="J782" s="50"/>
      <c r="K782" s="273"/>
      <c r="L782" s="273"/>
      <c r="M782" s="273"/>
      <c r="N782" s="273"/>
      <c r="O782" s="273"/>
      <c r="P782" s="273"/>
      <c r="Q782" s="273"/>
      <c r="R782" s="273"/>
      <c r="S782" s="273"/>
      <c r="T782" s="273"/>
      <c r="U782" s="273"/>
      <c r="V782" s="273"/>
      <c r="W782" s="273">
        <f>SUM(Y782:AE782)</f>
        <v>264679.79000000004</v>
      </c>
      <c r="X782" s="271" t="s">
        <v>2217</v>
      </c>
      <c r="Y782" s="273">
        <f>144065.2+120614.59</f>
        <v>264679.79000000004</v>
      </c>
      <c r="Z782" s="273"/>
      <c r="AA782" s="16"/>
      <c r="AB782" s="17"/>
      <c r="AC782" s="17"/>
      <c r="AD782" s="15"/>
      <c r="AE782" s="13"/>
    </row>
    <row r="783" spans="1:32" s="36" customFormat="1" x14ac:dyDescent="0.3">
      <c r="A783" s="10">
        <f>A782+1</f>
        <v>582</v>
      </c>
      <c r="B783" s="124" t="s">
        <v>3537</v>
      </c>
      <c r="C783" s="273">
        <f>D783+K783+L783+N783+P783+R783+S783+U783+V783+W783</f>
        <v>14291172.1</v>
      </c>
      <c r="D783" s="273">
        <f>E783+F783+G783+H783+I783</f>
        <v>4556048</v>
      </c>
      <c r="E783" s="273"/>
      <c r="F783" s="273"/>
      <c r="G783" s="273">
        <v>3031970</v>
      </c>
      <c r="H783" s="273"/>
      <c r="I783" s="273">
        <v>1524078</v>
      </c>
      <c r="J783" s="50"/>
      <c r="K783" s="273"/>
      <c r="L783" s="273"/>
      <c r="M783" s="273">
        <v>1511.9</v>
      </c>
      <c r="N783" s="273">
        <v>9735124.0999999996</v>
      </c>
      <c r="O783" s="273"/>
      <c r="P783" s="273"/>
      <c r="Q783" s="273"/>
      <c r="R783" s="273"/>
      <c r="S783" s="273"/>
      <c r="T783" s="273"/>
      <c r="U783" s="273"/>
      <c r="V783" s="273"/>
      <c r="W783" s="273"/>
      <c r="X783" s="271"/>
      <c r="Y783" s="273"/>
      <c r="Z783" s="273"/>
      <c r="AA783" s="16"/>
      <c r="AB783" s="17"/>
      <c r="AC783" s="17"/>
      <c r="AD783" s="15"/>
      <c r="AE783" s="13"/>
      <c r="AF783" s="13"/>
    </row>
    <row r="784" spans="1:32" s="36" customFormat="1" x14ac:dyDescent="0.3">
      <c r="A784" s="10">
        <f>A783+1</f>
        <v>583</v>
      </c>
      <c r="B784" s="124" t="s">
        <v>3536</v>
      </c>
      <c r="C784" s="273">
        <f>D784+K784+L784+N784+P784+R784+S784+U784+V784+W784</f>
        <v>24232457.460000001</v>
      </c>
      <c r="D784" s="273">
        <f>E784+F784+G784+H784+I784</f>
        <v>8239598.5999999996</v>
      </c>
      <c r="E784" s="273"/>
      <c r="F784" s="273">
        <v>7323137.5999999996</v>
      </c>
      <c r="G784" s="273"/>
      <c r="H784" s="273"/>
      <c r="I784" s="273">
        <v>916461</v>
      </c>
      <c r="J784" s="50"/>
      <c r="K784" s="273"/>
      <c r="L784" s="273"/>
      <c r="M784" s="273"/>
      <c r="N784" s="273"/>
      <c r="O784" s="273"/>
      <c r="P784" s="273"/>
      <c r="Q784" s="273">
        <v>1848.51</v>
      </c>
      <c r="R784" s="273">
        <v>15501604.859999999</v>
      </c>
      <c r="S784" s="273"/>
      <c r="T784" s="273"/>
      <c r="U784" s="273"/>
      <c r="V784" s="273">
        <v>491254</v>
      </c>
      <c r="W784" s="273"/>
      <c r="X784" s="271"/>
      <c r="Y784" s="273"/>
      <c r="Z784" s="273"/>
      <c r="AA784" s="16"/>
      <c r="AB784" s="17"/>
      <c r="AC784" s="17"/>
      <c r="AD784" s="15"/>
      <c r="AE784" s="13"/>
      <c r="AF784" s="13"/>
    </row>
    <row r="785" spans="1:33" x14ac:dyDescent="0.3">
      <c r="A785" s="10">
        <f>A784+1</f>
        <v>584</v>
      </c>
      <c r="B785" s="20" t="s">
        <v>2213</v>
      </c>
      <c r="C785" s="273">
        <f>D785+K785+L785+N785+P785+R785+S785+U785+V785+W785</f>
        <v>105577.22</v>
      </c>
      <c r="D785" s="273"/>
      <c r="E785" s="273"/>
      <c r="F785" s="273"/>
      <c r="G785" s="273"/>
      <c r="H785" s="273"/>
      <c r="I785" s="273"/>
      <c r="J785" s="50"/>
      <c r="K785" s="273"/>
      <c r="L785" s="273"/>
      <c r="M785" s="273"/>
      <c r="N785" s="273"/>
      <c r="O785" s="273"/>
      <c r="P785" s="273"/>
      <c r="Q785" s="273"/>
      <c r="R785" s="273"/>
      <c r="S785" s="273"/>
      <c r="T785" s="273"/>
      <c r="U785" s="273"/>
      <c r="V785" s="273"/>
      <c r="W785" s="273">
        <f>SUM(Y785:AE785)</f>
        <v>105577.22</v>
      </c>
      <c r="X785" s="271" t="s">
        <v>2218</v>
      </c>
      <c r="Y785" s="273">
        <v>105577.22</v>
      </c>
      <c r="Z785" s="273"/>
      <c r="AA785" s="16"/>
      <c r="AB785" s="17"/>
      <c r="AC785" s="17"/>
      <c r="AD785" s="15"/>
      <c r="AE785" s="13"/>
    </row>
    <row r="786" spans="1:33" x14ac:dyDescent="0.3">
      <c r="A786" s="302" t="s">
        <v>208</v>
      </c>
      <c r="B786" s="302"/>
      <c r="C786" s="273">
        <f t="shared" ref="C786:W786" si="184">SUM(C781:C785)</f>
        <v>67137934.570000008</v>
      </c>
      <c r="D786" s="273">
        <f t="shared" si="184"/>
        <v>12795646.6</v>
      </c>
      <c r="E786" s="273">
        <f t="shared" si="184"/>
        <v>0</v>
      </c>
      <c r="F786" s="273">
        <f t="shared" si="184"/>
        <v>7323137.5999999996</v>
      </c>
      <c r="G786" s="273">
        <f t="shared" si="184"/>
        <v>3031970</v>
      </c>
      <c r="H786" s="273">
        <f t="shared" si="184"/>
        <v>0</v>
      </c>
      <c r="I786" s="273">
        <f t="shared" si="184"/>
        <v>2440539</v>
      </c>
      <c r="J786" s="50">
        <f t="shared" si="184"/>
        <v>0</v>
      </c>
      <c r="K786" s="273">
        <f t="shared" si="184"/>
        <v>0</v>
      </c>
      <c r="L786" s="273">
        <f t="shared" si="184"/>
        <v>0</v>
      </c>
      <c r="M786" s="273">
        <f t="shared" si="184"/>
        <v>1511.9</v>
      </c>
      <c r="N786" s="273">
        <f t="shared" si="184"/>
        <v>9735124.0999999996</v>
      </c>
      <c r="O786" s="273">
        <f t="shared" si="184"/>
        <v>0</v>
      </c>
      <c r="P786" s="273">
        <f t="shared" si="184"/>
        <v>0</v>
      </c>
      <c r="Q786" s="273">
        <f t="shared" si="184"/>
        <v>5216.51</v>
      </c>
      <c r="R786" s="273">
        <f t="shared" si="184"/>
        <v>43745652.859999999</v>
      </c>
      <c r="S786" s="273">
        <f t="shared" si="184"/>
        <v>0</v>
      </c>
      <c r="T786" s="273">
        <f t="shared" si="184"/>
        <v>0</v>
      </c>
      <c r="U786" s="273">
        <f t="shared" si="184"/>
        <v>0</v>
      </c>
      <c r="V786" s="273">
        <f t="shared" si="184"/>
        <v>491254</v>
      </c>
      <c r="W786" s="273">
        <f t="shared" si="184"/>
        <v>370257.01</v>
      </c>
      <c r="X786" s="271"/>
      <c r="Y786" s="273"/>
      <c r="Z786" s="273"/>
      <c r="AA786" s="16"/>
      <c r="AB786" s="17"/>
      <c r="AC786" s="17"/>
      <c r="AD786" s="15"/>
      <c r="AE786" s="13"/>
    </row>
    <row r="787" spans="1:33" x14ac:dyDescent="0.3">
      <c r="A787" s="304" t="s">
        <v>2216</v>
      </c>
      <c r="B787" s="304"/>
      <c r="C787" s="251">
        <f t="shared" ref="C787:W787" si="185">C768+C774+C779+C786</f>
        <v>69935480.710000008</v>
      </c>
      <c r="D787" s="251">
        <f t="shared" si="185"/>
        <v>12795646.6</v>
      </c>
      <c r="E787" s="251">
        <f t="shared" si="185"/>
        <v>0</v>
      </c>
      <c r="F787" s="251">
        <f t="shared" si="185"/>
        <v>7323137.5999999996</v>
      </c>
      <c r="G787" s="251">
        <f t="shared" si="185"/>
        <v>3031970</v>
      </c>
      <c r="H787" s="251">
        <f t="shared" si="185"/>
        <v>0</v>
      </c>
      <c r="I787" s="251">
        <f t="shared" si="185"/>
        <v>2440539</v>
      </c>
      <c r="J787" s="57">
        <f t="shared" si="185"/>
        <v>0</v>
      </c>
      <c r="K787" s="251">
        <f t="shared" si="185"/>
        <v>0</v>
      </c>
      <c r="L787" s="251">
        <f t="shared" si="185"/>
        <v>0</v>
      </c>
      <c r="M787" s="251">
        <f t="shared" si="185"/>
        <v>1511.9</v>
      </c>
      <c r="N787" s="251">
        <f t="shared" si="185"/>
        <v>9735124.0999999996</v>
      </c>
      <c r="O787" s="251">
        <f t="shared" si="185"/>
        <v>0</v>
      </c>
      <c r="P787" s="251">
        <f t="shared" si="185"/>
        <v>0</v>
      </c>
      <c r="Q787" s="251">
        <f t="shared" si="185"/>
        <v>5216.51</v>
      </c>
      <c r="R787" s="251">
        <f t="shared" si="185"/>
        <v>43745652.859999999</v>
      </c>
      <c r="S787" s="251">
        <f t="shared" si="185"/>
        <v>0</v>
      </c>
      <c r="T787" s="251">
        <f t="shared" si="185"/>
        <v>0</v>
      </c>
      <c r="U787" s="251">
        <f t="shared" si="185"/>
        <v>0</v>
      </c>
      <c r="V787" s="251">
        <f t="shared" si="185"/>
        <v>491254</v>
      </c>
      <c r="W787" s="251">
        <f t="shared" si="185"/>
        <v>3167803.1500000004</v>
      </c>
      <c r="X787" s="271"/>
      <c r="Y787" s="273"/>
      <c r="Z787" s="273"/>
      <c r="AA787" s="16"/>
      <c r="AB787" s="17"/>
      <c r="AC787" s="17"/>
      <c r="AD787" s="15"/>
      <c r="AE787" s="13"/>
    </row>
    <row r="788" spans="1:33" x14ac:dyDescent="0.3">
      <c r="A788" s="303" t="s">
        <v>2219</v>
      </c>
      <c r="B788" s="303"/>
      <c r="C788" s="303"/>
      <c r="D788" s="303"/>
      <c r="E788" s="303"/>
      <c r="F788" s="303"/>
      <c r="G788" s="303"/>
      <c r="H788" s="303"/>
      <c r="I788" s="303"/>
      <c r="J788" s="303"/>
      <c r="K788" s="303"/>
      <c r="L788" s="303"/>
      <c r="M788" s="303"/>
      <c r="N788" s="303"/>
      <c r="O788" s="303"/>
      <c r="P788" s="303"/>
      <c r="Q788" s="303"/>
      <c r="R788" s="303"/>
      <c r="S788" s="303"/>
      <c r="T788" s="303"/>
      <c r="U788" s="303"/>
      <c r="V788" s="303"/>
      <c r="W788" s="303"/>
      <c r="X788" s="269"/>
      <c r="Y788" s="269"/>
      <c r="Z788" s="269"/>
      <c r="AA788" s="269"/>
      <c r="AB788" s="269"/>
      <c r="AC788" s="269"/>
      <c r="AD788" s="7"/>
      <c r="AE788" s="13"/>
      <c r="AF788" s="13"/>
      <c r="AG788" s="13"/>
    </row>
    <row r="789" spans="1:33" ht="38.25" customHeight="1" x14ac:dyDescent="0.3">
      <c r="A789" s="444" t="s">
        <v>2220</v>
      </c>
      <c r="B789" s="445"/>
      <c r="C789" s="251"/>
      <c r="D789" s="251"/>
      <c r="E789" s="251"/>
      <c r="F789" s="251"/>
      <c r="G789" s="251"/>
      <c r="H789" s="251"/>
      <c r="I789" s="251"/>
      <c r="J789" s="57"/>
      <c r="K789" s="251"/>
      <c r="L789" s="251"/>
      <c r="M789" s="251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69"/>
      <c r="Y789" s="269"/>
      <c r="Z789" s="269"/>
      <c r="AA789" s="269"/>
      <c r="AB789" s="269"/>
      <c r="AC789" s="269"/>
      <c r="AD789" s="7"/>
      <c r="AE789" s="13"/>
      <c r="AF789" s="13"/>
      <c r="AG789" s="13"/>
    </row>
    <row r="790" spans="1:33" x14ac:dyDescent="0.3">
      <c r="A790" s="10">
        <f>A785+1</f>
        <v>585</v>
      </c>
      <c r="B790" s="20" t="s">
        <v>2221</v>
      </c>
      <c r="C790" s="273">
        <f t="shared" ref="C790:C796" si="186">D790+K790+L790+N790+P790+R790+S790+U790+V790+W790</f>
        <v>965106.95</v>
      </c>
      <c r="D790" s="273"/>
      <c r="E790" s="273"/>
      <c r="F790" s="273"/>
      <c r="G790" s="273"/>
      <c r="H790" s="273"/>
      <c r="I790" s="273"/>
      <c r="J790" s="50"/>
      <c r="K790" s="273"/>
      <c r="L790" s="273"/>
      <c r="M790" s="273"/>
      <c r="N790" s="273"/>
      <c r="O790" s="273"/>
      <c r="P790" s="273"/>
      <c r="Q790" s="273"/>
      <c r="R790" s="273"/>
      <c r="S790" s="273"/>
      <c r="T790" s="273"/>
      <c r="U790" s="273"/>
      <c r="V790" s="273"/>
      <c r="W790" s="273">
        <f>SUM(X790:AH790)</f>
        <v>965106.95</v>
      </c>
      <c r="X790" s="269"/>
      <c r="Y790" s="269"/>
      <c r="Z790" s="269"/>
      <c r="AA790" s="269"/>
      <c r="AB790" s="269">
        <v>122259.3</v>
      </c>
      <c r="AD790" s="269">
        <v>205010.69</v>
      </c>
      <c r="AE790" s="7">
        <v>202771.48</v>
      </c>
      <c r="AF790" s="13">
        <v>435065.48</v>
      </c>
      <c r="AG790" s="13"/>
    </row>
    <row r="791" spans="1:33" x14ac:dyDescent="0.3">
      <c r="A791" s="10">
        <f>A790+1</f>
        <v>586</v>
      </c>
      <c r="B791" s="20" t="s">
        <v>2222</v>
      </c>
      <c r="C791" s="273">
        <f t="shared" si="186"/>
        <v>973375.73</v>
      </c>
      <c r="D791" s="273"/>
      <c r="E791" s="273"/>
      <c r="F791" s="273"/>
      <c r="G791" s="273"/>
      <c r="H791" s="273"/>
      <c r="I791" s="273"/>
      <c r="J791" s="50"/>
      <c r="K791" s="273"/>
      <c r="L791" s="273"/>
      <c r="M791" s="273"/>
      <c r="N791" s="273"/>
      <c r="O791" s="273"/>
      <c r="P791" s="273"/>
      <c r="Q791" s="273"/>
      <c r="R791" s="273"/>
      <c r="S791" s="273"/>
      <c r="T791" s="273"/>
      <c r="U791" s="273"/>
      <c r="V791" s="273"/>
      <c r="W791" s="273">
        <f>SUM(X791:AH791)</f>
        <v>973375.73</v>
      </c>
      <c r="X791" s="269"/>
      <c r="Y791" s="269"/>
      <c r="Z791" s="269"/>
      <c r="AA791" s="269"/>
      <c r="AB791" s="269">
        <v>123414.5</v>
      </c>
      <c r="AD791" s="269">
        <v>206799.88</v>
      </c>
      <c r="AE791" s="7">
        <v>204507.94</v>
      </c>
      <c r="AF791" s="13">
        <v>438653.41</v>
      </c>
      <c r="AG791" s="13"/>
    </row>
    <row r="792" spans="1:33" x14ac:dyDescent="0.3">
      <c r="A792" s="10">
        <f>A791+1</f>
        <v>587</v>
      </c>
      <c r="B792" s="20" t="s">
        <v>2223</v>
      </c>
      <c r="C792" s="273">
        <f t="shared" si="186"/>
        <v>879498.7</v>
      </c>
      <c r="D792" s="273"/>
      <c r="E792" s="273"/>
      <c r="F792" s="273"/>
      <c r="G792" s="273"/>
      <c r="H792" s="273"/>
      <c r="I792" s="273"/>
      <c r="J792" s="50"/>
      <c r="K792" s="273"/>
      <c r="L792" s="273"/>
      <c r="M792" s="273"/>
      <c r="N792" s="273"/>
      <c r="O792" s="273"/>
      <c r="P792" s="273"/>
      <c r="Q792" s="273"/>
      <c r="R792" s="273"/>
      <c r="S792" s="273"/>
      <c r="T792" s="273"/>
      <c r="U792" s="273"/>
      <c r="V792" s="273"/>
      <c r="W792" s="273">
        <f>SUM(X792:AH792)</f>
        <v>879498.7</v>
      </c>
      <c r="X792" s="269"/>
      <c r="Y792" s="269"/>
      <c r="Z792" s="269"/>
      <c r="AA792" s="269"/>
      <c r="AB792" s="269"/>
      <c r="AC792" s="269"/>
      <c r="AD792" s="7">
        <v>163007.99</v>
      </c>
      <c r="AE792" s="13">
        <v>716490.71</v>
      </c>
      <c r="AF792" s="13"/>
      <c r="AG792" s="13"/>
    </row>
    <row r="793" spans="1:33" x14ac:dyDescent="0.3">
      <c r="A793" s="10">
        <f>A792+1</f>
        <v>588</v>
      </c>
      <c r="B793" s="20" t="s">
        <v>3567</v>
      </c>
      <c r="C793" s="273">
        <f t="shared" si="186"/>
        <v>185713.22</v>
      </c>
      <c r="D793" s="273"/>
      <c r="E793" s="273"/>
      <c r="F793" s="273"/>
      <c r="G793" s="273"/>
      <c r="H793" s="273"/>
      <c r="I793" s="273"/>
      <c r="J793" s="50"/>
      <c r="K793" s="273"/>
      <c r="L793" s="273"/>
      <c r="M793" s="273"/>
      <c r="N793" s="273"/>
      <c r="O793" s="273"/>
      <c r="P793" s="273"/>
      <c r="Q793" s="273"/>
      <c r="R793" s="273"/>
      <c r="S793" s="273"/>
      <c r="T793" s="273"/>
      <c r="U793" s="273"/>
      <c r="V793" s="273"/>
      <c r="W793" s="273">
        <v>185713.22</v>
      </c>
      <c r="X793" s="269"/>
      <c r="Y793" s="269"/>
      <c r="Z793" s="269"/>
      <c r="AA793" s="269"/>
      <c r="AB793" s="269"/>
      <c r="AC793" s="269"/>
      <c r="AD793" s="7"/>
      <c r="AE793" s="13"/>
      <c r="AF793" s="13"/>
      <c r="AG793" s="13">
        <v>185713.22</v>
      </c>
    </row>
    <row r="794" spans="1:33" x14ac:dyDescent="0.3">
      <c r="A794" s="10">
        <f>A793+1</f>
        <v>589</v>
      </c>
      <c r="B794" s="20" t="s">
        <v>3565</v>
      </c>
      <c r="C794" s="273">
        <f t="shared" si="186"/>
        <v>224749.64</v>
      </c>
      <c r="D794" s="273"/>
      <c r="E794" s="273"/>
      <c r="F794" s="273"/>
      <c r="G794" s="273"/>
      <c r="H794" s="273"/>
      <c r="I794" s="273"/>
      <c r="J794" s="50"/>
      <c r="K794" s="273"/>
      <c r="L794" s="273"/>
      <c r="M794" s="273"/>
      <c r="N794" s="273"/>
      <c r="O794" s="273"/>
      <c r="P794" s="273"/>
      <c r="Q794" s="273"/>
      <c r="R794" s="273"/>
      <c r="S794" s="273"/>
      <c r="T794" s="273"/>
      <c r="U794" s="273"/>
      <c r="V794" s="273"/>
      <c r="W794" s="273">
        <v>224749.64</v>
      </c>
      <c r="X794" s="269"/>
      <c r="Y794" s="269"/>
      <c r="Z794" s="269"/>
      <c r="AA794" s="269"/>
      <c r="AB794" s="269"/>
      <c r="AC794" s="269"/>
      <c r="AD794" s="7">
        <v>224749.64</v>
      </c>
      <c r="AF794" s="13"/>
      <c r="AG794" s="13"/>
    </row>
    <row r="795" spans="1:33" x14ac:dyDescent="0.3">
      <c r="A795" s="259">
        <f t="shared" ref="A795:A796" si="187">A794+1</f>
        <v>590</v>
      </c>
      <c r="B795" s="20" t="s">
        <v>3566</v>
      </c>
      <c r="C795" s="273">
        <f t="shared" si="186"/>
        <v>196777.60000000001</v>
      </c>
      <c r="D795" s="273"/>
      <c r="E795" s="273"/>
      <c r="F795" s="273"/>
      <c r="G795" s="273"/>
      <c r="H795" s="273"/>
      <c r="I795" s="273"/>
      <c r="J795" s="50"/>
      <c r="K795" s="273"/>
      <c r="L795" s="273"/>
      <c r="M795" s="273"/>
      <c r="N795" s="273"/>
      <c r="O795" s="273"/>
      <c r="P795" s="273"/>
      <c r="Q795" s="273"/>
      <c r="R795" s="273"/>
      <c r="S795" s="273"/>
      <c r="T795" s="273"/>
      <c r="U795" s="273"/>
      <c r="V795" s="273"/>
      <c r="W795" s="273">
        <v>196777.60000000001</v>
      </c>
      <c r="X795" s="269"/>
      <c r="Y795" s="269"/>
      <c r="Z795" s="269"/>
      <c r="AA795" s="269"/>
      <c r="AB795" s="269"/>
      <c r="AC795" s="269"/>
      <c r="AD795" s="7">
        <v>196777.60000000001</v>
      </c>
      <c r="AF795" s="13"/>
      <c r="AG795" s="13"/>
    </row>
    <row r="796" spans="1:33" x14ac:dyDescent="0.3">
      <c r="A796" s="259">
        <f t="shared" si="187"/>
        <v>591</v>
      </c>
      <c r="B796" s="20" t="s">
        <v>2224</v>
      </c>
      <c r="C796" s="273">
        <f t="shared" si="186"/>
        <v>485309.81000000006</v>
      </c>
      <c r="D796" s="273"/>
      <c r="E796" s="273"/>
      <c r="F796" s="273"/>
      <c r="G796" s="273"/>
      <c r="H796" s="273"/>
      <c r="I796" s="273"/>
      <c r="J796" s="50"/>
      <c r="K796" s="273"/>
      <c r="L796" s="273"/>
      <c r="M796" s="273"/>
      <c r="N796" s="273"/>
      <c r="O796" s="273"/>
      <c r="P796" s="273"/>
      <c r="Q796" s="273"/>
      <c r="R796" s="273"/>
      <c r="S796" s="273"/>
      <c r="T796" s="273"/>
      <c r="U796" s="273"/>
      <c r="V796" s="273"/>
      <c r="W796" s="273">
        <f>SUM(X796:AH796)</f>
        <v>485309.81000000006</v>
      </c>
      <c r="X796" s="269"/>
      <c r="Y796" s="269"/>
      <c r="Z796" s="269"/>
      <c r="AA796" s="269"/>
      <c r="AB796" s="269">
        <v>78452.990000000005</v>
      </c>
      <c r="AD796" s="269">
        <v>150379.34</v>
      </c>
      <c r="AF796" s="13">
        <v>256477.48</v>
      </c>
      <c r="AG796" s="13"/>
    </row>
    <row r="797" spans="1:33" x14ac:dyDescent="0.3">
      <c r="A797" s="302" t="s">
        <v>208</v>
      </c>
      <c r="B797" s="302"/>
      <c r="C797" s="273">
        <f t="shared" ref="C797:W797" si="188">SUM(C790:C796)</f>
        <v>3910531.6500000004</v>
      </c>
      <c r="D797" s="273">
        <f t="shared" si="188"/>
        <v>0</v>
      </c>
      <c r="E797" s="273">
        <f t="shared" si="188"/>
        <v>0</v>
      </c>
      <c r="F797" s="273">
        <f t="shared" si="188"/>
        <v>0</v>
      </c>
      <c r="G797" s="273">
        <f t="shared" si="188"/>
        <v>0</v>
      </c>
      <c r="H797" s="273">
        <f t="shared" si="188"/>
        <v>0</v>
      </c>
      <c r="I797" s="273">
        <f t="shared" si="188"/>
        <v>0</v>
      </c>
      <c r="J797" s="50">
        <f t="shared" si="188"/>
        <v>0</v>
      </c>
      <c r="K797" s="273">
        <f t="shared" si="188"/>
        <v>0</v>
      </c>
      <c r="L797" s="273">
        <f t="shared" si="188"/>
        <v>0</v>
      </c>
      <c r="M797" s="273">
        <f t="shared" si="188"/>
        <v>0</v>
      </c>
      <c r="N797" s="273">
        <f t="shared" si="188"/>
        <v>0</v>
      </c>
      <c r="O797" s="273">
        <f t="shared" si="188"/>
        <v>0</v>
      </c>
      <c r="P797" s="273">
        <f t="shared" si="188"/>
        <v>0</v>
      </c>
      <c r="Q797" s="273">
        <f t="shared" si="188"/>
        <v>0</v>
      </c>
      <c r="R797" s="273">
        <f t="shared" si="188"/>
        <v>0</v>
      </c>
      <c r="S797" s="273">
        <f t="shared" si="188"/>
        <v>0</v>
      </c>
      <c r="T797" s="273">
        <f t="shared" si="188"/>
        <v>0</v>
      </c>
      <c r="U797" s="273">
        <f t="shared" si="188"/>
        <v>0</v>
      </c>
      <c r="V797" s="273">
        <f t="shared" si="188"/>
        <v>0</v>
      </c>
      <c r="W797" s="273">
        <f t="shared" si="188"/>
        <v>3910531.6500000004</v>
      </c>
      <c r="X797" s="269"/>
      <c r="Y797" s="269"/>
      <c r="Z797" s="269"/>
      <c r="AA797" s="269"/>
      <c r="AB797" s="269"/>
      <c r="AC797" s="269"/>
      <c r="AD797" s="7"/>
      <c r="AE797" s="13"/>
      <c r="AF797" s="13"/>
      <c r="AG797" s="13"/>
    </row>
    <row r="798" spans="1:33" x14ac:dyDescent="0.3">
      <c r="A798" s="301" t="s">
        <v>2225</v>
      </c>
      <c r="B798" s="301"/>
      <c r="C798" s="273"/>
      <c r="D798" s="273"/>
      <c r="E798" s="273"/>
      <c r="F798" s="273"/>
      <c r="G798" s="273"/>
      <c r="H798" s="273"/>
      <c r="I798" s="273"/>
      <c r="J798" s="50"/>
      <c r="K798" s="273"/>
      <c r="L798" s="273"/>
      <c r="M798" s="273"/>
      <c r="N798" s="273"/>
      <c r="O798" s="273"/>
      <c r="P798" s="273"/>
      <c r="Q798" s="273"/>
      <c r="R798" s="273"/>
      <c r="S798" s="273"/>
      <c r="T798" s="273"/>
      <c r="U798" s="273"/>
      <c r="V798" s="273"/>
      <c r="W798" s="273"/>
      <c r="X798" s="269"/>
      <c r="Y798" s="269"/>
      <c r="Z798" s="269"/>
      <c r="AA798" s="269"/>
      <c r="AB798" s="269"/>
      <c r="AC798" s="269"/>
      <c r="AD798" s="7"/>
      <c r="AE798" s="13"/>
      <c r="AF798" s="13"/>
      <c r="AG798" s="13"/>
    </row>
    <row r="799" spans="1:33" x14ac:dyDescent="0.3">
      <c r="A799" s="259">
        <f>A796+1</f>
        <v>592</v>
      </c>
      <c r="B799" s="20" t="s">
        <v>2226</v>
      </c>
      <c r="C799" s="273">
        <f>D799+K799+L799+N799+P799+R799+S799+U799+V799+W799</f>
        <v>114612.96</v>
      </c>
      <c r="D799" s="273"/>
      <c r="E799" s="273"/>
      <c r="F799" s="273"/>
      <c r="G799" s="273"/>
      <c r="H799" s="273"/>
      <c r="I799" s="273"/>
      <c r="J799" s="50"/>
      <c r="K799" s="273"/>
      <c r="L799" s="273"/>
      <c r="M799" s="273"/>
      <c r="N799" s="273"/>
      <c r="O799" s="273"/>
      <c r="P799" s="273"/>
      <c r="Q799" s="273"/>
      <c r="R799" s="273"/>
      <c r="S799" s="273"/>
      <c r="T799" s="273"/>
      <c r="U799" s="273"/>
      <c r="V799" s="273"/>
      <c r="W799" s="273">
        <f>SUM(X799:AH799)</f>
        <v>114612.96</v>
      </c>
      <c r="X799" s="269"/>
      <c r="Y799" s="269">
        <v>114612.96</v>
      </c>
      <c r="Z799" s="269"/>
      <c r="AA799" s="269"/>
      <c r="AB799" s="269"/>
      <c r="AC799" s="269"/>
      <c r="AD799" s="7"/>
      <c r="AE799" s="13"/>
      <c r="AF799" s="13"/>
      <c r="AG799" s="13"/>
    </row>
    <row r="800" spans="1:33" x14ac:dyDescent="0.3">
      <c r="A800" s="259">
        <f>A799+1</f>
        <v>593</v>
      </c>
      <c r="B800" s="20" t="s">
        <v>2227</v>
      </c>
      <c r="C800" s="273">
        <f>D800+K800+L800+N800+P800+R800+S800+U800+V800+W800</f>
        <v>334996.51</v>
      </c>
      <c r="D800" s="273"/>
      <c r="E800" s="273"/>
      <c r="F800" s="273"/>
      <c r="G800" s="273"/>
      <c r="H800" s="273"/>
      <c r="I800" s="273"/>
      <c r="J800" s="50"/>
      <c r="K800" s="273"/>
      <c r="L800" s="273"/>
      <c r="M800" s="273"/>
      <c r="N800" s="273"/>
      <c r="O800" s="273"/>
      <c r="P800" s="273"/>
      <c r="Q800" s="273"/>
      <c r="R800" s="273"/>
      <c r="S800" s="273"/>
      <c r="T800" s="273"/>
      <c r="U800" s="273"/>
      <c r="V800" s="273"/>
      <c r="W800" s="273">
        <f>SUM(X800:AH800)</f>
        <v>334996.51</v>
      </c>
      <c r="X800" s="269">
        <v>134986.84</v>
      </c>
      <c r="Y800" s="269"/>
      <c r="Z800" s="269"/>
      <c r="AA800" s="269"/>
      <c r="AB800" s="269">
        <v>112975.97</v>
      </c>
      <c r="AC800" s="269"/>
      <c r="AD800" s="7">
        <v>87033.7</v>
      </c>
      <c r="AE800" s="13"/>
      <c r="AF800" s="13"/>
      <c r="AG800" s="13"/>
    </row>
    <row r="801" spans="1:33" x14ac:dyDescent="0.3">
      <c r="A801" s="259">
        <f>A800+1</f>
        <v>594</v>
      </c>
      <c r="B801" s="20" t="s">
        <v>2228</v>
      </c>
      <c r="C801" s="273">
        <f>D801+K801+L801+N801+P801+R801+S801+U801+V801+W801</f>
        <v>437626.4</v>
      </c>
      <c r="D801" s="273"/>
      <c r="E801" s="273"/>
      <c r="F801" s="273"/>
      <c r="G801" s="273"/>
      <c r="H801" s="273"/>
      <c r="I801" s="273"/>
      <c r="J801" s="50"/>
      <c r="K801" s="273"/>
      <c r="L801" s="273"/>
      <c r="M801" s="273"/>
      <c r="N801" s="273"/>
      <c r="O801" s="273"/>
      <c r="P801" s="273"/>
      <c r="Q801" s="273"/>
      <c r="R801" s="273"/>
      <c r="S801" s="273"/>
      <c r="T801" s="273"/>
      <c r="U801" s="273"/>
      <c r="V801" s="273"/>
      <c r="W801" s="273">
        <f>SUM(X801:AH801)</f>
        <v>437626.4</v>
      </c>
      <c r="X801" s="269"/>
      <c r="Y801" s="269"/>
      <c r="Z801" s="269"/>
      <c r="AA801" s="269"/>
      <c r="AB801" s="269">
        <v>105236.41</v>
      </c>
      <c r="AC801" s="269"/>
      <c r="AD801" s="7"/>
      <c r="AE801" s="13">
        <v>332389.99</v>
      </c>
      <c r="AF801" s="13"/>
      <c r="AG801" s="13"/>
    </row>
    <row r="802" spans="1:33" x14ac:dyDescent="0.3">
      <c r="A802" s="302" t="s">
        <v>208</v>
      </c>
      <c r="B802" s="302"/>
      <c r="C802" s="273">
        <f t="shared" ref="C802:W802" si="189">SUM(C799:C801)</f>
        <v>887235.87000000011</v>
      </c>
      <c r="D802" s="273">
        <f t="shared" si="189"/>
        <v>0</v>
      </c>
      <c r="E802" s="273">
        <f t="shared" si="189"/>
        <v>0</v>
      </c>
      <c r="F802" s="273">
        <f t="shared" si="189"/>
        <v>0</v>
      </c>
      <c r="G802" s="273">
        <f t="shared" si="189"/>
        <v>0</v>
      </c>
      <c r="H802" s="273">
        <f t="shared" si="189"/>
        <v>0</v>
      </c>
      <c r="I802" s="273">
        <f t="shared" si="189"/>
        <v>0</v>
      </c>
      <c r="J802" s="50">
        <f t="shared" si="189"/>
        <v>0</v>
      </c>
      <c r="K802" s="273">
        <f t="shared" si="189"/>
        <v>0</v>
      </c>
      <c r="L802" s="273">
        <f t="shared" si="189"/>
        <v>0</v>
      </c>
      <c r="M802" s="273">
        <f t="shared" si="189"/>
        <v>0</v>
      </c>
      <c r="N802" s="273">
        <f t="shared" si="189"/>
        <v>0</v>
      </c>
      <c r="O802" s="273">
        <f t="shared" si="189"/>
        <v>0</v>
      </c>
      <c r="P802" s="273">
        <f t="shared" si="189"/>
        <v>0</v>
      </c>
      <c r="Q802" s="273">
        <f t="shared" si="189"/>
        <v>0</v>
      </c>
      <c r="R802" s="273">
        <f t="shared" si="189"/>
        <v>0</v>
      </c>
      <c r="S802" s="273">
        <f t="shared" si="189"/>
        <v>0</v>
      </c>
      <c r="T802" s="273">
        <f t="shared" si="189"/>
        <v>0</v>
      </c>
      <c r="U802" s="273">
        <f t="shared" si="189"/>
        <v>0</v>
      </c>
      <c r="V802" s="273">
        <f t="shared" si="189"/>
        <v>0</v>
      </c>
      <c r="W802" s="273">
        <f t="shared" si="189"/>
        <v>887235.87000000011</v>
      </c>
      <c r="X802" s="269"/>
      <c r="Y802" s="269"/>
      <c r="Z802" s="269"/>
      <c r="AA802" s="269"/>
      <c r="AB802" s="269"/>
      <c r="AC802" s="269"/>
      <c r="AD802" s="7"/>
      <c r="AE802" s="13"/>
      <c r="AF802" s="13"/>
      <c r="AG802" s="13"/>
    </row>
    <row r="803" spans="1:33" x14ac:dyDescent="0.3">
      <c r="A803" s="301" t="s">
        <v>2229</v>
      </c>
      <c r="B803" s="301"/>
      <c r="C803" s="273"/>
      <c r="D803" s="273"/>
      <c r="E803" s="273"/>
      <c r="F803" s="273"/>
      <c r="G803" s="273"/>
      <c r="H803" s="273"/>
      <c r="I803" s="273"/>
      <c r="J803" s="50"/>
      <c r="K803" s="273"/>
      <c r="L803" s="273"/>
      <c r="M803" s="273"/>
      <c r="N803" s="273"/>
      <c r="O803" s="273"/>
      <c r="P803" s="273"/>
      <c r="Q803" s="273"/>
      <c r="R803" s="273"/>
      <c r="S803" s="273"/>
      <c r="T803" s="273"/>
      <c r="U803" s="273"/>
      <c r="V803" s="273"/>
      <c r="W803" s="273"/>
      <c r="X803" s="269"/>
      <c r="Y803" s="269"/>
      <c r="Z803" s="269"/>
      <c r="AA803" s="269"/>
      <c r="AB803" s="269"/>
      <c r="AC803" s="269"/>
      <c r="AD803" s="7"/>
      <c r="AE803" s="13"/>
      <c r="AF803" s="13"/>
      <c r="AG803" s="13"/>
    </row>
    <row r="804" spans="1:33" x14ac:dyDescent="0.3">
      <c r="A804" s="259">
        <f>A801+1</f>
        <v>595</v>
      </c>
      <c r="B804" s="20" t="s">
        <v>3570</v>
      </c>
      <c r="C804" s="273">
        <f>D804+K804+L804+N804+P804+R804+S804+U804+V804+W804</f>
        <v>169656.07</v>
      </c>
      <c r="D804" s="273"/>
      <c r="E804" s="273"/>
      <c r="F804" s="273"/>
      <c r="G804" s="273"/>
      <c r="H804" s="273"/>
      <c r="I804" s="273"/>
      <c r="J804" s="50"/>
      <c r="K804" s="273"/>
      <c r="L804" s="273"/>
      <c r="M804" s="273"/>
      <c r="N804" s="273"/>
      <c r="O804" s="273"/>
      <c r="P804" s="273"/>
      <c r="Q804" s="273"/>
      <c r="R804" s="273"/>
      <c r="S804" s="273"/>
      <c r="T804" s="273"/>
      <c r="U804" s="273"/>
      <c r="V804" s="273"/>
      <c r="W804" s="273">
        <v>169656.07</v>
      </c>
      <c r="X804" s="269"/>
      <c r="Y804" s="269"/>
      <c r="Z804" s="269"/>
      <c r="AA804" s="269"/>
      <c r="AB804" s="269"/>
      <c r="AC804" s="269"/>
      <c r="AD804" s="7">
        <v>169656.07</v>
      </c>
      <c r="AE804" s="13"/>
      <c r="AF804" s="13"/>
      <c r="AG804" s="13"/>
    </row>
    <row r="805" spans="1:33" x14ac:dyDescent="0.3">
      <c r="A805" s="259">
        <f>A804+1</f>
        <v>596</v>
      </c>
      <c r="B805" s="20" t="s">
        <v>2230</v>
      </c>
      <c r="C805" s="273">
        <f>D805+K805+L805+N805+P805+R805+S805+U805+V805+W805</f>
        <v>130000</v>
      </c>
      <c r="D805" s="273"/>
      <c r="E805" s="273"/>
      <c r="F805" s="273"/>
      <c r="G805" s="273"/>
      <c r="H805" s="273"/>
      <c r="I805" s="273"/>
      <c r="J805" s="50"/>
      <c r="K805" s="273"/>
      <c r="L805" s="273"/>
      <c r="M805" s="273"/>
      <c r="N805" s="273"/>
      <c r="O805" s="273"/>
      <c r="P805" s="273"/>
      <c r="Q805" s="273"/>
      <c r="R805" s="273"/>
      <c r="S805" s="273"/>
      <c r="T805" s="273"/>
      <c r="U805" s="273"/>
      <c r="V805" s="273"/>
      <c r="W805" s="273">
        <v>130000</v>
      </c>
      <c r="X805" s="269"/>
      <c r="Y805" s="269"/>
      <c r="Z805" s="269"/>
      <c r="AA805" s="269"/>
      <c r="AB805" s="269">
        <v>130000</v>
      </c>
      <c r="AC805" s="269"/>
      <c r="AD805" s="7"/>
      <c r="AE805" s="13"/>
      <c r="AF805" s="13"/>
      <c r="AG805" s="13"/>
    </row>
    <row r="806" spans="1:33" x14ac:dyDescent="0.3">
      <c r="A806" s="259">
        <f>A805+1</f>
        <v>597</v>
      </c>
      <c r="B806" s="20" t="s">
        <v>2231</v>
      </c>
      <c r="C806" s="273">
        <f>D806+K806+L806+N806+P806+R806+S806+U806+V806+W806</f>
        <v>130000</v>
      </c>
      <c r="D806" s="273"/>
      <c r="E806" s="273"/>
      <c r="F806" s="273"/>
      <c r="G806" s="273"/>
      <c r="H806" s="273"/>
      <c r="I806" s="273"/>
      <c r="J806" s="50"/>
      <c r="K806" s="273"/>
      <c r="L806" s="273"/>
      <c r="M806" s="273"/>
      <c r="N806" s="273"/>
      <c r="O806" s="273"/>
      <c r="P806" s="273"/>
      <c r="Q806" s="273"/>
      <c r="R806" s="273"/>
      <c r="S806" s="273"/>
      <c r="T806" s="273"/>
      <c r="U806" s="273"/>
      <c r="V806" s="273"/>
      <c r="W806" s="273">
        <v>130000</v>
      </c>
      <c r="X806" s="269"/>
      <c r="Y806" s="269"/>
      <c r="Z806" s="269"/>
      <c r="AA806" s="269"/>
      <c r="AB806" s="269">
        <v>130000</v>
      </c>
      <c r="AC806" s="269"/>
      <c r="AD806" s="7"/>
      <c r="AE806" s="13"/>
      <c r="AF806" s="13"/>
      <c r="AG806" s="13"/>
    </row>
    <row r="807" spans="1:33" x14ac:dyDescent="0.3">
      <c r="A807" s="259">
        <f>A806+1</f>
        <v>598</v>
      </c>
      <c r="B807" s="20" t="s">
        <v>3571</v>
      </c>
      <c r="C807" s="273">
        <f>D807+K807+L807+N807+P807+R807+S807+U807+V807+W807</f>
        <v>205794.67</v>
      </c>
      <c r="D807" s="273"/>
      <c r="E807" s="273"/>
      <c r="F807" s="273"/>
      <c r="G807" s="273"/>
      <c r="H807" s="273"/>
      <c r="I807" s="273"/>
      <c r="J807" s="50"/>
      <c r="K807" s="273"/>
      <c r="L807" s="273"/>
      <c r="M807" s="273"/>
      <c r="N807" s="273"/>
      <c r="O807" s="273"/>
      <c r="P807" s="273"/>
      <c r="Q807" s="273"/>
      <c r="R807" s="273"/>
      <c r="S807" s="273"/>
      <c r="T807" s="273"/>
      <c r="U807" s="273"/>
      <c r="V807" s="273"/>
      <c r="W807" s="273">
        <v>205794.67</v>
      </c>
      <c r="X807" s="269"/>
      <c r="Y807" s="269"/>
      <c r="Z807" s="269"/>
      <c r="AA807" s="269"/>
      <c r="AB807" s="269"/>
      <c r="AC807" s="269"/>
      <c r="AD807" s="7">
        <v>205794.67</v>
      </c>
      <c r="AE807" s="13"/>
      <c r="AF807" s="13"/>
      <c r="AG807" s="13"/>
    </row>
    <row r="808" spans="1:33" x14ac:dyDescent="0.3">
      <c r="A808" s="302" t="s">
        <v>208</v>
      </c>
      <c r="B808" s="302"/>
      <c r="C808" s="273">
        <f t="shared" ref="C808:W808" si="190">SUM(C804:C807)</f>
        <v>635450.74</v>
      </c>
      <c r="D808" s="273">
        <f t="shared" si="190"/>
        <v>0</v>
      </c>
      <c r="E808" s="273">
        <f t="shared" si="190"/>
        <v>0</v>
      </c>
      <c r="F808" s="273">
        <f t="shared" si="190"/>
        <v>0</v>
      </c>
      <c r="G808" s="273">
        <f t="shared" si="190"/>
        <v>0</v>
      </c>
      <c r="H808" s="273">
        <f t="shared" si="190"/>
        <v>0</v>
      </c>
      <c r="I808" s="273">
        <f t="shared" si="190"/>
        <v>0</v>
      </c>
      <c r="J808" s="273">
        <f t="shared" si="190"/>
        <v>0</v>
      </c>
      <c r="K808" s="273">
        <f t="shared" si="190"/>
        <v>0</v>
      </c>
      <c r="L808" s="273">
        <f t="shared" si="190"/>
        <v>0</v>
      </c>
      <c r="M808" s="273">
        <f t="shared" si="190"/>
        <v>0</v>
      </c>
      <c r="N808" s="273">
        <f t="shared" si="190"/>
        <v>0</v>
      </c>
      <c r="O808" s="273">
        <f t="shared" si="190"/>
        <v>0</v>
      </c>
      <c r="P808" s="273">
        <f t="shared" si="190"/>
        <v>0</v>
      </c>
      <c r="Q808" s="273">
        <f t="shared" si="190"/>
        <v>0</v>
      </c>
      <c r="R808" s="273">
        <f t="shared" si="190"/>
        <v>0</v>
      </c>
      <c r="S808" s="273">
        <f t="shared" si="190"/>
        <v>0</v>
      </c>
      <c r="T808" s="273">
        <f t="shared" si="190"/>
        <v>0</v>
      </c>
      <c r="U808" s="273">
        <f t="shared" si="190"/>
        <v>0</v>
      </c>
      <c r="V808" s="273">
        <f t="shared" si="190"/>
        <v>0</v>
      </c>
      <c r="W808" s="273">
        <f t="shared" si="190"/>
        <v>635450.74</v>
      </c>
      <c r="X808" s="269"/>
      <c r="Y808" s="269"/>
      <c r="Z808" s="269"/>
      <c r="AA808" s="269"/>
      <c r="AB808" s="269"/>
      <c r="AC808" s="269"/>
      <c r="AD808" s="7"/>
      <c r="AE808" s="13"/>
      <c r="AF808" s="13"/>
      <c r="AG808" s="13"/>
    </row>
    <row r="809" spans="1:33" x14ac:dyDescent="0.3">
      <c r="A809" s="250" t="s">
        <v>2234</v>
      </c>
      <c r="B809" s="250"/>
      <c r="C809" s="273"/>
      <c r="D809" s="273"/>
      <c r="E809" s="273"/>
      <c r="F809" s="273"/>
      <c r="G809" s="273"/>
      <c r="H809" s="273"/>
      <c r="I809" s="273"/>
      <c r="J809" s="273"/>
      <c r="K809" s="273"/>
      <c r="L809" s="273"/>
      <c r="M809" s="273"/>
      <c r="N809" s="273"/>
      <c r="O809" s="273"/>
      <c r="P809" s="273"/>
      <c r="Q809" s="273"/>
      <c r="R809" s="273"/>
      <c r="S809" s="273"/>
      <c r="T809" s="273"/>
      <c r="U809" s="273"/>
      <c r="V809" s="273"/>
      <c r="W809" s="273"/>
      <c r="X809" s="269"/>
      <c r="Y809" s="269"/>
      <c r="Z809" s="269"/>
      <c r="AA809" s="269"/>
      <c r="AB809" s="269"/>
      <c r="AC809" s="269"/>
      <c r="AD809" s="7"/>
      <c r="AE809" s="13"/>
      <c r="AF809" s="13"/>
      <c r="AG809" s="13"/>
    </row>
    <row r="810" spans="1:33" x14ac:dyDescent="0.3">
      <c r="A810" s="259">
        <f>A807+1</f>
        <v>599</v>
      </c>
      <c r="B810" s="20" t="s">
        <v>3568</v>
      </c>
      <c r="C810" s="273">
        <f>D810+K810+L810+N810+P810+R810+S810+U810+V810+W810</f>
        <v>210182.66</v>
      </c>
      <c r="D810" s="273"/>
      <c r="E810" s="273"/>
      <c r="F810" s="273"/>
      <c r="G810" s="273"/>
      <c r="H810" s="273"/>
      <c r="I810" s="273"/>
      <c r="J810" s="50"/>
      <c r="K810" s="273"/>
      <c r="L810" s="273"/>
      <c r="M810" s="273"/>
      <c r="N810" s="273"/>
      <c r="O810" s="273"/>
      <c r="P810" s="273"/>
      <c r="Q810" s="273"/>
      <c r="R810" s="273"/>
      <c r="S810" s="273"/>
      <c r="T810" s="273"/>
      <c r="U810" s="273"/>
      <c r="V810" s="273"/>
      <c r="W810" s="273">
        <v>210182.66</v>
      </c>
      <c r="X810" s="269"/>
      <c r="Y810" s="269"/>
      <c r="Z810" s="269"/>
      <c r="AA810" s="269"/>
      <c r="AB810" s="269"/>
      <c r="AC810" s="269"/>
      <c r="AD810" s="7">
        <v>210182.66</v>
      </c>
      <c r="AE810" s="13"/>
      <c r="AF810" s="13"/>
      <c r="AG810" s="13"/>
    </row>
    <row r="811" spans="1:33" x14ac:dyDescent="0.3">
      <c r="A811" s="259">
        <f>A810+1</f>
        <v>600</v>
      </c>
      <c r="B811" s="20" t="s">
        <v>3569</v>
      </c>
      <c r="C811" s="273">
        <f>D811+K811+L811+N811+P811+R811+S811+U811+V811+W811</f>
        <v>210182.66</v>
      </c>
      <c r="D811" s="273"/>
      <c r="E811" s="273"/>
      <c r="F811" s="273"/>
      <c r="G811" s="273"/>
      <c r="H811" s="273"/>
      <c r="I811" s="273"/>
      <c r="J811" s="50"/>
      <c r="K811" s="273"/>
      <c r="L811" s="273"/>
      <c r="M811" s="273"/>
      <c r="N811" s="273"/>
      <c r="O811" s="273"/>
      <c r="P811" s="273"/>
      <c r="Q811" s="273"/>
      <c r="R811" s="273"/>
      <c r="S811" s="273"/>
      <c r="T811" s="273"/>
      <c r="U811" s="273"/>
      <c r="V811" s="273"/>
      <c r="W811" s="273">
        <v>210182.66</v>
      </c>
      <c r="X811" s="269"/>
      <c r="Y811" s="269"/>
      <c r="Z811" s="269"/>
      <c r="AA811" s="269"/>
      <c r="AB811" s="269"/>
      <c r="AC811" s="269"/>
      <c r="AD811" s="7">
        <v>210182.66</v>
      </c>
      <c r="AE811" s="13"/>
      <c r="AF811" s="13"/>
      <c r="AG811" s="13"/>
    </row>
    <row r="812" spans="1:33" x14ac:dyDescent="0.3">
      <c r="A812" s="259">
        <f>A811+1</f>
        <v>601</v>
      </c>
      <c r="B812" s="20" t="s">
        <v>2235</v>
      </c>
      <c r="C812" s="273">
        <f>D812+K812+L812+N812+P812+R812+S812+U812+V812+W812</f>
        <v>534602.82000000007</v>
      </c>
      <c r="D812" s="273"/>
      <c r="E812" s="273"/>
      <c r="F812" s="273"/>
      <c r="G812" s="273"/>
      <c r="H812" s="273"/>
      <c r="I812" s="273"/>
      <c r="J812" s="50"/>
      <c r="K812" s="273"/>
      <c r="L812" s="273"/>
      <c r="M812" s="273"/>
      <c r="N812" s="273"/>
      <c r="O812" s="273"/>
      <c r="P812" s="273"/>
      <c r="Q812" s="273"/>
      <c r="R812" s="273"/>
      <c r="S812" s="273"/>
      <c r="T812" s="273"/>
      <c r="U812" s="273"/>
      <c r="V812" s="273"/>
      <c r="W812" s="273">
        <f>SUM(X812:AH812)</f>
        <v>534602.82000000007</v>
      </c>
      <c r="X812" s="269"/>
      <c r="Y812" s="269"/>
      <c r="Z812" s="269"/>
      <c r="AA812" s="269"/>
      <c r="AB812" s="269"/>
      <c r="AD812" s="269">
        <v>196249.94</v>
      </c>
      <c r="AE812" s="7"/>
      <c r="AF812" s="13">
        <v>338352.88</v>
      </c>
      <c r="AG812" s="13"/>
    </row>
    <row r="813" spans="1:33" ht="31.2" x14ac:dyDescent="0.3">
      <c r="A813" s="259">
        <f>A812+1</f>
        <v>602</v>
      </c>
      <c r="B813" s="20" t="s">
        <v>2236</v>
      </c>
      <c r="C813" s="273">
        <f>D813+K813+L813+N813+P813+R813+S813+U813+V813+W813</f>
        <v>1449226.79</v>
      </c>
      <c r="D813" s="273"/>
      <c r="E813" s="273"/>
      <c r="F813" s="273"/>
      <c r="G813" s="273"/>
      <c r="H813" s="273"/>
      <c r="I813" s="273"/>
      <c r="J813" s="50"/>
      <c r="K813" s="273"/>
      <c r="L813" s="273"/>
      <c r="M813" s="273"/>
      <c r="N813" s="273"/>
      <c r="O813" s="273"/>
      <c r="P813" s="273"/>
      <c r="Q813" s="273"/>
      <c r="R813" s="273"/>
      <c r="S813" s="273"/>
      <c r="T813" s="273"/>
      <c r="U813" s="273"/>
      <c r="V813" s="273"/>
      <c r="W813" s="273">
        <f>SUM(X813:AH813)</f>
        <v>1449226.79</v>
      </c>
      <c r="X813" s="269">
        <v>112894.31</v>
      </c>
      <c r="Y813" s="269">
        <v>92815.76</v>
      </c>
      <c r="Z813" s="269">
        <v>92815.76</v>
      </c>
      <c r="AA813" s="269"/>
      <c r="AB813" s="269">
        <v>91922.05</v>
      </c>
      <c r="AD813" s="269">
        <v>171372.61</v>
      </c>
      <c r="AE813" s="7">
        <v>390277.78</v>
      </c>
      <c r="AF813" s="13">
        <v>334843.08</v>
      </c>
      <c r="AG813" s="13">
        <v>162285.44</v>
      </c>
    </row>
    <row r="814" spans="1:33" x14ac:dyDescent="0.3">
      <c r="A814" s="259">
        <f>A813+1</f>
        <v>603</v>
      </c>
      <c r="B814" s="20" t="s">
        <v>2237</v>
      </c>
      <c r="C814" s="273">
        <f>D814+K814+L814+N814+P814+R814+S814+U814+V814+W814</f>
        <v>1252659.32</v>
      </c>
      <c r="D814" s="273"/>
      <c r="E814" s="273"/>
      <c r="F814" s="273"/>
      <c r="G814" s="273"/>
      <c r="H814" s="273"/>
      <c r="I814" s="273"/>
      <c r="J814" s="50"/>
      <c r="K814" s="273"/>
      <c r="L814" s="273"/>
      <c r="M814" s="273"/>
      <c r="N814" s="273"/>
      <c r="O814" s="273"/>
      <c r="P814" s="273"/>
      <c r="Q814" s="273"/>
      <c r="R814" s="273"/>
      <c r="S814" s="273"/>
      <c r="T814" s="273"/>
      <c r="U814" s="273"/>
      <c r="V814" s="273"/>
      <c r="W814" s="273">
        <f>SUM(X814:AH814)</f>
        <v>1252659.32</v>
      </c>
      <c r="X814" s="269"/>
      <c r="Y814" s="269">
        <v>97132.98</v>
      </c>
      <c r="Z814" s="269">
        <v>112877.69</v>
      </c>
      <c r="AA814" s="269"/>
      <c r="AB814" s="269">
        <v>111228.43</v>
      </c>
      <c r="AD814" s="269">
        <v>202991.26</v>
      </c>
      <c r="AE814" s="7">
        <v>185705.63</v>
      </c>
      <c r="AF814" s="13">
        <v>349469.04</v>
      </c>
      <c r="AG814" s="13">
        <v>193254.29</v>
      </c>
    </row>
    <row r="815" spans="1:33" x14ac:dyDescent="0.3">
      <c r="A815" s="302" t="s">
        <v>208</v>
      </c>
      <c r="B815" s="302"/>
      <c r="C815" s="273">
        <f t="shared" ref="C815:W815" si="191">SUM(C810:C814)</f>
        <v>3656854.25</v>
      </c>
      <c r="D815" s="273">
        <f t="shared" si="191"/>
        <v>0</v>
      </c>
      <c r="E815" s="273">
        <f t="shared" si="191"/>
        <v>0</v>
      </c>
      <c r="F815" s="273">
        <f t="shared" si="191"/>
        <v>0</v>
      </c>
      <c r="G815" s="273">
        <f t="shared" si="191"/>
        <v>0</v>
      </c>
      <c r="H815" s="273">
        <f t="shared" si="191"/>
        <v>0</v>
      </c>
      <c r="I815" s="273">
        <f t="shared" si="191"/>
        <v>0</v>
      </c>
      <c r="J815" s="50">
        <f t="shared" si="191"/>
        <v>0</v>
      </c>
      <c r="K815" s="273">
        <f t="shared" si="191"/>
        <v>0</v>
      </c>
      <c r="L815" s="273">
        <f t="shared" si="191"/>
        <v>0</v>
      </c>
      <c r="M815" s="273">
        <f t="shared" si="191"/>
        <v>0</v>
      </c>
      <c r="N815" s="273">
        <f t="shared" si="191"/>
        <v>0</v>
      </c>
      <c r="O815" s="273">
        <f t="shared" si="191"/>
        <v>0</v>
      </c>
      <c r="P815" s="273">
        <f t="shared" si="191"/>
        <v>0</v>
      </c>
      <c r="Q815" s="273">
        <f t="shared" si="191"/>
        <v>0</v>
      </c>
      <c r="R815" s="273">
        <f t="shared" si="191"/>
        <v>0</v>
      </c>
      <c r="S815" s="273">
        <f t="shared" si="191"/>
        <v>0</v>
      </c>
      <c r="T815" s="273">
        <f t="shared" si="191"/>
        <v>0</v>
      </c>
      <c r="U815" s="273">
        <f t="shared" si="191"/>
        <v>0</v>
      </c>
      <c r="V815" s="273">
        <f t="shared" si="191"/>
        <v>0</v>
      </c>
      <c r="W815" s="273">
        <f t="shared" si="191"/>
        <v>3656854.25</v>
      </c>
      <c r="X815" s="269"/>
      <c r="Y815" s="269"/>
      <c r="Z815" s="269"/>
      <c r="AA815" s="269"/>
      <c r="AB815" s="269"/>
      <c r="AC815" s="269"/>
      <c r="AD815" s="7"/>
      <c r="AE815" s="13"/>
      <c r="AF815" s="13"/>
      <c r="AG815" s="13"/>
    </row>
    <row r="816" spans="1:33" x14ac:dyDescent="0.3">
      <c r="A816" s="301" t="s">
        <v>2238</v>
      </c>
      <c r="B816" s="301"/>
      <c r="C816" s="273"/>
      <c r="D816" s="273"/>
      <c r="E816" s="273"/>
      <c r="F816" s="273"/>
      <c r="G816" s="273"/>
      <c r="H816" s="273"/>
      <c r="I816" s="273"/>
      <c r="J816" s="50"/>
      <c r="K816" s="273"/>
      <c r="L816" s="273"/>
      <c r="M816" s="273"/>
      <c r="N816" s="273"/>
      <c r="O816" s="273"/>
      <c r="P816" s="273"/>
      <c r="Q816" s="273"/>
      <c r="R816" s="273"/>
      <c r="S816" s="273"/>
      <c r="T816" s="273"/>
      <c r="U816" s="273"/>
      <c r="V816" s="273"/>
      <c r="W816" s="273"/>
      <c r="X816" s="269"/>
      <c r="Y816" s="269"/>
      <c r="Z816" s="269"/>
      <c r="AA816" s="269"/>
      <c r="AB816" s="269"/>
      <c r="AC816" s="269"/>
      <c r="AD816" s="7"/>
      <c r="AE816" s="13"/>
      <c r="AF816" s="13"/>
      <c r="AG816" s="13"/>
    </row>
    <row r="817" spans="1:33" x14ac:dyDescent="0.3">
      <c r="A817" s="259">
        <f>A814+1</f>
        <v>604</v>
      </c>
      <c r="B817" s="20" t="s">
        <v>2239</v>
      </c>
      <c r="C817" s="273">
        <f t="shared" ref="C817:C825" si="192">D817+K817+L817+N817+P817+R817+S817+U817+V817+W817</f>
        <v>91894.28</v>
      </c>
      <c r="D817" s="273"/>
      <c r="E817" s="273"/>
      <c r="F817" s="273"/>
      <c r="G817" s="273"/>
      <c r="H817" s="273"/>
      <c r="I817" s="273"/>
      <c r="J817" s="50"/>
      <c r="K817" s="273"/>
      <c r="L817" s="273"/>
      <c r="M817" s="273"/>
      <c r="N817" s="273"/>
      <c r="O817" s="273"/>
      <c r="P817" s="273"/>
      <c r="Q817" s="273"/>
      <c r="R817" s="273"/>
      <c r="S817" s="273"/>
      <c r="T817" s="273"/>
      <c r="U817" s="273"/>
      <c r="V817" s="273"/>
      <c r="W817" s="273">
        <f t="shared" ref="W817:W825" si="193">SUM(X817:AH817)</f>
        <v>91894.28</v>
      </c>
      <c r="X817" s="269"/>
      <c r="Y817" s="269"/>
      <c r="Z817" s="269"/>
      <c r="AA817" s="269"/>
      <c r="AB817" s="269"/>
      <c r="AC817" s="269"/>
      <c r="AD817" s="7">
        <v>91894.28</v>
      </c>
      <c r="AE817" s="13"/>
      <c r="AF817" s="13"/>
      <c r="AG817" s="13"/>
    </row>
    <row r="818" spans="1:33" x14ac:dyDescent="0.3">
      <c r="A818" s="259">
        <f t="shared" ref="A818:A825" si="194">A817+1</f>
        <v>605</v>
      </c>
      <c r="B818" s="20" t="s">
        <v>2240</v>
      </c>
      <c r="C818" s="273">
        <f t="shared" si="192"/>
        <v>315941.87</v>
      </c>
      <c r="D818" s="273"/>
      <c r="E818" s="273"/>
      <c r="F818" s="273"/>
      <c r="G818" s="273"/>
      <c r="H818" s="273"/>
      <c r="I818" s="273"/>
      <c r="J818" s="50"/>
      <c r="K818" s="273"/>
      <c r="L818" s="273"/>
      <c r="M818" s="273"/>
      <c r="N818" s="273"/>
      <c r="O818" s="273"/>
      <c r="P818" s="273"/>
      <c r="Q818" s="273"/>
      <c r="R818" s="273"/>
      <c r="S818" s="273"/>
      <c r="T818" s="273"/>
      <c r="U818" s="273"/>
      <c r="V818" s="273"/>
      <c r="W818" s="273">
        <f t="shared" si="193"/>
        <v>315941.87</v>
      </c>
      <c r="X818" s="269"/>
      <c r="Y818" s="269"/>
      <c r="Z818" s="269"/>
      <c r="AA818" s="269"/>
      <c r="AB818" s="269">
        <v>118627.84</v>
      </c>
      <c r="AC818" s="269"/>
      <c r="AD818" s="7">
        <v>197314.03</v>
      </c>
      <c r="AE818" s="13"/>
      <c r="AF818" s="13"/>
      <c r="AG818" s="13"/>
    </row>
    <row r="819" spans="1:33" x14ac:dyDescent="0.3">
      <c r="A819" s="259">
        <f t="shared" si="194"/>
        <v>606</v>
      </c>
      <c r="B819" s="20" t="s">
        <v>2241</v>
      </c>
      <c r="C819" s="273">
        <f t="shared" si="192"/>
        <v>116184.34</v>
      </c>
      <c r="D819" s="273"/>
      <c r="E819" s="273"/>
      <c r="F819" s="273"/>
      <c r="G819" s="273"/>
      <c r="H819" s="273"/>
      <c r="I819" s="273"/>
      <c r="J819" s="50"/>
      <c r="K819" s="273"/>
      <c r="L819" s="273"/>
      <c r="M819" s="273"/>
      <c r="N819" s="273"/>
      <c r="O819" s="273"/>
      <c r="P819" s="273"/>
      <c r="Q819" s="273"/>
      <c r="R819" s="273"/>
      <c r="S819" s="273"/>
      <c r="T819" s="273"/>
      <c r="U819" s="273"/>
      <c r="V819" s="273"/>
      <c r="W819" s="273">
        <f t="shared" si="193"/>
        <v>116184.34</v>
      </c>
      <c r="X819" s="269"/>
      <c r="Y819" s="269"/>
      <c r="Z819" s="269"/>
      <c r="AA819" s="269"/>
      <c r="AB819" s="269">
        <v>116184.34</v>
      </c>
      <c r="AC819" s="269"/>
      <c r="AD819" s="7"/>
      <c r="AE819" s="13"/>
      <c r="AF819" s="13"/>
      <c r="AG819" s="13"/>
    </row>
    <row r="820" spans="1:33" x14ac:dyDescent="0.3">
      <c r="A820" s="259">
        <f t="shared" si="194"/>
        <v>607</v>
      </c>
      <c r="B820" s="20" t="s">
        <v>2242</v>
      </c>
      <c r="C820" s="273">
        <f t="shared" si="192"/>
        <v>307214.63</v>
      </c>
      <c r="D820" s="273"/>
      <c r="E820" s="273"/>
      <c r="F820" s="273"/>
      <c r="G820" s="273"/>
      <c r="H820" s="273"/>
      <c r="I820" s="273"/>
      <c r="J820" s="50"/>
      <c r="K820" s="273"/>
      <c r="L820" s="273"/>
      <c r="M820" s="273"/>
      <c r="N820" s="273"/>
      <c r="O820" s="273"/>
      <c r="P820" s="273"/>
      <c r="Q820" s="273"/>
      <c r="R820" s="273"/>
      <c r="S820" s="273"/>
      <c r="T820" s="273"/>
      <c r="U820" s="273"/>
      <c r="V820" s="273"/>
      <c r="W820" s="273">
        <f t="shared" si="193"/>
        <v>307214.63</v>
      </c>
      <c r="X820" s="269"/>
      <c r="Y820" s="269"/>
      <c r="Z820" s="269"/>
      <c r="AA820" s="269"/>
      <c r="AB820" s="269">
        <v>115344.67</v>
      </c>
      <c r="AC820" s="269"/>
      <c r="AD820" s="7">
        <v>191869.96</v>
      </c>
      <c r="AE820" s="13"/>
      <c r="AF820" s="13"/>
      <c r="AG820" s="13"/>
    </row>
    <row r="821" spans="1:33" x14ac:dyDescent="0.3">
      <c r="A821" s="259">
        <f t="shared" si="194"/>
        <v>608</v>
      </c>
      <c r="B821" s="20" t="s">
        <v>2243</v>
      </c>
      <c r="C821" s="273">
        <f t="shared" si="192"/>
        <v>309273.20999999996</v>
      </c>
      <c r="D821" s="273"/>
      <c r="E821" s="273"/>
      <c r="F821" s="273"/>
      <c r="G821" s="273"/>
      <c r="H821" s="273"/>
      <c r="I821" s="273"/>
      <c r="J821" s="50"/>
      <c r="K821" s="273"/>
      <c r="L821" s="273"/>
      <c r="M821" s="273"/>
      <c r="N821" s="273"/>
      <c r="O821" s="273"/>
      <c r="P821" s="273"/>
      <c r="Q821" s="273"/>
      <c r="R821" s="273"/>
      <c r="S821" s="273"/>
      <c r="T821" s="273"/>
      <c r="U821" s="273"/>
      <c r="V821" s="273"/>
      <c r="W821" s="273">
        <f t="shared" si="193"/>
        <v>309273.20999999996</v>
      </c>
      <c r="X821" s="269"/>
      <c r="Y821" s="269"/>
      <c r="Z821" s="269"/>
      <c r="AA821" s="269"/>
      <c r="AB821" s="269">
        <v>116170.4</v>
      </c>
      <c r="AC821" s="269"/>
      <c r="AD821" s="7">
        <v>193102.81</v>
      </c>
      <c r="AE821" s="13"/>
      <c r="AF821" s="13"/>
      <c r="AG821" s="13"/>
    </row>
    <row r="822" spans="1:33" x14ac:dyDescent="0.3">
      <c r="A822" s="259">
        <f t="shared" si="194"/>
        <v>609</v>
      </c>
      <c r="B822" s="20" t="s">
        <v>2244</v>
      </c>
      <c r="C822" s="273">
        <f t="shared" si="192"/>
        <v>306226</v>
      </c>
      <c r="D822" s="273"/>
      <c r="E822" s="273"/>
      <c r="F822" s="273"/>
      <c r="G822" s="273"/>
      <c r="H822" s="273"/>
      <c r="I822" s="273"/>
      <c r="J822" s="50"/>
      <c r="K822" s="273"/>
      <c r="L822" s="273"/>
      <c r="M822" s="273"/>
      <c r="N822" s="273"/>
      <c r="O822" s="273"/>
      <c r="P822" s="273"/>
      <c r="Q822" s="273"/>
      <c r="R822" s="273"/>
      <c r="S822" s="273"/>
      <c r="T822" s="273"/>
      <c r="U822" s="273"/>
      <c r="V822" s="273"/>
      <c r="W822" s="273">
        <f t="shared" si="193"/>
        <v>306226</v>
      </c>
      <c r="X822" s="269"/>
      <c r="Y822" s="269"/>
      <c r="Z822" s="269"/>
      <c r="AA822" s="269"/>
      <c r="AB822" s="269">
        <v>114947.82</v>
      </c>
      <c r="AC822" s="269"/>
      <c r="AD822" s="7">
        <v>191278.18</v>
      </c>
      <c r="AE822" s="13"/>
      <c r="AF822" s="13"/>
      <c r="AG822" s="13"/>
    </row>
    <row r="823" spans="1:33" x14ac:dyDescent="0.3">
      <c r="A823" s="259">
        <f t="shared" si="194"/>
        <v>610</v>
      </c>
      <c r="B823" s="20" t="s">
        <v>2245</v>
      </c>
      <c r="C823" s="273">
        <f t="shared" si="192"/>
        <v>1230127.02</v>
      </c>
      <c r="D823" s="273"/>
      <c r="E823" s="273"/>
      <c r="F823" s="273"/>
      <c r="G823" s="273"/>
      <c r="H823" s="273"/>
      <c r="I823" s="273"/>
      <c r="J823" s="50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>
        <f t="shared" si="193"/>
        <v>1230127.02</v>
      </c>
      <c r="X823" s="269"/>
      <c r="Y823" s="269"/>
      <c r="Z823" s="269"/>
      <c r="AA823" s="269"/>
      <c r="AB823" s="269"/>
      <c r="AC823" s="269"/>
      <c r="AD823" s="7">
        <v>213279.52</v>
      </c>
      <c r="AE823" s="13">
        <v>1016847.5</v>
      </c>
      <c r="AF823" s="13"/>
      <c r="AG823" s="13"/>
    </row>
    <row r="824" spans="1:33" x14ac:dyDescent="0.3">
      <c r="A824" s="259">
        <f t="shared" si="194"/>
        <v>611</v>
      </c>
      <c r="B824" s="20" t="s">
        <v>2246</v>
      </c>
      <c r="C824" s="273">
        <f t="shared" si="192"/>
        <v>617906.37</v>
      </c>
      <c r="D824" s="273"/>
      <c r="E824" s="273"/>
      <c r="F824" s="273"/>
      <c r="G824" s="273"/>
      <c r="H824" s="273"/>
      <c r="I824" s="273"/>
      <c r="J824" s="50"/>
      <c r="K824" s="273"/>
      <c r="L824" s="273"/>
      <c r="M824" s="273"/>
      <c r="N824" s="273"/>
      <c r="O824" s="273"/>
      <c r="P824" s="273"/>
      <c r="Q824" s="273"/>
      <c r="R824" s="273"/>
      <c r="S824" s="273"/>
      <c r="T824" s="273"/>
      <c r="U824" s="273"/>
      <c r="V824" s="273"/>
      <c r="W824" s="273">
        <f t="shared" si="193"/>
        <v>617906.37</v>
      </c>
      <c r="X824" s="269"/>
      <c r="Y824" s="269"/>
      <c r="Z824" s="269"/>
      <c r="AA824" s="269"/>
      <c r="AB824" s="269"/>
      <c r="AC824" s="269"/>
      <c r="AD824" s="7">
        <v>112305.02</v>
      </c>
      <c r="AE824" s="13">
        <v>505601.35</v>
      </c>
      <c r="AF824" s="13"/>
      <c r="AG824" s="13"/>
    </row>
    <row r="825" spans="1:33" x14ac:dyDescent="0.3">
      <c r="A825" s="259">
        <f t="shared" si="194"/>
        <v>612</v>
      </c>
      <c r="B825" s="20" t="s">
        <v>2249</v>
      </c>
      <c r="C825" s="273">
        <f t="shared" si="192"/>
        <v>204020.46</v>
      </c>
      <c r="D825" s="273"/>
      <c r="E825" s="273"/>
      <c r="F825" s="273"/>
      <c r="G825" s="273"/>
      <c r="H825" s="273"/>
      <c r="I825" s="273"/>
      <c r="J825" s="50"/>
      <c r="K825" s="273"/>
      <c r="L825" s="273"/>
      <c r="M825" s="273"/>
      <c r="N825" s="273"/>
      <c r="O825" s="273"/>
      <c r="P825" s="273"/>
      <c r="Q825" s="273"/>
      <c r="R825" s="273"/>
      <c r="S825" s="273"/>
      <c r="T825" s="273"/>
      <c r="U825" s="273"/>
      <c r="V825" s="273"/>
      <c r="W825" s="273">
        <f t="shared" si="193"/>
        <v>204020.46</v>
      </c>
      <c r="X825" s="269"/>
      <c r="Y825" s="269"/>
      <c r="Z825" s="269"/>
      <c r="AA825" s="269"/>
      <c r="AB825" s="269"/>
      <c r="AC825" s="269"/>
      <c r="AD825" s="7"/>
      <c r="AE825" s="13"/>
      <c r="AF825" s="13"/>
      <c r="AG825" s="13">
        <v>204020.46</v>
      </c>
    </row>
    <row r="826" spans="1:33" x14ac:dyDescent="0.3">
      <c r="A826" s="302" t="s">
        <v>208</v>
      </c>
      <c r="B826" s="302"/>
      <c r="C826" s="273">
        <f t="shared" ref="C826:W826" si="195">SUM(C817:C825)</f>
        <v>3498788.18</v>
      </c>
      <c r="D826" s="273">
        <f t="shared" si="195"/>
        <v>0</v>
      </c>
      <c r="E826" s="273">
        <f t="shared" si="195"/>
        <v>0</v>
      </c>
      <c r="F826" s="273">
        <f t="shared" si="195"/>
        <v>0</v>
      </c>
      <c r="G826" s="273">
        <f t="shared" si="195"/>
        <v>0</v>
      </c>
      <c r="H826" s="273">
        <f t="shared" si="195"/>
        <v>0</v>
      </c>
      <c r="I826" s="273">
        <f t="shared" si="195"/>
        <v>0</v>
      </c>
      <c r="J826" s="50">
        <f t="shared" si="195"/>
        <v>0</v>
      </c>
      <c r="K826" s="273">
        <f t="shared" si="195"/>
        <v>0</v>
      </c>
      <c r="L826" s="273">
        <f t="shared" si="195"/>
        <v>0</v>
      </c>
      <c r="M826" s="273">
        <f t="shared" si="195"/>
        <v>0</v>
      </c>
      <c r="N826" s="273">
        <f t="shared" si="195"/>
        <v>0</v>
      </c>
      <c r="O826" s="273">
        <f t="shared" si="195"/>
        <v>0</v>
      </c>
      <c r="P826" s="273">
        <f t="shared" si="195"/>
        <v>0</v>
      </c>
      <c r="Q826" s="273">
        <f t="shared" si="195"/>
        <v>0</v>
      </c>
      <c r="R826" s="273">
        <f t="shared" si="195"/>
        <v>0</v>
      </c>
      <c r="S826" s="273">
        <f t="shared" si="195"/>
        <v>0</v>
      </c>
      <c r="T826" s="273">
        <f t="shared" si="195"/>
        <v>0</v>
      </c>
      <c r="U826" s="273">
        <f t="shared" si="195"/>
        <v>0</v>
      </c>
      <c r="V826" s="273">
        <f t="shared" si="195"/>
        <v>0</v>
      </c>
      <c r="W826" s="273">
        <f t="shared" si="195"/>
        <v>3498788.18</v>
      </c>
      <c r="X826" s="269"/>
      <c r="Y826" s="269"/>
      <c r="Z826" s="269"/>
      <c r="AA826" s="269"/>
      <c r="AB826" s="269"/>
      <c r="AC826" s="269"/>
      <c r="AD826" s="7"/>
      <c r="AE826" s="13"/>
      <c r="AF826" s="13"/>
      <c r="AG826" s="13"/>
    </row>
    <row r="827" spans="1:33" s="36" customFormat="1" x14ac:dyDescent="0.3">
      <c r="A827" s="130" t="s">
        <v>3551</v>
      </c>
      <c r="B827" s="122"/>
      <c r="C827" s="273"/>
      <c r="D827" s="273"/>
      <c r="E827" s="273"/>
      <c r="F827" s="273"/>
      <c r="G827" s="273"/>
      <c r="H827" s="273"/>
      <c r="I827" s="273"/>
      <c r="J827" s="50"/>
      <c r="K827" s="273"/>
      <c r="L827" s="273"/>
      <c r="M827" s="273"/>
      <c r="N827" s="273"/>
      <c r="O827" s="273"/>
      <c r="P827" s="273"/>
      <c r="Q827" s="273"/>
      <c r="R827" s="273"/>
      <c r="S827" s="273"/>
      <c r="T827" s="273"/>
      <c r="U827" s="273"/>
      <c r="V827" s="273"/>
      <c r="W827" s="273"/>
      <c r="X827" s="269"/>
      <c r="Y827" s="269"/>
      <c r="Z827" s="269"/>
      <c r="AA827" s="269"/>
      <c r="AB827" s="269"/>
      <c r="AC827" s="7"/>
      <c r="AD827" s="13"/>
      <c r="AE827" s="13"/>
      <c r="AF827" s="13"/>
      <c r="AG827" s="13"/>
    </row>
    <row r="828" spans="1:33" s="36" customFormat="1" x14ac:dyDescent="0.3">
      <c r="A828" s="10">
        <f>A825+1</f>
        <v>613</v>
      </c>
      <c r="B828" s="122" t="s">
        <v>3552</v>
      </c>
      <c r="C828" s="273">
        <f>D828+K828+L828+N828+P828+R828+S828+U828+V828+W828</f>
        <v>12175222</v>
      </c>
      <c r="D828" s="273"/>
      <c r="E828" s="273"/>
      <c r="F828" s="273"/>
      <c r="G828" s="273"/>
      <c r="H828" s="273"/>
      <c r="I828" s="273"/>
      <c r="J828" s="50"/>
      <c r="K828" s="273"/>
      <c r="L828" s="273"/>
      <c r="M828" s="273">
        <v>751</v>
      </c>
      <c r="N828" s="273">
        <v>6380496</v>
      </c>
      <c r="O828" s="273"/>
      <c r="P828" s="273"/>
      <c r="Q828" s="273">
        <v>691</v>
      </c>
      <c r="R828" s="273">
        <v>5794726</v>
      </c>
      <c r="S828" s="273"/>
      <c r="T828" s="273"/>
      <c r="U828" s="273"/>
      <c r="V828" s="273"/>
      <c r="W828" s="273"/>
      <c r="X828" s="269"/>
      <c r="Y828" s="269"/>
      <c r="Z828" s="269"/>
      <c r="AA828" s="269"/>
      <c r="AB828" s="269"/>
      <c r="AC828" s="7"/>
      <c r="AD828" s="13"/>
      <c r="AE828" s="13"/>
      <c r="AF828" s="13"/>
      <c r="AG828" s="13"/>
    </row>
    <row r="829" spans="1:33" s="36" customFormat="1" x14ac:dyDescent="0.3">
      <c r="A829" s="10">
        <f>A828+1</f>
        <v>614</v>
      </c>
      <c r="B829" s="122" t="s">
        <v>3553</v>
      </c>
      <c r="C829" s="273">
        <f>D829+K829+L829+N829+P829+R829+S829+U829+V829+W829</f>
        <v>8922425</v>
      </c>
      <c r="D829" s="273"/>
      <c r="E829" s="273"/>
      <c r="F829" s="273"/>
      <c r="G829" s="273"/>
      <c r="H829" s="273"/>
      <c r="I829" s="273"/>
      <c r="J829" s="50"/>
      <c r="K829" s="273"/>
      <c r="L829" s="273"/>
      <c r="M829" s="273">
        <v>517</v>
      </c>
      <c r="N829" s="273">
        <v>3328963</v>
      </c>
      <c r="O829" s="273"/>
      <c r="P829" s="273"/>
      <c r="Q829" s="273">
        <v>667</v>
      </c>
      <c r="R829" s="273">
        <v>5593462</v>
      </c>
      <c r="S829" s="273"/>
      <c r="T829" s="273"/>
      <c r="U829" s="273"/>
      <c r="V829" s="273"/>
      <c r="W829" s="273"/>
      <c r="X829" s="269"/>
      <c r="Y829" s="269"/>
      <c r="Z829" s="269"/>
      <c r="AA829" s="269"/>
      <c r="AB829" s="269"/>
      <c r="AC829" s="7"/>
      <c r="AD829" s="13"/>
      <c r="AE829" s="13"/>
      <c r="AF829" s="13"/>
      <c r="AG829" s="13"/>
    </row>
    <row r="830" spans="1:33" s="36" customFormat="1" x14ac:dyDescent="0.3">
      <c r="A830" s="10">
        <f>A829+1</f>
        <v>615</v>
      </c>
      <c r="B830" s="122" t="s">
        <v>3554</v>
      </c>
      <c r="C830" s="273">
        <f>D830+K830+L830+N830+P830+R830+S830+U830+V830+W830</f>
        <v>8879897</v>
      </c>
      <c r="D830" s="273"/>
      <c r="E830" s="273"/>
      <c r="F830" s="273"/>
      <c r="G830" s="273"/>
      <c r="H830" s="273"/>
      <c r="I830" s="273"/>
      <c r="J830" s="50"/>
      <c r="K830" s="273"/>
      <c r="L830" s="273"/>
      <c r="M830" s="273">
        <v>513</v>
      </c>
      <c r="N830" s="273">
        <v>3303207</v>
      </c>
      <c r="O830" s="273"/>
      <c r="P830" s="273"/>
      <c r="Q830" s="273">
        <v>665</v>
      </c>
      <c r="R830" s="273">
        <v>5576690</v>
      </c>
      <c r="S830" s="273"/>
      <c r="T830" s="273"/>
      <c r="U830" s="273"/>
      <c r="V830" s="273"/>
      <c r="W830" s="273"/>
      <c r="X830" s="269"/>
      <c r="Y830" s="269"/>
      <c r="Z830" s="269"/>
      <c r="AA830" s="269"/>
      <c r="AB830" s="269"/>
      <c r="AC830" s="7"/>
      <c r="AD830" s="13"/>
      <c r="AE830" s="13"/>
      <c r="AF830" s="13"/>
      <c r="AG830" s="13"/>
    </row>
    <row r="831" spans="1:33" s="36" customFormat="1" x14ac:dyDescent="0.3">
      <c r="A831" s="10">
        <f>A830+1</f>
        <v>616</v>
      </c>
      <c r="B831" s="122" t="s">
        <v>3555</v>
      </c>
      <c r="C831" s="273">
        <f>D831+K831+L831+N831+P831+R831+S831+U831+V831+W831</f>
        <v>13406016</v>
      </c>
      <c r="D831" s="273"/>
      <c r="E831" s="273"/>
      <c r="F831" s="273"/>
      <c r="G831" s="273"/>
      <c r="H831" s="273"/>
      <c r="I831" s="273"/>
      <c r="J831" s="50"/>
      <c r="K831" s="273"/>
      <c r="L831" s="273"/>
      <c r="M831" s="273">
        <v>624</v>
      </c>
      <c r="N831" s="273">
        <v>4017936</v>
      </c>
      <c r="O831" s="273"/>
      <c r="P831" s="273"/>
      <c r="Q831" s="273">
        <v>1105</v>
      </c>
      <c r="R831" s="273">
        <v>9388080</v>
      </c>
      <c r="S831" s="273"/>
      <c r="T831" s="273"/>
      <c r="U831" s="273"/>
      <c r="V831" s="273"/>
      <c r="W831" s="273"/>
      <c r="X831" s="269"/>
      <c r="Y831" s="269"/>
      <c r="Z831" s="269"/>
      <c r="AA831" s="269"/>
      <c r="AB831" s="269"/>
      <c r="AC831" s="7"/>
      <c r="AD831" s="13"/>
      <c r="AE831" s="13"/>
      <c r="AF831" s="13"/>
      <c r="AG831" s="13"/>
    </row>
    <row r="832" spans="1:33" s="36" customFormat="1" x14ac:dyDescent="0.3">
      <c r="A832" s="8" t="s">
        <v>208</v>
      </c>
      <c r="B832" s="122"/>
      <c r="C832" s="273">
        <f t="shared" ref="C832:W832" si="196">SUM(C828:C831)</f>
        <v>43383560</v>
      </c>
      <c r="D832" s="273">
        <f t="shared" si="196"/>
        <v>0</v>
      </c>
      <c r="E832" s="273">
        <f t="shared" si="196"/>
        <v>0</v>
      </c>
      <c r="F832" s="273">
        <f t="shared" si="196"/>
        <v>0</v>
      </c>
      <c r="G832" s="273">
        <f t="shared" si="196"/>
        <v>0</v>
      </c>
      <c r="H832" s="273">
        <f t="shared" si="196"/>
        <v>0</v>
      </c>
      <c r="I832" s="273">
        <f t="shared" si="196"/>
        <v>0</v>
      </c>
      <c r="J832" s="50">
        <f t="shared" si="196"/>
        <v>0</v>
      </c>
      <c r="K832" s="273">
        <f t="shared" si="196"/>
        <v>0</v>
      </c>
      <c r="L832" s="273">
        <f t="shared" si="196"/>
        <v>0</v>
      </c>
      <c r="M832" s="273">
        <f t="shared" si="196"/>
        <v>2405</v>
      </c>
      <c r="N832" s="273">
        <f t="shared" si="196"/>
        <v>17030602</v>
      </c>
      <c r="O832" s="273">
        <f t="shared" si="196"/>
        <v>0</v>
      </c>
      <c r="P832" s="273">
        <f t="shared" si="196"/>
        <v>0</v>
      </c>
      <c r="Q832" s="273">
        <f t="shared" si="196"/>
        <v>3128</v>
      </c>
      <c r="R832" s="273">
        <f t="shared" si="196"/>
        <v>26352958</v>
      </c>
      <c r="S832" s="273">
        <f t="shared" si="196"/>
        <v>0</v>
      </c>
      <c r="T832" s="273">
        <f t="shared" si="196"/>
        <v>0</v>
      </c>
      <c r="U832" s="273">
        <f t="shared" si="196"/>
        <v>0</v>
      </c>
      <c r="V832" s="273">
        <f t="shared" si="196"/>
        <v>0</v>
      </c>
      <c r="W832" s="273">
        <f t="shared" si="196"/>
        <v>0</v>
      </c>
      <c r="X832" s="269"/>
      <c r="Y832" s="269"/>
      <c r="Z832" s="269"/>
      <c r="AA832" s="269"/>
      <c r="AB832" s="269"/>
      <c r="AC832" s="7"/>
      <c r="AD832" s="13"/>
      <c r="AE832" s="13"/>
      <c r="AF832" s="13"/>
      <c r="AG832" s="13"/>
    </row>
    <row r="833" spans="1:35" x14ac:dyDescent="0.3">
      <c r="A833" s="301" t="s">
        <v>2281</v>
      </c>
      <c r="B833" s="301"/>
      <c r="C833" s="273"/>
      <c r="D833" s="273"/>
      <c r="E833" s="273"/>
      <c r="F833" s="273"/>
      <c r="G833" s="273"/>
      <c r="H833" s="273"/>
      <c r="I833" s="273"/>
      <c r="J833" s="50"/>
      <c r="K833" s="273"/>
      <c r="L833" s="273"/>
      <c r="M833" s="273"/>
      <c r="N833" s="273"/>
      <c r="O833" s="273"/>
      <c r="P833" s="273"/>
      <c r="Q833" s="273"/>
      <c r="R833" s="273"/>
      <c r="S833" s="273"/>
      <c r="T833" s="273"/>
      <c r="U833" s="273"/>
      <c r="V833" s="273"/>
      <c r="W833" s="273"/>
      <c r="X833" s="269"/>
      <c r="Y833" s="269"/>
      <c r="Z833" s="269"/>
      <c r="AA833" s="269"/>
      <c r="AB833" s="269"/>
      <c r="AC833" s="269"/>
      <c r="AD833" s="7"/>
      <c r="AE833" s="13"/>
      <c r="AF833" s="13"/>
      <c r="AG833" s="13"/>
    </row>
    <row r="834" spans="1:35" x14ac:dyDescent="0.3">
      <c r="A834" s="10">
        <f>A831+1</f>
        <v>617</v>
      </c>
      <c r="B834" s="20" t="s">
        <v>2282</v>
      </c>
      <c r="C834" s="273">
        <f>D834+K834+L834+N834+P834+R834+S834+U834+V834+W834</f>
        <v>2096895.6</v>
      </c>
      <c r="D834" s="273"/>
      <c r="E834" s="273"/>
      <c r="F834" s="273"/>
      <c r="G834" s="273"/>
      <c r="H834" s="273"/>
      <c r="I834" s="273"/>
      <c r="J834" s="50"/>
      <c r="K834" s="273"/>
      <c r="L834" s="273"/>
      <c r="M834" s="273"/>
      <c r="N834" s="273"/>
      <c r="O834" s="273"/>
      <c r="P834" s="273"/>
      <c r="Q834" s="273">
        <v>600.5</v>
      </c>
      <c r="R834" s="273">
        <v>2096895.6</v>
      </c>
      <c r="S834" s="273"/>
      <c r="T834" s="273"/>
      <c r="U834" s="273"/>
      <c r="V834" s="273"/>
      <c r="W834" s="273"/>
      <c r="X834" s="269"/>
      <c r="Y834" s="269"/>
      <c r="Z834" s="269"/>
      <c r="AA834" s="269"/>
      <c r="AB834" s="269"/>
      <c r="AC834" s="269"/>
      <c r="AD834" s="7"/>
      <c r="AE834" s="13"/>
      <c r="AF834" s="13"/>
      <c r="AG834" s="13"/>
    </row>
    <row r="835" spans="1:35" x14ac:dyDescent="0.3">
      <c r="A835" s="259">
        <f>A834+1</f>
        <v>618</v>
      </c>
      <c r="B835" s="20" t="s">
        <v>2283</v>
      </c>
      <c r="C835" s="273">
        <f>D835+K835+L835+N835+P835+R835+S835+U835+V835+W835</f>
        <v>2096895.6</v>
      </c>
      <c r="D835" s="273"/>
      <c r="E835" s="273"/>
      <c r="F835" s="273"/>
      <c r="G835" s="273"/>
      <c r="H835" s="273"/>
      <c r="I835" s="273"/>
      <c r="J835" s="50"/>
      <c r="K835" s="273"/>
      <c r="L835" s="273"/>
      <c r="M835" s="273"/>
      <c r="N835" s="273"/>
      <c r="O835" s="273"/>
      <c r="P835" s="273"/>
      <c r="Q835" s="273">
        <v>600.5</v>
      </c>
      <c r="R835" s="273">
        <v>2096895.6</v>
      </c>
      <c r="S835" s="273"/>
      <c r="T835" s="273"/>
      <c r="U835" s="273"/>
      <c r="V835" s="273"/>
      <c r="W835" s="273"/>
      <c r="X835" s="269"/>
      <c r="Y835" s="269"/>
      <c r="Z835" s="269"/>
      <c r="AA835" s="269"/>
      <c r="AB835" s="269"/>
      <c r="AC835" s="269"/>
      <c r="AD835" s="7"/>
      <c r="AE835" s="13"/>
      <c r="AF835" s="13"/>
      <c r="AG835" s="13"/>
    </row>
    <row r="836" spans="1:35" x14ac:dyDescent="0.3">
      <c r="A836" s="259">
        <f>A835+1</f>
        <v>619</v>
      </c>
      <c r="B836" s="20" t="s">
        <v>2286</v>
      </c>
      <c r="C836" s="273">
        <f>D836+K836+L836+N836+P836+R836+S836+U836+V836+W836</f>
        <v>2096895.6</v>
      </c>
      <c r="D836" s="273"/>
      <c r="E836" s="273"/>
      <c r="F836" s="273"/>
      <c r="G836" s="273"/>
      <c r="H836" s="273"/>
      <c r="I836" s="273"/>
      <c r="J836" s="50"/>
      <c r="K836" s="273"/>
      <c r="L836" s="273"/>
      <c r="M836" s="273"/>
      <c r="N836" s="273"/>
      <c r="O836" s="273"/>
      <c r="P836" s="273"/>
      <c r="Q836" s="273">
        <v>63.8</v>
      </c>
      <c r="R836" s="273">
        <v>2096895.6</v>
      </c>
      <c r="S836" s="273"/>
      <c r="T836" s="273"/>
      <c r="U836" s="273"/>
      <c r="V836" s="273"/>
      <c r="W836" s="273"/>
      <c r="X836" s="269"/>
      <c r="Y836" s="269"/>
      <c r="Z836" s="269"/>
      <c r="AA836" s="269"/>
      <c r="AB836" s="269"/>
      <c r="AD836" s="269">
        <v>187343.08</v>
      </c>
      <c r="AE836" s="7">
        <v>255849.06</v>
      </c>
      <c r="AF836" s="13"/>
      <c r="AG836" s="13"/>
    </row>
    <row r="837" spans="1:35" x14ac:dyDescent="0.3">
      <c r="A837" s="302" t="s">
        <v>208</v>
      </c>
      <c r="B837" s="302"/>
      <c r="C837" s="273">
        <f t="shared" ref="C837:W837" si="197">SUM(C834:C836)</f>
        <v>6290686.8000000007</v>
      </c>
      <c r="D837" s="273">
        <f t="shared" si="197"/>
        <v>0</v>
      </c>
      <c r="E837" s="273">
        <f t="shared" si="197"/>
        <v>0</v>
      </c>
      <c r="F837" s="273">
        <f t="shared" si="197"/>
        <v>0</v>
      </c>
      <c r="G837" s="273">
        <f t="shared" si="197"/>
        <v>0</v>
      </c>
      <c r="H837" s="273">
        <f t="shared" si="197"/>
        <v>0</v>
      </c>
      <c r="I837" s="273">
        <f t="shared" si="197"/>
        <v>0</v>
      </c>
      <c r="J837" s="50">
        <f t="shared" si="197"/>
        <v>0</v>
      </c>
      <c r="K837" s="273">
        <f t="shared" si="197"/>
        <v>0</v>
      </c>
      <c r="L837" s="273">
        <f t="shared" si="197"/>
        <v>0</v>
      </c>
      <c r="M837" s="273">
        <f t="shared" si="197"/>
        <v>0</v>
      </c>
      <c r="N837" s="273">
        <f t="shared" si="197"/>
        <v>0</v>
      </c>
      <c r="O837" s="273">
        <f t="shared" si="197"/>
        <v>0</v>
      </c>
      <c r="P837" s="273">
        <f t="shared" si="197"/>
        <v>0</v>
      </c>
      <c r="Q837" s="273">
        <f t="shared" si="197"/>
        <v>1264.8</v>
      </c>
      <c r="R837" s="273">
        <f t="shared" si="197"/>
        <v>6290686.8000000007</v>
      </c>
      <c r="S837" s="273">
        <f t="shared" si="197"/>
        <v>0</v>
      </c>
      <c r="T837" s="273">
        <f t="shared" si="197"/>
        <v>0</v>
      </c>
      <c r="U837" s="273">
        <f t="shared" si="197"/>
        <v>0</v>
      </c>
      <c r="V837" s="273">
        <f t="shared" si="197"/>
        <v>0</v>
      </c>
      <c r="W837" s="273">
        <f t="shared" si="197"/>
        <v>0</v>
      </c>
      <c r="X837" s="269"/>
      <c r="Y837" s="269"/>
      <c r="Z837" s="269"/>
      <c r="AA837" s="269"/>
      <c r="AB837" s="269"/>
      <c r="AC837" s="269"/>
      <c r="AD837" s="7"/>
      <c r="AE837" s="13"/>
      <c r="AF837" s="13"/>
      <c r="AG837" s="13"/>
    </row>
    <row r="838" spans="1:35" x14ac:dyDescent="0.3">
      <c r="A838" s="301" t="s">
        <v>2306</v>
      </c>
      <c r="B838" s="301"/>
      <c r="C838" s="273"/>
      <c r="D838" s="273"/>
      <c r="E838" s="273"/>
      <c r="F838" s="273"/>
      <c r="G838" s="273"/>
      <c r="H838" s="273"/>
      <c r="I838" s="273"/>
      <c r="J838" s="50"/>
      <c r="K838" s="273"/>
      <c r="L838" s="273"/>
      <c r="M838" s="273"/>
      <c r="N838" s="273"/>
      <c r="O838" s="273"/>
      <c r="P838" s="273"/>
      <c r="Q838" s="273"/>
      <c r="R838" s="273"/>
      <c r="S838" s="273"/>
      <c r="T838" s="273"/>
      <c r="U838" s="273"/>
      <c r="V838" s="273"/>
      <c r="W838" s="273"/>
      <c r="X838" s="269"/>
      <c r="Y838" s="269"/>
      <c r="Z838" s="269"/>
      <c r="AA838" s="269"/>
      <c r="AB838" s="269"/>
      <c r="AC838" s="269"/>
      <c r="AD838" s="7"/>
      <c r="AE838" s="13"/>
      <c r="AF838" s="13"/>
      <c r="AG838" s="13"/>
    </row>
    <row r="839" spans="1:35" x14ac:dyDescent="0.3">
      <c r="A839" s="10">
        <f>A836+1</f>
        <v>620</v>
      </c>
      <c r="B839" s="20" t="s">
        <v>2326</v>
      </c>
      <c r="C839" s="273">
        <f>D839+K839+L839+N839+P839+R839+S839+U839+V839+W839</f>
        <v>76656</v>
      </c>
      <c r="D839" s="273">
        <f>E839+F839+G839+H839+I839</f>
        <v>76656</v>
      </c>
      <c r="E839" s="273"/>
      <c r="F839" s="273"/>
      <c r="G839" s="273"/>
      <c r="H839" s="273"/>
      <c r="I839" s="273">
        <v>76656</v>
      </c>
      <c r="J839" s="50"/>
      <c r="K839" s="273"/>
      <c r="L839" s="273"/>
      <c r="M839" s="273"/>
      <c r="N839" s="273"/>
      <c r="O839" s="273"/>
      <c r="P839" s="273"/>
      <c r="Q839" s="273"/>
      <c r="R839" s="273"/>
      <c r="S839" s="273"/>
      <c r="T839" s="273"/>
      <c r="U839" s="273"/>
      <c r="V839" s="273"/>
      <c r="W839" s="273"/>
      <c r="X839" s="269"/>
      <c r="Y839" s="269"/>
      <c r="Z839" s="269"/>
      <c r="AA839" s="269"/>
      <c r="AB839" s="269"/>
      <c r="AC839" s="269"/>
      <c r="AD839" s="7"/>
      <c r="AE839" s="13"/>
      <c r="AF839" s="13"/>
      <c r="AG839" s="13"/>
    </row>
    <row r="840" spans="1:35" x14ac:dyDescent="0.3">
      <c r="A840" s="259">
        <f>A839+1</f>
        <v>621</v>
      </c>
      <c r="B840" s="20" t="s">
        <v>2327</v>
      </c>
      <c r="C840" s="273">
        <f>D840+K840+L840+N840+P840+R840+S840+U840+V840+W840</f>
        <v>25895712</v>
      </c>
      <c r="D840" s="273"/>
      <c r="E840" s="273"/>
      <c r="F840" s="273"/>
      <c r="G840" s="273"/>
      <c r="H840" s="273"/>
      <c r="I840" s="273"/>
      <c r="J840" s="50"/>
      <c r="K840" s="273"/>
      <c r="L840" s="273"/>
      <c r="M840" s="273">
        <v>624</v>
      </c>
      <c r="N840" s="273">
        <f>624*6243</f>
        <v>3895632</v>
      </c>
      <c r="O840" s="273"/>
      <c r="P840" s="273"/>
      <c r="Q840" s="273">
        <v>1860</v>
      </c>
      <c r="R840" s="273">
        <f>1860*(8187+3641)</f>
        <v>22000080</v>
      </c>
      <c r="S840" s="273"/>
      <c r="T840" s="273"/>
      <c r="U840" s="273"/>
      <c r="V840" s="273"/>
      <c r="W840" s="273"/>
      <c r="X840" s="269"/>
      <c r="Y840" s="269"/>
      <c r="Z840" s="269"/>
      <c r="AA840" s="269"/>
      <c r="AB840" s="269"/>
      <c r="AD840" s="269"/>
      <c r="AE840" s="7"/>
      <c r="AF840" s="13"/>
      <c r="AG840" s="13"/>
      <c r="AH840" s="41"/>
    </row>
    <row r="841" spans="1:35" x14ac:dyDescent="0.3">
      <c r="A841" s="259">
        <f>A840+1</f>
        <v>622</v>
      </c>
      <c r="B841" s="20" t="s">
        <v>2328</v>
      </c>
      <c r="C841" s="273">
        <f>D841+K841+L841+N841+P841+R841+S841+U841+V841+W841</f>
        <v>25895712</v>
      </c>
      <c r="D841" s="273"/>
      <c r="E841" s="273"/>
      <c r="F841" s="273"/>
      <c r="G841" s="273"/>
      <c r="H841" s="273"/>
      <c r="I841" s="273"/>
      <c r="J841" s="50"/>
      <c r="K841" s="273"/>
      <c r="L841" s="273"/>
      <c r="M841" s="273">
        <v>624</v>
      </c>
      <c r="N841" s="273">
        <f>624*6243</f>
        <v>3895632</v>
      </c>
      <c r="O841" s="273"/>
      <c r="P841" s="273"/>
      <c r="Q841" s="273">
        <v>1860</v>
      </c>
      <c r="R841" s="273">
        <f>1860*(8187+3641)</f>
        <v>22000080</v>
      </c>
      <c r="S841" s="273"/>
      <c r="T841" s="273"/>
      <c r="U841" s="273"/>
      <c r="V841" s="273"/>
      <c r="W841" s="273"/>
      <c r="X841" s="269"/>
      <c r="Y841" s="269"/>
      <c r="Z841" s="269"/>
      <c r="AA841" s="269"/>
      <c r="AB841" s="269"/>
      <c r="AD841" s="269"/>
      <c r="AE841" s="7"/>
      <c r="AF841" s="13"/>
      <c r="AG841" s="13"/>
      <c r="AH841" s="41"/>
    </row>
    <row r="842" spans="1:35" x14ac:dyDescent="0.3">
      <c r="A842" s="259">
        <f>A841+1</f>
        <v>623</v>
      </c>
      <c r="B842" s="20" t="s">
        <v>2332</v>
      </c>
      <c r="C842" s="273">
        <f>D842+K842+L842+N842+P842+R842+S842+U842+V842+W842</f>
        <v>9388080</v>
      </c>
      <c r="D842" s="273"/>
      <c r="E842" s="273"/>
      <c r="F842" s="273"/>
      <c r="G842" s="273"/>
      <c r="H842" s="273"/>
      <c r="I842" s="273"/>
      <c r="J842" s="50"/>
      <c r="K842" s="273"/>
      <c r="L842" s="273"/>
      <c r="M842" s="273">
        <v>1105</v>
      </c>
      <c r="N842" s="273">
        <v>9388080</v>
      </c>
      <c r="O842" s="273"/>
      <c r="P842" s="273"/>
      <c r="Q842" s="273"/>
      <c r="R842" s="273"/>
      <c r="S842" s="273"/>
      <c r="T842" s="273"/>
      <c r="U842" s="273"/>
      <c r="V842" s="273"/>
      <c r="W842" s="273"/>
      <c r="X842" s="269"/>
      <c r="Y842" s="269"/>
      <c r="Z842" s="269"/>
      <c r="AA842" s="269"/>
      <c r="AB842" s="269"/>
      <c r="AC842" s="269"/>
      <c r="AD842" s="7"/>
      <c r="AE842" s="13"/>
      <c r="AF842" s="13"/>
      <c r="AG842" s="13"/>
      <c r="AH842" s="41"/>
    </row>
    <row r="843" spans="1:35" x14ac:dyDescent="0.3">
      <c r="A843" s="302" t="s">
        <v>208</v>
      </c>
      <c r="B843" s="302"/>
      <c r="C843" s="273">
        <f t="shared" ref="C843:W843" si="198">SUM(C839:C842)</f>
        <v>61256160</v>
      </c>
      <c r="D843" s="273">
        <f t="shared" si="198"/>
        <v>76656</v>
      </c>
      <c r="E843" s="273">
        <f t="shared" si="198"/>
        <v>0</v>
      </c>
      <c r="F843" s="273">
        <f t="shared" si="198"/>
        <v>0</v>
      </c>
      <c r="G843" s="273">
        <f t="shared" si="198"/>
        <v>0</v>
      </c>
      <c r="H843" s="273">
        <f t="shared" si="198"/>
        <v>0</v>
      </c>
      <c r="I843" s="273">
        <f t="shared" si="198"/>
        <v>76656</v>
      </c>
      <c r="J843" s="273">
        <f t="shared" si="198"/>
        <v>0</v>
      </c>
      <c r="K843" s="273">
        <f t="shared" si="198"/>
        <v>0</v>
      </c>
      <c r="L843" s="273">
        <f t="shared" si="198"/>
        <v>0</v>
      </c>
      <c r="M843" s="273">
        <f t="shared" si="198"/>
        <v>2353</v>
      </c>
      <c r="N843" s="273">
        <f t="shared" si="198"/>
        <v>17179344</v>
      </c>
      <c r="O843" s="273">
        <f t="shared" si="198"/>
        <v>0</v>
      </c>
      <c r="P843" s="273">
        <f t="shared" si="198"/>
        <v>0</v>
      </c>
      <c r="Q843" s="273">
        <f t="shared" si="198"/>
        <v>3720</v>
      </c>
      <c r="R843" s="273">
        <f t="shared" si="198"/>
        <v>44000160</v>
      </c>
      <c r="S843" s="273">
        <f t="shared" si="198"/>
        <v>0</v>
      </c>
      <c r="T843" s="273">
        <f t="shared" si="198"/>
        <v>0</v>
      </c>
      <c r="U843" s="273">
        <f t="shared" si="198"/>
        <v>0</v>
      </c>
      <c r="V843" s="273">
        <f t="shared" si="198"/>
        <v>0</v>
      </c>
      <c r="W843" s="273">
        <f t="shared" si="198"/>
        <v>0</v>
      </c>
      <c r="X843" s="269"/>
      <c r="Y843" s="269"/>
      <c r="Z843" s="269"/>
      <c r="AA843" s="269"/>
      <c r="AB843" s="269"/>
      <c r="AC843" s="269"/>
      <c r="AD843" s="7"/>
      <c r="AE843" s="13"/>
      <c r="AF843" s="13"/>
      <c r="AG843" s="13"/>
    </row>
    <row r="844" spans="1:35" x14ac:dyDescent="0.3">
      <c r="A844" s="304" t="s">
        <v>2336</v>
      </c>
      <c r="B844" s="304"/>
      <c r="C844" s="251">
        <f>C843+C837+C832+C826+C815+C808+C802+C797</f>
        <v>123519267.49000001</v>
      </c>
      <c r="D844" s="251">
        <f t="shared" ref="D844:W844" si="199">D843+D837+D832+D826+D815+D808+D802+D797</f>
        <v>76656</v>
      </c>
      <c r="E844" s="251">
        <f t="shared" si="199"/>
        <v>0</v>
      </c>
      <c r="F844" s="251">
        <f t="shared" si="199"/>
        <v>0</v>
      </c>
      <c r="G844" s="251">
        <f t="shared" si="199"/>
        <v>0</v>
      </c>
      <c r="H844" s="251">
        <f t="shared" si="199"/>
        <v>0</v>
      </c>
      <c r="I844" s="251">
        <f t="shared" si="199"/>
        <v>76656</v>
      </c>
      <c r="J844" s="251">
        <f t="shared" si="199"/>
        <v>0</v>
      </c>
      <c r="K844" s="251">
        <f t="shared" si="199"/>
        <v>0</v>
      </c>
      <c r="L844" s="251">
        <f t="shared" si="199"/>
        <v>0</v>
      </c>
      <c r="M844" s="251">
        <f t="shared" si="199"/>
        <v>4758</v>
      </c>
      <c r="N844" s="251">
        <f t="shared" si="199"/>
        <v>34209946</v>
      </c>
      <c r="O844" s="251">
        <f t="shared" si="199"/>
        <v>0</v>
      </c>
      <c r="P844" s="251">
        <f t="shared" si="199"/>
        <v>0</v>
      </c>
      <c r="Q844" s="251">
        <f t="shared" si="199"/>
        <v>8112.8</v>
      </c>
      <c r="R844" s="251">
        <f t="shared" si="199"/>
        <v>76643804.799999997</v>
      </c>
      <c r="S844" s="251">
        <f t="shared" si="199"/>
        <v>0</v>
      </c>
      <c r="T844" s="251">
        <f t="shared" si="199"/>
        <v>0</v>
      </c>
      <c r="U844" s="251">
        <f t="shared" si="199"/>
        <v>0</v>
      </c>
      <c r="V844" s="251">
        <f t="shared" si="199"/>
        <v>0</v>
      </c>
      <c r="W844" s="251">
        <f t="shared" si="199"/>
        <v>12588860.689999999</v>
      </c>
      <c r="X844" s="269"/>
      <c r="Y844" s="269"/>
      <c r="Z844" s="269"/>
      <c r="AA844" s="269"/>
      <c r="AB844" s="269"/>
      <c r="AC844" s="269"/>
      <c r="AD844" s="7"/>
      <c r="AE844" s="13"/>
      <c r="AF844" s="13"/>
      <c r="AG844" s="13"/>
    </row>
    <row r="845" spans="1:35" x14ac:dyDescent="0.3">
      <c r="A845" s="303" t="s">
        <v>2337</v>
      </c>
      <c r="B845" s="303"/>
      <c r="C845" s="303"/>
      <c r="D845" s="303"/>
      <c r="E845" s="303"/>
      <c r="F845" s="303"/>
      <c r="G845" s="303"/>
      <c r="H845" s="303"/>
      <c r="I845" s="303"/>
      <c r="J845" s="303"/>
      <c r="K845" s="303"/>
      <c r="L845" s="303"/>
      <c r="M845" s="303"/>
      <c r="N845" s="303"/>
      <c r="O845" s="303"/>
      <c r="P845" s="303"/>
      <c r="Q845" s="303"/>
      <c r="R845" s="303"/>
      <c r="S845" s="303"/>
      <c r="T845" s="303"/>
      <c r="U845" s="303"/>
      <c r="V845" s="303"/>
      <c r="W845" s="303"/>
      <c r="X845" s="254"/>
      <c r="Y845" s="254" t="s">
        <v>2338</v>
      </c>
      <c r="Z845" s="254" t="s">
        <v>2339</v>
      </c>
      <c r="AA845" s="254" t="s">
        <v>2340</v>
      </c>
      <c r="AB845" s="269" t="s">
        <v>2341</v>
      </c>
      <c r="AC845" s="269" t="s">
        <v>2342</v>
      </c>
      <c r="AD845" s="269"/>
      <c r="AE845" s="7"/>
      <c r="AF845" s="13"/>
      <c r="AG845" s="13"/>
      <c r="AH845" s="13"/>
      <c r="AI845" s="13"/>
    </row>
    <row r="846" spans="1:35" x14ac:dyDescent="0.3">
      <c r="A846" s="301" t="s">
        <v>2356</v>
      </c>
      <c r="B846" s="301"/>
      <c r="C846" s="273"/>
      <c r="D846" s="273"/>
      <c r="E846" s="273"/>
      <c r="F846" s="273"/>
      <c r="G846" s="273"/>
      <c r="H846" s="273"/>
      <c r="I846" s="273"/>
      <c r="J846" s="50"/>
      <c r="K846" s="273"/>
      <c r="L846" s="273"/>
      <c r="M846" s="273"/>
      <c r="N846" s="273"/>
      <c r="O846" s="273"/>
      <c r="P846" s="273"/>
      <c r="Q846" s="273"/>
      <c r="R846" s="273"/>
      <c r="S846" s="273"/>
      <c r="T846" s="273"/>
      <c r="U846" s="273"/>
      <c r="V846" s="273"/>
      <c r="W846" s="273"/>
      <c r="X846" s="271"/>
      <c r="Y846" s="271"/>
      <c r="Z846" s="271"/>
      <c r="AA846" s="271"/>
      <c r="AB846" s="271"/>
      <c r="AC846" s="269"/>
      <c r="AD846" s="269"/>
      <c r="AE846" s="7"/>
      <c r="AF846" s="13"/>
      <c r="AG846" s="13"/>
      <c r="AH846" s="13"/>
      <c r="AI846" s="13"/>
    </row>
    <row r="847" spans="1:35" x14ac:dyDescent="0.3">
      <c r="A847" s="259">
        <f>A842+1</f>
        <v>624</v>
      </c>
      <c r="B847" s="20" t="s">
        <v>2373</v>
      </c>
      <c r="C847" s="273">
        <f>D847+K847+L847+N847+P847+R847+S847+U847+V847+W847</f>
        <v>182039</v>
      </c>
      <c r="D847" s="273"/>
      <c r="E847" s="273"/>
      <c r="F847" s="273"/>
      <c r="G847" s="273"/>
      <c r="H847" s="273"/>
      <c r="I847" s="273"/>
      <c r="J847" s="50"/>
      <c r="K847" s="273"/>
      <c r="L847" s="273"/>
      <c r="M847" s="273"/>
      <c r="N847" s="273"/>
      <c r="O847" s="273"/>
      <c r="P847" s="273"/>
      <c r="Q847" s="273">
        <v>13</v>
      </c>
      <c r="R847" s="273">
        <f>Q847*(10362+3641)</f>
        <v>182039</v>
      </c>
      <c r="S847" s="273"/>
      <c r="T847" s="273"/>
      <c r="U847" s="273"/>
      <c r="V847" s="273"/>
      <c r="W847" s="273"/>
      <c r="X847" s="271"/>
      <c r="Y847" s="271"/>
      <c r="Z847" s="271"/>
      <c r="AA847" s="271"/>
      <c r="AB847" s="271"/>
      <c r="AC847" s="269"/>
      <c r="AD847" s="269"/>
      <c r="AE847" s="7"/>
      <c r="AF847" s="13"/>
      <c r="AG847" s="13"/>
      <c r="AH847" s="13"/>
      <c r="AI847" s="13"/>
    </row>
    <row r="848" spans="1:35" x14ac:dyDescent="0.3">
      <c r="A848" s="259">
        <f>A847+1</f>
        <v>625</v>
      </c>
      <c r="B848" s="20" t="s">
        <v>2374</v>
      </c>
      <c r="C848" s="273">
        <f>D848+K848+L848+N848+P848+R848+S848+U848+V848+W848</f>
        <v>182039</v>
      </c>
      <c r="D848" s="273"/>
      <c r="E848" s="273"/>
      <c r="F848" s="273"/>
      <c r="G848" s="273"/>
      <c r="H848" s="273"/>
      <c r="I848" s="273"/>
      <c r="J848" s="50"/>
      <c r="K848" s="273"/>
      <c r="L848" s="273"/>
      <c r="M848" s="273"/>
      <c r="N848" s="273"/>
      <c r="O848" s="273"/>
      <c r="P848" s="273"/>
      <c r="Q848" s="273">
        <v>13</v>
      </c>
      <c r="R848" s="273">
        <f>Q848*(10362+3641)</f>
        <v>182039</v>
      </c>
      <c r="S848" s="273"/>
      <c r="T848" s="273"/>
      <c r="U848" s="273"/>
      <c r="V848" s="273"/>
      <c r="W848" s="273"/>
      <c r="X848" s="271"/>
      <c r="Y848" s="271"/>
      <c r="Z848" s="271"/>
      <c r="AA848" s="271"/>
      <c r="AB848" s="271"/>
      <c r="AC848" s="269"/>
      <c r="AD848" s="269"/>
      <c r="AE848" s="7"/>
      <c r="AF848" s="13"/>
      <c r="AG848" s="13"/>
      <c r="AH848" s="13"/>
      <c r="AI848" s="13"/>
    </row>
    <row r="849" spans="1:35" x14ac:dyDescent="0.3">
      <c r="A849" s="259">
        <f>A848+1</f>
        <v>626</v>
      </c>
      <c r="B849" s="20" t="s">
        <v>2381</v>
      </c>
      <c r="C849" s="273">
        <f>D849+K849+L849+N849+P849+R849+S849+U849+V849+W849</f>
        <v>182039</v>
      </c>
      <c r="D849" s="273"/>
      <c r="E849" s="273"/>
      <c r="F849" s="273"/>
      <c r="G849" s="273"/>
      <c r="H849" s="273"/>
      <c r="I849" s="273"/>
      <c r="J849" s="50"/>
      <c r="K849" s="273"/>
      <c r="L849" s="273"/>
      <c r="M849" s="273"/>
      <c r="N849" s="273"/>
      <c r="O849" s="273"/>
      <c r="P849" s="273"/>
      <c r="Q849" s="273">
        <v>13</v>
      </c>
      <c r="R849" s="273">
        <f>Q849*(10362+3641)</f>
        <v>182039</v>
      </c>
      <c r="S849" s="273"/>
      <c r="T849" s="273"/>
      <c r="U849" s="273"/>
      <c r="V849" s="273"/>
      <c r="W849" s="273"/>
      <c r="X849" s="271"/>
      <c r="Y849" s="271"/>
      <c r="Z849" s="271"/>
      <c r="AA849" s="271"/>
      <c r="AB849" s="271"/>
      <c r="AC849" s="269"/>
      <c r="AD849" s="269"/>
      <c r="AE849" s="7"/>
      <c r="AF849" s="13"/>
      <c r="AG849" s="13"/>
      <c r="AH849" s="13"/>
      <c r="AI849" s="13"/>
    </row>
    <row r="850" spans="1:35" x14ac:dyDescent="0.3">
      <c r="A850" s="259">
        <f>A849+1</f>
        <v>627</v>
      </c>
      <c r="B850" s="20" t="s">
        <v>2450</v>
      </c>
      <c r="C850" s="273">
        <f>D850+K850+L850+N850+P850+R850+S850+U850+V850+W850</f>
        <v>182039</v>
      </c>
      <c r="D850" s="273"/>
      <c r="E850" s="273"/>
      <c r="F850" s="273"/>
      <c r="G850" s="273"/>
      <c r="H850" s="273"/>
      <c r="I850" s="273"/>
      <c r="J850" s="50"/>
      <c r="K850" s="273"/>
      <c r="L850" s="273"/>
      <c r="M850" s="273"/>
      <c r="N850" s="273"/>
      <c r="O850" s="273"/>
      <c r="P850" s="273"/>
      <c r="Q850" s="273">
        <v>13</v>
      </c>
      <c r="R850" s="273">
        <f>Q850*(10362+3641)</f>
        <v>182039</v>
      </c>
      <c r="S850" s="273"/>
      <c r="T850" s="273"/>
      <c r="U850" s="273"/>
      <c r="V850" s="273"/>
      <c r="W850" s="273"/>
      <c r="X850" s="271"/>
      <c r="Y850" s="271"/>
      <c r="Z850" s="271"/>
      <c r="AA850" s="271"/>
      <c r="AB850" s="269"/>
      <c r="AD850" s="269"/>
      <c r="AE850" s="7"/>
      <c r="AF850" s="13"/>
      <c r="AG850" s="13"/>
      <c r="AH850" s="13"/>
      <c r="AI850" s="13"/>
    </row>
    <row r="851" spans="1:35" x14ac:dyDescent="0.3">
      <c r="A851" s="259">
        <f>A850+1</f>
        <v>628</v>
      </c>
      <c r="B851" s="20" t="s">
        <v>2454</v>
      </c>
      <c r="C851" s="273">
        <f>D851+K851+L851+N851+P851+R851+S851+U851+V851+W851</f>
        <v>182039</v>
      </c>
      <c r="D851" s="273"/>
      <c r="E851" s="273"/>
      <c r="F851" s="273"/>
      <c r="G851" s="273"/>
      <c r="H851" s="273"/>
      <c r="I851" s="273"/>
      <c r="J851" s="50"/>
      <c r="K851" s="273"/>
      <c r="L851" s="273"/>
      <c r="M851" s="273"/>
      <c r="N851" s="273"/>
      <c r="O851" s="273"/>
      <c r="P851" s="273"/>
      <c r="Q851" s="273">
        <v>13</v>
      </c>
      <c r="R851" s="273">
        <f>Q851*(10362+3641)</f>
        <v>182039</v>
      </c>
      <c r="S851" s="273"/>
      <c r="T851" s="273"/>
      <c r="U851" s="273"/>
      <c r="V851" s="273"/>
      <c r="W851" s="273"/>
      <c r="X851" s="271"/>
      <c r="Y851" s="271"/>
      <c r="Z851" s="271"/>
      <c r="AA851" s="271"/>
      <c r="AB851" s="271"/>
      <c r="AC851" s="269"/>
      <c r="AD851" s="269"/>
      <c r="AE851" s="7"/>
      <c r="AF851" s="13"/>
      <c r="AG851" s="13"/>
      <c r="AH851" s="13"/>
      <c r="AI851" s="13"/>
    </row>
    <row r="852" spans="1:35" x14ac:dyDescent="0.3">
      <c r="A852" s="302" t="s">
        <v>208</v>
      </c>
      <c r="B852" s="302"/>
      <c r="C852" s="273">
        <f t="shared" ref="C852:W852" si="200">SUM(C847:C851)</f>
        <v>910195</v>
      </c>
      <c r="D852" s="273">
        <f t="shared" si="200"/>
        <v>0</v>
      </c>
      <c r="E852" s="273">
        <f t="shared" si="200"/>
        <v>0</v>
      </c>
      <c r="F852" s="273">
        <f t="shared" si="200"/>
        <v>0</v>
      </c>
      <c r="G852" s="273">
        <f t="shared" si="200"/>
        <v>0</v>
      </c>
      <c r="H852" s="273">
        <f t="shared" si="200"/>
        <v>0</v>
      </c>
      <c r="I852" s="273">
        <f t="shared" si="200"/>
        <v>0</v>
      </c>
      <c r="J852" s="50">
        <f t="shared" si="200"/>
        <v>0</v>
      </c>
      <c r="K852" s="273">
        <f t="shared" si="200"/>
        <v>0</v>
      </c>
      <c r="L852" s="273">
        <f t="shared" si="200"/>
        <v>0</v>
      </c>
      <c r="M852" s="273">
        <f t="shared" si="200"/>
        <v>0</v>
      </c>
      <c r="N852" s="273">
        <f t="shared" si="200"/>
        <v>0</v>
      </c>
      <c r="O852" s="273">
        <f t="shared" si="200"/>
        <v>0</v>
      </c>
      <c r="P852" s="273">
        <f t="shared" si="200"/>
        <v>0</v>
      </c>
      <c r="Q852" s="273">
        <f t="shared" si="200"/>
        <v>65</v>
      </c>
      <c r="R852" s="273">
        <f t="shared" si="200"/>
        <v>910195</v>
      </c>
      <c r="S852" s="273">
        <f t="shared" si="200"/>
        <v>0</v>
      </c>
      <c r="T852" s="273">
        <f t="shared" si="200"/>
        <v>0</v>
      </c>
      <c r="U852" s="273">
        <f t="shared" si="200"/>
        <v>0</v>
      </c>
      <c r="V852" s="273">
        <f t="shared" si="200"/>
        <v>0</v>
      </c>
      <c r="W852" s="273">
        <f t="shared" si="200"/>
        <v>0</v>
      </c>
      <c r="X852" s="98"/>
      <c r="Y852" s="271"/>
      <c r="Z852" s="271"/>
      <c r="AA852" s="271"/>
      <c r="AB852" s="271"/>
      <c r="AC852" s="269"/>
      <c r="AD852" s="269"/>
      <c r="AE852" s="7"/>
      <c r="AF852" s="13"/>
      <c r="AG852" s="13"/>
      <c r="AH852" s="13"/>
      <c r="AI852" s="13"/>
    </row>
    <row r="853" spans="1:35" x14ac:dyDescent="0.3">
      <c r="A853" s="304" t="s">
        <v>2460</v>
      </c>
      <c r="B853" s="304"/>
      <c r="C853" s="251">
        <f t="shared" ref="C853:W853" si="201">C852</f>
        <v>910195</v>
      </c>
      <c r="D853" s="251">
        <f t="shared" si="201"/>
        <v>0</v>
      </c>
      <c r="E853" s="251">
        <f t="shared" si="201"/>
        <v>0</v>
      </c>
      <c r="F853" s="251">
        <f t="shared" si="201"/>
        <v>0</v>
      </c>
      <c r="G853" s="251">
        <f t="shared" si="201"/>
        <v>0</v>
      </c>
      <c r="H853" s="251">
        <f t="shared" si="201"/>
        <v>0</v>
      </c>
      <c r="I853" s="251">
        <f t="shared" si="201"/>
        <v>0</v>
      </c>
      <c r="J853" s="57">
        <f t="shared" si="201"/>
        <v>0</v>
      </c>
      <c r="K853" s="251">
        <f t="shared" si="201"/>
        <v>0</v>
      </c>
      <c r="L853" s="251">
        <f t="shared" si="201"/>
        <v>0</v>
      </c>
      <c r="M853" s="251">
        <f t="shared" si="201"/>
        <v>0</v>
      </c>
      <c r="N853" s="251">
        <f t="shared" si="201"/>
        <v>0</v>
      </c>
      <c r="O853" s="251">
        <f t="shared" si="201"/>
        <v>0</v>
      </c>
      <c r="P853" s="251">
        <f t="shared" si="201"/>
        <v>0</v>
      </c>
      <c r="Q853" s="251">
        <f t="shared" si="201"/>
        <v>65</v>
      </c>
      <c r="R853" s="251">
        <f t="shared" si="201"/>
        <v>910195</v>
      </c>
      <c r="S853" s="251">
        <f t="shared" si="201"/>
        <v>0</v>
      </c>
      <c r="T853" s="251">
        <f t="shared" si="201"/>
        <v>0</v>
      </c>
      <c r="U853" s="251">
        <f t="shared" si="201"/>
        <v>0</v>
      </c>
      <c r="V853" s="251">
        <f t="shared" si="201"/>
        <v>0</v>
      </c>
      <c r="W853" s="251">
        <f t="shared" si="201"/>
        <v>0</v>
      </c>
      <c r="X853" s="98"/>
      <c r="Y853" s="271"/>
      <c r="Z853" s="271"/>
      <c r="AA853" s="271"/>
      <c r="AB853" s="271"/>
      <c r="AC853" s="269"/>
      <c r="AD853" s="269"/>
      <c r="AE853" s="7"/>
      <c r="AF853" s="13"/>
      <c r="AG853" s="13"/>
      <c r="AH853" s="13"/>
      <c r="AI853" s="13"/>
    </row>
    <row r="854" spans="1:35" x14ac:dyDescent="0.3">
      <c r="A854" s="303" t="s">
        <v>2461</v>
      </c>
      <c r="B854" s="303"/>
      <c r="C854" s="303"/>
      <c r="D854" s="303"/>
      <c r="E854" s="303"/>
      <c r="F854" s="303"/>
      <c r="G854" s="303"/>
      <c r="H854" s="303"/>
      <c r="I854" s="303"/>
      <c r="J854" s="303"/>
      <c r="K854" s="303"/>
      <c r="L854" s="303"/>
      <c r="M854" s="303"/>
      <c r="N854" s="303"/>
      <c r="O854" s="303"/>
      <c r="P854" s="303"/>
      <c r="Q854" s="303"/>
      <c r="R854" s="303"/>
      <c r="S854" s="303"/>
      <c r="T854" s="303"/>
      <c r="U854" s="303"/>
      <c r="V854" s="303"/>
      <c r="W854" s="303"/>
      <c r="X854" s="37"/>
      <c r="Y854" s="276"/>
      <c r="Z854" s="273"/>
      <c r="AB854" s="273"/>
      <c r="AC854" s="14"/>
      <c r="AD854" s="259"/>
      <c r="AE854" s="13"/>
    </row>
    <row r="855" spans="1:35" x14ac:dyDescent="0.3">
      <c r="A855" s="259">
        <f>A851+1</f>
        <v>629</v>
      </c>
      <c r="B855" s="20" t="s">
        <v>2463</v>
      </c>
      <c r="C855" s="273">
        <f t="shared" ref="C855:C881" si="202">D855+K855+L855+N855+P855+R855+S855+U855+V855+W855</f>
        <v>221099.75</v>
      </c>
      <c r="D855" s="273"/>
      <c r="E855" s="273"/>
      <c r="F855" s="273"/>
      <c r="G855" s="273"/>
      <c r="H855" s="273"/>
      <c r="I855" s="273"/>
      <c r="J855" s="50"/>
      <c r="K855" s="273"/>
      <c r="L855" s="273"/>
      <c r="M855" s="273"/>
      <c r="N855" s="273"/>
      <c r="O855" s="273"/>
      <c r="P855" s="273"/>
      <c r="Q855" s="273"/>
      <c r="R855" s="273"/>
      <c r="S855" s="273"/>
      <c r="T855" s="273"/>
      <c r="U855" s="273"/>
      <c r="V855" s="273"/>
      <c r="W855" s="273">
        <f>SUM(X855:AF855)</f>
        <v>221099.75</v>
      </c>
      <c r="X855" s="282"/>
      <c r="Y855" s="119"/>
      <c r="Z855" s="273"/>
      <c r="AB855" s="119"/>
      <c r="AD855" s="273">
        <v>221099.75</v>
      </c>
      <c r="AE855" s="261"/>
      <c r="AF855" s="273"/>
    </row>
    <row r="856" spans="1:35" x14ac:dyDescent="0.3">
      <c r="A856" s="259">
        <f t="shared" ref="A856:A917" si="203">A855+1</f>
        <v>630</v>
      </c>
      <c r="B856" s="20" t="s">
        <v>2464</v>
      </c>
      <c r="C856" s="273">
        <f t="shared" si="202"/>
        <v>894905.16</v>
      </c>
      <c r="D856" s="273"/>
      <c r="E856" s="273"/>
      <c r="F856" s="273"/>
      <c r="G856" s="273"/>
      <c r="H856" s="273"/>
      <c r="I856" s="273"/>
      <c r="J856" s="50"/>
      <c r="K856" s="273"/>
      <c r="L856" s="273"/>
      <c r="M856" s="273"/>
      <c r="N856" s="273"/>
      <c r="O856" s="22"/>
      <c r="P856" s="273"/>
      <c r="Q856" s="273"/>
      <c r="R856" s="273"/>
      <c r="S856" s="273"/>
      <c r="T856" s="273"/>
      <c r="U856" s="273"/>
      <c r="V856" s="273"/>
      <c r="W856" s="273">
        <f t="shared" ref="W856:W881" si="204">SUM(X856:AF856)</f>
        <v>894905.16</v>
      </c>
      <c r="X856" s="282"/>
      <c r="Y856" s="119"/>
      <c r="Z856" s="273"/>
      <c r="AB856" s="119"/>
      <c r="AD856" s="273">
        <v>894905.16</v>
      </c>
      <c r="AE856" s="261"/>
      <c r="AF856" s="273"/>
    </row>
    <row r="857" spans="1:35" x14ac:dyDescent="0.3">
      <c r="A857" s="259">
        <f t="shared" si="203"/>
        <v>631</v>
      </c>
      <c r="B857" s="20" t="s">
        <v>2465</v>
      </c>
      <c r="C857" s="273">
        <f t="shared" si="202"/>
        <v>616252.63</v>
      </c>
      <c r="D857" s="273"/>
      <c r="E857" s="273"/>
      <c r="F857" s="273"/>
      <c r="G857" s="273"/>
      <c r="H857" s="273"/>
      <c r="I857" s="273"/>
      <c r="J857" s="50"/>
      <c r="K857" s="273"/>
      <c r="L857" s="273"/>
      <c r="M857" s="273"/>
      <c r="N857" s="273"/>
      <c r="O857" s="22"/>
      <c r="P857" s="273"/>
      <c r="Q857" s="273"/>
      <c r="R857" s="273"/>
      <c r="S857" s="273"/>
      <c r="T857" s="273"/>
      <c r="U857" s="273"/>
      <c r="V857" s="273"/>
      <c r="W857" s="273">
        <f t="shared" si="204"/>
        <v>616252.63</v>
      </c>
      <c r="X857" s="282"/>
      <c r="Y857" s="119"/>
      <c r="Z857" s="273"/>
      <c r="AB857" s="119"/>
      <c r="AD857" s="273">
        <v>616252.63</v>
      </c>
      <c r="AE857" s="261"/>
      <c r="AF857" s="273"/>
    </row>
    <row r="858" spans="1:35" x14ac:dyDescent="0.3">
      <c r="A858" s="259">
        <f t="shared" si="203"/>
        <v>632</v>
      </c>
      <c r="B858" s="20" t="s">
        <v>2467</v>
      </c>
      <c r="C858" s="273">
        <f t="shared" si="202"/>
        <v>222304.86</v>
      </c>
      <c r="D858" s="273"/>
      <c r="E858" s="273"/>
      <c r="F858" s="273"/>
      <c r="G858" s="273"/>
      <c r="H858" s="273"/>
      <c r="I858" s="273"/>
      <c r="J858" s="50"/>
      <c r="K858" s="273"/>
      <c r="L858" s="273"/>
      <c r="M858" s="273"/>
      <c r="N858" s="273"/>
      <c r="O858" s="22"/>
      <c r="P858" s="273"/>
      <c r="Q858" s="273"/>
      <c r="R858" s="273"/>
      <c r="S858" s="273"/>
      <c r="T858" s="273"/>
      <c r="U858" s="273"/>
      <c r="V858" s="273"/>
      <c r="W858" s="273">
        <f t="shared" si="204"/>
        <v>222304.86</v>
      </c>
      <c r="X858" s="282"/>
      <c r="Y858" s="119"/>
      <c r="Z858" s="273"/>
      <c r="AB858" s="119"/>
      <c r="AD858" s="273">
        <v>222304.86</v>
      </c>
      <c r="AE858" s="261"/>
      <c r="AF858" s="273"/>
    </row>
    <row r="859" spans="1:35" x14ac:dyDescent="0.3">
      <c r="A859" s="259">
        <f t="shared" si="203"/>
        <v>633</v>
      </c>
      <c r="B859" s="20" t="s">
        <v>2468</v>
      </c>
      <c r="C859" s="273">
        <f t="shared" si="202"/>
        <v>217516.11</v>
      </c>
      <c r="D859" s="273"/>
      <c r="E859" s="273"/>
      <c r="F859" s="273"/>
      <c r="G859" s="273"/>
      <c r="H859" s="273"/>
      <c r="I859" s="273"/>
      <c r="J859" s="50"/>
      <c r="K859" s="273"/>
      <c r="L859" s="273"/>
      <c r="M859" s="273"/>
      <c r="N859" s="273"/>
      <c r="O859" s="273"/>
      <c r="P859" s="273"/>
      <c r="Q859" s="273"/>
      <c r="R859" s="273"/>
      <c r="S859" s="273"/>
      <c r="T859" s="273"/>
      <c r="U859" s="273"/>
      <c r="V859" s="273"/>
      <c r="W859" s="273">
        <f t="shared" si="204"/>
        <v>217516.11</v>
      </c>
      <c r="X859" s="282"/>
      <c r="Y859" s="119"/>
      <c r="Z859" s="273"/>
      <c r="AB859" s="119"/>
      <c r="AD859" s="273">
        <v>217516.11</v>
      </c>
      <c r="AE859" s="261"/>
      <c r="AF859" s="273"/>
    </row>
    <row r="860" spans="1:35" x14ac:dyDescent="0.3">
      <c r="A860" s="259">
        <f t="shared" si="203"/>
        <v>634</v>
      </c>
      <c r="B860" s="20" t="s">
        <v>2469</v>
      </c>
      <c r="C860" s="273">
        <f t="shared" si="202"/>
        <v>326719.15999999997</v>
      </c>
      <c r="D860" s="273"/>
      <c r="E860" s="273"/>
      <c r="F860" s="273"/>
      <c r="G860" s="273"/>
      <c r="H860" s="273"/>
      <c r="I860" s="273"/>
      <c r="J860" s="50"/>
      <c r="K860" s="273"/>
      <c r="L860" s="273"/>
      <c r="M860" s="273"/>
      <c r="N860" s="273"/>
      <c r="O860" s="273"/>
      <c r="P860" s="273"/>
      <c r="Q860" s="22"/>
      <c r="R860" s="273"/>
      <c r="S860" s="273"/>
      <c r="T860" s="273"/>
      <c r="U860" s="273"/>
      <c r="V860" s="273"/>
      <c r="W860" s="273">
        <f t="shared" si="204"/>
        <v>326719.15999999997</v>
      </c>
      <c r="X860" s="282"/>
      <c r="Y860" s="119"/>
      <c r="Z860" s="273"/>
      <c r="AB860" s="119"/>
      <c r="AD860" s="273">
        <v>326719.15999999997</v>
      </c>
      <c r="AE860" s="261"/>
      <c r="AF860" s="273"/>
    </row>
    <row r="861" spans="1:35" x14ac:dyDescent="0.3">
      <c r="A861" s="259">
        <f t="shared" si="203"/>
        <v>635</v>
      </c>
      <c r="B861" s="20" t="s">
        <v>2470</v>
      </c>
      <c r="C861" s="273">
        <f t="shared" si="202"/>
        <v>321021.3</v>
      </c>
      <c r="D861" s="273"/>
      <c r="E861" s="273"/>
      <c r="F861" s="273"/>
      <c r="G861" s="273"/>
      <c r="H861" s="273"/>
      <c r="I861" s="273"/>
      <c r="J861" s="50"/>
      <c r="K861" s="273"/>
      <c r="L861" s="273"/>
      <c r="M861" s="273"/>
      <c r="N861" s="273"/>
      <c r="O861" s="273"/>
      <c r="P861" s="273"/>
      <c r="Q861" s="22"/>
      <c r="R861" s="273"/>
      <c r="S861" s="273"/>
      <c r="T861" s="273"/>
      <c r="U861" s="273"/>
      <c r="V861" s="273"/>
      <c r="W861" s="273">
        <f t="shared" si="204"/>
        <v>321021.3</v>
      </c>
      <c r="X861" s="282"/>
      <c r="Y861" s="119"/>
      <c r="Z861" s="273"/>
      <c r="AB861" s="119"/>
      <c r="AD861" s="273">
        <v>321021.3</v>
      </c>
      <c r="AE861" s="261"/>
      <c r="AF861" s="273"/>
    </row>
    <row r="862" spans="1:35" x14ac:dyDescent="0.3">
      <c r="A862" s="259">
        <f t="shared" si="203"/>
        <v>636</v>
      </c>
      <c r="B862" s="20" t="s">
        <v>2471</v>
      </c>
      <c r="C862" s="273">
        <f t="shared" si="202"/>
        <v>321544.94</v>
      </c>
      <c r="D862" s="273"/>
      <c r="E862" s="273"/>
      <c r="F862" s="273"/>
      <c r="G862" s="273"/>
      <c r="H862" s="273"/>
      <c r="I862" s="273"/>
      <c r="J862" s="50"/>
      <c r="K862" s="273"/>
      <c r="L862" s="273"/>
      <c r="M862" s="273"/>
      <c r="N862" s="273"/>
      <c r="O862" s="273"/>
      <c r="P862" s="273"/>
      <c r="Q862" s="22"/>
      <c r="R862" s="273"/>
      <c r="S862" s="273"/>
      <c r="T862" s="273"/>
      <c r="U862" s="273"/>
      <c r="V862" s="273"/>
      <c r="W862" s="273">
        <f t="shared" si="204"/>
        <v>321544.94</v>
      </c>
      <c r="X862" s="282"/>
      <c r="Y862" s="119"/>
      <c r="Z862" s="273"/>
      <c r="AB862" s="119"/>
      <c r="AD862" s="273">
        <v>321544.94</v>
      </c>
      <c r="AE862" s="261"/>
      <c r="AF862" s="261"/>
    </row>
    <row r="863" spans="1:35" x14ac:dyDescent="0.3">
      <c r="A863" s="259">
        <f t="shared" si="203"/>
        <v>637</v>
      </c>
      <c r="B863" s="20" t="s">
        <v>2472</v>
      </c>
      <c r="C863" s="273">
        <f t="shared" si="202"/>
        <v>321919.01</v>
      </c>
      <c r="D863" s="273"/>
      <c r="E863" s="273"/>
      <c r="F863" s="273"/>
      <c r="G863" s="273"/>
      <c r="H863" s="273"/>
      <c r="I863" s="273"/>
      <c r="J863" s="50"/>
      <c r="K863" s="273"/>
      <c r="L863" s="273"/>
      <c r="M863" s="273"/>
      <c r="N863" s="273"/>
      <c r="O863" s="273"/>
      <c r="P863" s="273"/>
      <c r="Q863" s="273"/>
      <c r="R863" s="273"/>
      <c r="S863" s="273"/>
      <c r="T863" s="273"/>
      <c r="U863" s="273"/>
      <c r="V863" s="273"/>
      <c r="W863" s="273">
        <f t="shared" si="204"/>
        <v>321919.01</v>
      </c>
      <c r="X863" s="282"/>
      <c r="Y863" s="119"/>
      <c r="Z863" s="273"/>
      <c r="AB863" s="119"/>
      <c r="AD863" s="273">
        <v>321919.01</v>
      </c>
      <c r="AE863" s="261"/>
      <c r="AF863" s="273"/>
    </row>
    <row r="864" spans="1:35" x14ac:dyDescent="0.3">
      <c r="A864" s="259">
        <f t="shared" si="203"/>
        <v>638</v>
      </c>
      <c r="B864" s="20" t="s">
        <v>2473</v>
      </c>
      <c r="C864" s="273">
        <f t="shared" si="202"/>
        <v>217516.11</v>
      </c>
      <c r="D864" s="273"/>
      <c r="E864" s="273"/>
      <c r="F864" s="273"/>
      <c r="G864" s="273"/>
      <c r="H864" s="273"/>
      <c r="I864" s="273"/>
      <c r="J864" s="50"/>
      <c r="K864" s="273"/>
      <c r="L864" s="273"/>
      <c r="M864" s="273"/>
      <c r="N864" s="273"/>
      <c r="O864" s="273"/>
      <c r="P864" s="273"/>
      <c r="Q864" s="273"/>
      <c r="R864" s="273"/>
      <c r="S864" s="273"/>
      <c r="T864" s="273"/>
      <c r="U864" s="273"/>
      <c r="V864" s="273"/>
      <c r="W864" s="273">
        <f t="shared" si="204"/>
        <v>217516.11</v>
      </c>
      <c r="X864" s="282"/>
      <c r="Y864" s="119"/>
      <c r="Z864" s="273"/>
      <c r="AB864" s="119"/>
      <c r="AD864" s="273">
        <v>217516.11</v>
      </c>
      <c r="AE864" s="261"/>
      <c r="AF864" s="273"/>
    </row>
    <row r="865" spans="1:32" x14ac:dyDescent="0.3">
      <c r="A865" s="259">
        <f t="shared" si="203"/>
        <v>639</v>
      </c>
      <c r="B865" s="20" t="s">
        <v>2474</v>
      </c>
      <c r="C865" s="273">
        <f t="shared" si="202"/>
        <v>481965.16</v>
      </c>
      <c r="D865" s="273"/>
      <c r="E865" s="273"/>
      <c r="F865" s="273"/>
      <c r="G865" s="273"/>
      <c r="H865" s="273"/>
      <c r="I865" s="273"/>
      <c r="J865" s="50"/>
      <c r="K865" s="273"/>
      <c r="L865" s="273"/>
      <c r="M865" s="273"/>
      <c r="N865" s="273"/>
      <c r="O865" s="273"/>
      <c r="P865" s="273"/>
      <c r="Q865" s="273"/>
      <c r="R865" s="273"/>
      <c r="S865" s="273"/>
      <c r="T865" s="273"/>
      <c r="U865" s="273"/>
      <c r="V865" s="273"/>
      <c r="W865" s="273">
        <f t="shared" si="204"/>
        <v>481965.16</v>
      </c>
      <c r="X865" s="282"/>
      <c r="Y865" s="119"/>
      <c r="Z865" s="273"/>
      <c r="AB865" s="119"/>
      <c r="AD865" s="273">
        <v>481965.16</v>
      </c>
      <c r="AE865" s="261"/>
      <c r="AF865" s="273"/>
    </row>
    <row r="866" spans="1:32" x14ac:dyDescent="0.3">
      <c r="A866" s="259">
        <f t="shared" si="203"/>
        <v>640</v>
      </c>
      <c r="B866" s="20" t="s">
        <v>2475</v>
      </c>
      <c r="C866" s="273">
        <f t="shared" si="202"/>
        <v>310231.15000000002</v>
      </c>
      <c r="D866" s="273"/>
      <c r="E866" s="273"/>
      <c r="F866" s="273"/>
      <c r="G866" s="273"/>
      <c r="H866" s="273"/>
      <c r="I866" s="273"/>
      <c r="J866" s="50"/>
      <c r="K866" s="273"/>
      <c r="L866" s="273"/>
      <c r="M866" s="273"/>
      <c r="N866" s="273"/>
      <c r="O866" s="273"/>
      <c r="P866" s="273"/>
      <c r="Q866" s="22"/>
      <c r="R866" s="273"/>
      <c r="S866" s="273"/>
      <c r="T866" s="273"/>
      <c r="U866" s="273"/>
      <c r="V866" s="273"/>
      <c r="W866" s="273">
        <f t="shared" si="204"/>
        <v>310231.15000000002</v>
      </c>
      <c r="X866" s="282"/>
      <c r="Y866" s="119"/>
      <c r="Z866" s="273"/>
      <c r="AB866" s="119"/>
      <c r="AD866" s="273">
        <v>310231.15000000002</v>
      </c>
      <c r="AE866" s="261"/>
      <c r="AF866" s="273"/>
    </row>
    <row r="867" spans="1:32" x14ac:dyDescent="0.3">
      <c r="A867" s="259">
        <f t="shared" si="203"/>
        <v>641</v>
      </c>
      <c r="B867" s="20" t="s">
        <v>2476</v>
      </c>
      <c r="C867" s="273">
        <f t="shared" si="202"/>
        <v>224302.83</v>
      </c>
      <c r="D867" s="273"/>
      <c r="E867" s="273"/>
      <c r="F867" s="273"/>
      <c r="G867" s="273"/>
      <c r="H867" s="273"/>
      <c r="I867" s="273"/>
      <c r="J867" s="50"/>
      <c r="K867" s="273"/>
      <c r="L867" s="273"/>
      <c r="M867" s="273"/>
      <c r="N867" s="273"/>
      <c r="O867" s="273"/>
      <c r="P867" s="273"/>
      <c r="Q867" s="22"/>
      <c r="R867" s="273"/>
      <c r="S867" s="273"/>
      <c r="T867" s="273"/>
      <c r="U867" s="273"/>
      <c r="V867" s="273"/>
      <c r="W867" s="273">
        <f t="shared" si="204"/>
        <v>224302.83</v>
      </c>
      <c r="X867" s="282"/>
      <c r="Y867" s="119"/>
      <c r="Z867" s="273"/>
      <c r="AB867" s="119"/>
      <c r="AD867" s="273">
        <v>224302.83</v>
      </c>
      <c r="AE867" s="261"/>
      <c r="AF867" s="273"/>
    </row>
    <row r="868" spans="1:32" x14ac:dyDescent="0.3">
      <c r="A868" s="259">
        <f t="shared" si="203"/>
        <v>642</v>
      </c>
      <c r="B868" s="20" t="s">
        <v>2477</v>
      </c>
      <c r="C868" s="273">
        <f t="shared" si="202"/>
        <v>226808.21</v>
      </c>
      <c r="D868" s="273"/>
      <c r="E868" s="273"/>
      <c r="F868" s="273"/>
      <c r="G868" s="273"/>
      <c r="H868" s="273"/>
      <c r="I868" s="273"/>
      <c r="J868" s="50"/>
      <c r="K868" s="273"/>
      <c r="L868" s="273"/>
      <c r="M868" s="273"/>
      <c r="N868" s="273"/>
      <c r="O868" s="273"/>
      <c r="P868" s="273"/>
      <c r="Q868" s="22"/>
      <c r="R868" s="273"/>
      <c r="S868" s="273"/>
      <c r="T868" s="273"/>
      <c r="U868" s="273"/>
      <c r="V868" s="273"/>
      <c r="W868" s="273">
        <f t="shared" si="204"/>
        <v>226808.21</v>
      </c>
      <c r="X868" s="282"/>
      <c r="Y868" s="119"/>
      <c r="Z868" s="273"/>
      <c r="AB868" s="119"/>
      <c r="AD868" s="273">
        <v>226808.21</v>
      </c>
      <c r="AE868" s="261"/>
      <c r="AF868" s="273"/>
    </row>
    <row r="869" spans="1:32" x14ac:dyDescent="0.3">
      <c r="A869" s="259">
        <f t="shared" si="203"/>
        <v>643</v>
      </c>
      <c r="B869" s="20" t="s">
        <v>2478</v>
      </c>
      <c r="C869" s="273">
        <f t="shared" si="202"/>
        <v>562989.48</v>
      </c>
      <c r="D869" s="273"/>
      <c r="E869" s="273"/>
      <c r="F869" s="273"/>
      <c r="G869" s="273"/>
      <c r="H869" s="273"/>
      <c r="I869" s="273"/>
      <c r="J869" s="50"/>
      <c r="K869" s="273"/>
      <c r="L869" s="273"/>
      <c r="M869" s="273"/>
      <c r="N869" s="273"/>
      <c r="O869" s="273"/>
      <c r="P869" s="273"/>
      <c r="Q869" s="22"/>
      <c r="R869" s="273"/>
      <c r="S869" s="273"/>
      <c r="T869" s="273"/>
      <c r="U869" s="273"/>
      <c r="V869" s="273"/>
      <c r="W869" s="273">
        <f t="shared" si="204"/>
        <v>562989.48</v>
      </c>
      <c r="X869" s="282"/>
      <c r="Y869" s="119"/>
      <c r="Z869" s="273"/>
      <c r="AB869" s="119"/>
      <c r="AD869" s="273">
        <v>562989.48</v>
      </c>
      <c r="AE869" s="261"/>
      <c r="AF869" s="273"/>
    </row>
    <row r="870" spans="1:32" x14ac:dyDescent="0.3">
      <c r="A870" s="259">
        <f t="shared" si="203"/>
        <v>644</v>
      </c>
      <c r="B870" s="20" t="s">
        <v>2479</v>
      </c>
      <c r="C870" s="273">
        <f t="shared" si="202"/>
        <v>223319.7</v>
      </c>
      <c r="D870" s="273"/>
      <c r="E870" s="273"/>
      <c r="F870" s="273"/>
      <c r="G870" s="273"/>
      <c r="H870" s="273"/>
      <c r="I870" s="273"/>
      <c r="J870" s="50"/>
      <c r="K870" s="273"/>
      <c r="L870" s="273"/>
      <c r="M870" s="273"/>
      <c r="N870" s="273"/>
      <c r="O870" s="273"/>
      <c r="P870" s="273"/>
      <c r="Q870" s="22"/>
      <c r="R870" s="273"/>
      <c r="S870" s="273"/>
      <c r="T870" s="273"/>
      <c r="U870" s="273"/>
      <c r="V870" s="273"/>
      <c r="W870" s="273">
        <f t="shared" si="204"/>
        <v>223319.7</v>
      </c>
      <c r="X870" s="282"/>
      <c r="Y870" s="119"/>
      <c r="Z870" s="273"/>
      <c r="AB870" s="119"/>
      <c r="AD870" s="273">
        <v>223319.7</v>
      </c>
      <c r="AE870" s="261"/>
      <c r="AF870" s="273"/>
    </row>
    <row r="871" spans="1:32" x14ac:dyDescent="0.3">
      <c r="A871" s="259">
        <f t="shared" si="203"/>
        <v>645</v>
      </c>
      <c r="B871" s="20" t="s">
        <v>2480</v>
      </c>
      <c r="C871" s="273">
        <f t="shared" si="202"/>
        <v>323340.34999999998</v>
      </c>
      <c r="D871" s="273"/>
      <c r="E871" s="273"/>
      <c r="F871" s="273"/>
      <c r="G871" s="273"/>
      <c r="H871" s="273"/>
      <c r="I871" s="273"/>
      <c r="J871" s="50"/>
      <c r="K871" s="273"/>
      <c r="L871" s="273"/>
      <c r="M871" s="273"/>
      <c r="N871" s="273"/>
      <c r="O871" s="273"/>
      <c r="P871" s="273"/>
      <c r="Q871" s="22"/>
      <c r="R871" s="273"/>
      <c r="S871" s="273"/>
      <c r="T871" s="273"/>
      <c r="U871" s="273"/>
      <c r="V871" s="273"/>
      <c r="W871" s="273">
        <f t="shared" si="204"/>
        <v>323340.34999999998</v>
      </c>
      <c r="X871" s="282"/>
      <c r="Y871" s="119"/>
      <c r="Z871" s="273"/>
      <c r="AB871" s="119"/>
      <c r="AD871" s="273">
        <v>323340.34999999998</v>
      </c>
      <c r="AE871" s="261"/>
      <c r="AF871" s="273"/>
    </row>
    <row r="872" spans="1:32" x14ac:dyDescent="0.3">
      <c r="A872" s="259">
        <f t="shared" si="203"/>
        <v>646</v>
      </c>
      <c r="B872" s="20" t="s">
        <v>2481</v>
      </c>
      <c r="C872" s="273">
        <f t="shared" si="202"/>
        <v>443920.3</v>
      </c>
      <c r="D872" s="273"/>
      <c r="E872" s="273"/>
      <c r="F872" s="273"/>
      <c r="G872" s="273"/>
      <c r="H872" s="273"/>
      <c r="I872" s="273"/>
      <c r="J872" s="50"/>
      <c r="K872" s="273"/>
      <c r="L872" s="273"/>
      <c r="M872" s="273"/>
      <c r="N872" s="273"/>
      <c r="O872" s="273"/>
      <c r="P872" s="273"/>
      <c r="Q872" s="273"/>
      <c r="R872" s="273"/>
      <c r="S872" s="273"/>
      <c r="T872" s="273"/>
      <c r="U872" s="273"/>
      <c r="V872" s="273"/>
      <c r="W872" s="273">
        <f t="shared" si="204"/>
        <v>443920.3</v>
      </c>
      <c r="X872" s="282"/>
      <c r="Y872" s="119"/>
      <c r="Z872" s="273"/>
      <c r="AB872" s="119"/>
      <c r="AD872" s="273">
        <v>443920.3</v>
      </c>
      <c r="AE872" s="261"/>
      <c r="AF872" s="273"/>
    </row>
    <row r="873" spans="1:32" x14ac:dyDescent="0.3">
      <c r="A873" s="259">
        <f t="shared" si="203"/>
        <v>647</v>
      </c>
      <c r="B873" s="20" t="s">
        <v>2482</v>
      </c>
      <c r="C873" s="273">
        <f t="shared" si="202"/>
        <v>322779.28999999998</v>
      </c>
      <c r="D873" s="273"/>
      <c r="E873" s="273"/>
      <c r="F873" s="273"/>
      <c r="G873" s="273"/>
      <c r="H873" s="273"/>
      <c r="I873" s="273"/>
      <c r="J873" s="50"/>
      <c r="K873" s="273"/>
      <c r="L873" s="273"/>
      <c r="M873" s="273"/>
      <c r="N873" s="273"/>
      <c r="O873" s="273"/>
      <c r="P873" s="273"/>
      <c r="Q873" s="273"/>
      <c r="R873" s="273"/>
      <c r="S873" s="273"/>
      <c r="T873" s="273"/>
      <c r="U873" s="273"/>
      <c r="V873" s="273"/>
      <c r="W873" s="273">
        <f t="shared" si="204"/>
        <v>322779.28999999998</v>
      </c>
      <c r="X873" s="282"/>
      <c r="Y873" s="119"/>
      <c r="Z873" s="273"/>
      <c r="AB873" s="119"/>
      <c r="AD873" s="273">
        <v>322779.28999999998</v>
      </c>
      <c r="AE873" s="261"/>
      <c r="AF873" s="273"/>
    </row>
    <row r="874" spans="1:32" x14ac:dyDescent="0.3">
      <c r="A874" s="259">
        <f t="shared" si="203"/>
        <v>648</v>
      </c>
      <c r="B874" s="20" t="s">
        <v>2483</v>
      </c>
      <c r="C874" s="273">
        <f t="shared" si="202"/>
        <v>512388.84</v>
      </c>
      <c r="D874" s="273"/>
      <c r="E874" s="273"/>
      <c r="F874" s="273"/>
      <c r="G874" s="273"/>
      <c r="H874" s="273"/>
      <c r="I874" s="273"/>
      <c r="J874" s="50"/>
      <c r="K874" s="273"/>
      <c r="L874" s="273"/>
      <c r="M874" s="273"/>
      <c r="N874" s="273"/>
      <c r="O874" s="273"/>
      <c r="P874" s="273"/>
      <c r="Q874" s="22"/>
      <c r="R874" s="273"/>
      <c r="S874" s="273"/>
      <c r="T874" s="273"/>
      <c r="U874" s="273"/>
      <c r="V874" s="273"/>
      <c r="W874" s="273">
        <f t="shared" si="204"/>
        <v>512388.84</v>
      </c>
      <c r="X874" s="282"/>
      <c r="Y874" s="119"/>
      <c r="Z874" s="273"/>
      <c r="AB874" s="119"/>
      <c r="AD874" s="273">
        <v>512388.84</v>
      </c>
      <c r="AE874" s="261"/>
      <c r="AF874" s="273"/>
    </row>
    <row r="875" spans="1:32" x14ac:dyDescent="0.3">
      <c r="A875" s="259">
        <f t="shared" si="203"/>
        <v>649</v>
      </c>
      <c r="B875" s="20" t="s">
        <v>2484</v>
      </c>
      <c r="C875" s="273">
        <f t="shared" si="202"/>
        <v>431504.37</v>
      </c>
      <c r="D875" s="273"/>
      <c r="E875" s="273"/>
      <c r="F875" s="273"/>
      <c r="G875" s="273"/>
      <c r="H875" s="273"/>
      <c r="I875" s="273"/>
      <c r="J875" s="50"/>
      <c r="K875" s="273"/>
      <c r="L875" s="273"/>
      <c r="M875" s="273"/>
      <c r="N875" s="273"/>
      <c r="O875" s="273"/>
      <c r="P875" s="273"/>
      <c r="Q875" s="22"/>
      <c r="R875" s="273"/>
      <c r="S875" s="273"/>
      <c r="T875" s="273"/>
      <c r="U875" s="273"/>
      <c r="V875" s="273"/>
      <c r="W875" s="273">
        <f t="shared" si="204"/>
        <v>431504.37</v>
      </c>
      <c r="X875" s="282"/>
      <c r="Y875" s="119"/>
      <c r="Z875" s="273"/>
      <c r="AB875" s="119"/>
      <c r="AD875" s="273">
        <v>431504.37</v>
      </c>
      <c r="AE875" s="261"/>
      <c r="AF875" s="273"/>
    </row>
    <row r="876" spans="1:32" x14ac:dyDescent="0.3">
      <c r="A876" s="259">
        <f t="shared" si="203"/>
        <v>650</v>
      </c>
      <c r="B876" s="20" t="s">
        <v>2485</v>
      </c>
      <c r="C876" s="273">
        <f t="shared" si="202"/>
        <v>533338.26</v>
      </c>
      <c r="D876" s="273"/>
      <c r="E876" s="273"/>
      <c r="F876" s="273"/>
      <c r="G876" s="273"/>
      <c r="H876" s="273"/>
      <c r="I876" s="273"/>
      <c r="J876" s="50"/>
      <c r="K876" s="273"/>
      <c r="L876" s="273"/>
      <c r="M876" s="273"/>
      <c r="N876" s="273"/>
      <c r="O876" s="273"/>
      <c r="P876" s="273"/>
      <c r="Q876" s="22"/>
      <c r="R876" s="273"/>
      <c r="S876" s="273"/>
      <c r="T876" s="273"/>
      <c r="U876" s="273"/>
      <c r="V876" s="273"/>
      <c r="W876" s="273">
        <f t="shared" si="204"/>
        <v>533338.26</v>
      </c>
      <c r="X876" s="282"/>
      <c r="Y876" s="119"/>
      <c r="Z876" s="273"/>
      <c r="AB876" s="119"/>
      <c r="AD876" s="273">
        <v>533338.26</v>
      </c>
      <c r="AE876" s="261"/>
      <c r="AF876" s="273"/>
    </row>
    <row r="877" spans="1:32" x14ac:dyDescent="0.3">
      <c r="A877" s="259">
        <f t="shared" si="203"/>
        <v>651</v>
      </c>
      <c r="B877" s="20" t="s">
        <v>2486</v>
      </c>
      <c r="C877" s="273">
        <f t="shared" si="202"/>
        <v>339361.68</v>
      </c>
      <c r="D877" s="273"/>
      <c r="E877" s="273"/>
      <c r="F877" s="273"/>
      <c r="G877" s="273"/>
      <c r="H877" s="273"/>
      <c r="I877" s="273"/>
      <c r="J877" s="50"/>
      <c r="K877" s="273"/>
      <c r="L877" s="273"/>
      <c r="M877" s="273"/>
      <c r="N877" s="273"/>
      <c r="O877" s="273"/>
      <c r="P877" s="273"/>
      <c r="Q877" s="22"/>
      <c r="R877" s="273"/>
      <c r="S877" s="273"/>
      <c r="T877" s="273"/>
      <c r="U877" s="273"/>
      <c r="V877" s="273"/>
      <c r="W877" s="273">
        <f t="shared" si="204"/>
        <v>339361.68</v>
      </c>
      <c r="X877" s="282"/>
      <c r="Y877" s="119"/>
      <c r="Z877" s="273"/>
      <c r="AB877" s="119"/>
      <c r="AD877" s="273">
        <v>339361.68</v>
      </c>
      <c r="AE877" s="261"/>
      <c r="AF877" s="273"/>
    </row>
    <row r="878" spans="1:32" x14ac:dyDescent="0.3">
      <c r="A878" s="259">
        <f t="shared" si="203"/>
        <v>652</v>
      </c>
      <c r="B878" s="20" t="s">
        <v>2487</v>
      </c>
      <c r="C878" s="273">
        <f t="shared" si="202"/>
        <v>528824.86</v>
      </c>
      <c r="D878" s="273"/>
      <c r="E878" s="273"/>
      <c r="F878" s="273"/>
      <c r="G878" s="273"/>
      <c r="H878" s="273"/>
      <c r="I878" s="273"/>
      <c r="J878" s="50"/>
      <c r="K878" s="273"/>
      <c r="L878" s="273"/>
      <c r="M878" s="273"/>
      <c r="N878" s="273"/>
      <c r="O878" s="273"/>
      <c r="P878" s="273"/>
      <c r="Q878" s="22"/>
      <c r="R878" s="273"/>
      <c r="S878" s="273"/>
      <c r="T878" s="273"/>
      <c r="U878" s="273"/>
      <c r="V878" s="273"/>
      <c r="W878" s="273">
        <f t="shared" si="204"/>
        <v>528824.86</v>
      </c>
      <c r="X878" s="282"/>
      <c r="Y878" s="119"/>
      <c r="Z878" s="273"/>
      <c r="AB878" s="119"/>
      <c r="AD878" s="273">
        <v>528824.86</v>
      </c>
      <c r="AE878" s="261"/>
      <c r="AF878" s="273"/>
    </row>
    <row r="879" spans="1:32" x14ac:dyDescent="0.3">
      <c r="A879" s="259">
        <f t="shared" si="203"/>
        <v>653</v>
      </c>
      <c r="B879" s="20" t="s">
        <v>2492</v>
      </c>
      <c r="C879" s="273">
        <f t="shared" si="202"/>
        <v>523501.03</v>
      </c>
      <c r="D879" s="273"/>
      <c r="E879" s="273"/>
      <c r="F879" s="273"/>
      <c r="G879" s="273"/>
      <c r="H879" s="273"/>
      <c r="I879" s="273"/>
      <c r="J879" s="50"/>
      <c r="K879" s="273"/>
      <c r="L879" s="273"/>
      <c r="M879" s="273"/>
      <c r="N879" s="273"/>
      <c r="O879" s="273"/>
      <c r="P879" s="273"/>
      <c r="Q879" s="273"/>
      <c r="R879" s="273"/>
      <c r="S879" s="273"/>
      <c r="T879" s="273"/>
      <c r="U879" s="273"/>
      <c r="V879" s="273"/>
      <c r="W879" s="273">
        <f t="shared" si="204"/>
        <v>523501.03</v>
      </c>
      <c r="X879" s="282"/>
      <c r="Y879" s="119"/>
      <c r="Z879" s="273"/>
      <c r="AB879" s="119"/>
      <c r="AD879" s="273">
        <v>523501.03</v>
      </c>
      <c r="AE879" s="261"/>
      <c r="AF879" s="273"/>
    </row>
    <row r="880" spans="1:32" x14ac:dyDescent="0.3">
      <c r="A880" s="259">
        <f t="shared" si="203"/>
        <v>654</v>
      </c>
      <c r="B880" s="20" t="s">
        <v>2493</v>
      </c>
      <c r="C880" s="273">
        <f t="shared" si="202"/>
        <v>258347.42</v>
      </c>
      <c r="D880" s="273"/>
      <c r="E880" s="273"/>
      <c r="F880" s="273"/>
      <c r="G880" s="273"/>
      <c r="H880" s="273"/>
      <c r="I880" s="273"/>
      <c r="J880" s="50"/>
      <c r="K880" s="273"/>
      <c r="L880" s="273"/>
      <c r="M880" s="273"/>
      <c r="N880" s="273"/>
      <c r="O880" s="273"/>
      <c r="P880" s="273"/>
      <c r="Q880" s="273"/>
      <c r="R880" s="273"/>
      <c r="S880" s="273"/>
      <c r="T880" s="273"/>
      <c r="U880" s="273"/>
      <c r="V880" s="273"/>
      <c r="W880" s="273">
        <f t="shared" si="204"/>
        <v>258347.42</v>
      </c>
      <c r="X880" s="282"/>
      <c r="Y880" s="119"/>
      <c r="Z880" s="273"/>
      <c r="AB880" s="119">
        <v>258347.42</v>
      </c>
      <c r="AD880" s="273"/>
      <c r="AE880" s="261"/>
      <c r="AF880" s="273"/>
    </row>
    <row r="881" spans="1:32" x14ac:dyDescent="0.3">
      <c r="A881" s="259">
        <f t="shared" si="203"/>
        <v>655</v>
      </c>
      <c r="B881" s="20" t="s">
        <v>2494</v>
      </c>
      <c r="C881" s="273">
        <f t="shared" si="202"/>
        <v>169930.51</v>
      </c>
      <c r="D881" s="273"/>
      <c r="E881" s="273"/>
      <c r="F881" s="273"/>
      <c r="G881" s="273"/>
      <c r="H881" s="273"/>
      <c r="I881" s="273"/>
      <c r="J881" s="50"/>
      <c r="K881" s="273"/>
      <c r="L881" s="273"/>
      <c r="M881" s="273"/>
      <c r="N881" s="273"/>
      <c r="O881" s="273"/>
      <c r="P881" s="273"/>
      <c r="Q881" s="273"/>
      <c r="R881" s="273"/>
      <c r="S881" s="273"/>
      <c r="T881" s="273"/>
      <c r="U881" s="273"/>
      <c r="V881" s="273"/>
      <c r="W881" s="273">
        <f t="shared" si="204"/>
        <v>169930.51</v>
      </c>
      <c r="X881" s="282"/>
      <c r="Y881" s="119"/>
      <c r="Z881" s="273"/>
      <c r="AB881" s="119">
        <v>169930.51</v>
      </c>
      <c r="AD881" s="273"/>
      <c r="AE881" s="261"/>
      <c r="AF881" s="273"/>
    </row>
    <row r="882" spans="1:32" x14ac:dyDescent="0.3">
      <c r="A882" s="259">
        <f t="shared" si="203"/>
        <v>656</v>
      </c>
      <c r="B882" s="20" t="s">
        <v>2496</v>
      </c>
      <c r="C882" s="273">
        <f t="shared" ref="C882:C901" si="205">D882+K882+L882+N882+P882+R882+S882+U882+V882+W882</f>
        <v>339573.65</v>
      </c>
      <c r="D882" s="273"/>
      <c r="E882" s="273"/>
      <c r="F882" s="273"/>
      <c r="G882" s="273"/>
      <c r="H882" s="273"/>
      <c r="I882" s="273"/>
      <c r="J882" s="50"/>
      <c r="K882" s="273"/>
      <c r="L882" s="273"/>
      <c r="M882" s="273"/>
      <c r="N882" s="273"/>
      <c r="O882" s="273"/>
      <c r="P882" s="273"/>
      <c r="Q882" s="273"/>
      <c r="R882" s="273"/>
      <c r="S882" s="273"/>
      <c r="T882" s="273"/>
      <c r="U882" s="273"/>
      <c r="V882" s="273"/>
      <c r="W882" s="273">
        <f t="shared" ref="W882:W895" si="206">SUM(X882:AF882)</f>
        <v>339573.65</v>
      </c>
      <c r="X882" s="282"/>
      <c r="Y882" s="119"/>
      <c r="Z882" s="273"/>
      <c r="AB882" s="119"/>
      <c r="AD882" s="273">
        <v>339573.65</v>
      </c>
      <c r="AE882" s="261"/>
      <c r="AF882" s="273"/>
    </row>
    <row r="883" spans="1:32" x14ac:dyDescent="0.3">
      <c r="A883" s="259">
        <f t="shared" si="203"/>
        <v>657</v>
      </c>
      <c r="B883" s="20" t="s">
        <v>2497</v>
      </c>
      <c r="C883" s="273">
        <f t="shared" si="205"/>
        <v>163189.16</v>
      </c>
      <c r="D883" s="273"/>
      <c r="E883" s="273"/>
      <c r="F883" s="273"/>
      <c r="G883" s="273"/>
      <c r="H883" s="273"/>
      <c r="I883" s="273"/>
      <c r="J883" s="50"/>
      <c r="K883" s="273"/>
      <c r="L883" s="273"/>
      <c r="M883" s="273"/>
      <c r="N883" s="273"/>
      <c r="O883" s="273"/>
      <c r="P883" s="273"/>
      <c r="Q883" s="273"/>
      <c r="R883" s="273"/>
      <c r="S883" s="273"/>
      <c r="T883" s="273"/>
      <c r="U883" s="273"/>
      <c r="V883" s="273"/>
      <c r="W883" s="273">
        <f t="shared" si="206"/>
        <v>163189.16</v>
      </c>
      <c r="X883" s="282"/>
      <c r="Y883" s="119"/>
      <c r="Z883" s="273"/>
      <c r="AB883" s="119"/>
      <c r="AD883" s="273"/>
      <c r="AE883" s="261">
        <v>163189.16</v>
      </c>
      <c r="AF883" s="273"/>
    </row>
    <row r="884" spans="1:32" x14ac:dyDescent="0.3">
      <c r="A884" s="259">
        <f t="shared" si="203"/>
        <v>658</v>
      </c>
      <c r="B884" s="20" t="s">
        <v>2499</v>
      </c>
      <c r="C884" s="273">
        <f t="shared" si="205"/>
        <v>334538.57</v>
      </c>
      <c r="D884" s="273"/>
      <c r="E884" s="273"/>
      <c r="F884" s="273"/>
      <c r="G884" s="273"/>
      <c r="H884" s="273"/>
      <c r="I884" s="273"/>
      <c r="J884" s="50"/>
      <c r="K884" s="273"/>
      <c r="L884" s="273"/>
      <c r="M884" s="273"/>
      <c r="N884" s="273"/>
      <c r="O884" s="273"/>
      <c r="P884" s="273"/>
      <c r="Q884" s="22"/>
      <c r="R884" s="273"/>
      <c r="S884" s="273"/>
      <c r="T884" s="273"/>
      <c r="U884" s="273"/>
      <c r="V884" s="273"/>
      <c r="W884" s="273">
        <f t="shared" si="206"/>
        <v>334538.57</v>
      </c>
      <c r="X884" s="282"/>
      <c r="Y884" s="119"/>
      <c r="Z884" s="273"/>
      <c r="AB884" s="119">
        <v>171220</v>
      </c>
      <c r="AD884" s="273"/>
      <c r="AE884" s="261">
        <v>163318.57</v>
      </c>
      <c r="AF884" s="273"/>
    </row>
    <row r="885" spans="1:32" x14ac:dyDescent="0.3">
      <c r="A885" s="259">
        <f t="shared" si="203"/>
        <v>659</v>
      </c>
      <c r="B885" s="20" t="s">
        <v>2500</v>
      </c>
      <c r="C885" s="273">
        <f t="shared" si="205"/>
        <v>325297.82</v>
      </c>
      <c r="D885" s="273"/>
      <c r="E885" s="273"/>
      <c r="F885" s="273"/>
      <c r="G885" s="273"/>
      <c r="H885" s="273"/>
      <c r="I885" s="273"/>
      <c r="J885" s="50"/>
      <c r="K885" s="273"/>
      <c r="L885" s="273"/>
      <c r="M885" s="273"/>
      <c r="N885" s="273"/>
      <c r="O885" s="273"/>
      <c r="P885" s="273"/>
      <c r="Q885" s="22"/>
      <c r="R885" s="273"/>
      <c r="S885" s="273"/>
      <c r="T885" s="273"/>
      <c r="U885" s="273"/>
      <c r="V885" s="273"/>
      <c r="W885" s="273">
        <f t="shared" si="206"/>
        <v>325297.82</v>
      </c>
      <c r="X885" s="282"/>
      <c r="Y885" s="119"/>
      <c r="Z885" s="273"/>
      <c r="AB885" s="119"/>
      <c r="AD885" s="273">
        <v>325297.82</v>
      </c>
      <c r="AE885" s="261"/>
      <c r="AF885" s="273"/>
    </row>
    <row r="886" spans="1:32" x14ac:dyDescent="0.3">
      <c r="A886" s="259">
        <f t="shared" si="203"/>
        <v>660</v>
      </c>
      <c r="B886" s="20" t="s">
        <v>2501</v>
      </c>
      <c r="C886" s="273">
        <f t="shared" si="205"/>
        <v>339361.68</v>
      </c>
      <c r="D886" s="273"/>
      <c r="E886" s="273"/>
      <c r="F886" s="273"/>
      <c r="G886" s="273"/>
      <c r="H886" s="273"/>
      <c r="I886" s="273"/>
      <c r="J886" s="50"/>
      <c r="K886" s="273"/>
      <c r="L886" s="273"/>
      <c r="M886" s="273"/>
      <c r="N886" s="273"/>
      <c r="O886" s="273"/>
      <c r="P886" s="273"/>
      <c r="Q886" s="22"/>
      <c r="R886" s="273"/>
      <c r="S886" s="273"/>
      <c r="T886" s="273"/>
      <c r="U886" s="273"/>
      <c r="V886" s="273"/>
      <c r="W886" s="273">
        <f t="shared" si="206"/>
        <v>339361.68</v>
      </c>
      <c r="X886" s="282"/>
      <c r="Y886" s="119"/>
      <c r="Z886" s="273"/>
      <c r="AB886" s="119"/>
      <c r="AD886" s="273">
        <v>339361.68</v>
      </c>
      <c r="AE886" s="261"/>
      <c r="AF886" s="273"/>
    </row>
    <row r="887" spans="1:32" x14ac:dyDescent="0.3">
      <c r="A887" s="259">
        <f t="shared" si="203"/>
        <v>661</v>
      </c>
      <c r="B887" s="20" t="s">
        <v>2502</v>
      </c>
      <c r="C887" s="273">
        <f t="shared" si="205"/>
        <v>231551.82</v>
      </c>
      <c r="D887" s="273"/>
      <c r="E887" s="273"/>
      <c r="F887" s="273"/>
      <c r="G887" s="273"/>
      <c r="H887" s="273"/>
      <c r="I887" s="273"/>
      <c r="J887" s="50"/>
      <c r="K887" s="273"/>
      <c r="L887" s="273"/>
      <c r="M887" s="273"/>
      <c r="N887" s="273"/>
      <c r="O887" s="273"/>
      <c r="P887" s="273"/>
      <c r="Q887" s="22"/>
      <c r="R887" s="273"/>
      <c r="S887" s="273"/>
      <c r="T887" s="273"/>
      <c r="U887" s="273"/>
      <c r="V887" s="273"/>
      <c r="W887" s="273">
        <f t="shared" si="206"/>
        <v>231551.82</v>
      </c>
      <c r="X887" s="282"/>
      <c r="Y887" s="119"/>
      <c r="Z887" s="273"/>
      <c r="AB887" s="119">
        <v>160571.42000000001</v>
      </c>
      <c r="AD887" s="273"/>
      <c r="AE887" s="261">
        <v>70980.399999999994</v>
      </c>
      <c r="AF887" s="273"/>
    </row>
    <row r="888" spans="1:32" x14ac:dyDescent="0.3">
      <c r="A888" s="259">
        <f t="shared" si="203"/>
        <v>662</v>
      </c>
      <c r="B888" s="20" t="s">
        <v>2504</v>
      </c>
      <c r="C888" s="273">
        <f t="shared" si="205"/>
        <v>187483.24</v>
      </c>
      <c r="D888" s="273"/>
      <c r="E888" s="273"/>
      <c r="F888" s="273"/>
      <c r="G888" s="273"/>
      <c r="H888" s="273"/>
      <c r="I888" s="273"/>
      <c r="J888" s="50"/>
      <c r="K888" s="273"/>
      <c r="L888" s="273"/>
      <c r="M888" s="273"/>
      <c r="N888" s="273"/>
      <c r="O888" s="273"/>
      <c r="P888" s="273"/>
      <c r="Q888" s="273"/>
      <c r="R888" s="273"/>
      <c r="S888" s="273"/>
      <c r="T888" s="273"/>
      <c r="U888" s="273"/>
      <c r="V888" s="273"/>
      <c r="W888" s="273">
        <f t="shared" si="206"/>
        <v>187483.24</v>
      </c>
      <c r="X888" s="282"/>
      <c r="Y888" s="119"/>
      <c r="Z888" s="273"/>
      <c r="AB888" s="119"/>
      <c r="AD888" s="273"/>
      <c r="AE888" s="261">
        <v>187483.24</v>
      </c>
      <c r="AF888" s="273"/>
    </row>
    <row r="889" spans="1:32" x14ac:dyDescent="0.3">
      <c r="A889" s="259">
        <f t="shared" si="203"/>
        <v>663</v>
      </c>
      <c r="B889" s="20" t="s">
        <v>2505</v>
      </c>
      <c r="C889" s="273">
        <f t="shared" si="205"/>
        <v>156716.85999999999</v>
      </c>
      <c r="D889" s="273"/>
      <c r="E889" s="273"/>
      <c r="F889" s="273"/>
      <c r="G889" s="273"/>
      <c r="H889" s="273"/>
      <c r="I889" s="273"/>
      <c r="J889" s="50"/>
      <c r="K889" s="273"/>
      <c r="L889" s="273"/>
      <c r="M889" s="273"/>
      <c r="N889" s="273"/>
      <c r="O889" s="273"/>
      <c r="P889" s="273"/>
      <c r="Q889" s="22"/>
      <c r="R889" s="273"/>
      <c r="S889" s="273"/>
      <c r="T889" s="273"/>
      <c r="U889" s="273"/>
      <c r="V889" s="273"/>
      <c r="W889" s="273">
        <f t="shared" si="206"/>
        <v>156716.85999999999</v>
      </c>
      <c r="X889" s="282"/>
      <c r="Y889" s="119"/>
      <c r="Z889" s="273"/>
      <c r="AB889" s="119"/>
      <c r="AD889" s="273"/>
      <c r="AE889" s="261">
        <v>156716.85999999999</v>
      </c>
      <c r="AF889" s="273"/>
    </row>
    <row r="890" spans="1:32" x14ac:dyDescent="0.3">
      <c r="A890" s="259">
        <f t="shared" si="203"/>
        <v>664</v>
      </c>
      <c r="B890" s="20" t="s">
        <v>2509</v>
      </c>
      <c r="C890" s="273">
        <f t="shared" si="205"/>
        <v>418546.72</v>
      </c>
      <c r="D890" s="273"/>
      <c r="E890" s="273"/>
      <c r="F890" s="273"/>
      <c r="G890" s="273"/>
      <c r="H890" s="273"/>
      <c r="I890" s="273"/>
      <c r="J890" s="50"/>
      <c r="K890" s="273"/>
      <c r="L890" s="273"/>
      <c r="M890" s="273"/>
      <c r="N890" s="273"/>
      <c r="O890" s="273"/>
      <c r="P890" s="273"/>
      <c r="Q890" s="273"/>
      <c r="R890" s="273"/>
      <c r="S890" s="273"/>
      <c r="T890" s="273"/>
      <c r="U890" s="273"/>
      <c r="V890" s="273"/>
      <c r="W890" s="273">
        <f t="shared" si="206"/>
        <v>418546.72</v>
      </c>
      <c r="X890" s="282"/>
      <c r="Y890" s="119">
        <v>140772.35999999999</v>
      </c>
      <c r="Z890" s="273">
        <v>138521.29999999999</v>
      </c>
      <c r="AB890" s="119"/>
      <c r="AD890" s="273"/>
      <c r="AE890" s="261">
        <v>139253.06</v>
      </c>
      <c r="AF890" s="273"/>
    </row>
    <row r="891" spans="1:32" x14ac:dyDescent="0.3">
      <c r="A891" s="259">
        <f t="shared" si="203"/>
        <v>665</v>
      </c>
      <c r="B891" s="20" t="s">
        <v>2515</v>
      </c>
      <c r="C891" s="273">
        <f t="shared" si="205"/>
        <v>316637.32</v>
      </c>
      <c r="D891" s="273"/>
      <c r="E891" s="273"/>
      <c r="F891" s="273"/>
      <c r="G891" s="273"/>
      <c r="H891" s="273"/>
      <c r="I891" s="273"/>
      <c r="J891" s="50"/>
      <c r="K891" s="273"/>
      <c r="L891" s="273"/>
      <c r="M891" s="273"/>
      <c r="N891" s="273"/>
      <c r="O891" s="273"/>
      <c r="P891" s="273"/>
      <c r="Q891" s="273"/>
      <c r="R891" s="273"/>
      <c r="S891" s="273"/>
      <c r="T891" s="273"/>
      <c r="U891" s="273"/>
      <c r="V891" s="273"/>
      <c r="W891" s="273">
        <f t="shared" si="206"/>
        <v>316637.32</v>
      </c>
      <c r="X891" s="282"/>
      <c r="Y891" s="119"/>
      <c r="Z891" s="273"/>
      <c r="AB891" s="119"/>
      <c r="AD891" s="273">
        <v>316637.32</v>
      </c>
      <c r="AE891" s="261"/>
      <c r="AF891" s="273"/>
    </row>
    <row r="892" spans="1:32" x14ac:dyDescent="0.3">
      <c r="A892" s="259">
        <f t="shared" si="203"/>
        <v>666</v>
      </c>
      <c r="B892" s="20" t="s">
        <v>2516</v>
      </c>
      <c r="C892" s="273">
        <f t="shared" si="205"/>
        <v>341884.93</v>
      </c>
      <c r="D892" s="273"/>
      <c r="E892" s="273"/>
      <c r="F892" s="273"/>
      <c r="G892" s="273"/>
      <c r="H892" s="273"/>
      <c r="I892" s="273"/>
      <c r="J892" s="50"/>
      <c r="K892" s="273"/>
      <c r="L892" s="273"/>
      <c r="M892" s="273"/>
      <c r="N892" s="273"/>
      <c r="O892" s="273"/>
      <c r="P892" s="273"/>
      <c r="Q892" s="22"/>
      <c r="R892" s="273"/>
      <c r="S892" s="273"/>
      <c r="T892" s="273"/>
      <c r="U892" s="273"/>
      <c r="V892" s="273"/>
      <c r="W892" s="273">
        <f t="shared" si="206"/>
        <v>341884.93</v>
      </c>
      <c r="X892" s="282"/>
      <c r="Y892" s="119"/>
      <c r="Z892" s="273"/>
      <c r="AB892" s="119"/>
      <c r="AD892" s="273">
        <v>341884.93</v>
      </c>
      <c r="AE892" s="261"/>
      <c r="AF892" s="273"/>
    </row>
    <row r="893" spans="1:32" x14ac:dyDescent="0.3">
      <c r="A893" s="259">
        <f t="shared" si="203"/>
        <v>667</v>
      </c>
      <c r="B893" s="20" t="s">
        <v>2517</v>
      </c>
      <c r="C893" s="273">
        <f t="shared" si="205"/>
        <v>339498.83</v>
      </c>
      <c r="D893" s="273"/>
      <c r="E893" s="273"/>
      <c r="F893" s="273"/>
      <c r="G893" s="273"/>
      <c r="H893" s="273"/>
      <c r="I893" s="273"/>
      <c r="J893" s="50"/>
      <c r="K893" s="273"/>
      <c r="L893" s="273"/>
      <c r="M893" s="273"/>
      <c r="N893" s="273"/>
      <c r="O893" s="273"/>
      <c r="P893" s="273"/>
      <c r="Q893" s="22"/>
      <c r="R893" s="273"/>
      <c r="S893" s="273"/>
      <c r="T893" s="273"/>
      <c r="U893" s="273"/>
      <c r="V893" s="273"/>
      <c r="W893" s="273">
        <f t="shared" si="206"/>
        <v>339498.83</v>
      </c>
      <c r="X893" s="282"/>
      <c r="Y893" s="119"/>
      <c r="Z893" s="273"/>
      <c r="AB893" s="119"/>
      <c r="AD893" s="273">
        <v>339498.83</v>
      </c>
      <c r="AE893" s="261"/>
      <c r="AF893" s="273"/>
    </row>
    <row r="894" spans="1:32" x14ac:dyDescent="0.3">
      <c r="A894" s="259">
        <f t="shared" si="203"/>
        <v>668</v>
      </c>
      <c r="B894" s="20" t="s">
        <v>2518</v>
      </c>
      <c r="C894" s="273">
        <f t="shared" si="205"/>
        <v>356312.22</v>
      </c>
      <c r="D894" s="273"/>
      <c r="E894" s="273"/>
      <c r="F894" s="273"/>
      <c r="G894" s="273"/>
      <c r="H894" s="273"/>
      <c r="I894" s="273"/>
      <c r="J894" s="50"/>
      <c r="K894" s="273"/>
      <c r="L894" s="273"/>
      <c r="M894" s="273"/>
      <c r="N894" s="273"/>
      <c r="O894" s="273"/>
      <c r="P894" s="273"/>
      <c r="Q894" s="22"/>
      <c r="R894" s="273"/>
      <c r="S894" s="273"/>
      <c r="T894" s="273"/>
      <c r="U894" s="273"/>
      <c r="V894" s="273"/>
      <c r="W894" s="273">
        <f t="shared" si="206"/>
        <v>356312.22</v>
      </c>
      <c r="X894" s="282"/>
      <c r="Y894" s="119"/>
      <c r="Z894" s="273"/>
      <c r="AB894" s="119"/>
      <c r="AD894" s="273">
        <v>356312.22</v>
      </c>
      <c r="AE894" s="261"/>
      <c r="AF894" s="273"/>
    </row>
    <row r="895" spans="1:32" x14ac:dyDescent="0.3">
      <c r="A895" s="259">
        <f t="shared" si="203"/>
        <v>669</v>
      </c>
      <c r="B895" s="20" t="s">
        <v>2519</v>
      </c>
      <c r="C895" s="273">
        <f t="shared" si="205"/>
        <v>342616.31</v>
      </c>
      <c r="D895" s="273"/>
      <c r="E895" s="273"/>
      <c r="F895" s="273"/>
      <c r="G895" s="273"/>
      <c r="H895" s="273"/>
      <c r="I895" s="273"/>
      <c r="J895" s="50"/>
      <c r="K895" s="273"/>
      <c r="L895" s="273"/>
      <c r="M895" s="273"/>
      <c r="N895" s="273"/>
      <c r="O895" s="273"/>
      <c r="P895" s="273"/>
      <c r="Q895" s="22"/>
      <c r="R895" s="273"/>
      <c r="S895" s="273"/>
      <c r="T895" s="273"/>
      <c r="U895" s="273"/>
      <c r="V895" s="273"/>
      <c r="W895" s="273">
        <f t="shared" si="206"/>
        <v>342616.31</v>
      </c>
      <c r="X895" s="282"/>
      <c r="Y895" s="119"/>
      <c r="Z895" s="273"/>
      <c r="AB895" s="119"/>
      <c r="AD895" s="273">
        <v>342616.31</v>
      </c>
      <c r="AE895" s="261"/>
      <c r="AF895" s="273"/>
    </row>
    <row r="896" spans="1:32" x14ac:dyDescent="0.3">
      <c r="A896" s="259">
        <f t="shared" si="203"/>
        <v>670</v>
      </c>
      <c r="B896" s="20" t="s">
        <v>2520</v>
      </c>
      <c r="C896" s="273">
        <f t="shared" si="205"/>
        <v>130000</v>
      </c>
      <c r="D896" s="273"/>
      <c r="E896" s="273"/>
      <c r="F896" s="273"/>
      <c r="G896" s="273"/>
      <c r="H896" s="273"/>
      <c r="I896" s="273"/>
      <c r="J896" s="50"/>
      <c r="K896" s="273"/>
      <c r="L896" s="273"/>
      <c r="M896" s="273"/>
      <c r="N896" s="273"/>
      <c r="O896" s="273"/>
      <c r="P896" s="273"/>
      <c r="Q896" s="273"/>
      <c r="R896" s="273"/>
      <c r="S896" s="273"/>
      <c r="T896" s="273"/>
      <c r="U896" s="273"/>
      <c r="V896" s="273"/>
      <c r="W896" s="273">
        <v>130000</v>
      </c>
      <c r="X896" s="282"/>
      <c r="Y896" s="119"/>
      <c r="Z896" s="273"/>
      <c r="AB896" s="119">
        <v>130000</v>
      </c>
      <c r="AD896" s="273"/>
      <c r="AE896" s="261"/>
      <c r="AF896" s="273"/>
    </row>
    <row r="897" spans="1:32" x14ac:dyDescent="0.3">
      <c r="A897" s="259">
        <f t="shared" si="203"/>
        <v>671</v>
      </c>
      <c r="B897" s="20" t="s">
        <v>2521</v>
      </c>
      <c r="C897" s="273">
        <f t="shared" si="205"/>
        <v>599005.19999999995</v>
      </c>
      <c r="D897" s="273"/>
      <c r="E897" s="273"/>
      <c r="F897" s="273"/>
      <c r="G897" s="273"/>
      <c r="H897" s="273"/>
      <c r="I897" s="273"/>
      <c r="J897" s="50"/>
      <c r="K897" s="273"/>
      <c r="L897" s="273"/>
      <c r="M897" s="273"/>
      <c r="N897" s="273"/>
      <c r="O897" s="273"/>
      <c r="P897" s="273"/>
      <c r="Q897" s="22"/>
      <c r="R897" s="273"/>
      <c r="S897" s="273"/>
      <c r="T897" s="273"/>
      <c r="U897" s="273"/>
      <c r="V897" s="273"/>
      <c r="W897" s="273">
        <f t="shared" ref="W897:W911" si="207">SUM(X897:AF897)</f>
        <v>599005.19999999995</v>
      </c>
      <c r="X897" s="282"/>
      <c r="Y897" s="119"/>
      <c r="Z897" s="273"/>
      <c r="AB897" s="119"/>
      <c r="AD897" s="273">
        <v>599005.19999999995</v>
      </c>
      <c r="AE897" s="261"/>
      <c r="AF897" s="273"/>
    </row>
    <row r="898" spans="1:32" x14ac:dyDescent="0.3">
      <c r="A898" s="259">
        <f t="shared" si="203"/>
        <v>672</v>
      </c>
      <c r="B898" s="20" t="s">
        <v>2522</v>
      </c>
      <c r="C898" s="273">
        <f t="shared" si="205"/>
        <v>184015.12</v>
      </c>
      <c r="D898" s="273"/>
      <c r="E898" s="273"/>
      <c r="F898" s="273"/>
      <c r="G898" s="273"/>
      <c r="H898" s="273"/>
      <c r="I898" s="273"/>
      <c r="J898" s="50"/>
      <c r="K898" s="273"/>
      <c r="L898" s="273"/>
      <c r="M898" s="273"/>
      <c r="N898" s="273"/>
      <c r="O898" s="273"/>
      <c r="P898" s="273"/>
      <c r="Q898" s="22"/>
      <c r="R898" s="273"/>
      <c r="S898" s="273"/>
      <c r="T898" s="273"/>
      <c r="U898" s="273"/>
      <c r="V898" s="273"/>
      <c r="W898" s="273">
        <f t="shared" si="207"/>
        <v>184015.12</v>
      </c>
      <c r="X898" s="282"/>
      <c r="Y898" s="119"/>
      <c r="Z898" s="273"/>
      <c r="AB898" s="119"/>
      <c r="AD898" s="273"/>
      <c r="AE898" s="261">
        <v>184015.12</v>
      </c>
      <c r="AF898" s="273"/>
    </row>
    <row r="899" spans="1:32" x14ac:dyDescent="0.3">
      <c r="A899" s="259">
        <f t="shared" si="203"/>
        <v>673</v>
      </c>
      <c r="B899" s="20" t="s">
        <v>2523</v>
      </c>
      <c r="C899" s="273">
        <f t="shared" si="205"/>
        <v>340352.26</v>
      </c>
      <c r="D899" s="273"/>
      <c r="E899" s="273"/>
      <c r="F899" s="273"/>
      <c r="G899" s="273"/>
      <c r="H899" s="273"/>
      <c r="I899" s="273"/>
      <c r="J899" s="50"/>
      <c r="K899" s="273"/>
      <c r="L899" s="273"/>
      <c r="M899" s="273"/>
      <c r="N899" s="273"/>
      <c r="O899" s="273"/>
      <c r="P899" s="273"/>
      <c r="Q899" s="22"/>
      <c r="R899" s="273"/>
      <c r="S899" s="273"/>
      <c r="T899" s="273"/>
      <c r="U899" s="273"/>
      <c r="V899" s="273"/>
      <c r="W899" s="273">
        <f t="shared" si="207"/>
        <v>340352.26</v>
      </c>
      <c r="X899" s="282"/>
      <c r="Y899" s="119"/>
      <c r="Z899" s="273"/>
      <c r="AB899" s="119"/>
      <c r="AD899" s="273">
        <v>340352.26</v>
      </c>
      <c r="AE899" s="261"/>
      <c r="AF899" s="273"/>
    </row>
    <row r="900" spans="1:32" x14ac:dyDescent="0.3">
      <c r="A900" s="259">
        <f t="shared" si="203"/>
        <v>674</v>
      </c>
      <c r="B900" s="20" t="s">
        <v>2524</v>
      </c>
      <c r="C900" s="273">
        <f t="shared" si="205"/>
        <v>543802.65</v>
      </c>
      <c r="D900" s="273"/>
      <c r="E900" s="273"/>
      <c r="F900" s="273"/>
      <c r="G900" s="273"/>
      <c r="H900" s="273"/>
      <c r="I900" s="273"/>
      <c r="J900" s="50"/>
      <c r="K900" s="273"/>
      <c r="L900" s="273"/>
      <c r="M900" s="273"/>
      <c r="N900" s="273"/>
      <c r="O900" s="273"/>
      <c r="P900" s="273"/>
      <c r="Q900" s="22"/>
      <c r="R900" s="273"/>
      <c r="S900" s="273"/>
      <c r="T900" s="273"/>
      <c r="U900" s="273"/>
      <c r="V900" s="273"/>
      <c r="W900" s="273">
        <f t="shared" si="207"/>
        <v>543802.65</v>
      </c>
      <c r="X900" s="282"/>
      <c r="Y900" s="119"/>
      <c r="Z900" s="273"/>
      <c r="AB900" s="119"/>
      <c r="AD900" s="273">
        <v>543802.65</v>
      </c>
      <c r="AE900" s="261"/>
      <c r="AF900" s="273"/>
    </row>
    <row r="901" spans="1:32" ht="31.2" x14ac:dyDescent="0.3">
      <c r="A901" s="259">
        <f t="shared" si="203"/>
        <v>675</v>
      </c>
      <c r="B901" s="20" t="s">
        <v>2527</v>
      </c>
      <c r="C901" s="273">
        <f t="shared" si="205"/>
        <v>667850.82999999996</v>
      </c>
      <c r="D901" s="273"/>
      <c r="E901" s="273"/>
      <c r="F901" s="273"/>
      <c r="G901" s="273"/>
      <c r="H901" s="273"/>
      <c r="I901" s="273"/>
      <c r="J901" s="50"/>
      <c r="K901" s="273"/>
      <c r="L901" s="273"/>
      <c r="M901" s="273"/>
      <c r="N901" s="273"/>
      <c r="O901" s="273"/>
      <c r="P901" s="273"/>
      <c r="Q901" s="22"/>
      <c r="R901" s="273"/>
      <c r="S901" s="273"/>
      <c r="T901" s="273"/>
      <c r="U901" s="273"/>
      <c r="V901" s="273"/>
      <c r="W901" s="273">
        <f t="shared" si="207"/>
        <v>667850.82999999996</v>
      </c>
      <c r="X901" s="282"/>
      <c r="Y901" s="119"/>
      <c r="Z901" s="273"/>
      <c r="AB901" s="119"/>
      <c r="AD901" s="273">
        <v>667850.82999999996</v>
      </c>
      <c r="AE901" s="261"/>
      <c r="AF901" s="273"/>
    </row>
    <row r="902" spans="1:32" ht="31.2" x14ac:dyDescent="0.3">
      <c r="A902" s="259">
        <f t="shared" si="203"/>
        <v>676</v>
      </c>
      <c r="B902" s="20" t="s">
        <v>2528</v>
      </c>
      <c r="C902" s="273">
        <f t="shared" ref="C902:C914" si="208">D902+K902+L902+N902+P902+R902+S902+U902+V902+W902</f>
        <v>440923.35</v>
      </c>
      <c r="D902" s="273"/>
      <c r="E902" s="273"/>
      <c r="F902" s="273"/>
      <c r="G902" s="273"/>
      <c r="H902" s="273"/>
      <c r="I902" s="273"/>
      <c r="J902" s="50"/>
      <c r="K902" s="273"/>
      <c r="L902" s="273"/>
      <c r="M902" s="273"/>
      <c r="N902" s="273"/>
      <c r="O902" s="273"/>
      <c r="P902" s="273"/>
      <c r="Q902" s="22"/>
      <c r="R902" s="273"/>
      <c r="S902" s="273"/>
      <c r="T902" s="273"/>
      <c r="U902" s="273"/>
      <c r="V902" s="273"/>
      <c r="W902" s="273">
        <f t="shared" si="207"/>
        <v>440923.35</v>
      </c>
      <c r="X902" s="282"/>
      <c r="Y902" s="119"/>
      <c r="Z902" s="273"/>
      <c r="AB902" s="119"/>
      <c r="AD902" s="273">
        <v>440923.35</v>
      </c>
      <c r="AE902" s="261"/>
      <c r="AF902" s="273"/>
    </row>
    <row r="903" spans="1:32" ht="31.2" x14ac:dyDescent="0.3">
      <c r="A903" s="259">
        <f t="shared" si="203"/>
        <v>677</v>
      </c>
      <c r="B903" s="20" t="s">
        <v>2529</v>
      </c>
      <c r="C903" s="273">
        <f t="shared" si="208"/>
        <v>407211.68</v>
      </c>
      <c r="D903" s="273"/>
      <c r="E903" s="273"/>
      <c r="F903" s="273"/>
      <c r="G903" s="273"/>
      <c r="H903" s="273"/>
      <c r="I903" s="273"/>
      <c r="J903" s="50"/>
      <c r="K903" s="273"/>
      <c r="L903" s="273"/>
      <c r="M903" s="273"/>
      <c r="N903" s="273"/>
      <c r="O903" s="273"/>
      <c r="P903" s="273"/>
      <c r="Q903" s="22"/>
      <c r="R903" s="273"/>
      <c r="S903" s="273"/>
      <c r="T903" s="273"/>
      <c r="U903" s="273"/>
      <c r="V903" s="273"/>
      <c r="W903" s="273">
        <f t="shared" si="207"/>
        <v>407211.68</v>
      </c>
      <c r="X903" s="282"/>
      <c r="Y903" s="119"/>
      <c r="Z903" s="273"/>
      <c r="AB903" s="119"/>
      <c r="AD903" s="273">
        <v>407211.68</v>
      </c>
      <c r="AE903" s="261"/>
      <c r="AF903" s="273"/>
    </row>
    <row r="904" spans="1:32" x14ac:dyDescent="0.3">
      <c r="A904" s="259">
        <f t="shared" si="203"/>
        <v>678</v>
      </c>
      <c r="B904" s="20" t="s">
        <v>2530</v>
      </c>
      <c r="C904" s="273">
        <f t="shared" si="208"/>
        <v>485179.84</v>
      </c>
      <c r="D904" s="273"/>
      <c r="E904" s="273"/>
      <c r="F904" s="273"/>
      <c r="G904" s="273"/>
      <c r="H904" s="273"/>
      <c r="I904" s="273"/>
      <c r="J904" s="50"/>
      <c r="K904" s="273"/>
      <c r="L904" s="273"/>
      <c r="M904" s="273"/>
      <c r="N904" s="273"/>
      <c r="O904" s="273"/>
      <c r="P904" s="273"/>
      <c r="Q904" s="22"/>
      <c r="R904" s="273"/>
      <c r="S904" s="273"/>
      <c r="T904" s="273"/>
      <c r="U904" s="273"/>
      <c r="V904" s="273"/>
      <c r="W904" s="273">
        <f t="shared" si="207"/>
        <v>485179.84</v>
      </c>
      <c r="X904" s="282"/>
      <c r="Y904" s="119"/>
      <c r="Z904" s="273"/>
      <c r="AB904" s="119"/>
      <c r="AD904" s="273">
        <v>485179.84</v>
      </c>
      <c r="AE904" s="261"/>
      <c r="AF904" s="273"/>
    </row>
    <row r="905" spans="1:32" x14ac:dyDescent="0.3">
      <c r="A905" s="259">
        <f t="shared" si="203"/>
        <v>679</v>
      </c>
      <c r="B905" s="20" t="s">
        <v>2534</v>
      </c>
      <c r="C905" s="273">
        <f t="shared" si="208"/>
        <v>233135.1</v>
      </c>
      <c r="D905" s="273"/>
      <c r="E905" s="273"/>
      <c r="F905" s="273"/>
      <c r="G905" s="273"/>
      <c r="H905" s="273"/>
      <c r="I905" s="273"/>
      <c r="J905" s="50"/>
      <c r="K905" s="273"/>
      <c r="L905" s="273"/>
      <c r="M905" s="273"/>
      <c r="N905" s="273"/>
      <c r="O905" s="273"/>
      <c r="P905" s="273"/>
      <c r="Q905" s="22"/>
      <c r="R905" s="273"/>
      <c r="S905" s="273"/>
      <c r="T905" s="273"/>
      <c r="U905" s="273"/>
      <c r="V905" s="273"/>
      <c r="W905" s="273">
        <f t="shared" si="207"/>
        <v>233135.1</v>
      </c>
      <c r="X905" s="282"/>
      <c r="Y905" s="119"/>
      <c r="Z905" s="273"/>
      <c r="AB905" s="119"/>
      <c r="AD905" s="273">
        <v>233135.1</v>
      </c>
      <c r="AE905" s="261"/>
      <c r="AF905" s="261"/>
    </row>
    <row r="906" spans="1:32" x14ac:dyDescent="0.3">
      <c r="A906" s="259">
        <f t="shared" si="203"/>
        <v>680</v>
      </c>
      <c r="B906" s="20" t="s">
        <v>2535</v>
      </c>
      <c r="C906" s="273">
        <f t="shared" si="208"/>
        <v>382157.84</v>
      </c>
      <c r="D906" s="273"/>
      <c r="E906" s="273"/>
      <c r="F906" s="273"/>
      <c r="G906" s="273"/>
      <c r="H906" s="273"/>
      <c r="I906" s="273"/>
      <c r="J906" s="50"/>
      <c r="K906" s="273"/>
      <c r="L906" s="273"/>
      <c r="M906" s="273"/>
      <c r="N906" s="273"/>
      <c r="O906" s="273"/>
      <c r="P906" s="273"/>
      <c r="Q906" s="22"/>
      <c r="R906" s="273"/>
      <c r="S906" s="273"/>
      <c r="T906" s="273"/>
      <c r="U906" s="273"/>
      <c r="V906" s="273"/>
      <c r="W906" s="273">
        <f t="shared" si="207"/>
        <v>382157.84</v>
      </c>
      <c r="X906" s="282"/>
      <c r="Y906" s="119"/>
      <c r="Z906" s="273"/>
      <c r="AB906" s="119"/>
      <c r="AD906" s="273">
        <v>382157.84</v>
      </c>
      <c r="AE906" s="261"/>
      <c r="AF906" s="273"/>
    </row>
    <row r="907" spans="1:32" x14ac:dyDescent="0.3">
      <c r="A907" s="259">
        <f t="shared" si="203"/>
        <v>681</v>
      </c>
      <c r="B907" s="20" t="s">
        <v>2536</v>
      </c>
      <c r="C907" s="273">
        <f t="shared" si="208"/>
        <v>235164.77</v>
      </c>
      <c r="D907" s="273"/>
      <c r="E907" s="273"/>
      <c r="F907" s="273"/>
      <c r="G907" s="273"/>
      <c r="H907" s="273"/>
      <c r="I907" s="273"/>
      <c r="J907" s="50"/>
      <c r="K907" s="273"/>
      <c r="L907" s="273"/>
      <c r="M907" s="273"/>
      <c r="N907" s="273"/>
      <c r="O907" s="273"/>
      <c r="P907" s="273"/>
      <c r="Q907" s="22"/>
      <c r="R907" s="273"/>
      <c r="S907" s="273"/>
      <c r="T907" s="273"/>
      <c r="U907" s="273"/>
      <c r="V907" s="273"/>
      <c r="W907" s="273">
        <f t="shared" si="207"/>
        <v>235164.77</v>
      </c>
      <c r="X907" s="282"/>
      <c r="Y907" s="119"/>
      <c r="Z907" s="273"/>
      <c r="AB907" s="119"/>
      <c r="AD907" s="273">
        <v>235164.77</v>
      </c>
      <c r="AE907" s="261"/>
      <c r="AF907" s="273"/>
    </row>
    <row r="908" spans="1:32" x14ac:dyDescent="0.3">
      <c r="A908" s="259">
        <f t="shared" si="203"/>
        <v>682</v>
      </c>
      <c r="B908" s="20" t="s">
        <v>2537</v>
      </c>
      <c r="C908" s="273">
        <f t="shared" si="208"/>
        <v>382157.84</v>
      </c>
      <c r="D908" s="273"/>
      <c r="E908" s="273"/>
      <c r="F908" s="273"/>
      <c r="G908" s="273"/>
      <c r="H908" s="273"/>
      <c r="I908" s="273"/>
      <c r="J908" s="50"/>
      <c r="K908" s="273"/>
      <c r="L908" s="273"/>
      <c r="M908" s="273"/>
      <c r="N908" s="273"/>
      <c r="O908" s="273"/>
      <c r="P908" s="273"/>
      <c r="Q908" s="22"/>
      <c r="R908" s="273"/>
      <c r="S908" s="273"/>
      <c r="T908" s="273"/>
      <c r="U908" s="273"/>
      <c r="V908" s="273"/>
      <c r="W908" s="273">
        <f t="shared" si="207"/>
        <v>382157.84</v>
      </c>
      <c r="X908" s="282"/>
      <c r="Y908" s="119"/>
      <c r="Z908" s="273"/>
      <c r="AB908" s="119"/>
      <c r="AD908" s="261">
        <v>382157.84</v>
      </c>
      <c r="AE908" s="261"/>
      <c r="AF908" s="273"/>
    </row>
    <row r="909" spans="1:32" x14ac:dyDescent="0.3">
      <c r="A909" s="259">
        <f t="shared" si="203"/>
        <v>683</v>
      </c>
      <c r="B909" s="20" t="s">
        <v>2538</v>
      </c>
      <c r="C909" s="273">
        <f t="shared" si="208"/>
        <v>196770.36</v>
      </c>
      <c r="D909" s="273"/>
      <c r="E909" s="273"/>
      <c r="F909" s="273"/>
      <c r="G909" s="273"/>
      <c r="H909" s="273"/>
      <c r="I909" s="273"/>
      <c r="J909" s="50"/>
      <c r="K909" s="273"/>
      <c r="L909" s="273"/>
      <c r="M909" s="273"/>
      <c r="N909" s="273"/>
      <c r="O909" s="273"/>
      <c r="P909" s="273"/>
      <c r="Q909" s="273"/>
      <c r="R909" s="273"/>
      <c r="S909" s="273"/>
      <c r="T909" s="273"/>
      <c r="U909" s="273"/>
      <c r="V909" s="273"/>
      <c r="W909" s="273">
        <f t="shared" si="207"/>
        <v>196770.36</v>
      </c>
      <c r="X909" s="282"/>
      <c r="Y909" s="119"/>
      <c r="Z909" s="273"/>
      <c r="AB909" s="119">
        <v>196770.36</v>
      </c>
      <c r="AD909" s="273"/>
      <c r="AE909" s="261"/>
      <c r="AF909" s="273"/>
    </row>
    <row r="910" spans="1:32" x14ac:dyDescent="0.3">
      <c r="A910" s="259">
        <f t="shared" si="203"/>
        <v>684</v>
      </c>
      <c r="B910" s="20" t="s">
        <v>2545</v>
      </c>
      <c r="C910" s="273">
        <f t="shared" si="208"/>
        <v>339541.6</v>
      </c>
      <c r="D910" s="273"/>
      <c r="E910" s="273"/>
      <c r="F910" s="273"/>
      <c r="G910" s="273"/>
      <c r="H910" s="273"/>
      <c r="I910" s="273"/>
      <c r="J910" s="50"/>
      <c r="K910" s="273"/>
      <c r="L910" s="273"/>
      <c r="M910" s="273"/>
      <c r="N910" s="273"/>
      <c r="O910" s="273"/>
      <c r="P910" s="273"/>
      <c r="Q910" s="22"/>
      <c r="R910" s="273"/>
      <c r="S910" s="273"/>
      <c r="T910" s="273"/>
      <c r="U910" s="273"/>
      <c r="V910" s="273"/>
      <c r="W910" s="273">
        <f t="shared" si="207"/>
        <v>339541.6</v>
      </c>
      <c r="X910" s="282"/>
      <c r="Y910" s="119"/>
      <c r="Z910" s="273"/>
      <c r="AB910" s="119"/>
      <c r="AD910" s="273">
        <v>339541.6</v>
      </c>
      <c r="AE910" s="261"/>
      <c r="AF910" s="273"/>
    </row>
    <row r="911" spans="1:32" x14ac:dyDescent="0.3">
      <c r="A911" s="259">
        <f t="shared" si="203"/>
        <v>685</v>
      </c>
      <c r="B911" s="20" t="s">
        <v>2550</v>
      </c>
      <c r="C911" s="273">
        <f t="shared" si="208"/>
        <v>157464.92000000001</v>
      </c>
      <c r="D911" s="273"/>
      <c r="E911" s="273"/>
      <c r="F911" s="273"/>
      <c r="G911" s="273"/>
      <c r="H911" s="273"/>
      <c r="I911" s="273"/>
      <c r="J911" s="50"/>
      <c r="K911" s="273"/>
      <c r="L911" s="273"/>
      <c r="M911" s="273"/>
      <c r="N911" s="273"/>
      <c r="O911" s="273"/>
      <c r="P911" s="273"/>
      <c r="Q911" s="22"/>
      <c r="R911" s="273"/>
      <c r="S911" s="273"/>
      <c r="T911" s="273"/>
      <c r="U911" s="273"/>
      <c r="V911" s="273"/>
      <c r="W911" s="273">
        <f t="shared" si="207"/>
        <v>157464.92000000001</v>
      </c>
      <c r="X911" s="282"/>
      <c r="Y911" s="119"/>
      <c r="Z911" s="273"/>
      <c r="AB911" s="119">
        <v>157464.92000000001</v>
      </c>
      <c r="AD911" s="273"/>
      <c r="AE911" s="261"/>
      <c r="AF911" s="273"/>
    </row>
    <row r="912" spans="1:32" x14ac:dyDescent="0.3">
      <c r="A912" s="259">
        <f t="shared" si="203"/>
        <v>686</v>
      </c>
      <c r="B912" s="20" t="s">
        <v>2555</v>
      </c>
      <c r="C912" s="273">
        <f t="shared" si="208"/>
        <v>200272.19</v>
      </c>
      <c r="D912" s="273"/>
      <c r="E912" s="273"/>
      <c r="F912" s="273"/>
      <c r="G912" s="273"/>
      <c r="H912" s="273"/>
      <c r="I912" s="273"/>
      <c r="J912" s="50"/>
      <c r="K912" s="273"/>
      <c r="L912" s="273"/>
      <c r="M912" s="273"/>
      <c r="N912" s="273"/>
      <c r="O912" s="273"/>
      <c r="P912" s="273"/>
      <c r="Q912" s="22"/>
      <c r="R912" s="273"/>
      <c r="S912" s="273"/>
      <c r="T912" s="273"/>
      <c r="U912" s="273"/>
      <c r="V912" s="273"/>
      <c r="W912" s="273">
        <f t="shared" ref="W912:W938" si="209">SUM(X912:AF912)</f>
        <v>200272.19</v>
      </c>
      <c r="X912" s="282"/>
      <c r="Y912" s="119">
        <v>132862.43</v>
      </c>
      <c r="Z912" s="273">
        <v>67409.759999999995</v>
      </c>
      <c r="AB912" s="119"/>
      <c r="AD912" s="273"/>
      <c r="AE912" s="261"/>
      <c r="AF912" s="273"/>
    </row>
    <row r="913" spans="1:32" x14ac:dyDescent="0.3">
      <c r="A913" s="259">
        <f t="shared" si="203"/>
        <v>687</v>
      </c>
      <c r="B913" s="20" t="s">
        <v>2560</v>
      </c>
      <c r="C913" s="273">
        <f t="shared" si="208"/>
        <v>357403.68</v>
      </c>
      <c r="D913" s="273"/>
      <c r="E913" s="273"/>
      <c r="F913" s="273"/>
      <c r="G913" s="273"/>
      <c r="H913" s="273"/>
      <c r="I913" s="273"/>
      <c r="J913" s="50"/>
      <c r="K913" s="273"/>
      <c r="L913" s="273"/>
      <c r="M913" s="273"/>
      <c r="N913" s="273"/>
      <c r="O913" s="273"/>
      <c r="P913" s="273"/>
      <c r="Q913" s="22"/>
      <c r="R913" s="273"/>
      <c r="S913" s="273"/>
      <c r="T913" s="273"/>
      <c r="U913" s="273"/>
      <c r="V913" s="273"/>
      <c r="W913" s="273">
        <f t="shared" si="209"/>
        <v>357403.68</v>
      </c>
      <c r="X913" s="282"/>
      <c r="Y913" s="119">
        <v>131648</v>
      </c>
      <c r="Z913" s="273">
        <v>116575.78</v>
      </c>
      <c r="AB913" s="119">
        <v>109179.9</v>
      </c>
      <c r="AD913" s="273"/>
      <c r="AE913" s="261"/>
      <c r="AF913" s="273"/>
    </row>
    <row r="914" spans="1:32" x14ac:dyDescent="0.3">
      <c r="A914" s="259">
        <f t="shared" si="203"/>
        <v>688</v>
      </c>
      <c r="B914" s="20" t="s">
        <v>2561</v>
      </c>
      <c r="C914" s="273">
        <f t="shared" si="208"/>
        <v>251572.45</v>
      </c>
      <c r="D914" s="273"/>
      <c r="E914" s="273"/>
      <c r="F914" s="273"/>
      <c r="G914" s="273"/>
      <c r="H914" s="273"/>
      <c r="I914" s="273"/>
      <c r="J914" s="50"/>
      <c r="K914" s="273"/>
      <c r="L914" s="273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>
        <f t="shared" si="209"/>
        <v>251572.45</v>
      </c>
      <c r="X914" s="282"/>
      <c r="Y914" s="119"/>
      <c r="Z914" s="273"/>
      <c r="AB914" s="119">
        <v>251572.45</v>
      </c>
      <c r="AD914" s="273"/>
      <c r="AE914" s="261"/>
      <c r="AF914" s="273"/>
    </row>
    <row r="915" spans="1:32" x14ac:dyDescent="0.3">
      <c r="A915" s="259">
        <f t="shared" si="203"/>
        <v>689</v>
      </c>
      <c r="B915" s="20" t="s">
        <v>2562</v>
      </c>
      <c r="C915" s="273">
        <f t="shared" ref="C915:C944" si="210">D915+K915+L915+N915+P915+R915+S915+U915+V915+W915</f>
        <v>410430.61</v>
      </c>
      <c r="D915" s="273"/>
      <c r="E915" s="273"/>
      <c r="F915" s="273"/>
      <c r="G915" s="273"/>
      <c r="H915" s="273"/>
      <c r="I915" s="273"/>
      <c r="J915" s="50"/>
      <c r="K915" s="273"/>
      <c r="L915" s="273"/>
      <c r="M915" s="273"/>
      <c r="N915" s="273"/>
      <c r="O915" s="273"/>
      <c r="P915" s="273"/>
      <c r="Q915" s="22"/>
      <c r="R915" s="273"/>
      <c r="S915" s="273"/>
      <c r="T915" s="273"/>
      <c r="U915" s="273"/>
      <c r="V915" s="273"/>
      <c r="W915" s="273">
        <f t="shared" si="209"/>
        <v>410430.61</v>
      </c>
      <c r="X915" s="282"/>
      <c r="Y915" s="119"/>
      <c r="Z915" s="273"/>
      <c r="AB915" s="119"/>
      <c r="AD915" s="273">
        <v>410430.61</v>
      </c>
      <c r="AE915" s="261"/>
      <c r="AF915" s="273"/>
    </row>
    <row r="916" spans="1:32" x14ac:dyDescent="0.3">
      <c r="A916" s="259">
        <f t="shared" si="203"/>
        <v>690</v>
      </c>
      <c r="B916" s="20" t="s">
        <v>2563</v>
      </c>
      <c r="C916" s="273">
        <f t="shared" si="210"/>
        <v>428269.59</v>
      </c>
      <c r="D916" s="273"/>
      <c r="E916" s="273"/>
      <c r="F916" s="273"/>
      <c r="G916" s="273"/>
      <c r="H916" s="273"/>
      <c r="I916" s="273"/>
      <c r="J916" s="50"/>
      <c r="K916" s="273"/>
      <c r="L916" s="273"/>
      <c r="M916" s="273"/>
      <c r="N916" s="273"/>
      <c r="O916" s="273"/>
      <c r="P916" s="273"/>
      <c r="Q916" s="22"/>
      <c r="R916" s="273"/>
      <c r="S916" s="273"/>
      <c r="T916" s="273"/>
      <c r="U916" s="273"/>
      <c r="V916" s="273"/>
      <c r="W916" s="273">
        <f t="shared" si="209"/>
        <v>428269.59</v>
      </c>
      <c r="X916" s="282"/>
      <c r="Y916" s="119"/>
      <c r="Z916" s="273"/>
      <c r="AB916" s="119"/>
      <c r="AD916" s="273">
        <v>428269.59</v>
      </c>
      <c r="AE916" s="261"/>
      <c r="AF916" s="273"/>
    </row>
    <row r="917" spans="1:32" x14ac:dyDescent="0.3">
      <c r="A917" s="259">
        <f t="shared" si="203"/>
        <v>691</v>
      </c>
      <c r="B917" s="20" t="s">
        <v>2564</v>
      </c>
      <c r="C917" s="273">
        <f t="shared" si="210"/>
        <v>441573.5</v>
      </c>
      <c r="D917" s="273"/>
      <c r="E917" s="273"/>
      <c r="F917" s="273"/>
      <c r="G917" s="273"/>
      <c r="H917" s="273"/>
      <c r="I917" s="273"/>
      <c r="J917" s="50"/>
      <c r="K917" s="273"/>
      <c r="L917" s="273"/>
      <c r="M917" s="273"/>
      <c r="N917" s="273"/>
      <c r="O917" s="273"/>
      <c r="P917" s="273"/>
      <c r="Q917" s="273"/>
      <c r="R917" s="273"/>
      <c r="S917" s="273"/>
      <c r="T917" s="273"/>
      <c r="U917" s="273"/>
      <c r="V917" s="273"/>
      <c r="W917" s="273">
        <f t="shared" si="209"/>
        <v>441573.5</v>
      </c>
      <c r="X917" s="282"/>
      <c r="Y917" s="119"/>
      <c r="Z917" s="273"/>
      <c r="AB917" s="119"/>
      <c r="AD917" s="273">
        <v>441573.5</v>
      </c>
      <c r="AE917" s="261"/>
      <c r="AF917" s="273"/>
    </row>
    <row r="918" spans="1:32" x14ac:dyDescent="0.3">
      <c r="A918" s="259">
        <f t="shared" ref="A918:A953" si="211">A917+1</f>
        <v>692</v>
      </c>
      <c r="B918" s="20" t="s">
        <v>2565</v>
      </c>
      <c r="C918" s="273">
        <f t="shared" si="210"/>
        <v>372992.58</v>
      </c>
      <c r="D918" s="273"/>
      <c r="E918" s="273"/>
      <c r="F918" s="273"/>
      <c r="G918" s="273"/>
      <c r="H918" s="273"/>
      <c r="I918" s="273"/>
      <c r="J918" s="50"/>
      <c r="K918" s="273"/>
      <c r="L918" s="273"/>
      <c r="M918" s="273"/>
      <c r="N918" s="273"/>
      <c r="O918" s="273"/>
      <c r="P918" s="273"/>
      <c r="Q918" s="22"/>
      <c r="R918" s="273"/>
      <c r="S918" s="273"/>
      <c r="T918" s="273"/>
      <c r="U918" s="273"/>
      <c r="V918" s="273"/>
      <c r="W918" s="273">
        <f t="shared" si="209"/>
        <v>372992.58</v>
      </c>
      <c r="X918" s="282"/>
      <c r="Y918" s="119"/>
      <c r="Z918" s="273"/>
      <c r="AB918" s="119"/>
      <c r="AD918" s="273">
        <v>372992.58</v>
      </c>
      <c r="AE918" s="261"/>
      <c r="AF918" s="261"/>
    </row>
    <row r="919" spans="1:32" x14ac:dyDescent="0.3">
      <c r="A919" s="259">
        <f t="shared" si="211"/>
        <v>693</v>
      </c>
      <c r="B919" s="20" t="s">
        <v>2566</v>
      </c>
      <c r="C919" s="273">
        <f t="shared" si="210"/>
        <v>500973.27</v>
      </c>
      <c r="D919" s="273"/>
      <c r="E919" s="273"/>
      <c r="F919" s="273"/>
      <c r="G919" s="273"/>
      <c r="H919" s="273"/>
      <c r="I919" s="273"/>
      <c r="J919" s="50"/>
      <c r="K919" s="273"/>
      <c r="L919" s="273"/>
      <c r="M919" s="273"/>
      <c r="N919" s="273"/>
      <c r="O919" s="273"/>
      <c r="P919" s="273"/>
      <c r="Q919" s="22"/>
      <c r="R919" s="273"/>
      <c r="S919" s="273"/>
      <c r="T919" s="273"/>
      <c r="U919" s="273"/>
      <c r="V919" s="273"/>
      <c r="W919" s="273">
        <f t="shared" si="209"/>
        <v>500973.27</v>
      </c>
      <c r="X919" s="282"/>
      <c r="Y919" s="119"/>
      <c r="Z919" s="273"/>
      <c r="AB919" s="119"/>
      <c r="AD919" s="273">
        <v>500973.27</v>
      </c>
      <c r="AE919" s="261"/>
      <c r="AF919" s="273"/>
    </row>
    <row r="920" spans="1:32" x14ac:dyDescent="0.3">
      <c r="A920" s="259">
        <f t="shared" si="211"/>
        <v>694</v>
      </c>
      <c r="B920" s="20" t="s">
        <v>2567</v>
      </c>
      <c r="C920" s="273">
        <f t="shared" si="210"/>
        <v>252622.72</v>
      </c>
      <c r="D920" s="273"/>
      <c r="E920" s="273"/>
      <c r="F920" s="273"/>
      <c r="G920" s="273"/>
      <c r="H920" s="273"/>
      <c r="I920" s="273"/>
      <c r="J920" s="50"/>
      <c r="K920" s="273"/>
      <c r="L920" s="273"/>
      <c r="M920" s="273"/>
      <c r="N920" s="29"/>
      <c r="O920" s="273"/>
      <c r="P920" s="273"/>
      <c r="Q920" s="273"/>
      <c r="R920" s="273"/>
      <c r="S920" s="273"/>
      <c r="T920" s="273"/>
      <c r="U920" s="273"/>
      <c r="V920" s="273"/>
      <c r="W920" s="273">
        <f t="shared" si="209"/>
        <v>252622.72</v>
      </c>
      <c r="X920" s="282"/>
      <c r="Y920" s="119"/>
      <c r="Z920" s="273"/>
      <c r="AB920" s="119">
        <v>252622.72</v>
      </c>
      <c r="AD920" s="273"/>
      <c r="AE920" s="261"/>
      <c r="AF920" s="273"/>
    </row>
    <row r="921" spans="1:32" x14ac:dyDescent="0.3">
      <c r="A921" s="259">
        <f t="shared" si="211"/>
        <v>695</v>
      </c>
      <c r="B921" s="20" t="s">
        <v>2568</v>
      </c>
      <c r="C921" s="273">
        <f t="shared" si="210"/>
        <v>550833.92000000004</v>
      </c>
      <c r="D921" s="273"/>
      <c r="E921" s="273"/>
      <c r="F921" s="273"/>
      <c r="G921" s="273"/>
      <c r="H921" s="273"/>
      <c r="I921" s="273"/>
      <c r="J921" s="50"/>
      <c r="K921" s="273"/>
      <c r="L921" s="273"/>
      <c r="M921" s="273"/>
      <c r="N921" s="273"/>
      <c r="O921" s="273"/>
      <c r="P921" s="273"/>
      <c r="Q921" s="22"/>
      <c r="R921" s="273"/>
      <c r="S921" s="273"/>
      <c r="T921" s="273"/>
      <c r="U921" s="273"/>
      <c r="V921" s="273"/>
      <c r="W921" s="273">
        <f t="shared" si="209"/>
        <v>550833.92000000004</v>
      </c>
      <c r="X921" s="282"/>
      <c r="Y921" s="119"/>
      <c r="Z921" s="273"/>
      <c r="AB921" s="119"/>
      <c r="AD921" s="273">
        <v>550833.92000000004</v>
      </c>
      <c r="AE921" s="261"/>
      <c r="AF921" s="273"/>
    </row>
    <row r="922" spans="1:32" x14ac:dyDescent="0.3">
      <c r="A922" s="259">
        <f t="shared" si="211"/>
        <v>696</v>
      </c>
      <c r="B922" s="20" t="s">
        <v>2569</v>
      </c>
      <c r="C922" s="273">
        <f t="shared" si="210"/>
        <v>550745.27</v>
      </c>
      <c r="D922" s="273"/>
      <c r="E922" s="273"/>
      <c r="F922" s="273"/>
      <c r="G922" s="273"/>
      <c r="H922" s="273"/>
      <c r="I922" s="273"/>
      <c r="J922" s="50"/>
      <c r="K922" s="273"/>
      <c r="L922" s="273"/>
      <c r="M922" s="273"/>
      <c r="N922" s="273"/>
      <c r="O922" s="273"/>
      <c r="P922" s="273"/>
      <c r="Q922" s="22"/>
      <c r="R922" s="273"/>
      <c r="S922" s="273"/>
      <c r="T922" s="273"/>
      <c r="U922" s="273"/>
      <c r="V922" s="273"/>
      <c r="W922" s="273">
        <f t="shared" si="209"/>
        <v>550745.27</v>
      </c>
      <c r="X922" s="282"/>
      <c r="Y922" s="119"/>
      <c r="Z922" s="273"/>
      <c r="AB922" s="119"/>
      <c r="AD922" s="273">
        <v>550745.27</v>
      </c>
      <c r="AE922" s="261"/>
      <c r="AF922" s="273"/>
    </row>
    <row r="923" spans="1:32" x14ac:dyDescent="0.3">
      <c r="A923" s="259">
        <f t="shared" si="211"/>
        <v>697</v>
      </c>
      <c r="B923" s="20" t="s">
        <v>2570</v>
      </c>
      <c r="C923" s="273">
        <f t="shared" si="210"/>
        <v>679805.72</v>
      </c>
      <c r="D923" s="273"/>
      <c r="E923" s="273"/>
      <c r="F923" s="273"/>
      <c r="G923" s="273"/>
      <c r="H923" s="273"/>
      <c r="I923" s="273"/>
      <c r="J923" s="50"/>
      <c r="K923" s="273"/>
      <c r="L923" s="273"/>
      <c r="M923" s="273"/>
      <c r="N923" s="273"/>
      <c r="O923" s="273"/>
      <c r="P923" s="273"/>
      <c r="Q923" s="22"/>
      <c r="R923" s="273"/>
      <c r="S923" s="273"/>
      <c r="T923" s="273"/>
      <c r="U923" s="273"/>
      <c r="V923" s="273"/>
      <c r="W923" s="273">
        <f t="shared" si="209"/>
        <v>679805.72</v>
      </c>
      <c r="X923" s="282"/>
      <c r="Y923" s="119"/>
      <c r="Z923" s="273"/>
      <c r="AB923" s="119"/>
      <c r="AD923" s="273">
        <v>679805.72</v>
      </c>
      <c r="AE923" s="261"/>
      <c r="AF923" s="273"/>
    </row>
    <row r="924" spans="1:32" x14ac:dyDescent="0.3">
      <c r="A924" s="259">
        <f t="shared" si="211"/>
        <v>698</v>
      </c>
      <c r="B924" s="20" t="s">
        <v>2571</v>
      </c>
      <c r="C924" s="273">
        <f t="shared" si="210"/>
        <v>496846.63</v>
      </c>
      <c r="D924" s="273"/>
      <c r="E924" s="273"/>
      <c r="F924" s="273"/>
      <c r="G924" s="273"/>
      <c r="H924" s="273"/>
      <c r="I924" s="273"/>
      <c r="J924" s="50"/>
      <c r="K924" s="273"/>
      <c r="L924" s="273"/>
      <c r="M924" s="273"/>
      <c r="N924" s="273"/>
      <c r="O924" s="273"/>
      <c r="P924" s="273"/>
      <c r="Q924" s="273"/>
      <c r="R924" s="273"/>
      <c r="S924" s="273"/>
      <c r="T924" s="273"/>
      <c r="U924" s="273"/>
      <c r="V924" s="273"/>
      <c r="W924" s="273">
        <f t="shared" si="209"/>
        <v>496846.63</v>
      </c>
      <c r="X924" s="282"/>
      <c r="Y924" s="119"/>
      <c r="Z924" s="273"/>
      <c r="AB924" s="119"/>
      <c r="AD924" s="273"/>
      <c r="AE924" s="261">
        <v>496846.63</v>
      </c>
      <c r="AF924" s="273"/>
    </row>
    <row r="925" spans="1:32" x14ac:dyDescent="0.3">
      <c r="A925" s="259">
        <f t="shared" si="211"/>
        <v>699</v>
      </c>
      <c r="B925" s="20" t="s">
        <v>2572</v>
      </c>
      <c r="C925" s="273">
        <f t="shared" si="210"/>
        <v>385471.93</v>
      </c>
      <c r="D925" s="273"/>
      <c r="E925" s="273"/>
      <c r="F925" s="273"/>
      <c r="G925" s="273"/>
      <c r="H925" s="273"/>
      <c r="I925" s="273"/>
      <c r="J925" s="50"/>
      <c r="K925" s="273"/>
      <c r="L925" s="273"/>
      <c r="M925" s="273"/>
      <c r="N925" s="273"/>
      <c r="O925" s="273"/>
      <c r="P925" s="273"/>
      <c r="Q925" s="22"/>
      <c r="R925" s="273"/>
      <c r="S925" s="273"/>
      <c r="T925" s="273"/>
      <c r="U925" s="273"/>
      <c r="V925" s="273"/>
      <c r="W925" s="273">
        <f t="shared" si="209"/>
        <v>385471.93</v>
      </c>
      <c r="X925" s="282"/>
      <c r="Y925" s="119"/>
      <c r="Z925" s="273"/>
      <c r="AB925" s="119"/>
      <c r="AD925" s="273">
        <v>385471.93</v>
      </c>
      <c r="AE925" s="261"/>
      <c r="AF925" s="273"/>
    </row>
    <row r="926" spans="1:32" x14ac:dyDescent="0.3">
      <c r="A926" s="259">
        <f t="shared" si="211"/>
        <v>700</v>
      </c>
      <c r="B926" s="20" t="s">
        <v>2573</v>
      </c>
      <c r="C926" s="273">
        <f t="shared" si="210"/>
        <v>543575.94999999995</v>
      </c>
      <c r="D926" s="273"/>
      <c r="E926" s="273"/>
      <c r="F926" s="273"/>
      <c r="G926" s="273"/>
      <c r="H926" s="273"/>
      <c r="I926" s="273"/>
      <c r="J926" s="50"/>
      <c r="K926" s="273"/>
      <c r="L926" s="273"/>
      <c r="M926" s="273"/>
      <c r="N926" s="273"/>
      <c r="O926" s="273"/>
      <c r="P926" s="273"/>
      <c r="Q926" s="22"/>
      <c r="R926" s="273"/>
      <c r="S926" s="273"/>
      <c r="T926" s="273"/>
      <c r="U926" s="273"/>
      <c r="V926" s="273"/>
      <c r="W926" s="273">
        <f t="shared" si="209"/>
        <v>543575.94999999995</v>
      </c>
      <c r="X926" s="282"/>
      <c r="Y926" s="119"/>
      <c r="Z926" s="273"/>
      <c r="AB926" s="119"/>
      <c r="AD926" s="273">
        <v>543575.94999999995</v>
      </c>
      <c r="AE926" s="261"/>
      <c r="AF926" s="273"/>
    </row>
    <row r="927" spans="1:32" x14ac:dyDescent="0.3">
      <c r="A927" s="259">
        <f t="shared" si="211"/>
        <v>701</v>
      </c>
      <c r="B927" s="20" t="s">
        <v>2574</v>
      </c>
      <c r="C927" s="273">
        <f t="shared" si="210"/>
        <v>444814.09</v>
      </c>
      <c r="D927" s="273"/>
      <c r="E927" s="273"/>
      <c r="F927" s="273"/>
      <c r="G927" s="273"/>
      <c r="H927" s="273"/>
      <c r="I927" s="273"/>
      <c r="J927" s="50"/>
      <c r="K927" s="273"/>
      <c r="L927" s="273"/>
      <c r="M927" s="273"/>
      <c r="N927" s="273"/>
      <c r="O927" s="273"/>
      <c r="P927" s="273"/>
      <c r="Q927" s="22"/>
      <c r="R927" s="273"/>
      <c r="S927" s="273"/>
      <c r="T927" s="273"/>
      <c r="U927" s="273"/>
      <c r="V927" s="273"/>
      <c r="W927" s="273">
        <f t="shared" si="209"/>
        <v>444814.09</v>
      </c>
      <c r="X927" s="282"/>
      <c r="Y927" s="119"/>
      <c r="Z927" s="273"/>
      <c r="AB927" s="119"/>
      <c r="AD927" s="273">
        <v>444814.09</v>
      </c>
      <c r="AE927" s="261"/>
      <c r="AF927" s="273"/>
    </row>
    <row r="928" spans="1:32" x14ac:dyDescent="0.3">
      <c r="A928" s="259">
        <f t="shared" si="211"/>
        <v>702</v>
      </c>
      <c r="B928" s="20" t="s">
        <v>2575</v>
      </c>
      <c r="C928" s="273">
        <f t="shared" si="210"/>
        <v>445548.76</v>
      </c>
      <c r="D928" s="273"/>
      <c r="E928" s="273"/>
      <c r="F928" s="273"/>
      <c r="G928" s="273"/>
      <c r="H928" s="273"/>
      <c r="I928" s="273"/>
      <c r="J928" s="50"/>
      <c r="K928" s="273"/>
      <c r="L928" s="273"/>
      <c r="M928" s="273"/>
      <c r="N928" s="273"/>
      <c r="O928" s="273"/>
      <c r="P928" s="273"/>
      <c r="Q928" s="22"/>
      <c r="R928" s="273"/>
      <c r="S928" s="273"/>
      <c r="T928" s="273"/>
      <c r="U928" s="273"/>
      <c r="V928" s="273"/>
      <c r="W928" s="273">
        <f t="shared" si="209"/>
        <v>445548.76</v>
      </c>
      <c r="X928" s="282"/>
      <c r="Y928" s="119"/>
      <c r="Z928" s="273"/>
      <c r="AB928" s="119"/>
      <c r="AD928" s="273">
        <v>445548.76</v>
      </c>
      <c r="AE928" s="261"/>
      <c r="AF928" s="273"/>
    </row>
    <row r="929" spans="1:32" x14ac:dyDescent="0.3">
      <c r="A929" s="259">
        <f t="shared" si="211"/>
        <v>703</v>
      </c>
      <c r="B929" s="20" t="s">
        <v>2576</v>
      </c>
      <c r="C929" s="273">
        <f t="shared" si="210"/>
        <v>500973.27</v>
      </c>
      <c r="D929" s="273"/>
      <c r="E929" s="273"/>
      <c r="F929" s="273"/>
      <c r="G929" s="273"/>
      <c r="H929" s="273"/>
      <c r="I929" s="273"/>
      <c r="J929" s="50"/>
      <c r="K929" s="273"/>
      <c r="L929" s="273"/>
      <c r="M929" s="273"/>
      <c r="N929" s="273"/>
      <c r="O929" s="273"/>
      <c r="P929" s="273"/>
      <c r="Q929" s="22"/>
      <c r="R929" s="273"/>
      <c r="S929" s="273"/>
      <c r="T929" s="273"/>
      <c r="U929" s="273"/>
      <c r="V929" s="273"/>
      <c r="W929" s="273">
        <f t="shared" si="209"/>
        <v>500973.27</v>
      </c>
      <c r="X929" s="282"/>
      <c r="Y929" s="119"/>
      <c r="Z929" s="273"/>
      <c r="AB929" s="119"/>
      <c r="AD929" s="273">
        <v>500973.27</v>
      </c>
      <c r="AE929" s="261"/>
      <c r="AF929" s="273"/>
    </row>
    <row r="930" spans="1:32" x14ac:dyDescent="0.3">
      <c r="A930" s="259">
        <f t="shared" si="211"/>
        <v>704</v>
      </c>
      <c r="B930" s="20" t="s">
        <v>2577</v>
      </c>
      <c r="C930" s="273">
        <f t="shared" si="210"/>
        <v>528134.77</v>
      </c>
      <c r="D930" s="273"/>
      <c r="E930" s="273"/>
      <c r="F930" s="273"/>
      <c r="G930" s="273"/>
      <c r="H930" s="273"/>
      <c r="I930" s="273"/>
      <c r="J930" s="50"/>
      <c r="K930" s="273"/>
      <c r="L930" s="273"/>
      <c r="M930" s="273"/>
      <c r="N930" s="273"/>
      <c r="O930" s="273"/>
      <c r="P930" s="273"/>
      <c r="Q930" s="22"/>
      <c r="R930" s="273"/>
      <c r="S930" s="273"/>
      <c r="T930" s="273"/>
      <c r="U930" s="273"/>
      <c r="V930" s="273"/>
      <c r="W930" s="273">
        <f t="shared" si="209"/>
        <v>528134.77</v>
      </c>
      <c r="X930" s="282"/>
      <c r="Y930" s="119"/>
      <c r="Z930" s="273"/>
      <c r="AB930" s="119"/>
      <c r="AD930" s="273">
        <v>528134.77</v>
      </c>
      <c r="AE930" s="261"/>
      <c r="AF930" s="273"/>
    </row>
    <row r="931" spans="1:32" x14ac:dyDescent="0.3">
      <c r="A931" s="259">
        <f t="shared" si="211"/>
        <v>705</v>
      </c>
      <c r="B931" s="20" t="s">
        <v>2578</v>
      </c>
      <c r="C931" s="273">
        <f t="shared" si="210"/>
        <v>213560.18</v>
      </c>
      <c r="D931" s="273"/>
      <c r="E931" s="273"/>
      <c r="F931" s="273"/>
      <c r="G931" s="273"/>
      <c r="H931" s="273"/>
      <c r="I931" s="273"/>
      <c r="J931" s="50"/>
      <c r="K931" s="273"/>
      <c r="L931" s="273"/>
      <c r="M931" s="273"/>
      <c r="N931" s="273"/>
      <c r="O931" s="273"/>
      <c r="P931" s="273"/>
      <c r="Q931" s="22"/>
      <c r="R931" s="273"/>
      <c r="S931" s="273"/>
      <c r="T931" s="273"/>
      <c r="U931" s="273"/>
      <c r="V931" s="273"/>
      <c r="W931" s="273">
        <f t="shared" si="209"/>
        <v>213560.18</v>
      </c>
      <c r="X931" s="282"/>
      <c r="Y931" s="119"/>
      <c r="Z931" s="273"/>
      <c r="AB931" s="119"/>
      <c r="AD931" s="273"/>
      <c r="AE931" s="261"/>
      <c r="AF931" s="273">
        <v>213560.18</v>
      </c>
    </row>
    <row r="932" spans="1:32" x14ac:dyDescent="0.3">
      <c r="A932" s="259">
        <f t="shared" si="211"/>
        <v>706</v>
      </c>
      <c r="B932" s="20" t="s">
        <v>2579</v>
      </c>
      <c r="C932" s="273">
        <f t="shared" si="210"/>
        <v>347780.17</v>
      </c>
      <c r="D932" s="273"/>
      <c r="E932" s="273"/>
      <c r="F932" s="273"/>
      <c r="G932" s="273"/>
      <c r="H932" s="273"/>
      <c r="I932" s="273"/>
      <c r="J932" s="50"/>
      <c r="K932" s="273"/>
      <c r="L932" s="273"/>
      <c r="M932" s="273"/>
      <c r="N932" s="273"/>
      <c r="O932" s="273"/>
      <c r="P932" s="273"/>
      <c r="Q932" s="22"/>
      <c r="R932" s="273"/>
      <c r="S932" s="273"/>
      <c r="T932" s="273"/>
      <c r="U932" s="273"/>
      <c r="V932" s="273"/>
      <c r="W932" s="273">
        <f t="shared" si="209"/>
        <v>347780.17</v>
      </c>
      <c r="X932" s="282"/>
      <c r="Y932" s="119"/>
      <c r="Z932" s="273"/>
      <c r="AB932" s="119"/>
      <c r="AD932" s="273">
        <v>347780.17</v>
      </c>
      <c r="AE932" s="261"/>
      <c r="AF932" s="273"/>
    </row>
    <row r="933" spans="1:32" x14ac:dyDescent="0.3">
      <c r="A933" s="259">
        <f t="shared" si="211"/>
        <v>707</v>
      </c>
      <c r="B933" s="20" t="s">
        <v>2581</v>
      </c>
      <c r="C933" s="273">
        <f t="shared" si="210"/>
        <v>678515.71</v>
      </c>
      <c r="D933" s="273"/>
      <c r="E933" s="273"/>
      <c r="F933" s="273"/>
      <c r="G933" s="273"/>
      <c r="H933" s="273"/>
      <c r="I933" s="273"/>
      <c r="J933" s="50"/>
      <c r="K933" s="273"/>
      <c r="L933" s="273"/>
      <c r="M933" s="273"/>
      <c r="N933" s="273"/>
      <c r="O933" s="273"/>
      <c r="P933" s="273"/>
      <c r="Q933" s="22"/>
      <c r="R933" s="273"/>
      <c r="S933" s="273"/>
      <c r="T933" s="273"/>
      <c r="U933" s="273"/>
      <c r="V933" s="273"/>
      <c r="W933" s="273">
        <f t="shared" si="209"/>
        <v>678515.71</v>
      </c>
      <c r="X933" s="282"/>
      <c r="Y933" s="119"/>
      <c r="Z933" s="273"/>
      <c r="AB933" s="119"/>
      <c r="AD933" s="273"/>
      <c r="AE933" s="261">
        <v>678515.71</v>
      </c>
      <c r="AF933" s="273"/>
    </row>
    <row r="934" spans="1:32" x14ac:dyDescent="0.3">
      <c r="A934" s="259">
        <f t="shared" si="211"/>
        <v>708</v>
      </c>
      <c r="B934" s="20" t="s">
        <v>2582</v>
      </c>
      <c r="C934" s="273">
        <f t="shared" si="210"/>
        <v>735230.65</v>
      </c>
      <c r="D934" s="273"/>
      <c r="E934" s="273"/>
      <c r="F934" s="273"/>
      <c r="G934" s="273"/>
      <c r="H934" s="273"/>
      <c r="I934" s="273"/>
      <c r="J934" s="50"/>
      <c r="K934" s="273"/>
      <c r="L934" s="273"/>
      <c r="M934" s="273"/>
      <c r="N934" s="273"/>
      <c r="O934" s="273"/>
      <c r="P934" s="273"/>
      <c r="Q934" s="22"/>
      <c r="R934" s="273"/>
      <c r="S934" s="273"/>
      <c r="T934" s="273"/>
      <c r="U934" s="273"/>
      <c r="V934" s="273"/>
      <c r="W934" s="273">
        <f t="shared" si="209"/>
        <v>735230.65</v>
      </c>
      <c r="X934" s="282"/>
      <c r="Y934" s="119"/>
      <c r="Z934" s="273"/>
      <c r="AB934" s="119"/>
      <c r="AD934" s="273"/>
      <c r="AE934" s="261">
        <v>735230.65</v>
      </c>
      <c r="AF934" s="273"/>
    </row>
    <row r="935" spans="1:32" x14ac:dyDescent="0.3">
      <c r="A935" s="259">
        <f t="shared" si="211"/>
        <v>709</v>
      </c>
      <c r="B935" s="20" t="s">
        <v>2583</v>
      </c>
      <c r="C935" s="273">
        <f t="shared" si="210"/>
        <v>727897.56</v>
      </c>
      <c r="D935" s="273"/>
      <c r="E935" s="273"/>
      <c r="F935" s="273"/>
      <c r="G935" s="273"/>
      <c r="H935" s="273"/>
      <c r="I935" s="273"/>
      <c r="J935" s="50"/>
      <c r="K935" s="273"/>
      <c r="L935" s="273"/>
      <c r="M935" s="273"/>
      <c r="N935" s="273"/>
      <c r="O935" s="273"/>
      <c r="P935" s="273"/>
      <c r="Q935" s="22"/>
      <c r="R935" s="273"/>
      <c r="S935" s="273"/>
      <c r="T935" s="273"/>
      <c r="U935" s="273"/>
      <c r="V935" s="273"/>
      <c r="W935" s="273">
        <f t="shared" si="209"/>
        <v>727897.56</v>
      </c>
      <c r="X935" s="282"/>
      <c r="Y935" s="119"/>
      <c r="Z935" s="273"/>
      <c r="AB935" s="119"/>
      <c r="AD935" s="273"/>
      <c r="AE935" s="261">
        <v>727897.56</v>
      </c>
      <c r="AF935" s="273"/>
    </row>
    <row r="936" spans="1:32" x14ac:dyDescent="0.3">
      <c r="A936" s="259">
        <f t="shared" si="211"/>
        <v>710</v>
      </c>
      <c r="B936" s="20" t="s">
        <v>2584</v>
      </c>
      <c r="C936" s="273">
        <f t="shared" si="210"/>
        <v>93413.78</v>
      </c>
      <c r="D936" s="273"/>
      <c r="E936" s="273"/>
      <c r="F936" s="273"/>
      <c r="G936" s="273"/>
      <c r="H936" s="273"/>
      <c r="I936" s="273"/>
      <c r="J936" s="50"/>
      <c r="K936" s="273"/>
      <c r="L936" s="273"/>
      <c r="M936" s="273"/>
      <c r="N936" s="273"/>
      <c r="O936" s="273"/>
      <c r="P936" s="273"/>
      <c r="Q936" s="22"/>
      <c r="R936" s="273"/>
      <c r="S936" s="273"/>
      <c r="T936" s="273"/>
      <c r="U936" s="273"/>
      <c r="V936" s="273"/>
      <c r="W936" s="273">
        <f t="shared" si="209"/>
        <v>93413.78</v>
      </c>
      <c r="X936" s="282"/>
      <c r="Y936" s="119"/>
      <c r="Z936" s="273"/>
      <c r="AB936" s="119"/>
      <c r="AD936" s="273"/>
      <c r="AE936" s="261">
        <v>93413.78</v>
      </c>
      <c r="AF936" s="273"/>
    </row>
    <row r="937" spans="1:32" x14ac:dyDescent="0.3">
      <c r="A937" s="259">
        <f t="shared" si="211"/>
        <v>711</v>
      </c>
      <c r="B937" s="20" t="s">
        <v>2585</v>
      </c>
      <c r="C937" s="273">
        <f t="shared" si="210"/>
        <v>97633.98</v>
      </c>
      <c r="D937" s="273"/>
      <c r="E937" s="273"/>
      <c r="F937" s="273"/>
      <c r="G937" s="273"/>
      <c r="H937" s="273"/>
      <c r="I937" s="273"/>
      <c r="J937" s="50"/>
      <c r="K937" s="273"/>
      <c r="L937" s="273"/>
      <c r="M937" s="273"/>
      <c r="N937" s="273"/>
      <c r="O937" s="273"/>
      <c r="P937" s="273"/>
      <c r="Q937" s="22"/>
      <c r="R937" s="273"/>
      <c r="S937" s="273"/>
      <c r="T937" s="273"/>
      <c r="U937" s="273"/>
      <c r="V937" s="273"/>
      <c r="W937" s="273">
        <f t="shared" si="209"/>
        <v>97633.98</v>
      </c>
      <c r="X937" s="282"/>
      <c r="Y937" s="119"/>
      <c r="Z937" s="273"/>
      <c r="AB937" s="119"/>
      <c r="AD937" s="273"/>
      <c r="AE937" s="261">
        <v>97633.98</v>
      </c>
      <c r="AF937" s="273"/>
    </row>
    <row r="938" spans="1:32" x14ac:dyDescent="0.3">
      <c r="A938" s="259">
        <f t="shared" si="211"/>
        <v>712</v>
      </c>
      <c r="B938" s="20" t="s">
        <v>2586</v>
      </c>
      <c r="C938" s="273">
        <f t="shared" si="210"/>
        <v>93353.4</v>
      </c>
      <c r="D938" s="273"/>
      <c r="E938" s="273"/>
      <c r="F938" s="273"/>
      <c r="G938" s="273"/>
      <c r="H938" s="273"/>
      <c r="I938" s="273"/>
      <c r="J938" s="50"/>
      <c r="K938" s="273"/>
      <c r="L938" s="273"/>
      <c r="M938" s="273"/>
      <c r="N938" s="273"/>
      <c r="O938" s="273"/>
      <c r="P938" s="273"/>
      <c r="Q938" s="22"/>
      <c r="R938" s="273"/>
      <c r="S938" s="273"/>
      <c r="T938" s="273"/>
      <c r="U938" s="273"/>
      <c r="V938" s="273"/>
      <c r="W938" s="273">
        <f t="shared" si="209"/>
        <v>93353.4</v>
      </c>
      <c r="X938" s="282"/>
      <c r="Y938" s="119"/>
      <c r="Z938" s="273"/>
      <c r="AB938" s="119"/>
      <c r="AD938" s="273"/>
      <c r="AE938" s="261">
        <v>93353.4</v>
      </c>
      <c r="AF938" s="273"/>
    </row>
    <row r="939" spans="1:32" x14ac:dyDescent="0.3">
      <c r="A939" s="259">
        <f t="shared" si="211"/>
        <v>713</v>
      </c>
      <c r="B939" s="20" t="s">
        <v>2587</v>
      </c>
      <c r="C939" s="273">
        <f t="shared" si="210"/>
        <v>235047.67999999999</v>
      </c>
      <c r="D939" s="273"/>
      <c r="E939" s="273"/>
      <c r="F939" s="273"/>
      <c r="G939" s="273"/>
      <c r="H939" s="273"/>
      <c r="I939" s="273"/>
      <c r="J939" s="50"/>
      <c r="K939" s="273"/>
      <c r="L939" s="273"/>
      <c r="M939" s="273"/>
      <c r="N939" s="273"/>
      <c r="O939" s="273"/>
      <c r="P939" s="273"/>
      <c r="Q939" s="22"/>
      <c r="R939" s="273"/>
      <c r="S939" s="273"/>
      <c r="T939" s="273"/>
      <c r="U939" s="273"/>
      <c r="V939" s="273"/>
      <c r="W939" s="273">
        <f t="shared" ref="W939:W960" si="212">SUM(X939:AF939)</f>
        <v>235047.67999999999</v>
      </c>
      <c r="X939" s="282"/>
      <c r="Y939" s="119"/>
      <c r="Z939" s="273"/>
      <c r="AB939" s="119">
        <v>235047.67999999999</v>
      </c>
      <c r="AD939" s="273"/>
      <c r="AE939" s="261"/>
      <c r="AF939" s="273"/>
    </row>
    <row r="940" spans="1:32" x14ac:dyDescent="0.3">
      <c r="A940" s="259">
        <f t="shared" si="211"/>
        <v>714</v>
      </c>
      <c r="B940" s="20" t="s">
        <v>2588</v>
      </c>
      <c r="C940" s="273">
        <f t="shared" si="210"/>
        <v>387501.62</v>
      </c>
      <c r="D940" s="273"/>
      <c r="E940" s="273"/>
      <c r="F940" s="273"/>
      <c r="G940" s="273"/>
      <c r="H940" s="273"/>
      <c r="I940" s="273"/>
      <c r="J940" s="50"/>
      <c r="K940" s="273"/>
      <c r="L940" s="273"/>
      <c r="M940" s="273"/>
      <c r="N940" s="273"/>
      <c r="O940" s="273"/>
      <c r="P940" s="273"/>
      <c r="Q940" s="22"/>
      <c r="R940" s="273"/>
      <c r="S940" s="273"/>
      <c r="T940" s="273"/>
      <c r="U940" s="273"/>
      <c r="V940" s="273"/>
      <c r="W940" s="273">
        <f t="shared" si="212"/>
        <v>387501.62</v>
      </c>
      <c r="X940" s="282"/>
      <c r="Y940" s="119"/>
      <c r="Z940" s="273"/>
      <c r="AB940" s="119"/>
      <c r="AD940" s="273">
        <v>387501.62</v>
      </c>
      <c r="AE940" s="261"/>
      <c r="AF940" s="273"/>
    </row>
    <row r="941" spans="1:32" x14ac:dyDescent="0.3">
      <c r="A941" s="259">
        <f t="shared" si="211"/>
        <v>715</v>
      </c>
      <c r="B941" s="20" t="s">
        <v>2589</v>
      </c>
      <c r="C941" s="273">
        <f t="shared" si="210"/>
        <v>215221.04</v>
      </c>
      <c r="D941" s="273"/>
      <c r="E941" s="273"/>
      <c r="F941" s="273"/>
      <c r="G941" s="273"/>
      <c r="H941" s="273"/>
      <c r="I941" s="273"/>
      <c r="J941" s="50"/>
      <c r="K941" s="273"/>
      <c r="L941" s="273"/>
      <c r="M941" s="273"/>
      <c r="N941" s="273"/>
      <c r="O941" s="273"/>
      <c r="P941" s="273"/>
      <c r="Q941" s="22"/>
      <c r="R941" s="273"/>
      <c r="S941" s="273"/>
      <c r="T941" s="273"/>
      <c r="U941" s="273"/>
      <c r="V941" s="273"/>
      <c r="W941" s="273">
        <f t="shared" si="212"/>
        <v>215221.04</v>
      </c>
      <c r="X941" s="282"/>
      <c r="Y941" s="119"/>
      <c r="Z941" s="273"/>
      <c r="AB941" s="119"/>
      <c r="AD941" s="273">
        <v>215221.04</v>
      </c>
      <c r="AE941" s="261"/>
      <c r="AF941" s="273"/>
    </row>
    <row r="942" spans="1:32" x14ac:dyDescent="0.3">
      <c r="A942" s="259">
        <f t="shared" si="211"/>
        <v>716</v>
      </c>
      <c r="B942" s="20" t="s">
        <v>2590</v>
      </c>
      <c r="C942" s="273">
        <f t="shared" si="210"/>
        <v>326008.71000000002</v>
      </c>
      <c r="D942" s="273"/>
      <c r="E942" s="273"/>
      <c r="F942" s="273"/>
      <c r="G942" s="273"/>
      <c r="H942" s="273"/>
      <c r="I942" s="273"/>
      <c r="J942" s="50"/>
      <c r="K942" s="273"/>
      <c r="L942" s="273"/>
      <c r="M942" s="273"/>
      <c r="N942" s="273"/>
      <c r="O942" s="273"/>
      <c r="P942" s="273"/>
      <c r="Q942" s="22"/>
      <c r="R942" s="273"/>
      <c r="S942" s="273"/>
      <c r="T942" s="273"/>
      <c r="U942" s="273"/>
      <c r="V942" s="273"/>
      <c r="W942" s="273">
        <f t="shared" si="212"/>
        <v>326008.71000000002</v>
      </c>
      <c r="X942" s="282"/>
      <c r="Y942" s="119"/>
      <c r="Z942" s="273"/>
      <c r="AB942" s="119"/>
      <c r="AD942" s="273">
        <v>326008.71000000002</v>
      </c>
      <c r="AE942" s="261"/>
      <c r="AF942" s="273"/>
    </row>
    <row r="943" spans="1:32" x14ac:dyDescent="0.3">
      <c r="A943" s="259">
        <f t="shared" si="211"/>
        <v>717</v>
      </c>
      <c r="B943" s="20" t="s">
        <v>2591</v>
      </c>
      <c r="C943" s="273">
        <f t="shared" si="210"/>
        <v>338789.34</v>
      </c>
      <c r="D943" s="273"/>
      <c r="E943" s="273"/>
      <c r="F943" s="273"/>
      <c r="G943" s="273"/>
      <c r="H943" s="273"/>
      <c r="I943" s="273"/>
      <c r="J943" s="50"/>
      <c r="K943" s="273"/>
      <c r="L943" s="273"/>
      <c r="M943" s="273"/>
      <c r="N943" s="273"/>
      <c r="O943" s="273"/>
      <c r="P943" s="273"/>
      <c r="Q943" s="22"/>
      <c r="R943" s="273"/>
      <c r="S943" s="273"/>
      <c r="T943" s="273"/>
      <c r="U943" s="273"/>
      <c r="V943" s="273"/>
      <c r="W943" s="273">
        <f t="shared" si="212"/>
        <v>338789.34</v>
      </c>
      <c r="X943" s="282"/>
      <c r="Y943" s="119"/>
      <c r="Z943" s="273"/>
      <c r="AB943" s="119"/>
      <c r="AD943" s="273">
        <v>338789.34</v>
      </c>
      <c r="AE943" s="261"/>
      <c r="AF943" s="273"/>
    </row>
    <row r="944" spans="1:32" x14ac:dyDescent="0.3">
      <c r="A944" s="259">
        <f t="shared" si="211"/>
        <v>718</v>
      </c>
      <c r="B944" s="20" t="s">
        <v>2592</v>
      </c>
      <c r="C944" s="273">
        <f t="shared" si="210"/>
        <v>937956.54</v>
      </c>
      <c r="D944" s="273"/>
      <c r="E944" s="273"/>
      <c r="F944" s="273"/>
      <c r="G944" s="273"/>
      <c r="H944" s="273"/>
      <c r="I944" s="273"/>
      <c r="J944" s="50"/>
      <c r="K944" s="273"/>
      <c r="L944" s="273"/>
      <c r="M944" s="273"/>
      <c r="N944" s="273"/>
      <c r="O944" s="273"/>
      <c r="P944" s="273"/>
      <c r="Q944" s="22"/>
      <c r="R944" s="273"/>
      <c r="S944" s="273"/>
      <c r="T944" s="273"/>
      <c r="U944" s="273"/>
      <c r="V944" s="273"/>
      <c r="W944" s="273">
        <f t="shared" si="212"/>
        <v>937956.54</v>
      </c>
      <c r="X944" s="282"/>
      <c r="Y944" s="119"/>
      <c r="Z944" s="273"/>
      <c r="AB944" s="119"/>
      <c r="AD944" s="273">
        <v>937956.54</v>
      </c>
      <c r="AE944" s="261"/>
      <c r="AF944" s="261"/>
    </row>
    <row r="945" spans="1:32" x14ac:dyDescent="0.3">
      <c r="A945" s="259">
        <f t="shared" si="211"/>
        <v>719</v>
      </c>
      <c r="B945" s="20" t="s">
        <v>2595</v>
      </c>
      <c r="C945" s="273">
        <f t="shared" ref="C945:C960" si="213">D945+K945+L945+N945+P945+R945+S945+U945+V945+W945</f>
        <v>308550.33</v>
      </c>
      <c r="D945" s="273"/>
      <c r="E945" s="273"/>
      <c r="F945" s="273"/>
      <c r="G945" s="273"/>
      <c r="H945" s="273"/>
      <c r="I945" s="273"/>
      <c r="J945" s="50"/>
      <c r="K945" s="273"/>
      <c r="L945" s="273"/>
      <c r="M945" s="273"/>
      <c r="N945" s="273"/>
      <c r="O945" s="273"/>
      <c r="P945" s="273"/>
      <c r="Q945" s="22"/>
      <c r="R945" s="273"/>
      <c r="S945" s="273"/>
      <c r="T945" s="273"/>
      <c r="U945" s="273"/>
      <c r="V945" s="273"/>
      <c r="W945" s="273">
        <f t="shared" si="212"/>
        <v>308550.33</v>
      </c>
      <c r="X945" s="282"/>
      <c r="Y945" s="119"/>
      <c r="Z945" s="273"/>
      <c r="AB945" s="119"/>
      <c r="AD945" s="273">
        <v>308550.33</v>
      </c>
      <c r="AE945" s="261"/>
      <c r="AF945" s="273"/>
    </row>
    <row r="946" spans="1:32" x14ac:dyDescent="0.3">
      <c r="A946" s="259">
        <f t="shared" si="211"/>
        <v>720</v>
      </c>
      <c r="B946" s="20" t="s">
        <v>2596</v>
      </c>
      <c r="C946" s="273">
        <f t="shared" si="213"/>
        <v>704543.86</v>
      </c>
      <c r="D946" s="273"/>
      <c r="E946" s="273"/>
      <c r="F946" s="273"/>
      <c r="G946" s="273"/>
      <c r="H946" s="273"/>
      <c r="I946" s="273"/>
      <c r="J946" s="50"/>
      <c r="K946" s="273"/>
      <c r="L946" s="273"/>
      <c r="M946" s="273"/>
      <c r="N946" s="273"/>
      <c r="O946" s="273"/>
      <c r="P946" s="273"/>
      <c r="Q946" s="22"/>
      <c r="R946" s="273"/>
      <c r="S946" s="273"/>
      <c r="T946" s="273"/>
      <c r="U946" s="273"/>
      <c r="V946" s="273"/>
      <c r="W946" s="273">
        <f t="shared" si="212"/>
        <v>704543.86</v>
      </c>
      <c r="X946" s="282"/>
      <c r="Y946" s="119"/>
      <c r="Z946" s="273"/>
      <c r="AB946" s="119"/>
      <c r="AD946" s="273"/>
      <c r="AE946" s="261">
        <v>704543.86</v>
      </c>
      <c r="AF946" s="273"/>
    </row>
    <row r="947" spans="1:32" x14ac:dyDescent="0.3">
      <c r="A947" s="259">
        <f t="shared" si="211"/>
        <v>721</v>
      </c>
      <c r="B947" s="20" t="s">
        <v>2600</v>
      </c>
      <c r="C947" s="273">
        <f t="shared" si="213"/>
        <v>340364.92</v>
      </c>
      <c r="D947" s="273"/>
      <c r="E947" s="273"/>
      <c r="F947" s="273"/>
      <c r="G947" s="273"/>
      <c r="H947" s="273"/>
      <c r="I947" s="273"/>
      <c r="J947" s="50"/>
      <c r="K947" s="273"/>
      <c r="L947" s="273"/>
      <c r="M947" s="273"/>
      <c r="N947" s="273"/>
      <c r="O947" s="273"/>
      <c r="P947" s="273"/>
      <c r="Q947" s="22"/>
      <c r="R947" s="273"/>
      <c r="S947" s="273"/>
      <c r="T947" s="273"/>
      <c r="U947" s="273"/>
      <c r="V947" s="273"/>
      <c r="W947" s="273">
        <f t="shared" si="212"/>
        <v>340364.92</v>
      </c>
      <c r="X947" s="282"/>
      <c r="Y947" s="119"/>
      <c r="Z947" s="273"/>
      <c r="AB947" s="119"/>
      <c r="AD947" s="273">
        <v>340364.92</v>
      </c>
      <c r="AE947" s="261"/>
      <c r="AF947" s="273"/>
    </row>
    <row r="948" spans="1:32" x14ac:dyDescent="0.3">
      <c r="A948" s="259">
        <f t="shared" si="211"/>
        <v>722</v>
      </c>
      <c r="B948" s="20" t="s">
        <v>2601</v>
      </c>
      <c r="C948" s="273">
        <f t="shared" si="213"/>
        <v>496326.38</v>
      </c>
      <c r="D948" s="273"/>
      <c r="E948" s="273"/>
      <c r="F948" s="273"/>
      <c r="G948" s="273"/>
      <c r="H948" s="273"/>
      <c r="I948" s="273"/>
      <c r="J948" s="50"/>
      <c r="K948" s="273"/>
      <c r="L948" s="273"/>
      <c r="M948" s="273"/>
      <c r="N948" s="273"/>
      <c r="O948" s="273"/>
      <c r="P948" s="273"/>
      <c r="Q948" s="22"/>
      <c r="R948" s="273"/>
      <c r="S948" s="273"/>
      <c r="T948" s="273"/>
      <c r="U948" s="273"/>
      <c r="V948" s="273"/>
      <c r="W948" s="273">
        <f t="shared" si="212"/>
        <v>496326.38</v>
      </c>
      <c r="X948" s="282"/>
      <c r="Y948" s="119"/>
      <c r="Z948" s="273"/>
      <c r="AB948" s="119"/>
      <c r="AD948" s="273">
        <v>496326.38</v>
      </c>
      <c r="AE948" s="261"/>
      <c r="AF948" s="273"/>
    </row>
    <row r="949" spans="1:32" x14ac:dyDescent="0.3">
      <c r="A949" s="259">
        <f t="shared" si="211"/>
        <v>723</v>
      </c>
      <c r="B949" s="20" t="s">
        <v>2602</v>
      </c>
      <c r="C949" s="273">
        <f t="shared" si="213"/>
        <v>523730.15</v>
      </c>
      <c r="D949" s="273"/>
      <c r="E949" s="273"/>
      <c r="F949" s="273"/>
      <c r="G949" s="273"/>
      <c r="H949" s="273"/>
      <c r="I949" s="273"/>
      <c r="J949" s="50"/>
      <c r="K949" s="273"/>
      <c r="L949" s="273"/>
      <c r="M949" s="273"/>
      <c r="N949" s="273"/>
      <c r="O949" s="273"/>
      <c r="P949" s="273"/>
      <c r="Q949" s="22"/>
      <c r="R949" s="273"/>
      <c r="S949" s="273"/>
      <c r="T949" s="273"/>
      <c r="U949" s="273"/>
      <c r="V949" s="273"/>
      <c r="W949" s="273">
        <f t="shared" si="212"/>
        <v>523730.15</v>
      </c>
      <c r="X949" s="282"/>
      <c r="Y949" s="119"/>
      <c r="Z949" s="273"/>
      <c r="AB949" s="119"/>
      <c r="AD949" s="273">
        <v>523730.15</v>
      </c>
      <c r="AE949" s="261"/>
      <c r="AF949" s="273"/>
    </row>
    <row r="950" spans="1:32" x14ac:dyDescent="0.3">
      <c r="A950" s="259">
        <f t="shared" si="211"/>
        <v>724</v>
      </c>
      <c r="B950" s="20" t="s">
        <v>2603</v>
      </c>
      <c r="C950" s="273">
        <f t="shared" si="213"/>
        <v>604337.86</v>
      </c>
      <c r="D950" s="273"/>
      <c r="E950" s="273"/>
      <c r="F950" s="273"/>
      <c r="G950" s="273"/>
      <c r="H950" s="273"/>
      <c r="I950" s="273"/>
      <c r="J950" s="50"/>
      <c r="K950" s="273"/>
      <c r="L950" s="273"/>
      <c r="M950" s="273"/>
      <c r="N950" s="273"/>
      <c r="O950" s="273"/>
      <c r="P950" s="273"/>
      <c r="Q950" s="22"/>
      <c r="R950" s="273"/>
      <c r="S950" s="273"/>
      <c r="T950" s="273"/>
      <c r="U950" s="273"/>
      <c r="V950" s="273"/>
      <c r="W950" s="273">
        <f t="shared" si="212"/>
        <v>604337.86</v>
      </c>
      <c r="X950" s="282"/>
      <c r="Y950" s="119"/>
      <c r="Z950" s="273"/>
      <c r="AB950" s="119"/>
      <c r="AD950" s="273">
        <v>604337.86</v>
      </c>
      <c r="AE950" s="261"/>
      <c r="AF950" s="273"/>
    </row>
    <row r="951" spans="1:32" x14ac:dyDescent="0.3">
      <c r="A951" s="259">
        <f t="shared" si="211"/>
        <v>725</v>
      </c>
      <c r="B951" s="20" t="s">
        <v>2604</v>
      </c>
      <c r="C951" s="273">
        <f t="shared" si="213"/>
        <v>385471.93</v>
      </c>
      <c r="D951" s="273"/>
      <c r="E951" s="273"/>
      <c r="F951" s="273"/>
      <c r="G951" s="273"/>
      <c r="H951" s="273"/>
      <c r="I951" s="273"/>
      <c r="J951" s="50"/>
      <c r="K951" s="273"/>
      <c r="L951" s="273"/>
      <c r="M951" s="273"/>
      <c r="N951" s="273"/>
      <c r="O951" s="273"/>
      <c r="P951" s="273"/>
      <c r="Q951" s="22"/>
      <c r="R951" s="273"/>
      <c r="S951" s="273"/>
      <c r="T951" s="273"/>
      <c r="U951" s="273"/>
      <c r="V951" s="273"/>
      <c r="W951" s="273">
        <f t="shared" si="212"/>
        <v>385471.93</v>
      </c>
      <c r="X951" s="282"/>
      <c r="Y951" s="119"/>
      <c r="Z951" s="273"/>
      <c r="AB951" s="119"/>
      <c r="AD951" s="273">
        <v>385471.93</v>
      </c>
      <c r="AE951" s="261"/>
      <c r="AF951" s="273"/>
    </row>
    <row r="952" spans="1:32" x14ac:dyDescent="0.3">
      <c r="A952" s="259">
        <f t="shared" si="211"/>
        <v>726</v>
      </c>
      <c r="B952" s="20" t="s">
        <v>2605</v>
      </c>
      <c r="C952" s="273">
        <f t="shared" si="213"/>
        <v>605439.84</v>
      </c>
      <c r="D952" s="273"/>
      <c r="E952" s="273"/>
      <c r="F952" s="273"/>
      <c r="G952" s="273"/>
      <c r="H952" s="273"/>
      <c r="I952" s="273"/>
      <c r="J952" s="50"/>
      <c r="K952" s="273"/>
      <c r="L952" s="273"/>
      <c r="M952" s="273"/>
      <c r="N952" s="273"/>
      <c r="O952" s="273"/>
      <c r="P952" s="273"/>
      <c r="Q952" s="22"/>
      <c r="R952" s="273"/>
      <c r="S952" s="273"/>
      <c r="T952" s="273"/>
      <c r="U952" s="273"/>
      <c r="V952" s="273"/>
      <c r="W952" s="273">
        <f t="shared" si="212"/>
        <v>605439.84</v>
      </c>
      <c r="X952" s="282"/>
      <c r="Y952" s="119"/>
      <c r="Z952" s="273"/>
      <c r="AB952" s="119"/>
      <c r="AD952" s="273">
        <v>605439.84</v>
      </c>
      <c r="AE952" s="261"/>
      <c r="AF952" s="273"/>
    </row>
    <row r="953" spans="1:32" x14ac:dyDescent="0.3">
      <c r="A953" s="259">
        <f t="shared" si="211"/>
        <v>727</v>
      </c>
      <c r="B953" s="20" t="s">
        <v>2606</v>
      </c>
      <c r="C953" s="273">
        <f t="shared" si="213"/>
        <v>598398.43999999994</v>
      </c>
      <c r="D953" s="273"/>
      <c r="E953" s="273"/>
      <c r="F953" s="273"/>
      <c r="G953" s="273"/>
      <c r="H953" s="273"/>
      <c r="I953" s="273"/>
      <c r="J953" s="50"/>
      <c r="K953" s="273"/>
      <c r="L953" s="273"/>
      <c r="M953" s="273"/>
      <c r="N953" s="273"/>
      <c r="O953" s="273"/>
      <c r="P953" s="273"/>
      <c r="Q953" s="22"/>
      <c r="R953" s="273"/>
      <c r="S953" s="273"/>
      <c r="T953" s="273"/>
      <c r="U953" s="273"/>
      <c r="V953" s="273"/>
      <c r="W953" s="273">
        <f t="shared" si="212"/>
        <v>598398.43999999994</v>
      </c>
      <c r="X953" s="282"/>
      <c r="Y953" s="119"/>
      <c r="Z953" s="273"/>
      <c r="AB953" s="119"/>
      <c r="AD953" s="273">
        <v>598398.43999999994</v>
      </c>
      <c r="AE953" s="261"/>
      <c r="AF953" s="273"/>
    </row>
    <row r="954" spans="1:32" x14ac:dyDescent="0.3">
      <c r="A954" s="259">
        <f t="shared" ref="A954" si="214">A953+1</f>
        <v>728</v>
      </c>
      <c r="B954" s="20" t="s">
        <v>2607</v>
      </c>
      <c r="C954" s="273">
        <f t="shared" si="213"/>
        <v>605579.18000000005</v>
      </c>
      <c r="D954" s="273"/>
      <c r="E954" s="273"/>
      <c r="F954" s="273"/>
      <c r="G954" s="273"/>
      <c r="H954" s="273"/>
      <c r="I954" s="273"/>
      <c r="J954" s="50"/>
      <c r="K954" s="273"/>
      <c r="L954" s="273"/>
      <c r="M954" s="273"/>
      <c r="N954" s="273"/>
      <c r="O954" s="273"/>
      <c r="P954" s="273"/>
      <c r="Q954" s="22"/>
      <c r="R954" s="273"/>
      <c r="S954" s="273"/>
      <c r="T954" s="273"/>
      <c r="U954" s="273"/>
      <c r="V954" s="273"/>
      <c r="W954" s="273">
        <f t="shared" si="212"/>
        <v>605579.18000000005</v>
      </c>
      <c r="X954" s="282"/>
      <c r="Y954" s="119"/>
      <c r="Z954" s="273"/>
      <c r="AB954" s="119"/>
      <c r="AD954" s="273">
        <v>605579.18000000005</v>
      </c>
      <c r="AE954" s="261"/>
      <c r="AF954" s="273"/>
    </row>
    <row r="955" spans="1:32" x14ac:dyDescent="0.3">
      <c r="A955" s="259">
        <f t="shared" ref="A955:A956" si="215">A954+1</f>
        <v>729</v>
      </c>
      <c r="B955" s="20" t="s">
        <v>2608</v>
      </c>
      <c r="C955" s="273">
        <f t="shared" si="213"/>
        <v>636308.44999999995</v>
      </c>
      <c r="D955" s="273"/>
      <c r="E955" s="273"/>
      <c r="F955" s="273"/>
      <c r="G955" s="273"/>
      <c r="H955" s="273"/>
      <c r="I955" s="273"/>
      <c r="J955" s="50"/>
      <c r="K955" s="273"/>
      <c r="L955" s="273"/>
      <c r="M955" s="273"/>
      <c r="N955" s="273"/>
      <c r="O955" s="273"/>
      <c r="P955" s="273"/>
      <c r="Q955" s="22"/>
      <c r="R955" s="273"/>
      <c r="S955" s="273"/>
      <c r="T955" s="273"/>
      <c r="U955" s="273"/>
      <c r="V955" s="273"/>
      <c r="W955" s="273">
        <f t="shared" si="212"/>
        <v>636308.44999999995</v>
      </c>
      <c r="X955" s="282"/>
      <c r="Y955" s="119"/>
      <c r="Z955" s="273"/>
      <c r="AB955" s="119"/>
      <c r="AD955" s="273">
        <v>636308.44999999995</v>
      </c>
      <c r="AE955" s="261"/>
      <c r="AF955" s="273"/>
    </row>
    <row r="956" spans="1:32" x14ac:dyDescent="0.3">
      <c r="A956" s="259">
        <f t="shared" si="215"/>
        <v>730</v>
      </c>
      <c r="B956" s="20" t="s">
        <v>2609</v>
      </c>
      <c r="C956" s="273">
        <f t="shared" si="213"/>
        <v>410969.76</v>
      </c>
      <c r="D956" s="273"/>
      <c r="E956" s="273"/>
      <c r="F956" s="273"/>
      <c r="G956" s="273"/>
      <c r="H956" s="273"/>
      <c r="I956" s="273"/>
      <c r="J956" s="50"/>
      <c r="K956" s="273"/>
      <c r="L956" s="273"/>
      <c r="M956" s="273"/>
      <c r="N956" s="273"/>
      <c r="O956" s="273"/>
      <c r="P956" s="273"/>
      <c r="Q956" s="22"/>
      <c r="R956" s="273"/>
      <c r="S956" s="273"/>
      <c r="T956" s="273"/>
      <c r="U956" s="273"/>
      <c r="V956" s="273"/>
      <c r="W956" s="273">
        <f t="shared" si="212"/>
        <v>410969.76</v>
      </c>
      <c r="X956" s="282"/>
      <c r="Y956" s="119"/>
      <c r="Z956" s="273"/>
      <c r="AB956" s="119"/>
      <c r="AD956" s="273">
        <v>410969.76</v>
      </c>
      <c r="AE956" s="261"/>
      <c r="AF956" s="273"/>
    </row>
    <row r="957" spans="1:32" x14ac:dyDescent="0.3">
      <c r="A957" s="259">
        <f>A956+1</f>
        <v>731</v>
      </c>
      <c r="B957" s="20" t="s">
        <v>2610</v>
      </c>
      <c r="C957" s="273">
        <f t="shared" si="213"/>
        <v>535480.25</v>
      </c>
      <c r="D957" s="273"/>
      <c r="E957" s="273"/>
      <c r="F957" s="273"/>
      <c r="G957" s="273"/>
      <c r="H957" s="273"/>
      <c r="I957" s="273"/>
      <c r="J957" s="50"/>
      <c r="K957" s="273"/>
      <c r="L957" s="273"/>
      <c r="M957" s="273"/>
      <c r="N957" s="273"/>
      <c r="O957" s="273"/>
      <c r="P957" s="273"/>
      <c r="Q957" s="273"/>
      <c r="R957" s="273"/>
      <c r="S957" s="273"/>
      <c r="T957" s="273"/>
      <c r="U957" s="273"/>
      <c r="V957" s="273"/>
      <c r="W957" s="273">
        <f t="shared" si="212"/>
        <v>535480.25</v>
      </c>
      <c r="X957" s="282"/>
      <c r="Y957" s="119"/>
      <c r="Z957" s="273"/>
      <c r="AB957" s="119"/>
      <c r="AD957" s="273">
        <v>535480.25</v>
      </c>
      <c r="AE957" s="261"/>
      <c r="AF957" s="273"/>
    </row>
    <row r="958" spans="1:32" x14ac:dyDescent="0.3">
      <c r="A958" s="259">
        <f>A957+1</f>
        <v>732</v>
      </c>
      <c r="B958" s="20" t="s">
        <v>2611</v>
      </c>
      <c r="C958" s="273">
        <f t="shared" si="213"/>
        <v>339541.6</v>
      </c>
      <c r="D958" s="273"/>
      <c r="E958" s="273"/>
      <c r="F958" s="273"/>
      <c r="G958" s="273"/>
      <c r="H958" s="273"/>
      <c r="I958" s="273"/>
      <c r="J958" s="50"/>
      <c r="K958" s="273"/>
      <c r="L958" s="273"/>
      <c r="M958" s="273"/>
      <c r="N958" s="273"/>
      <c r="O958" s="273"/>
      <c r="P958" s="273"/>
      <c r="Q958" s="22"/>
      <c r="R958" s="273"/>
      <c r="S958" s="273"/>
      <c r="T958" s="273"/>
      <c r="U958" s="273"/>
      <c r="V958" s="273"/>
      <c r="W958" s="273">
        <f t="shared" si="212"/>
        <v>339541.6</v>
      </c>
      <c r="X958" s="282"/>
      <c r="Y958" s="119"/>
      <c r="Z958" s="273"/>
      <c r="AB958" s="119"/>
      <c r="AD958" s="273">
        <v>339541.6</v>
      </c>
      <c r="AE958" s="261"/>
      <c r="AF958" s="273"/>
    </row>
    <row r="959" spans="1:32" x14ac:dyDescent="0.3">
      <c r="A959" s="259">
        <f>A958+1</f>
        <v>733</v>
      </c>
      <c r="B959" s="20" t="s">
        <v>2612</v>
      </c>
      <c r="C959" s="273">
        <f t="shared" si="213"/>
        <v>356172.89</v>
      </c>
      <c r="D959" s="273"/>
      <c r="E959" s="273"/>
      <c r="F959" s="273"/>
      <c r="G959" s="273"/>
      <c r="H959" s="273"/>
      <c r="I959" s="273"/>
      <c r="J959" s="50"/>
      <c r="K959" s="273"/>
      <c r="L959" s="273"/>
      <c r="M959" s="273"/>
      <c r="N959" s="273"/>
      <c r="O959" s="273"/>
      <c r="P959" s="273"/>
      <c r="Q959" s="22"/>
      <c r="R959" s="273"/>
      <c r="S959" s="273"/>
      <c r="T959" s="273"/>
      <c r="U959" s="273"/>
      <c r="V959" s="273"/>
      <c r="W959" s="273">
        <f t="shared" si="212"/>
        <v>356172.89</v>
      </c>
      <c r="X959" s="282"/>
      <c r="Y959" s="119"/>
      <c r="Z959" s="273"/>
      <c r="AB959" s="119"/>
      <c r="AD959" s="273">
        <v>356172.89</v>
      </c>
      <c r="AE959" s="261"/>
      <c r="AF959" s="273"/>
    </row>
    <row r="960" spans="1:32" x14ac:dyDescent="0.3">
      <c r="A960" s="259">
        <f>A959+1</f>
        <v>734</v>
      </c>
      <c r="B960" s="20" t="s">
        <v>2613</v>
      </c>
      <c r="C960" s="273">
        <f t="shared" si="213"/>
        <v>341278.87</v>
      </c>
      <c r="D960" s="273"/>
      <c r="E960" s="273"/>
      <c r="F960" s="273"/>
      <c r="G960" s="273"/>
      <c r="H960" s="273"/>
      <c r="I960" s="273"/>
      <c r="J960" s="50"/>
      <c r="K960" s="273"/>
      <c r="L960" s="273"/>
      <c r="M960" s="273"/>
      <c r="N960" s="273"/>
      <c r="O960" s="273"/>
      <c r="P960" s="273"/>
      <c r="Q960" s="22"/>
      <c r="R960" s="273"/>
      <c r="S960" s="273"/>
      <c r="T960" s="273"/>
      <c r="U960" s="273"/>
      <c r="V960" s="273"/>
      <c r="W960" s="273">
        <f t="shared" si="212"/>
        <v>341278.87</v>
      </c>
      <c r="X960" s="282"/>
      <c r="Y960" s="119"/>
      <c r="Z960" s="273"/>
      <c r="AB960" s="119"/>
      <c r="AD960" s="273">
        <v>341278.87</v>
      </c>
      <c r="AE960" s="261"/>
      <c r="AF960" s="261"/>
    </row>
    <row r="961" spans="1:36" x14ac:dyDescent="0.3">
      <c r="A961" s="304" t="s">
        <v>2615</v>
      </c>
      <c r="B961" s="304"/>
      <c r="C961" s="251">
        <f t="shared" ref="C961:W961" si="216">SUM(C855:C960)</f>
        <v>41578860.93</v>
      </c>
      <c r="D961" s="251">
        <f t="shared" si="216"/>
        <v>0</v>
      </c>
      <c r="E961" s="251">
        <f t="shared" si="216"/>
        <v>0</v>
      </c>
      <c r="F961" s="251">
        <f t="shared" si="216"/>
        <v>0</v>
      </c>
      <c r="G961" s="251">
        <f t="shared" si="216"/>
        <v>0</v>
      </c>
      <c r="H961" s="251">
        <f t="shared" si="216"/>
        <v>0</v>
      </c>
      <c r="I961" s="251">
        <f t="shared" si="216"/>
        <v>0</v>
      </c>
      <c r="J961" s="57">
        <f t="shared" si="216"/>
        <v>0</v>
      </c>
      <c r="K961" s="251">
        <f t="shared" si="216"/>
        <v>0</v>
      </c>
      <c r="L961" s="251">
        <f t="shared" si="216"/>
        <v>0</v>
      </c>
      <c r="M961" s="251">
        <f t="shared" si="216"/>
        <v>0</v>
      </c>
      <c r="N961" s="251">
        <f t="shared" si="216"/>
        <v>0</v>
      </c>
      <c r="O961" s="251">
        <f t="shared" si="216"/>
        <v>0</v>
      </c>
      <c r="P961" s="251">
        <f t="shared" si="216"/>
        <v>0</v>
      </c>
      <c r="Q961" s="251">
        <f t="shared" si="216"/>
        <v>0</v>
      </c>
      <c r="R961" s="251">
        <f t="shared" si="216"/>
        <v>0</v>
      </c>
      <c r="S961" s="251">
        <f t="shared" si="216"/>
        <v>0</v>
      </c>
      <c r="T961" s="251">
        <f t="shared" si="216"/>
        <v>0</v>
      </c>
      <c r="U961" s="251">
        <f t="shared" si="216"/>
        <v>0</v>
      </c>
      <c r="V961" s="251">
        <f t="shared" si="216"/>
        <v>0</v>
      </c>
      <c r="W961" s="251">
        <f t="shared" si="216"/>
        <v>41578860.93</v>
      </c>
      <c r="X961" s="283">
        <f>SUM(X855:X960)</f>
        <v>0</v>
      </c>
      <c r="Y961" s="273">
        <f>SUM(Y855:Y960)</f>
        <v>405282.79</v>
      </c>
      <c r="Z961" s="273">
        <f>SUM(Z855:Z960)</f>
        <v>322506.83999999997</v>
      </c>
      <c r="AB961" s="273">
        <f>SUM(AB855:AB960)</f>
        <v>2092727.3799999997</v>
      </c>
      <c r="AC961" s="273">
        <f>SUM(AC855:AC960)</f>
        <v>0</v>
      </c>
      <c r="AD961" s="273">
        <f>SUM(AD855:AD960)</f>
        <v>33852391.759999998</v>
      </c>
      <c r="AE961" s="273">
        <f>SUM(AE855:AE960)</f>
        <v>4692391.9799999995</v>
      </c>
      <c r="AF961" s="273"/>
    </row>
    <row r="962" spans="1:36" x14ac:dyDescent="0.3">
      <c r="A962" s="303" t="s">
        <v>2616</v>
      </c>
      <c r="B962" s="303"/>
      <c r="C962" s="303"/>
      <c r="D962" s="303"/>
      <c r="E962" s="303"/>
      <c r="F962" s="303"/>
      <c r="G962" s="303"/>
      <c r="H962" s="303"/>
      <c r="I962" s="303"/>
      <c r="J962" s="303"/>
      <c r="K962" s="303"/>
      <c r="L962" s="303"/>
      <c r="M962" s="303"/>
      <c r="N962" s="303"/>
      <c r="O962" s="303"/>
      <c r="P962" s="303"/>
      <c r="Q962" s="303"/>
      <c r="R962" s="303"/>
      <c r="S962" s="303"/>
      <c r="T962" s="303"/>
      <c r="U962" s="303"/>
      <c r="V962" s="303"/>
      <c r="W962" s="303"/>
      <c r="X962" s="269"/>
      <c r="Y962" s="269"/>
      <c r="Z962" s="269"/>
      <c r="AA962" s="269"/>
      <c r="AB962" s="269"/>
      <c r="AC962" s="269"/>
      <c r="AD962" s="269"/>
      <c r="AE962" s="269"/>
      <c r="AF962" s="7"/>
      <c r="AG962" s="13"/>
      <c r="AH962" s="13"/>
      <c r="AI962" s="13"/>
      <c r="AJ962" s="13"/>
    </row>
    <row r="963" spans="1:36" x14ac:dyDescent="0.3">
      <c r="A963" s="301" t="s">
        <v>2631</v>
      </c>
      <c r="B963" s="301"/>
      <c r="C963" s="273"/>
      <c r="D963" s="273"/>
      <c r="E963" s="273"/>
      <c r="F963" s="273"/>
      <c r="G963" s="273"/>
      <c r="H963" s="273"/>
      <c r="I963" s="273"/>
      <c r="J963" s="50"/>
      <c r="K963" s="273"/>
      <c r="L963" s="273"/>
      <c r="M963" s="273"/>
      <c r="N963" s="273"/>
      <c r="O963" s="273"/>
      <c r="P963" s="273"/>
      <c r="Q963" s="273"/>
      <c r="R963" s="273"/>
      <c r="S963" s="273"/>
      <c r="T963" s="273"/>
      <c r="U963" s="273"/>
      <c r="V963" s="273"/>
      <c r="W963" s="273"/>
      <c r="X963" s="269"/>
      <c r="Y963" s="269"/>
      <c r="Z963" s="269"/>
      <c r="AA963" s="269"/>
      <c r="AB963" s="269"/>
      <c r="AC963" s="269"/>
      <c r="AD963" s="269"/>
      <c r="AE963" s="269"/>
      <c r="AF963" s="7"/>
      <c r="AG963" s="13"/>
      <c r="AH963" s="13"/>
      <c r="AI963" s="13"/>
      <c r="AJ963" s="13"/>
    </row>
    <row r="964" spans="1:36" x14ac:dyDescent="0.3">
      <c r="A964" s="259">
        <f>A960+1</f>
        <v>735</v>
      </c>
      <c r="B964" s="20" t="s">
        <v>2633</v>
      </c>
      <c r="C964" s="273">
        <f t="shared" ref="C964:C994" si="217">D964+K964+L964+N964+P964+R964+S964+U964+V964+W964</f>
        <v>24424092</v>
      </c>
      <c r="D964" s="273"/>
      <c r="E964" s="273"/>
      <c r="F964" s="273"/>
      <c r="G964" s="273"/>
      <c r="H964" s="273"/>
      <c r="I964" s="273"/>
      <c r="J964" s="50"/>
      <c r="K964" s="273"/>
      <c r="L964" s="273"/>
      <c r="M964" s="273"/>
      <c r="N964" s="273"/>
      <c r="O964" s="273">
        <v>924</v>
      </c>
      <c r="P964" s="273">
        <f>924*26433</f>
        <v>24424092</v>
      </c>
      <c r="Q964" s="273"/>
      <c r="R964" s="273"/>
      <c r="S964" s="273"/>
      <c r="T964" s="273"/>
      <c r="U964" s="273"/>
      <c r="V964" s="273"/>
      <c r="W964" s="273"/>
      <c r="X964" s="269"/>
      <c r="Y964" s="269"/>
      <c r="Z964" s="269"/>
      <c r="AA964" s="269"/>
      <c r="AB964" s="269"/>
      <c r="AC964" s="269"/>
      <c r="AD964" s="269"/>
      <c r="AE964" s="269"/>
      <c r="AF964" s="7"/>
      <c r="AG964" s="13"/>
      <c r="AH964" s="13"/>
      <c r="AI964" s="13"/>
      <c r="AJ964" s="13"/>
    </row>
    <row r="965" spans="1:36" x14ac:dyDescent="0.3">
      <c r="A965" s="259">
        <f t="shared" ref="A965:A1011" si="218">A964+1</f>
        <v>736</v>
      </c>
      <c r="B965" s="20" t="s">
        <v>2634</v>
      </c>
      <c r="C965" s="273">
        <f t="shared" si="217"/>
        <v>34283601</v>
      </c>
      <c r="D965" s="273"/>
      <c r="E965" s="273"/>
      <c r="F965" s="273"/>
      <c r="G965" s="273"/>
      <c r="H965" s="273"/>
      <c r="I965" s="273"/>
      <c r="J965" s="50"/>
      <c r="K965" s="273"/>
      <c r="L965" s="273"/>
      <c r="M965" s="273"/>
      <c r="N965" s="273"/>
      <c r="O965" s="273">
        <v>1297</v>
      </c>
      <c r="P965" s="273">
        <f>1297*26433</f>
        <v>34283601</v>
      </c>
      <c r="Q965" s="273"/>
      <c r="R965" s="273"/>
      <c r="S965" s="273"/>
      <c r="T965" s="273"/>
      <c r="U965" s="273"/>
      <c r="V965" s="273"/>
      <c r="W965" s="273"/>
      <c r="X965" s="269"/>
      <c r="Y965" s="269"/>
      <c r="Z965" s="269"/>
      <c r="AA965" s="269"/>
      <c r="AB965" s="269"/>
      <c r="AC965" s="269"/>
      <c r="AD965" s="269"/>
      <c r="AE965" s="269"/>
      <c r="AF965" s="7"/>
      <c r="AG965" s="13"/>
      <c r="AH965" s="13"/>
      <c r="AI965" s="13"/>
      <c r="AJ965" s="13"/>
    </row>
    <row r="966" spans="1:36" x14ac:dyDescent="0.3">
      <c r="A966" s="259">
        <f t="shared" si="218"/>
        <v>737</v>
      </c>
      <c r="B966" s="20" t="s">
        <v>2645</v>
      </c>
      <c r="C966" s="273">
        <f t="shared" si="217"/>
        <v>6617985.5999999996</v>
      </c>
      <c r="D966" s="273"/>
      <c r="E966" s="273"/>
      <c r="F966" s="273"/>
      <c r="G966" s="273"/>
      <c r="H966" s="273"/>
      <c r="I966" s="273"/>
      <c r="J966" s="50"/>
      <c r="K966" s="273"/>
      <c r="L966" s="273"/>
      <c r="M966" s="273"/>
      <c r="N966" s="273"/>
      <c r="O966" s="273">
        <v>603.70000000000005</v>
      </c>
      <c r="P966" s="273">
        <v>6617985.5999999996</v>
      </c>
      <c r="Q966" s="273"/>
      <c r="R966" s="273"/>
      <c r="S966" s="273"/>
      <c r="T966" s="273"/>
      <c r="U966" s="273"/>
      <c r="V966" s="273"/>
      <c r="W966" s="273"/>
      <c r="X966" s="269"/>
      <c r="Y966" s="269"/>
      <c r="Z966" s="269"/>
      <c r="AA966" s="269"/>
      <c r="AB966" s="269"/>
      <c r="AC966" s="269"/>
      <c r="AD966" s="269"/>
      <c r="AE966" s="269"/>
      <c r="AF966" s="7"/>
      <c r="AG966" s="13"/>
      <c r="AH966" s="13"/>
      <c r="AI966" s="13"/>
      <c r="AJ966" s="13"/>
    </row>
    <row r="967" spans="1:36" x14ac:dyDescent="0.3">
      <c r="A967" s="259">
        <f t="shared" si="218"/>
        <v>738</v>
      </c>
      <c r="B967" s="20" t="s">
        <v>2646</v>
      </c>
      <c r="C967" s="273">
        <f t="shared" si="217"/>
        <v>11140004.4</v>
      </c>
      <c r="D967" s="273"/>
      <c r="E967" s="273"/>
      <c r="F967" s="273"/>
      <c r="G967" s="273"/>
      <c r="H967" s="273"/>
      <c r="I967" s="273"/>
      <c r="J967" s="50"/>
      <c r="K967" s="273"/>
      <c r="L967" s="273"/>
      <c r="M967" s="273"/>
      <c r="N967" s="273"/>
      <c r="O967" s="273">
        <v>732.4</v>
      </c>
      <c r="P967" s="273">
        <v>11140004.4</v>
      </c>
      <c r="Q967" s="273"/>
      <c r="R967" s="273"/>
      <c r="S967" s="273"/>
      <c r="T967" s="273"/>
      <c r="U967" s="273"/>
      <c r="V967" s="273"/>
      <c r="W967" s="273"/>
      <c r="X967" s="269"/>
      <c r="Y967" s="269"/>
      <c r="Z967" s="269"/>
      <c r="AA967" s="269"/>
      <c r="AB967" s="269"/>
      <c r="AC967" s="269"/>
      <c r="AD967" s="269"/>
      <c r="AE967" s="269"/>
      <c r="AF967" s="7"/>
      <c r="AG967" s="13"/>
      <c r="AH967" s="13"/>
      <c r="AI967" s="13"/>
      <c r="AJ967" s="13"/>
    </row>
    <row r="968" spans="1:36" x14ac:dyDescent="0.3">
      <c r="A968" s="259">
        <f t="shared" si="218"/>
        <v>739</v>
      </c>
      <c r="B968" s="20" t="s">
        <v>2647</v>
      </c>
      <c r="C968" s="273">
        <f t="shared" si="217"/>
        <v>11806312.800000001</v>
      </c>
      <c r="D968" s="273"/>
      <c r="E968" s="273"/>
      <c r="F968" s="273"/>
      <c r="G968" s="273"/>
      <c r="H968" s="273"/>
      <c r="I968" s="273"/>
      <c r="J968" s="50"/>
      <c r="K968" s="273"/>
      <c r="L968" s="273"/>
      <c r="M968" s="273"/>
      <c r="N968" s="273"/>
      <c r="O968" s="273">
        <v>919.4</v>
      </c>
      <c r="P968" s="273">
        <v>11806312.800000001</v>
      </c>
      <c r="Q968" s="273"/>
      <c r="R968" s="273"/>
      <c r="S968" s="273"/>
      <c r="T968" s="273"/>
      <c r="U968" s="273"/>
      <c r="V968" s="273"/>
      <c r="W968" s="273"/>
      <c r="X968" s="269"/>
      <c r="Y968" s="269"/>
      <c r="Z968" s="269"/>
      <c r="AA968" s="269"/>
      <c r="AB968" s="269"/>
      <c r="AC968" s="269"/>
      <c r="AD968" s="269"/>
      <c r="AE968" s="269"/>
      <c r="AF968" s="7"/>
      <c r="AG968" s="13"/>
      <c r="AH968" s="13"/>
      <c r="AI968" s="13"/>
      <c r="AJ968" s="13"/>
    </row>
    <row r="969" spans="1:36" x14ac:dyDescent="0.3">
      <c r="A969" s="259">
        <f t="shared" si="218"/>
        <v>740</v>
      </c>
      <c r="B969" s="20" t="s">
        <v>2648</v>
      </c>
      <c r="C969" s="273">
        <f t="shared" si="217"/>
        <v>17796384</v>
      </c>
      <c r="D969" s="273"/>
      <c r="E969" s="273"/>
      <c r="F969" s="273"/>
      <c r="G969" s="273"/>
      <c r="H969" s="273"/>
      <c r="I969" s="273"/>
      <c r="J969" s="50"/>
      <c r="K969" s="273"/>
      <c r="L969" s="273"/>
      <c r="M969" s="273"/>
      <c r="N969" s="273"/>
      <c r="O969" s="273">
        <v>1336.2</v>
      </c>
      <c r="P969" s="273">
        <v>17796384</v>
      </c>
      <c r="Q969" s="273"/>
      <c r="R969" s="273"/>
      <c r="S969" s="273"/>
      <c r="T969" s="273"/>
      <c r="U969" s="273"/>
      <c r="V969" s="273"/>
      <c r="W969" s="273"/>
      <c r="X969" s="269"/>
      <c r="Y969" s="269"/>
      <c r="Z969" s="269"/>
      <c r="AA969" s="269"/>
      <c r="AB969" s="269"/>
      <c r="AC969" s="269"/>
      <c r="AD969" s="269"/>
      <c r="AE969" s="269"/>
      <c r="AF969" s="7"/>
      <c r="AG969" s="13"/>
      <c r="AH969" s="13"/>
      <c r="AI969" s="13"/>
      <c r="AJ969" s="13"/>
    </row>
    <row r="970" spans="1:36" x14ac:dyDescent="0.3">
      <c r="A970" s="259">
        <f t="shared" si="218"/>
        <v>741</v>
      </c>
      <c r="B970" s="20" t="s">
        <v>2650</v>
      </c>
      <c r="C970" s="273">
        <f t="shared" si="217"/>
        <v>5661967.2000000002</v>
      </c>
      <c r="D970" s="273"/>
      <c r="E970" s="273"/>
      <c r="F970" s="273"/>
      <c r="G970" s="273"/>
      <c r="H970" s="273"/>
      <c r="I970" s="273"/>
      <c r="J970" s="50"/>
      <c r="K970" s="273"/>
      <c r="L970" s="273"/>
      <c r="M970" s="273"/>
      <c r="N970" s="273"/>
      <c r="O970" s="273">
        <v>298.2</v>
      </c>
      <c r="P970" s="273">
        <v>5661967.2000000002</v>
      </c>
      <c r="Q970" s="273"/>
      <c r="R970" s="273"/>
      <c r="S970" s="273"/>
      <c r="T970" s="273"/>
      <c r="U970" s="273"/>
      <c r="V970" s="273"/>
      <c r="W970" s="273"/>
      <c r="X970" s="269"/>
      <c r="Y970" s="269"/>
      <c r="Z970" s="269"/>
      <c r="AA970" s="269"/>
      <c r="AB970" s="269"/>
      <c r="AC970" s="269"/>
      <c r="AD970" s="269"/>
      <c r="AE970" s="269"/>
      <c r="AF970" s="7"/>
      <c r="AG970" s="13"/>
      <c r="AH970" s="13"/>
      <c r="AI970" s="13"/>
      <c r="AJ970" s="13"/>
    </row>
    <row r="971" spans="1:36" x14ac:dyDescent="0.3">
      <c r="A971" s="259">
        <f t="shared" si="218"/>
        <v>742</v>
      </c>
      <c r="B971" s="20" t="s">
        <v>2651</v>
      </c>
      <c r="C971" s="273">
        <f t="shared" si="217"/>
        <v>19356933.600000001</v>
      </c>
      <c r="D971" s="273"/>
      <c r="E971" s="273"/>
      <c r="F971" s="273"/>
      <c r="G971" s="273"/>
      <c r="H971" s="273"/>
      <c r="I971" s="273"/>
      <c r="J971" s="50"/>
      <c r="K971" s="273"/>
      <c r="L971" s="273"/>
      <c r="M971" s="273"/>
      <c r="N971" s="273"/>
      <c r="O971" s="273">
        <v>1293.9000000000001</v>
      </c>
      <c r="P971" s="273">
        <v>19356933.600000001</v>
      </c>
      <c r="Q971" s="273"/>
      <c r="R971" s="273"/>
      <c r="S971" s="273"/>
      <c r="T971" s="273"/>
      <c r="U971" s="273"/>
      <c r="V971" s="273"/>
      <c r="W971" s="273"/>
      <c r="X971" s="269"/>
      <c r="Y971" s="269"/>
      <c r="Z971" s="269"/>
      <c r="AA971" s="269"/>
      <c r="AB971" s="269"/>
      <c r="AC971" s="269"/>
      <c r="AD971" s="269"/>
      <c r="AE971" s="269"/>
      <c r="AF971" s="7"/>
      <c r="AG971" s="13"/>
      <c r="AH971" s="13"/>
      <c r="AI971" s="13"/>
      <c r="AJ971" s="13"/>
    </row>
    <row r="972" spans="1:36" x14ac:dyDescent="0.3">
      <c r="A972" s="259">
        <f t="shared" si="218"/>
        <v>743</v>
      </c>
      <c r="B972" s="20" t="s">
        <v>2652</v>
      </c>
      <c r="C972" s="273">
        <f t="shared" si="217"/>
        <v>13208974.800000001</v>
      </c>
      <c r="D972" s="273"/>
      <c r="E972" s="273"/>
      <c r="F972" s="273"/>
      <c r="G972" s="273"/>
      <c r="H972" s="273"/>
      <c r="I972" s="273"/>
      <c r="J972" s="50"/>
      <c r="K972" s="273"/>
      <c r="L972" s="273"/>
      <c r="M972" s="273"/>
      <c r="N972" s="273"/>
      <c r="O972" s="273">
        <v>1421</v>
      </c>
      <c r="P972" s="273">
        <v>13208974.800000001</v>
      </c>
      <c r="Q972" s="273"/>
      <c r="R972" s="273"/>
      <c r="S972" s="273"/>
      <c r="T972" s="273"/>
      <c r="U972" s="273"/>
      <c r="V972" s="273"/>
      <c r="W972" s="273"/>
      <c r="X972" s="269"/>
      <c r="Y972" s="269"/>
      <c r="Z972" s="269"/>
      <c r="AA972" s="269"/>
      <c r="AB972" s="269"/>
      <c r="AC972" s="269"/>
      <c r="AD972" s="269"/>
      <c r="AE972" s="269"/>
      <c r="AF972" s="7"/>
      <c r="AG972" s="13"/>
      <c r="AH972" s="13"/>
      <c r="AI972" s="13"/>
      <c r="AJ972" s="13"/>
    </row>
    <row r="973" spans="1:36" x14ac:dyDescent="0.3">
      <c r="A973" s="259">
        <f t="shared" si="218"/>
        <v>744</v>
      </c>
      <c r="B973" s="20" t="s">
        <v>2653</v>
      </c>
      <c r="C973" s="273">
        <f t="shared" si="217"/>
        <v>14305430.4</v>
      </c>
      <c r="D973" s="273"/>
      <c r="E973" s="273"/>
      <c r="F973" s="273"/>
      <c r="G973" s="273"/>
      <c r="H973" s="273"/>
      <c r="I973" s="273"/>
      <c r="J973" s="50"/>
      <c r="K973" s="273"/>
      <c r="L973" s="273"/>
      <c r="M973" s="273"/>
      <c r="N973" s="273"/>
      <c r="O973" s="273">
        <v>784</v>
      </c>
      <c r="P973" s="273">
        <v>14305430.4</v>
      </c>
      <c r="Q973" s="273"/>
      <c r="R973" s="273"/>
      <c r="S973" s="273"/>
      <c r="T973" s="273"/>
      <c r="U973" s="273"/>
      <c r="V973" s="273"/>
      <c r="W973" s="273"/>
      <c r="X973" s="269"/>
      <c r="Y973" s="269"/>
      <c r="Z973" s="269"/>
      <c r="AA973" s="269"/>
      <c r="AB973" s="269"/>
      <c r="AC973" s="269"/>
      <c r="AD973" s="269"/>
      <c r="AE973" s="269"/>
      <c r="AF973" s="7"/>
      <c r="AG973" s="13"/>
      <c r="AH973" s="13"/>
      <c r="AI973" s="13"/>
      <c r="AJ973" s="13"/>
    </row>
    <row r="974" spans="1:36" x14ac:dyDescent="0.3">
      <c r="A974" s="259">
        <f t="shared" si="218"/>
        <v>745</v>
      </c>
      <c r="B974" s="20" t="s">
        <v>2654</v>
      </c>
      <c r="C974" s="273">
        <f t="shared" si="217"/>
        <v>14269515.6</v>
      </c>
      <c r="D974" s="273"/>
      <c r="E974" s="273"/>
      <c r="F974" s="273"/>
      <c r="G974" s="273"/>
      <c r="H974" s="273"/>
      <c r="I974" s="273"/>
      <c r="J974" s="50"/>
      <c r="K974" s="273"/>
      <c r="L974" s="273"/>
      <c r="M974" s="273"/>
      <c r="N974" s="273"/>
      <c r="O974" s="273">
        <v>988.2</v>
      </c>
      <c r="P974" s="273">
        <v>14269515.6</v>
      </c>
      <c r="Q974" s="273"/>
      <c r="R974" s="273"/>
      <c r="S974" s="273"/>
      <c r="T974" s="273"/>
      <c r="U974" s="273"/>
      <c r="V974" s="273"/>
      <c r="W974" s="273"/>
      <c r="X974" s="269"/>
      <c r="Y974" s="269"/>
      <c r="Z974" s="269"/>
      <c r="AA974" s="269"/>
      <c r="AB974" s="269"/>
      <c r="AC974" s="269"/>
      <c r="AD974" s="269"/>
      <c r="AE974" s="269"/>
      <c r="AF974" s="7"/>
      <c r="AG974" s="13"/>
      <c r="AH974" s="13"/>
      <c r="AI974" s="13"/>
      <c r="AJ974" s="13"/>
    </row>
    <row r="975" spans="1:36" x14ac:dyDescent="0.3">
      <c r="A975" s="259">
        <f t="shared" si="218"/>
        <v>746</v>
      </c>
      <c r="B975" s="20" t="s">
        <v>2655</v>
      </c>
      <c r="C975" s="273">
        <f t="shared" si="217"/>
        <v>11820526.800000001</v>
      </c>
      <c r="D975" s="273"/>
      <c r="E975" s="273"/>
      <c r="F975" s="273"/>
      <c r="G975" s="273"/>
      <c r="H975" s="273"/>
      <c r="I975" s="273"/>
      <c r="J975" s="50"/>
      <c r="K975" s="273"/>
      <c r="L975" s="273"/>
      <c r="M975" s="273"/>
      <c r="N975" s="273"/>
      <c r="O975" s="273">
        <v>990</v>
      </c>
      <c r="P975" s="273">
        <v>11820526.800000001</v>
      </c>
      <c r="Q975" s="273"/>
      <c r="R975" s="273"/>
      <c r="S975" s="273"/>
      <c r="T975" s="273"/>
      <c r="U975" s="273"/>
      <c r="V975" s="273"/>
      <c r="W975" s="273"/>
      <c r="X975" s="269"/>
      <c r="Y975" s="269"/>
      <c r="Z975" s="269"/>
      <c r="AA975" s="269"/>
      <c r="AB975" s="269"/>
      <c r="AC975" s="269"/>
      <c r="AD975" s="269"/>
      <c r="AE975" s="269"/>
      <c r="AF975" s="7"/>
      <c r="AG975" s="13"/>
      <c r="AH975" s="13"/>
      <c r="AI975" s="13"/>
      <c r="AJ975" s="13"/>
    </row>
    <row r="976" spans="1:36" x14ac:dyDescent="0.3">
      <c r="A976" s="259">
        <f t="shared" si="218"/>
        <v>747</v>
      </c>
      <c r="B976" s="20" t="s">
        <v>2661</v>
      </c>
      <c r="C976" s="273">
        <f t="shared" si="217"/>
        <v>4249197.42</v>
      </c>
      <c r="D976" s="273"/>
      <c r="E976" s="273"/>
      <c r="F976" s="273"/>
      <c r="G976" s="273"/>
      <c r="H976" s="273"/>
      <c r="I976" s="273"/>
      <c r="J976" s="50"/>
      <c r="K976" s="273"/>
      <c r="L976" s="273"/>
      <c r="M976" s="273"/>
      <c r="N976" s="273"/>
      <c r="O976" s="273">
        <v>130</v>
      </c>
      <c r="P976" s="273">
        <v>4249197.42</v>
      </c>
      <c r="Q976" s="273"/>
      <c r="R976" s="273"/>
      <c r="S976" s="273"/>
      <c r="T976" s="273"/>
      <c r="U976" s="273"/>
      <c r="V976" s="273"/>
      <c r="W976" s="273"/>
      <c r="X976" s="269"/>
      <c r="Y976" s="269"/>
      <c r="Z976" s="269"/>
      <c r="AA976" s="269"/>
      <c r="AB976" s="269"/>
      <c r="AC976" s="269"/>
      <c r="AD976" s="269"/>
      <c r="AE976" s="269"/>
      <c r="AF976" s="7"/>
      <c r="AG976" s="13"/>
      <c r="AH976" s="13"/>
      <c r="AI976" s="13"/>
      <c r="AJ976" s="13"/>
    </row>
    <row r="977" spans="1:36" x14ac:dyDescent="0.3">
      <c r="A977" s="259">
        <f t="shared" si="218"/>
        <v>748</v>
      </c>
      <c r="B977" s="20" t="s">
        <v>2678</v>
      </c>
      <c r="C977" s="273">
        <f t="shared" si="217"/>
        <v>24820587</v>
      </c>
      <c r="D977" s="273"/>
      <c r="E977" s="273"/>
      <c r="F977" s="273"/>
      <c r="G977" s="273"/>
      <c r="H977" s="273"/>
      <c r="I977" s="273"/>
      <c r="J977" s="50"/>
      <c r="K977" s="273"/>
      <c r="L977" s="273"/>
      <c r="M977" s="273"/>
      <c r="N977" s="273"/>
      <c r="O977" s="273">
        <v>939</v>
      </c>
      <c r="P977" s="273">
        <f>O977*26433</f>
        <v>24820587</v>
      </c>
      <c r="Q977" s="273"/>
      <c r="R977" s="273"/>
      <c r="S977" s="273"/>
      <c r="T977" s="273"/>
      <c r="U977" s="273"/>
      <c r="V977" s="273"/>
      <c r="W977" s="273"/>
      <c r="X977" s="269"/>
      <c r="Y977" s="269"/>
      <c r="Z977" s="269"/>
      <c r="AA977" s="269"/>
      <c r="AB977" s="269"/>
      <c r="AC977" s="269"/>
      <c r="AD977" s="269"/>
      <c r="AE977" s="269"/>
      <c r="AF977" s="7"/>
      <c r="AG977" s="13"/>
      <c r="AH977" s="13"/>
      <c r="AI977" s="13"/>
      <c r="AJ977" s="13"/>
    </row>
    <row r="978" spans="1:36" x14ac:dyDescent="0.3">
      <c r="A978" s="259">
        <f t="shared" si="218"/>
        <v>749</v>
      </c>
      <c r="B978" s="20" t="s">
        <v>2687</v>
      </c>
      <c r="C978" s="273">
        <f t="shared" si="217"/>
        <v>18995474.800000001</v>
      </c>
      <c r="D978" s="273"/>
      <c r="E978" s="273"/>
      <c r="F978" s="273"/>
      <c r="G978" s="273"/>
      <c r="H978" s="273"/>
      <c r="I978" s="273"/>
      <c r="J978" s="50"/>
      <c r="K978" s="273"/>
      <c r="L978" s="273"/>
      <c r="M978" s="273"/>
      <c r="N978" s="273"/>
      <c r="O978" s="273"/>
      <c r="P978" s="273"/>
      <c r="Q978" s="273">
        <v>3400</v>
      </c>
      <c r="R978" s="273">
        <v>18995474.800000001</v>
      </c>
      <c r="S978" s="273"/>
      <c r="T978" s="273"/>
      <c r="U978" s="273"/>
      <c r="V978" s="273"/>
      <c r="W978" s="273"/>
      <c r="X978" s="269"/>
      <c r="Y978" s="269"/>
      <c r="Z978" s="269"/>
      <c r="AA978" s="269"/>
      <c r="AB978" s="269"/>
      <c r="AC978" s="269"/>
      <c r="AD978" s="269"/>
      <c r="AE978" s="269"/>
      <c r="AF978" s="7"/>
      <c r="AG978" s="13"/>
      <c r="AH978" s="13"/>
      <c r="AI978" s="13"/>
      <c r="AJ978" s="13"/>
    </row>
    <row r="979" spans="1:36" x14ac:dyDescent="0.3">
      <c r="A979" s="259">
        <f t="shared" si="218"/>
        <v>750</v>
      </c>
      <c r="B979" s="20" t="s">
        <v>2688</v>
      </c>
      <c r="C979" s="273">
        <f t="shared" si="217"/>
        <v>497037.24</v>
      </c>
      <c r="D979" s="273"/>
      <c r="E979" s="273"/>
      <c r="F979" s="273"/>
      <c r="G979" s="273"/>
      <c r="H979" s="273"/>
      <c r="I979" s="273"/>
      <c r="J979" s="50"/>
      <c r="K979" s="273"/>
      <c r="L979" s="273"/>
      <c r="M979" s="273"/>
      <c r="N979" s="273"/>
      <c r="O979" s="273">
        <v>992</v>
      </c>
      <c r="P979" s="273">
        <v>497037.24</v>
      </c>
      <c r="Q979" s="273"/>
      <c r="R979" s="273"/>
      <c r="S979" s="273"/>
      <c r="T979" s="273"/>
      <c r="U979" s="273"/>
      <c r="V979" s="273"/>
      <c r="W979" s="273"/>
      <c r="X979" s="269"/>
      <c r="Y979" s="269"/>
      <c r="Z979" s="269"/>
      <c r="AA979" s="269"/>
      <c r="AB979" s="269"/>
      <c r="AC979" s="269"/>
      <c r="AD979" s="269"/>
      <c r="AE979" s="269"/>
      <c r="AF979" s="7"/>
      <c r="AG979" s="13"/>
      <c r="AH979" s="13"/>
      <c r="AI979" s="13"/>
      <c r="AJ979" s="13"/>
    </row>
    <row r="980" spans="1:36" x14ac:dyDescent="0.3">
      <c r="A980" s="259">
        <f t="shared" si="218"/>
        <v>751</v>
      </c>
      <c r="B980" s="20" t="s">
        <v>2695</v>
      </c>
      <c r="C980" s="273">
        <f t="shared" si="217"/>
        <v>497037.24</v>
      </c>
      <c r="D980" s="273"/>
      <c r="E980" s="273"/>
      <c r="F980" s="273"/>
      <c r="G980" s="273"/>
      <c r="H980" s="273"/>
      <c r="I980" s="273"/>
      <c r="J980" s="50"/>
      <c r="K980" s="273"/>
      <c r="L980" s="273"/>
      <c r="M980" s="273"/>
      <c r="N980" s="273"/>
      <c r="O980" s="273">
        <v>412</v>
      </c>
      <c r="P980" s="273">
        <v>497037.24</v>
      </c>
      <c r="Q980" s="273"/>
      <c r="R980" s="273"/>
      <c r="S980" s="273"/>
      <c r="T980" s="273"/>
      <c r="U980" s="273"/>
      <c r="V980" s="273"/>
      <c r="W980" s="273"/>
      <c r="X980" s="269"/>
      <c r="Y980" s="269"/>
      <c r="Z980" s="269"/>
      <c r="AA980" s="269"/>
      <c r="AB980" s="269"/>
      <c r="AC980" s="269"/>
      <c r="AD980" s="269"/>
      <c r="AE980" s="269"/>
      <c r="AF980" s="7"/>
      <c r="AG980" s="13"/>
      <c r="AH980" s="13"/>
      <c r="AI980" s="13"/>
      <c r="AJ980" s="13"/>
    </row>
    <row r="981" spans="1:36" x14ac:dyDescent="0.3">
      <c r="A981" s="259">
        <f t="shared" si="218"/>
        <v>752</v>
      </c>
      <c r="B981" s="20" t="s">
        <v>2696</v>
      </c>
      <c r="C981" s="273">
        <f t="shared" si="217"/>
        <v>11766006</v>
      </c>
      <c r="D981" s="273"/>
      <c r="E981" s="273"/>
      <c r="F981" s="273"/>
      <c r="G981" s="273"/>
      <c r="H981" s="273"/>
      <c r="I981" s="273"/>
      <c r="J981" s="50"/>
      <c r="K981" s="273"/>
      <c r="L981" s="273"/>
      <c r="M981" s="273"/>
      <c r="N981" s="273"/>
      <c r="O981" s="273"/>
      <c r="P981" s="273"/>
      <c r="Q981" s="273">
        <v>2150</v>
      </c>
      <c r="R981" s="273">
        <v>11766006</v>
      </c>
      <c r="S981" s="273"/>
      <c r="T981" s="273"/>
      <c r="U981" s="273"/>
      <c r="V981" s="273"/>
      <c r="W981" s="273"/>
      <c r="X981" s="269"/>
      <c r="Y981" s="269"/>
      <c r="Z981" s="269"/>
      <c r="AA981" s="269"/>
      <c r="AB981" s="269"/>
      <c r="AC981" s="269"/>
      <c r="AD981" s="269"/>
      <c r="AE981" s="269"/>
      <c r="AF981" s="7"/>
      <c r="AG981" s="13"/>
      <c r="AH981" s="13"/>
      <c r="AI981" s="13"/>
      <c r="AJ981" s="13"/>
    </row>
    <row r="982" spans="1:36" x14ac:dyDescent="0.3">
      <c r="A982" s="259">
        <f t="shared" si="218"/>
        <v>753</v>
      </c>
      <c r="B982" s="20" t="s">
        <v>2698</v>
      </c>
      <c r="C982" s="273">
        <f t="shared" si="217"/>
        <v>3557206.8</v>
      </c>
      <c r="D982" s="273"/>
      <c r="E982" s="273"/>
      <c r="F982" s="273"/>
      <c r="G982" s="273"/>
      <c r="H982" s="273"/>
      <c r="I982" s="273"/>
      <c r="J982" s="50"/>
      <c r="K982" s="273"/>
      <c r="L982" s="273"/>
      <c r="M982" s="273"/>
      <c r="N982" s="273"/>
      <c r="O982" s="273">
        <v>298.2</v>
      </c>
      <c r="P982" s="273">
        <v>3557206.8</v>
      </c>
      <c r="Q982" s="273"/>
      <c r="R982" s="273"/>
      <c r="S982" s="273"/>
      <c r="T982" s="273"/>
      <c r="U982" s="273"/>
      <c r="V982" s="273"/>
      <c r="W982" s="273"/>
      <c r="X982" s="269"/>
      <c r="Y982" s="269"/>
      <c r="Z982" s="269"/>
      <c r="AA982" s="269"/>
      <c r="AB982" s="269"/>
      <c r="AC982" s="269"/>
      <c r="AD982" s="269"/>
      <c r="AE982" s="269"/>
      <c r="AF982" s="7"/>
      <c r="AG982" s="13"/>
      <c r="AH982" s="13"/>
      <c r="AI982" s="13"/>
      <c r="AJ982" s="13"/>
    </row>
    <row r="983" spans="1:36" x14ac:dyDescent="0.3">
      <c r="A983" s="259">
        <f t="shared" si="218"/>
        <v>754</v>
      </c>
      <c r="B983" s="20" t="s">
        <v>2702</v>
      </c>
      <c r="C983" s="273">
        <f t="shared" si="217"/>
        <v>13294359.08</v>
      </c>
      <c r="D983" s="273"/>
      <c r="E983" s="273"/>
      <c r="F983" s="273"/>
      <c r="G983" s="273"/>
      <c r="H983" s="273"/>
      <c r="I983" s="273"/>
      <c r="J983" s="50"/>
      <c r="K983" s="273"/>
      <c r="L983" s="273"/>
      <c r="M983" s="273"/>
      <c r="N983" s="273"/>
      <c r="O983" s="273"/>
      <c r="P983" s="273"/>
      <c r="Q983" s="273">
        <v>2400</v>
      </c>
      <c r="R983" s="273">
        <v>13294359.08</v>
      </c>
      <c r="S983" s="273"/>
      <c r="T983" s="273"/>
      <c r="U983" s="273"/>
      <c r="V983" s="273"/>
      <c r="W983" s="273"/>
      <c r="X983" s="269"/>
      <c r="Y983" s="269"/>
      <c r="Z983" s="269"/>
      <c r="AA983" s="269"/>
      <c r="AB983" s="269"/>
      <c r="AC983" s="269"/>
      <c r="AD983" s="269"/>
      <c r="AE983" s="269"/>
      <c r="AF983" s="7"/>
      <c r="AG983" s="13"/>
      <c r="AH983" s="13"/>
      <c r="AI983" s="13"/>
      <c r="AJ983" s="13"/>
    </row>
    <row r="984" spans="1:36" x14ac:dyDescent="0.3">
      <c r="A984" s="259">
        <f t="shared" si="218"/>
        <v>755</v>
      </c>
      <c r="B984" s="20" t="s">
        <v>2703</v>
      </c>
      <c r="C984" s="273">
        <f t="shared" si="217"/>
        <v>12133678.800000001</v>
      </c>
      <c r="D984" s="273"/>
      <c r="E984" s="273"/>
      <c r="F984" s="273"/>
      <c r="G984" s="273"/>
      <c r="H984" s="273"/>
      <c r="I984" s="273"/>
      <c r="J984" s="50"/>
      <c r="K984" s="273"/>
      <c r="L984" s="273"/>
      <c r="M984" s="273"/>
      <c r="N984" s="273"/>
      <c r="O984" s="273">
        <v>798</v>
      </c>
      <c r="P984" s="273">
        <v>12133678.800000001</v>
      </c>
      <c r="Q984" s="273"/>
      <c r="R984" s="273"/>
      <c r="S984" s="273"/>
      <c r="T984" s="273"/>
      <c r="U984" s="273"/>
      <c r="V984" s="273"/>
      <c r="W984" s="273"/>
      <c r="X984" s="269"/>
      <c r="Y984" s="269"/>
      <c r="Z984" s="269"/>
      <c r="AA984" s="269"/>
      <c r="AB984" s="269"/>
      <c r="AC984" s="269"/>
      <c r="AD984" s="269"/>
      <c r="AE984" s="269"/>
      <c r="AF984" s="7"/>
      <c r="AG984" s="13"/>
      <c r="AH984" s="13"/>
      <c r="AI984" s="13"/>
      <c r="AJ984" s="13"/>
    </row>
    <row r="985" spans="1:36" x14ac:dyDescent="0.3">
      <c r="A985" s="259">
        <f t="shared" si="218"/>
        <v>756</v>
      </c>
      <c r="B985" s="20" t="s">
        <v>2704</v>
      </c>
      <c r="C985" s="273">
        <f t="shared" si="217"/>
        <v>29414088.449999999</v>
      </c>
      <c r="D985" s="273"/>
      <c r="E985" s="273"/>
      <c r="F985" s="273"/>
      <c r="G985" s="273"/>
      <c r="H985" s="273"/>
      <c r="I985" s="273"/>
      <c r="J985" s="50"/>
      <c r="K985" s="273"/>
      <c r="L985" s="273"/>
      <c r="M985" s="273"/>
      <c r="N985" s="273">
        <v>7820363.25</v>
      </c>
      <c r="O985" s="273">
        <v>1053</v>
      </c>
      <c r="P985" s="273">
        <v>21593725.199999999</v>
      </c>
      <c r="Q985" s="273"/>
      <c r="R985" s="273"/>
      <c r="S985" s="273"/>
      <c r="T985" s="273"/>
      <c r="U985" s="273"/>
      <c r="V985" s="273"/>
      <c r="W985" s="273"/>
      <c r="X985" s="269"/>
      <c r="Y985" s="269"/>
      <c r="Z985" s="269"/>
      <c r="AA985" s="269"/>
      <c r="AB985" s="269"/>
      <c r="AC985" s="269"/>
      <c r="AD985" s="269"/>
      <c r="AE985" s="269"/>
      <c r="AF985" s="7"/>
      <c r="AG985" s="13"/>
      <c r="AH985" s="13"/>
      <c r="AI985" s="13"/>
      <c r="AJ985" s="13"/>
    </row>
    <row r="986" spans="1:36" x14ac:dyDescent="0.3">
      <c r="A986" s="259">
        <f t="shared" si="218"/>
        <v>757</v>
      </c>
      <c r="B986" s="20" t="s">
        <v>2705</v>
      </c>
      <c r="C986" s="273">
        <f t="shared" si="217"/>
        <v>21591138</v>
      </c>
      <c r="D986" s="273"/>
      <c r="E986" s="273"/>
      <c r="F986" s="273"/>
      <c r="G986" s="273"/>
      <c r="H986" s="273"/>
      <c r="I986" s="273"/>
      <c r="J986" s="50"/>
      <c r="K986" s="273"/>
      <c r="L986" s="273"/>
      <c r="M986" s="273"/>
      <c r="N986" s="273"/>
      <c r="O986" s="273">
        <v>1055.5</v>
      </c>
      <c r="P986" s="273">
        <v>21591138</v>
      </c>
      <c r="Q986" s="273"/>
      <c r="R986" s="273"/>
      <c r="S986" s="273"/>
      <c r="T986" s="273"/>
      <c r="U986" s="273"/>
      <c r="V986" s="273"/>
      <c r="W986" s="273"/>
      <c r="X986" s="269"/>
      <c r="Y986" s="269"/>
      <c r="Z986" s="269"/>
      <c r="AA986" s="269"/>
      <c r="AB986" s="269"/>
      <c r="AC986" s="269"/>
      <c r="AD986" s="269"/>
      <c r="AE986" s="269"/>
      <c r="AF986" s="7"/>
      <c r="AG986" s="13"/>
      <c r="AH986" s="13"/>
      <c r="AI986" s="13"/>
      <c r="AJ986" s="13"/>
    </row>
    <row r="987" spans="1:36" x14ac:dyDescent="0.3">
      <c r="A987" s="259">
        <f t="shared" si="218"/>
        <v>758</v>
      </c>
      <c r="B987" s="20" t="s">
        <v>2707</v>
      </c>
      <c r="C987" s="273">
        <f t="shared" si="217"/>
        <v>8724112.8000000007</v>
      </c>
      <c r="D987" s="273"/>
      <c r="E987" s="273"/>
      <c r="F987" s="273"/>
      <c r="G987" s="273"/>
      <c r="H987" s="273"/>
      <c r="I987" s="273"/>
      <c r="J987" s="50"/>
      <c r="K987" s="273"/>
      <c r="L987" s="273"/>
      <c r="M987" s="273"/>
      <c r="N987" s="273"/>
      <c r="O987" s="273">
        <v>932.52</v>
      </c>
      <c r="P987" s="273">
        <v>8724112.8000000007</v>
      </c>
      <c r="Q987" s="273"/>
      <c r="R987" s="273"/>
      <c r="S987" s="273"/>
      <c r="T987" s="273"/>
      <c r="U987" s="273"/>
      <c r="V987" s="273"/>
      <c r="W987" s="273"/>
      <c r="X987" s="269"/>
      <c r="Y987" s="269"/>
      <c r="Z987" s="269"/>
      <c r="AA987" s="269"/>
      <c r="AB987" s="269"/>
      <c r="AC987" s="269"/>
      <c r="AD987" s="269"/>
      <c r="AE987" s="269"/>
      <c r="AF987" s="7"/>
      <c r="AG987" s="13"/>
      <c r="AH987" s="13"/>
      <c r="AI987" s="13"/>
      <c r="AJ987" s="13"/>
    </row>
    <row r="988" spans="1:36" x14ac:dyDescent="0.3">
      <c r="A988" s="259">
        <f t="shared" si="218"/>
        <v>759</v>
      </c>
      <c r="B988" s="20" t="s">
        <v>2712</v>
      </c>
      <c r="C988" s="273">
        <f t="shared" si="217"/>
        <v>15162604.800000001</v>
      </c>
      <c r="D988" s="273"/>
      <c r="E988" s="273"/>
      <c r="F988" s="273"/>
      <c r="G988" s="273"/>
      <c r="H988" s="273"/>
      <c r="I988" s="273"/>
      <c r="J988" s="50"/>
      <c r="K988" s="273"/>
      <c r="L988" s="273"/>
      <c r="M988" s="273"/>
      <c r="N988" s="273"/>
      <c r="O988" s="273">
        <v>903.3</v>
      </c>
      <c r="P988" s="273">
        <v>15162604.800000001</v>
      </c>
      <c r="Q988" s="273"/>
      <c r="R988" s="273"/>
      <c r="S988" s="273"/>
      <c r="T988" s="273"/>
      <c r="U988" s="273"/>
      <c r="V988" s="273"/>
      <c r="W988" s="273"/>
      <c r="X988" s="269"/>
      <c r="Y988" s="269"/>
      <c r="Z988" s="269"/>
      <c r="AA988" s="269"/>
      <c r="AB988" s="269"/>
      <c r="AC988" s="269"/>
      <c r="AD988" s="269"/>
      <c r="AE988" s="269"/>
      <c r="AF988" s="7"/>
      <c r="AG988" s="13"/>
      <c r="AH988" s="13"/>
      <c r="AI988" s="13"/>
      <c r="AJ988" s="13"/>
    </row>
    <row r="989" spans="1:36" x14ac:dyDescent="0.3">
      <c r="A989" s="259">
        <f t="shared" si="218"/>
        <v>760</v>
      </c>
      <c r="B989" s="20" t="s">
        <v>2724</v>
      </c>
      <c r="C989" s="273">
        <f t="shared" si="217"/>
        <v>12206703.6</v>
      </c>
      <c r="D989" s="273"/>
      <c r="E989" s="273"/>
      <c r="F989" s="273"/>
      <c r="G989" s="273"/>
      <c r="H989" s="273"/>
      <c r="I989" s="273"/>
      <c r="J989" s="50"/>
      <c r="K989" s="273"/>
      <c r="L989" s="273"/>
      <c r="M989" s="273"/>
      <c r="N989" s="273"/>
      <c r="O989" s="273"/>
      <c r="P989" s="273"/>
      <c r="Q989" s="273">
        <v>2141</v>
      </c>
      <c r="R989" s="273">
        <v>12206703.6</v>
      </c>
      <c r="S989" s="273"/>
      <c r="T989" s="273"/>
      <c r="U989" s="273"/>
      <c r="V989" s="273"/>
      <c r="W989" s="273"/>
      <c r="X989" s="269"/>
      <c r="Y989" s="269"/>
      <c r="Z989" s="269"/>
      <c r="AA989" s="269"/>
      <c r="AB989" s="269"/>
      <c r="AC989" s="269"/>
      <c r="AD989" s="269"/>
      <c r="AE989" s="269"/>
      <c r="AF989" s="7"/>
      <c r="AG989" s="13"/>
      <c r="AH989" s="13"/>
      <c r="AI989" s="13"/>
      <c r="AJ989" s="13"/>
    </row>
    <row r="990" spans="1:36" x14ac:dyDescent="0.3">
      <c r="A990" s="259">
        <f t="shared" si="218"/>
        <v>761</v>
      </c>
      <c r="B990" s="20" t="s">
        <v>2725</v>
      </c>
      <c r="C990" s="273">
        <f t="shared" si="217"/>
        <v>11337668.4</v>
      </c>
      <c r="D990" s="273"/>
      <c r="E990" s="273"/>
      <c r="F990" s="273"/>
      <c r="G990" s="273"/>
      <c r="H990" s="273"/>
      <c r="I990" s="273"/>
      <c r="J990" s="50"/>
      <c r="K990" s="273"/>
      <c r="L990" s="273"/>
      <c r="M990" s="273"/>
      <c r="N990" s="273"/>
      <c r="O990" s="273">
        <v>961.76</v>
      </c>
      <c r="P990" s="273">
        <v>11337668.4</v>
      </c>
      <c r="Q990" s="273"/>
      <c r="R990" s="273"/>
      <c r="S990" s="273"/>
      <c r="T990" s="273"/>
      <c r="U990" s="273"/>
      <c r="V990" s="273"/>
      <c r="W990" s="273"/>
      <c r="X990" s="269"/>
      <c r="Y990" s="269"/>
      <c r="Z990" s="269"/>
      <c r="AA990" s="269"/>
      <c r="AB990" s="269"/>
      <c r="AC990" s="269"/>
      <c r="AD990" s="269"/>
      <c r="AE990" s="269"/>
      <c r="AF990" s="7"/>
      <c r="AG990" s="13"/>
      <c r="AH990" s="13"/>
      <c r="AI990" s="13"/>
      <c r="AJ990" s="13"/>
    </row>
    <row r="991" spans="1:36" x14ac:dyDescent="0.3">
      <c r="A991" s="259">
        <f t="shared" si="218"/>
        <v>762</v>
      </c>
      <c r="B991" s="20" t="s">
        <v>2743</v>
      </c>
      <c r="C991" s="273">
        <f t="shared" si="217"/>
        <v>43905213</v>
      </c>
      <c r="D991" s="273"/>
      <c r="E991" s="273"/>
      <c r="F991" s="273"/>
      <c r="G991" s="273"/>
      <c r="H991" s="273"/>
      <c r="I991" s="273"/>
      <c r="J991" s="50"/>
      <c r="K991" s="273"/>
      <c r="L991" s="273"/>
      <c r="M991" s="273"/>
      <c r="N991" s="273"/>
      <c r="O991" s="273">
        <v>1661</v>
      </c>
      <c r="P991" s="273">
        <f>1661*26433</f>
        <v>43905213</v>
      </c>
      <c r="Q991" s="273"/>
      <c r="R991" s="273"/>
      <c r="S991" s="273"/>
      <c r="T991" s="273"/>
      <c r="U991" s="273"/>
      <c r="V991" s="273"/>
      <c r="W991" s="273"/>
      <c r="X991" s="269"/>
      <c r="Y991" s="269"/>
      <c r="Z991" s="269"/>
      <c r="AA991" s="269"/>
      <c r="AB991" s="269"/>
      <c r="AC991" s="269"/>
      <c r="AD991" s="269"/>
      <c r="AE991" s="269"/>
      <c r="AF991" s="7"/>
      <c r="AG991" s="13"/>
      <c r="AH991" s="13"/>
      <c r="AI991" s="13"/>
      <c r="AJ991" s="13"/>
    </row>
    <row r="992" spans="1:36" x14ac:dyDescent="0.3">
      <c r="A992" s="259">
        <f t="shared" si="218"/>
        <v>763</v>
      </c>
      <c r="B992" s="20" t="s">
        <v>2744</v>
      </c>
      <c r="C992" s="273">
        <f t="shared" si="217"/>
        <v>3306837.6</v>
      </c>
      <c r="D992" s="273"/>
      <c r="E992" s="273"/>
      <c r="F992" s="273"/>
      <c r="G992" s="273"/>
      <c r="H992" s="273"/>
      <c r="I992" s="273"/>
      <c r="J992" s="50"/>
      <c r="K992" s="273"/>
      <c r="L992" s="273"/>
      <c r="M992" s="273"/>
      <c r="N992" s="273"/>
      <c r="O992" s="273">
        <v>500.87</v>
      </c>
      <c r="P992" s="273">
        <v>3306837.6</v>
      </c>
      <c r="Q992" s="273"/>
      <c r="R992" s="273"/>
      <c r="S992" s="273"/>
      <c r="T992" s="273"/>
      <c r="U992" s="273"/>
      <c r="V992" s="273"/>
      <c r="W992" s="273"/>
      <c r="X992" s="269"/>
      <c r="Y992" s="269"/>
      <c r="Z992" s="269"/>
      <c r="AA992" s="269"/>
      <c r="AB992" s="269"/>
      <c r="AC992" s="269"/>
      <c r="AD992" s="269"/>
      <c r="AE992" s="269"/>
      <c r="AF992" s="7"/>
      <c r="AG992" s="13"/>
      <c r="AH992" s="13"/>
      <c r="AI992" s="13"/>
      <c r="AJ992" s="13"/>
    </row>
    <row r="993" spans="1:36" x14ac:dyDescent="0.3">
      <c r="A993" s="259">
        <f t="shared" si="218"/>
        <v>764</v>
      </c>
      <c r="B993" s="20" t="s">
        <v>2745</v>
      </c>
      <c r="C993" s="273">
        <f t="shared" si="217"/>
        <v>7752714</v>
      </c>
      <c r="D993" s="273"/>
      <c r="E993" s="273"/>
      <c r="F993" s="273"/>
      <c r="G993" s="273"/>
      <c r="H993" s="273"/>
      <c r="I993" s="273"/>
      <c r="J993" s="50"/>
      <c r="K993" s="273"/>
      <c r="L993" s="273"/>
      <c r="M993" s="273"/>
      <c r="N993" s="273"/>
      <c r="O993" s="273">
        <v>410.8</v>
      </c>
      <c r="P993" s="273">
        <v>7752714</v>
      </c>
      <c r="Q993" s="273"/>
      <c r="R993" s="273"/>
      <c r="S993" s="273"/>
      <c r="T993" s="273"/>
      <c r="U993" s="273"/>
      <c r="V993" s="273"/>
      <c r="W993" s="273"/>
      <c r="X993" s="269"/>
      <c r="Y993" s="269"/>
      <c r="Z993" s="269"/>
      <c r="AA993" s="269"/>
      <c r="AB993" s="269"/>
      <c r="AC993" s="269"/>
      <c r="AD993" s="269"/>
      <c r="AE993" s="269"/>
      <c r="AF993" s="7"/>
      <c r="AG993" s="13"/>
      <c r="AH993" s="13"/>
      <c r="AI993" s="13"/>
      <c r="AJ993" s="13"/>
    </row>
    <row r="994" spans="1:36" x14ac:dyDescent="0.3">
      <c r="A994" s="259">
        <f t="shared" si="218"/>
        <v>765</v>
      </c>
      <c r="B994" s="20" t="s">
        <v>2747</v>
      </c>
      <c r="C994" s="273">
        <f t="shared" si="217"/>
        <v>7335525</v>
      </c>
      <c r="D994" s="273"/>
      <c r="E994" s="273"/>
      <c r="F994" s="273"/>
      <c r="G994" s="273"/>
      <c r="H994" s="273"/>
      <c r="I994" s="273"/>
      <c r="J994" s="50"/>
      <c r="K994" s="273"/>
      <c r="L994" s="273"/>
      <c r="M994" s="273">
        <v>1175</v>
      </c>
      <c r="N994" s="273">
        <f>1175*6243</f>
        <v>7335525</v>
      </c>
      <c r="O994" s="273"/>
      <c r="P994" s="273"/>
      <c r="Q994" s="273"/>
      <c r="R994" s="273"/>
      <c r="S994" s="273"/>
      <c r="T994" s="273"/>
      <c r="U994" s="273"/>
      <c r="V994" s="273"/>
      <c r="W994" s="273"/>
      <c r="X994" s="269"/>
      <c r="Y994" s="269"/>
      <c r="Z994" s="269"/>
      <c r="AA994" s="269"/>
      <c r="AB994" s="269"/>
      <c r="AC994" s="269"/>
      <c r="AD994" s="269"/>
      <c r="AE994" s="269"/>
      <c r="AF994" s="7"/>
      <c r="AG994" s="13"/>
      <c r="AH994" s="13"/>
      <c r="AI994" s="13"/>
      <c r="AJ994" s="13"/>
    </row>
    <row r="995" spans="1:36" x14ac:dyDescent="0.3">
      <c r="A995" s="259">
        <f t="shared" si="218"/>
        <v>766</v>
      </c>
      <c r="B995" s="20" t="s">
        <v>2761</v>
      </c>
      <c r="C995" s="273">
        <f>D995+K995+L995+N995+P995+R995+S995+U995+V995+W995</f>
        <v>7565825</v>
      </c>
      <c r="D995" s="273"/>
      <c r="E995" s="273"/>
      <c r="F995" s="273"/>
      <c r="G995" s="273"/>
      <c r="H995" s="273"/>
      <c r="I995" s="273"/>
      <c r="J995" s="50"/>
      <c r="K995" s="273"/>
      <c r="L995" s="273"/>
      <c r="M995" s="273">
        <v>1175</v>
      </c>
      <c r="N995" s="273">
        <v>7565825</v>
      </c>
      <c r="O995" s="273"/>
      <c r="P995" s="273"/>
      <c r="Q995" s="273"/>
      <c r="R995" s="273"/>
      <c r="S995" s="273"/>
      <c r="T995" s="273"/>
      <c r="U995" s="273"/>
      <c r="V995" s="273"/>
      <c r="W995" s="273"/>
      <c r="X995" s="269"/>
      <c r="Y995" s="269"/>
      <c r="Z995" s="269"/>
      <c r="AA995" s="269"/>
      <c r="AB995" s="269"/>
      <c r="AC995" s="269"/>
      <c r="AD995" s="269"/>
      <c r="AE995" s="269"/>
      <c r="AF995" s="7"/>
      <c r="AG995" s="13"/>
      <c r="AH995" s="13"/>
      <c r="AI995" s="13"/>
      <c r="AJ995" s="13"/>
    </row>
    <row r="996" spans="1:36" x14ac:dyDescent="0.3">
      <c r="A996" s="259">
        <f t="shared" si="218"/>
        <v>767</v>
      </c>
      <c r="B996" s="20" t="s">
        <v>2758</v>
      </c>
      <c r="C996" s="273">
        <f t="shared" ref="C996:C1011" si="219">D996+K996+L996+N996+P996+R996+S996+U996+V996+W996</f>
        <v>14713764</v>
      </c>
      <c r="D996" s="273"/>
      <c r="E996" s="273"/>
      <c r="F996" s="273"/>
      <c r="G996" s="273"/>
      <c r="H996" s="273"/>
      <c r="I996" s="273"/>
      <c r="J996" s="50"/>
      <c r="K996" s="273"/>
      <c r="L996" s="273"/>
      <c r="M996" s="273"/>
      <c r="N996" s="273"/>
      <c r="O996" s="273">
        <v>871.3</v>
      </c>
      <c r="P996" s="273">
        <v>14713764</v>
      </c>
      <c r="Q996" s="273"/>
      <c r="R996" s="273"/>
      <c r="S996" s="273"/>
      <c r="T996" s="273"/>
      <c r="U996" s="273"/>
      <c r="V996" s="273"/>
      <c r="W996" s="273"/>
      <c r="X996" s="269"/>
      <c r="Y996" s="269"/>
      <c r="Z996" s="269"/>
      <c r="AA996" s="269"/>
      <c r="AB996" s="269"/>
      <c r="AC996" s="269"/>
      <c r="AD996" s="269"/>
      <c r="AE996" s="269"/>
      <c r="AF996" s="7"/>
      <c r="AG996" s="13"/>
      <c r="AH996" s="13"/>
      <c r="AI996" s="13"/>
      <c r="AJ996" s="13"/>
    </row>
    <row r="997" spans="1:36" x14ac:dyDescent="0.3">
      <c r="A997" s="259">
        <f t="shared" si="218"/>
        <v>768</v>
      </c>
      <c r="B997" s="20" t="s">
        <v>2765</v>
      </c>
      <c r="C997" s="273">
        <f t="shared" si="219"/>
        <v>32257247.219999999</v>
      </c>
      <c r="D997" s="273"/>
      <c r="E997" s="273"/>
      <c r="F997" s="273"/>
      <c r="G997" s="273"/>
      <c r="H997" s="273"/>
      <c r="I997" s="273"/>
      <c r="J997" s="50"/>
      <c r="K997" s="273"/>
      <c r="L997" s="273"/>
      <c r="M997" s="273"/>
      <c r="N997" s="273"/>
      <c r="O997" s="273">
        <v>1220.3399999999999</v>
      </c>
      <c r="P997" s="273">
        <f>1220.34*26433</f>
        <v>32257247.219999999</v>
      </c>
      <c r="Q997" s="273"/>
      <c r="R997" s="273"/>
      <c r="S997" s="273"/>
      <c r="T997" s="273"/>
      <c r="U997" s="273"/>
      <c r="V997" s="273"/>
      <c r="W997" s="273"/>
      <c r="X997" s="269"/>
      <c r="Y997" s="269"/>
      <c r="Z997" s="269"/>
      <c r="AA997" s="269"/>
      <c r="AB997" s="269"/>
      <c r="AC997" s="269"/>
      <c r="AD997" s="269"/>
      <c r="AE997" s="269"/>
      <c r="AF997" s="7"/>
      <c r="AG997" s="13"/>
      <c r="AH997" s="13"/>
      <c r="AI997" s="13"/>
      <c r="AJ997" s="13"/>
    </row>
    <row r="998" spans="1:36" x14ac:dyDescent="0.3">
      <c r="A998" s="259">
        <f t="shared" si="218"/>
        <v>769</v>
      </c>
      <c r="B998" s="20" t="s">
        <v>2766</v>
      </c>
      <c r="C998" s="273">
        <f t="shared" si="219"/>
        <v>11580194.4</v>
      </c>
      <c r="D998" s="273"/>
      <c r="E998" s="273"/>
      <c r="F998" s="273"/>
      <c r="G998" s="273"/>
      <c r="H998" s="273"/>
      <c r="I998" s="273"/>
      <c r="J998" s="50"/>
      <c r="K998" s="273"/>
      <c r="L998" s="273"/>
      <c r="M998" s="273"/>
      <c r="N998" s="273"/>
      <c r="O998" s="273">
        <v>940.2</v>
      </c>
      <c r="P998" s="273">
        <v>11580194.4</v>
      </c>
      <c r="Q998" s="273"/>
      <c r="R998" s="273"/>
      <c r="S998" s="273"/>
      <c r="T998" s="273"/>
      <c r="U998" s="273"/>
      <c r="V998" s="273"/>
      <c r="W998" s="273"/>
      <c r="X998" s="269"/>
      <c r="Y998" s="269"/>
      <c r="Z998" s="269"/>
      <c r="AA998" s="269"/>
      <c r="AB998" s="269"/>
      <c r="AC998" s="269"/>
      <c r="AD998" s="269"/>
      <c r="AE998" s="269"/>
      <c r="AF998" s="7"/>
      <c r="AG998" s="13"/>
      <c r="AH998" s="13"/>
      <c r="AI998" s="13"/>
      <c r="AJ998" s="13"/>
    </row>
    <row r="999" spans="1:36" x14ac:dyDescent="0.3">
      <c r="A999" s="259">
        <f t="shared" si="218"/>
        <v>770</v>
      </c>
      <c r="B999" s="20" t="s">
        <v>2781</v>
      </c>
      <c r="C999" s="273">
        <f t="shared" si="219"/>
        <v>4415284.8</v>
      </c>
      <c r="D999" s="273"/>
      <c r="E999" s="273"/>
      <c r="F999" s="273"/>
      <c r="G999" s="273"/>
      <c r="H999" s="273"/>
      <c r="I999" s="273"/>
      <c r="J999" s="50"/>
      <c r="K999" s="273"/>
      <c r="L999" s="273"/>
      <c r="M999" s="273"/>
      <c r="N999" s="273"/>
      <c r="O999" s="273"/>
      <c r="P999" s="273"/>
      <c r="Q999" s="273">
        <v>740</v>
      </c>
      <c r="R999" s="273">
        <v>4415284.8</v>
      </c>
      <c r="S999" s="273"/>
      <c r="T999" s="273"/>
      <c r="U999" s="273"/>
      <c r="V999" s="273"/>
      <c r="W999" s="273"/>
      <c r="X999" s="269"/>
      <c r="Y999" s="269"/>
      <c r="Z999" s="269"/>
      <c r="AA999" s="269"/>
      <c r="AB999" s="269"/>
      <c r="AC999" s="269"/>
      <c r="AD999" s="269"/>
      <c r="AE999" s="269"/>
      <c r="AF999" s="7"/>
      <c r="AG999" s="13"/>
      <c r="AH999" s="13"/>
      <c r="AI999" s="13"/>
      <c r="AJ999" s="13"/>
    </row>
    <row r="1000" spans="1:36" x14ac:dyDescent="0.3">
      <c r="A1000" s="259">
        <f t="shared" si="218"/>
        <v>771</v>
      </c>
      <c r="B1000" s="20" t="s">
        <v>2787</v>
      </c>
      <c r="C1000" s="273">
        <f t="shared" si="219"/>
        <v>4161384.46</v>
      </c>
      <c r="D1000" s="273"/>
      <c r="E1000" s="273"/>
      <c r="F1000" s="273"/>
      <c r="G1000" s="273"/>
      <c r="H1000" s="273"/>
      <c r="I1000" s="273"/>
      <c r="J1000" s="50"/>
      <c r="K1000" s="273"/>
      <c r="L1000" s="273"/>
      <c r="M1000" s="273"/>
      <c r="N1000" s="273"/>
      <c r="O1000" s="273"/>
      <c r="P1000" s="273"/>
      <c r="Q1000" s="273">
        <v>679</v>
      </c>
      <c r="R1000" s="273">
        <v>4161384.46</v>
      </c>
      <c r="S1000" s="273"/>
      <c r="T1000" s="273"/>
      <c r="U1000" s="273"/>
      <c r="V1000" s="273"/>
      <c r="W1000" s="273"/>
      <c r="X1000" s="269"/>
      <c r="Y1000" s="269"/>
      <c r="Z1000" s="269"/>
      <c r="AA1000" s="269"/>
      <c r="AB1000" s="269"/>
      <c r="AC1000" s="269"/>
      <c r="AD1000" s="269"/>
      <c r="AE1000" s="269"/>
      <c r="AF1000" s="7"/>
      <c r="AG1000" s="13"/>
      <c r="AH1000" s="13"/>
      <c r="AI1000" s="13"/>
      <c r="AJ1000" s="13"/>
    </row>
    <row r="1001" spans="1:36" x14ac:dyDescent="0.3">
      <c r="A1001" s="259">
        <f t="shared" si="218"/>
        <v>772</v>
      </c>
      <c r="B1001" s="20" t="s">
        <v>2788</v>
      </c>
      <c r="C1001" s="273">
        <f t="shared" si="219"/>
        <v>4190722.8</v>
      </c>
      <c r="D1001" s="273"/>
      <c r="E1001" s="273"/>
      <c r="F1001" s="273"/>
      <c r="G1001" s="273"/>
      <c r="H1001" s="273"/>
      <c r="I1001" s="273"/>
      <c r="J1001" s="50"/>
      <c r="K1001" s="273"/>
      <c r="L1001" s="273"/>
      <c r="M1001" s="273"/>
      <c r="N1001" s="273"/>
      <c r="O1001" s="273"/>
      <c r="P1001" s="273"/>
      <c r="Q1001" s="273">
        <v>466.24</v>
      </c>
      <c r="R1001" s="273">
        <v>4190722.8</v>
      </c>
      <c r="S1001" s="273"/>
      <c r="T1001" s="273"/>
      <c r="U1001" s="273"/>
      <c r="V1001" s="273"/>
      <c r="W1001" s="273"/>
      <c r="X1001" s="269"/>
      <c r="Y1001" s="269"/>
      <c r="Z1001" s="269"/>
      <c r="AA1001" s="269"/>
      <c r="AB1001" s="269"/>
      <c r="AC1001" s="269"/>
      <c r="AD1001" s="269"/>
      <c r="AE1001" s="269"/>
      <c r="AF1001" s="7"/>
      <c r="AG1001" s="13"/>
      <c r="AH1001" s="13"/>
      <c r="AI1001" s="13"/>
      <c r="AJ1001" s="13"/>
    </row>
    <row r="1002" spans="1:36" x14ac:dyDescent="0.3">
      <c r="A1002" s="259">
        <f t="shared" si="218"/>
        <v>773</v>
      </c>
      <c r="B1002" s="20" t="s">
        <v>2812</v>
      </c>
      <c r="C1002" s="273">
        <f t="shared" si="219"/>
        <v>2191765.04</v>
      </c>
      <c r="D1002" s="273"/>
      <c r="E1002" s="273"/>
      <c r="F1002" s="273"/>
      <c r="G1002" s="273"/>
      <c r="H1002" s="273"/>
      <c r="I1002" s="273"/>
      <c r="J1002" s="50"/>
      <c r="K1002" s="273"/>
      <c r="L1002" s="273"/>
      <c r="M1002" s="273"/>
      <c r="N1002" s="273"/>
      <c r="O1002" s="273"/>
      <c r="P1002" s="273"/>
      <c r="Q1002" s="273">
        <v>280</v>
      </c>
      <c r="R1002" s="273">
        <v>2191765.04</v>
      </c>
      <c r="S1002" s="273"/>
      <c r="T1002" s="273"/>
      <c r="U1002" s="273"/>
      <c r="V1002" s="273"/>
      <c r="W1002" s="273"/>
      <c r="X1002" s="269"/>
      <c r="Y1002" s="269"/>
      <c r="Z1002" s="269"/>
      <c r="AA1002" s="269"/>
      <c r="AB1002" s="269"/>
      <c r="AC1002" s="269"/>
      <c r="AD1002" s="269"/>
      <c r="AE1002" s="269"/>
      <c r="AF1002" s="7"/>
      <c r="AG1002" s="13"/>
      <c r="AH1002" s="13"/>
      <c r="AI1002" s="13"/>
      <c r="AJ1002" s="13"/>
    </row>
    <row r="1003" spans="1:36" x14ac:dyDescent="0.3">
      <c r="A1003" s="259">
        <f t="shared" si="218"/>
        <v>774</v>
      </c>
      <c r="B1003" s="20" t="s">
        <v>2816</v>
      </c>
      <c r="C1003" s="273">
        <f t="shared" si="219"/>
        <v>3006020.4</v>
      </c>
      <c r="D1003" s="273"/>
      <c r="E1003" s="273"/>
      <c r="F1003" s="273"/>
      <c r="G1003" s="273"/>
      <c r="H1003" s="273"/>
      <c r="I1003" s="273"/>
      <c r="J1003" s="50"/>
      <c r="K1003" s="273"/>
      <c r="L1003" s="273"/>
      <c r="M1003" s="273"/>
      <c r="N1003" s="273"/>
      <c r="O1003" s="273">
        <v>781.4</v>
      </c>
      <c r="P1003" s="273">
        <v>3006020.4</v>
      </c>
      <c r="Q1003" s="273"/>
      <c r="R1003" s="273"/>
      <c r="S1003" s="273"/>
      <c r="T1003" s="273"/>
      <c r="U1003" s="273"/>
      <c r="V1003" s="273"/>
      <c r="W1003" s="273"/>
      <c r="X1003" s="269"/>
      <c r="Y1003" s="269"/>
      <c r="Z1003" s="269"/>
      <c r="AA1003" s="269"/>
      <c r="AB1003" s="269"/>
      <c r="AC1003" s="269"/>
      <c r="AD1003" s="269"/>
      <c r="AE1003" s="269"/>
      <c r="AF1003" s="7"/>
      <c r="AG1003" s="13"/>
      <c r="AH1003" s="13"/>
      <c r="AI1003" s="13"/>
      <c r="AJ1003" s="13"/>
    </row>
    <row r="1004" spans="1:36" x14ac:dyDescent="0.3">
      <c r="A1004" s="259">
        <f t="shared" si="218"/>
        <v>775</v>
      </c>
      <c r="B1004" s="20" t="s">
        <v>2817</v>
      </c>
      <c r="C1004" s="273">
        <f t="shared" si="219"/>
        <v>1570444.3</v>
      </c>
      <c r="D1004" s="273"/>
      <c r="E1004" s="273"/>
      <c r="F1004" s="273"/>
      <c r="G1004" s="273"/>
      <c r="H1004" s="273"/>
      <c r="I1004" s="273"/>
      <c r="J1004" s="50"/>
      <c r="K1004" s="273"/>
      <c r="L1004" s="273"/>
      <c r="M1004" s="273"/>
      <c r="N1004" s="273"/>
      <c r="O1004" s="273">
        <v>196.8</v>
      </c>
      <c r="P1004" s="273">
        <v>1570444.3</v>
      </c>
      <c r="Q1004" s="273"/>
      <c r="R1004" s="273"/>
      <c r="S1004" s="273"/>
      <c r="T1004" s="273"/>
      <c r="U1004" s="273"/>
      <c r="V1004" s="273"/>
      <c r="W1004" s="273"/>
      <c r="X1004" s="269"/>
      <c r="Y1004" s="269"/>
      <c r="Z1004" s="269"/>
      <c r="AA1004" s="269"/>
      <c r="AB1004" s="269"/>
      <c r="AC1004" s="269"/>
      <c r="AD1004" s="269"/>
      <c r="AE1004" s="269"/>
      <c r="AF1004" s="7"/>
      <c r="AG1004" s="13"/>
      <c r="AH1004" s="13"/>
      <c r="AI1004" s="13"/>
      <c r="AJ1004" s="13"/>
    </row>
    <row r="1005" spans="1:36" x14ac:dyDescent="0.3">
      <c r="A1005" s="259">
        <f t="shared" si="218"/>
        <v>776</v>
      </c>
      <c r="B1005" s="20" t="s">
        <v>2818</v>
      </c>
      <c r="C1005" s="273">
        <f t="shared" si="219"/>
        <v>4279436.4000000004</v>
      </c>
      <c r="D1005" s="273"/>
      <c r="E1005" s="273"/>
      <c r="F1005" s="273"/>
      <c r="G1005" s="273"/>
      <c r="H1005" s="273"/>
      <c r="I1005" s="273"/>
      <c r="J1005" s="50"/>
      <c r="K1005" s="273"/>
      <c r="L1005" s="273"/>
      <c r="M1005" s="273"/>
      <c r="N1005" s="273"/>
      <c r="O1005" s="273">
        <v>781.4</v>
      </c>
      <c r="P1005" s="273">
        <v>4279436.4000000004</v>
      </c>
      <c r="Q1005" s="273"/>
      <c r="R1005" s="273"/>
      <c r="S1005" s="273"/>
      <c r="T1005" s="273"/>
      <c r="U1005" s="273"/>
      <c r="V1005" s="273"/>
      <c r="W1005" s="273"/>
      <c r="X1005" s="269"/>
      <c r="Y1005" s="269"/>
      <c r="Z1005" s="269"/>
      <c r="AA1005" s="269"/>
      <c r="AB1005" s="269"/>
      <c r="AC1005" s="269"/>
      <c r="AD1005" s="269"/>
      <c r="AE1005" s="269"/>
      <c r="AF1005" s="7"/>
      <c r="AG1005" s="13"/>
      <c r="AH1005" s="13"/>
      <c r="AI1005" s="13"/>
      <c r="AJ1005" s="13"/>
    </row>
    <row r="1006" spans="1:36" x14ac:dyDescent="0.3">
      <c r="A1006" s="259">
        <f t="shared" si="218"/>
        <v>777</v>
      </c>
      <c r="B1006" s="20" t="s">
        <v>2825</v>
      </c>
      <c r="C1006" s="273">
        <f t="shared" si="219"/>
        <v>6680168.4000000004</v>
      </c>
      <c r="D1006" s="273"/>
      <c r="E1006" s="273"/>
      <c r="F1006" s="273"/>
      <c r="G1006" s="273"/>
      <c r="H1006" s="273"/>
      <c r="I1006" s="273"/>
      <c r="J1006" s="50"/>
      <c r="K1006" s="273"/>
      <c r="L1006" s="273"/>
      <c r="M1006" s="273"/>
      <c r="N1006" s="273"/>
      <c r="O1006" s="273"/>
      <c r="P1006" s="273"/>
      <c r="Q1006" s="273">
        <v>599.4</v>
      </c>
      <c r="R1006" s="273">
        <v>6680168.4000000004</v>
      </c>
      <c r="S1006" s="273"/>
      <c r="T1006" s="273"/>
      <c r="U1006" s="273"/>
      <c r="V1006" s="273"/>
      <c r="W1006" s="273"/>
      <c r="X1006" s="269"/>
      <c r="Y1006" s="269"/>
      <c r="Z1006" s="269"/>
      <c r="AA1006" s="269"/>
      <c r="AB1006" s="269"/>
      <c r="AC1006" s="269"/>
      <c r="AD1006" s="269"/>
      <c r="AE1006" s="269"/>
      <c r="AF1006" s="7"/>
      <c r="AG1006" s="13"/>
      <c r="AH1006" s="13"/>
      <c r="AI1006" s="13"/>
      <c r="AJ1006" s="13"/>
    </row>
    <row r="1007" spans="1:36" x14ac:dyDescent="0.3">
      <c r="A1007" s="259">
        <f t="shared" si="218"/>
        <v>778</v>
      </c>
      <c r="B1007" s="20" t="s">
        <v>2826</v>
      </c>
      <c r="C1007" s="273">
        <f t="shared" si="219"/>
        <v>5250296.4000000004</v>
      </c>
      <c r="D1007" s="273"/>
      <c r="E1007" s="273"/>
      <c r="F1007" s="273"/>
      <c r="G1007" s="273"/>
      <c r="H1007" s="273"/>
      <c r="I1007" s="273"/>
      <c r="J1007" s="50"/>
      <c r="K1007" s="273"/>
      <c r="L1007" s="273"/>
      <c r="M1007" s="273"/>
      <c r="N1007" s="273"/>
      <c r="O1007" s="273"/>
      <c r="P1007" s="273"/>
      <c r="Q1007" s="273">
        <v>686.7</v>
      </c>
      <c r="R1007" s="273">
        <v>5250296.4000000004</v>
      </c>
      <c r="S1007" s="273"/>
      <c r="T1007" s="273"/>
      <c r="U1007" s="273"/>
      <c r="V1007" s="273"/>
      <c r="W1007" s="273"/>
      <c r="X1007" s="269"/>
      <c r="Y1007" s="269"/>
      <c r="Z1007" s="269"/>
      <c r="AA1007" s="269"/>
      <c r="AB1007" s="269"/>
      <c r="AC1007" s="269"/>
      <c r="AD1007" s="269"/>
      <c r="AE1007" s="269"/>
      <c r="AF1007" s="7"/>
      <c r="AG1007" s="13"/>
      <c r="AH1007" s="13"/>
      <c r="AI1007" s="13"/>
      <c r="AJ1007" s="13"/>
    </row>
    <row r="1008" spans="1:36" x14ac:dyDescent="0.3">
      <c r="A1008" s="259">
        <f t="shared" si="218"/>
        <v>779</v>
      </c>
      <c r="B1008" s="20" t="s">
        <v>2829</v>
      </c>
      <c r="C1008" s="273">
        <f t="shared" si="219"/>
        <v>5280512.4000000004</v>
      </c>
      <c r="D1008" s="273"/>
      <c r="E1008" s="273"/>
      <c r="F1008" s="273"/>
      <c r="G1008" s="273"/>
      <c r="H1008" s="273"/>
      <c r="I1008" s="273"/>
      <c r="J1008" s="50"/>
      <c r="K1008" s="273"/>
      <c r="L1008" s="273"/>
      <c r="M1008" s="273"/>
      <c r="N1008" s="273"/>
      <c r="O1008" s="273"/>
      <c r="P1008" s="273"/>
      <c r="Q1008" s="273">
        <v>501.2</v>
      </c>
      <c r="R1008" s="273">
        <v>5280512.4000000004</v>
      </c>
      <c r="S1008" s="273"/>
      <c r="T1008" s="273"/>
      <c r="U1008" s="273"/>
      <c r="V1008" s="273"/>
      <c r="W1008" s="273"/>
      <c r="X1008" s="269"/>
      <c r="Y1008" s="269"/>
      <c r="Z1008" s="269"/>
      <c r="AA1008" s="269"/>
      <c r="AB1008" s="269"/>
      <c r="AC1008" s="269"/>
      <c r="AD1008" s="269"/>
      <c r="AE1008" s="269"/>
      <c r="AF1008" s="7"/>
      <c r="AG1008" s="13"/>
      <c r="AH1008" s="13"/>
      <c r="AI1008" s="13"/>
      <c r="AJ1008" s="13"/>
    </row>
    <row r="1009" spans="1:36" x14ac:dyDescent="0.3">
      <c r="A1009" s="259">
        <f t="shared" si="218"/>
        <v>780</v>
      </c>
      <c r="B1009" s="20" t="s">
        <v>2830</v>
      </c>
      <c r="C1009" s="273">
        <f t="shared" si="219"/>
        <v>5280512.4000000004</v>
      </c>
      <c r="D1009" s="273"/>
      <c r="E1009" s="273"/>
      <c r="F1009" s="273"/>
      <c r="G1009" s="273"/>
      <c r="H1009" s="273"/>
      <c r="I1009" s="273"/>
      <c r="J1009" s="50"/>
      <c r="K1009" s="273"/>
      <c r="L1009" s="273"/>
      <c r="M1009" s="273"/>
      <c r="N1009" s="273"/>
      <c r="O1009" s="273"/>
      <c r="P1009" s="273"/>
      <c r="Q1009" s="273">
        <v>501.2</v>
      </c>
      <c r="R1009" s="273">
        <v>5280512.4000000004</v>
      </c>
      <c r="S1009" s="273"/>
      <c r="T1009" s="273"/>
      <c r="U1009" s="273"/>
      <c r="V1009" s="273"/>
      <c r="W1009" s="273"/>
      <c r="X1009" s="269"/>
      <c r="Y1009" s="269"/>
      <c r="Z1009" s="269"/>
      <c r="AA1009" s="269"/>
      <c r="AB1009" s="269"/>
      <c r="AC1009" s="269"/>
      <c r="AD1009" s="269"/>
      <c r="AE1009" s="269"/>
      <c r="AF1009" s="7"/>
      <c r="AG1009" s="13"/>
      <c r="AH1009" s="13"/>
      <c r="AI1009" s="13"/>
      <c r="AJ1009" s="13"/>
    </row>
    <row r="1010" spans="1:36" x14ac:dyDescent="0.3">
      <c r="A1010" s="259">
        <f t="shared" si="218"/>
        <v>781</v>
      </c>
      <c r="B1010" s="20" t="s">
        <v>2832</v>
      </c>
      <c r="C1010" s="273">
        <f t="shared" si="219"/>
        <v>8414515.1999999993</v>
      </c>
      <c r="D1010" s="273"/>
      <c r="E1010" s="273"/>
      <c r="F1010" s="273"/>
      <c r="G1010" s="273"/>
      <c r="H1010" s="273"/>
      <c r="I1010" s="273"/>
      <c r="J1010" s="50"/>
      <c r="K1010" s="273"/>
      <c r="L1010" s="273"/>
      <c r="M1010" s="273"/>
      <c r="N1010" s="273"/>
      <c r="O1010" s="273"/>
      <c r="P1010" s="273"/>
      <c r="Q1010" s="273">
        <v>900</v>
      </c>
      <c r="R1010" s="273">
        <v>8414515.1999999993</v>
      </c>
      <c r="S1010" s="273"/>
      <c r="T1010" s="273"/>
      <c r="U1010" s="273"/>
      <c r="V1010" s="273"/>
      <c r="W1010" s="273"/>
      <c r="X1010" s="269"/>
      <c r="Y1010" s="269"/>
      <c r="Z1010" s="269"/>
      <c r="AA1010" s="269"/>
      <c r="AB1010" s="269"/>
      <c r="AC1010" s="269"/>
      <c r="AD1010" s="269"/>
      <c r="AE1010" s="269"/>
      <c r="AF1010" s="7"/>
      <c r="AG1010" s="13"/>
      <c r="AH1010" s="13"/>
      <c r="AI1010" s="13"/>
      <c r="AJ1010" s="13"/>
    </row>
    <row r="1011" spans="1:36" x14ac:dyDescent="0.3">
      <c r="A1011" s="259">
        <f t="shared" si="218"/>
        <v>782</v>
      </c>
      <c r="B1011" s="20" t="s">
        <v>2833</v>
      </c>
      <c r="C1011" s="273">
        <f t="shared" si="219"/>
        <v>13790412.130000001</v>
      </c>
      <c r="D1011" s="273"/>
      <c r="E1011" s="273"/>
      <c r="F1011" s="273"/>
      <c r="G1011" s="273"/>
      <c r="H1011" s="273"/>
      <c r="I1011" s="273"/>
      <c r="J1011" s="50"/>
      <c r="K1011" s="273"/>
      <c r="L1011" s="273"/>
      <c r="M1011" s="273"/>
      <c r="N1011" s="273"/>
      <c r="O1011" s="273"/>
      <c r="P1011" s="273"/>
      <c r="Q1011" s="273">
        <v>487.5</v>
      </c>
      <c r="R1011" s="273">
        <v>13790412.130000001</v>
      </c>
      <c r="S1011" s="273"/>
      <c r="T1011" s="273"/>
      <c r="U1011" s="273"/>
      <c r="V1011" s="273"/>
      <c r="W1011" s="273"/>
      <c r="X1011" s="269"/>
      <c r="Y1011" s="269"/>
      <c r="Z1011" s="269"/>
      <c r="AA1011" s="269"/>
      <c r="AB1011" s="269"/>
      <c r="AC1011" s="269"/>
      <c r="AD1011" s="269"/>
      <c r="AE1011" s="269"/>
      <c r="AF1011" s="7"/>
      <c r="AG1011" s="13"/>
      <c r="AH1011" s="13"/>
      <c r="AI1011" s="13"/>
      <c r="AJ1011" s="13"/>
    </row>
    <row r="1012" spans="1:36" x14ac:dyDescent="0.3">
      <c r="A1012" s="302" t="s">
        <v>208</v>
      </c>
      <c r="B1012" s="302"/>
      <c r="C1012" s="273">
        <f t="shared" ref="C1012:W1012" si="220">SUM(C964:C1011)</f>
        <v>569867423.98000002</v>
      </c>
      <c r="D1012" s="273">
        <f t="shared" si="220"/>
        <v>0</v>
      </c>
      <c r="E1012" s="273">
        <f t="shared" si="220"/>
        <v>0</v>
      </c>
      <c r="F1012" s="273">
        <f t="shared" si="220"/>
        <v>0</v>
      </c>
      <c r="G1012" s="273">
        <f t="shared" si="220"/>
        <v>0</v>
      </c>
      <c r="H1012" s="273">
        <f t="shared" si="220"/>
        <v>0</v>
      </c>
      <c r="I1012" s="273">
        <f t="shared" si="220"/>
        <v>0</v>
      </c>
      <c r="J1012" s="50">
        <f t="shared" si="220"/>
        <v>0</v>
      </c>
      <c r="K1012" s="273">
        <f t="shared" si="220"/>
        <v>0</v>
      </c>
      <c r="L1012" s="273">
        <f t="shared" si="220"/>
        <v>0</v>
      </c>
      <c r="M1012" s="273">
        <f t="shared" si="220"/>
        <v>2350</v>
      </c>
      <c r="N1012" s="273">
        <f t="shared" si="220"/>
        <v>22721713.25</v>
      </c>
      <c r="O1012" s="273">
        <f t="shared" si="220"/>
        <v>27427.39</v>
      </c>
      <c r="P1012" s="273">
        <f t="shared" si="220"/>
        <v>431227593.21999997</v>
      </c>
      <c r="Q1012" s="273">
        <f t="shared" si="220"/>
        <v>15932.240000000002</v>
      </c>
      <c r="R1012" s="273">
        <f t="shared" si="220"/>
        <v>115918117.51000004</v>
      </c>
      <c r="S1012" s="273">
        <f t="shared" si="220"/>
        <v>0</v>
      </c>
      <c r="T1012" s="273">
        <f t="shared" si="220"/>
        <v>0</v>
      </c>
      <c r="U1012" s="273">
        <f t="shared" si="220"/>
        <v>0</v>
      </c>
      <c r="V1012" s="273">
        <f t="shared" si="220"/>
        <v>0</v>
      </c>
      <c r="W1012" s="273">
        <f t="shared" si="220"/>
        <v>0</v>
      </c>
      <c r="X1012" s="269"/>
      <c r="Y1012" s="269"/>
      <c r="Z1012" s="269"/>
      <c r="AA1012" s="269"/>
      <c r="AB1012" s="269"/>
      <c r="AC1012" s="269"/>
      <c r="AD1012" s="269"/>
      <c r="AE1012" s="269"/>
      <c r="AF1012" s="7"/>
      <c r="AG1012" s="13"/>
      <c r="AH1012" s="13"/>
      <c r="AI1012" s="13"/>
      <c r="AJ1012" s="13"/>
    </row>
    <row r="1013" spans="1:36" x14ac:dyDescent="0.3">
      <c r="A1013" s="301" t="s">
        <v>2838</v>
      </c>
      <c r="B1013" s="301"/>
      <c r="C1013" s="273"/>
      <c r="D1013" s="273"/>
      <c r="E1013" s="273"/>
      <c r="F1013" s="273"/>
      <c r="G1013" s="273"/>
      <c r="H1013" s="273"/>
      <c r="I1013" s="273"/>
      <c r="J1013" s="50"/>
      <c r="K1013" s="273"/>
      <c r="L1013" s="273"/>
      <c r="M1013" s="273"/>
      <c r="N1013" s="273"/>
      <c r="O1013" s="273"/>
      <c r="P1013" s="273"/>
      <c r="Q1013" s="273"/>
      <c r="R1013" s="273"/>
      <c r="S1013" s="418"/>
      <c r="T1013" s="419"/>
      <c r="U1013" s="273"/>
      <c r="V1013" s="273"/>
      <c r="W1013" s="273"/>
      <c r="X1013" s="269"/>
      <c r="Y1013" s="269"/>
      <c r="Z1013" s="269"/>
      <c r="AA1013" s="269"/>
      <c r="AB1013" s="269"/>
      <c r="AC1013" s="269"/>
      <c r="AD1013" s="269"/>
      <c r="AE1013" s="269"/>
      <c r="AF1013" s="7"/>
      <c r="AG1013" s="13"/>
      <c r="AH1013" s="13"/>
      <c r="AI1013" s="13"/>
      <c r="AJ1013" s="13"/>
    </row>
    <row r="1014" spans="1:36" x14ac:dyDescent="0.3">
      <c r="A1014" s="259">
        <f>A1011+1</f>
        <v>783</v>
      </c>
      <c r="B1014" s="20" t="s">
        <v>2839</v>
      </c>
      <c r="C1014" s="273">
        <f t="shared" ref="C1014:C1032" si="221">D1014+K1014+L1014+N1014+P1014+R1014+S1014+U1014+V1014+W1014</f>
        <v>130000</v>
      </c>
      <c r="D1014" s="273"/>
      <c r="E1014" s="273"/>
      <c r="F1014" s="273"/>
      <c r="G1014" s="273"/>
      <c r="H1014" s="273"/>
      <c r="I1014" s="273"/>
      <c r="J1014" s="50"/>
      <c r="K1014" s="273"/>
      <c r="L1014" s="273"/>
      <c r="M1014" s="273"/>
      <c r="N1014" s="273"/>
      <c r="O1014" s="273"/>
      <c r="P1014" s="273"/>
      <c r="Q1014" s="273"/>
      <c r="R1014" s="273"/>
      <c r="S1014" s="273"/>
      <c r="T1014" s="273"/>
      <c r="U1014" s="273"/>
      <c r="V1014" s="273"/>
      <c r="W1014" s="273">
        <v>130000</v>
      </c>
      <c r="X1014" s="269"/>
      <c r="Y1014" s="269"/>
      <c r="Z1014" s="269"/>
      <c r="AA1014" s="269"/>
      <c r="AB1014" s="269">
        <v>130000</v>
      </c>
      <c r="AC1014" s="269"/>
      <c r="AD1014" s="269"/>
      <c r="AE1014" s="269"/>
      <c r="AF1014" s="7"/>
      <c r="AG1014" s="13"/>
      <c r="AH1014" s="13"/>
      <c r="AI1014" s="13"/>
      <c r="AJ1014" s="13"/>
    </row>
    <row r="1015" spans="1:36" x14ac:dyDescent="0.3">
      <c r="A1015" s="259">
        <f>A1014+1</f>
        <v>784</v>
      </c>
      <c r="B1015" s="20" t="s">
        <v>2840</v>
      </c>
      <c r="C1015" s="273">
        <f t="shared" si="221"/>
        <v>130000</v>
      </c>
      <c r="D1015" s="273"/>
      <c r="E1015" s="273"/>
      <c r="F1015" s="273"/>
      <c r="G1015" s="273"/>
      <c r="H1015" s="273"/>
      <c r="I1015" s="273"/>
      <c r="J1015" s="50"/>
      <c r="K1015" s="273"/>
      <c r="L1015" s="273"/>
      <c r="M1015" s="273"/>
      <c r="N1015" s="273"/>
      <c r="O1015" s="273"/>
      <c r="P1015" s="273"/>
      <c r="Q1015" s="273"/>
      <c r="R1015" s="273"/>
      <c r="S1015" s="273"/>
      <c r="T1015" s="273"/>
      <c r="U1015" s="273"/>
      <c r="V1015" s="273"/>
      <c r="W1015" s="273">
        <v>130000</v>
      </c>
      <c r="X1015" s="269"/>
      <c r="Y1015" s="269"/>
      <c r="Z1015" s="269"/>
      <c r="AA1015" s="269"/>
      <c r="AB1015" s="269">
        <v>130000</v>
      </c>
      <c r="AC1015" s="269"/>
      <c r="AD1015" s="269"/>
      <c r="AE1015" s="269"/>
      <c r="AF1015" s="7"/>
      <c r="AG1015" s="13"/>
      <c r="AH1015" s="13"/>
      <c r="AI1015" s="13"/>
      <c r="AJ1015" s="13"/>
    </row>
    <row r="1016" spans="1:36" x14ac:dyDescent="0.3">
      <c r="A1016" s="259">
        <f>A1015+1</f>
        <v>785</v>
      </c>
      <c r="B1016" s="20" t="s">
        <v>2841</v>
      </c>
      <c r="C1016" s="273">
        <f t="shared" si="221"/>
        <v>130000</v>
      </c>
      <c r="D1016" s="273"/>
      <c r="E1016" s="273"/>
      <c r="F1016" s="273"/>
      <c r="G1016" s="273"/>
      <c r="H1016" s="273"/>
      <c r="I1016" s="273"/>
      <c r="J1016" s="50"/>
      <c r="K1016" s="273"/>
      <c r="L1016" s="273"/>
      <c r="M1016" s="273"/>
      <c r="N1016" s="273"/>
      <c r="O1016" s="273"/>
      <c r="P1016" s="273"/>
      <c r="Q1016" s="273"/>
      <c r="R1016" s="273"/>
      <c r="S1016" s="273"/>
      <c r="T1016" s="273"/>
      <c r="U1016" s="273"/>
      <c r="V1016" s="273"/>
      <c r="W1016" s="273">
        <v>130000</v>
      </c>
      <c r="X1016" s="269"/>
      <c r="Y1016" s="269"/>
      <c r="Z1016" s="269"/>
      <c r="AA1016" s="269"/>
      <c r="AB1016" s="269">
        <v>130000</v>
      </c>
      <c r="AC1016" s="269"/>
      <c r="AD1016" s="269"/>
      <c r="AE1016" s="269"/>
      <c r="AF1016" s="7"/>
      <c r="AG1016" s="13"/>
      <c r="AH1016" s="13"/>
      <c r="AI1016" s="13"/>
      <c r="AJ1016" s="13"/>
    </row>
    <row r="1017" spans="1:36" x14ac:dyDescent="0.3">
      <c r="A1017" s="259">
        <f>A1016+1</f>
        <v>786</v>
      </c>
      <c r="B1017" s="20" t="s">
        <v>2842</v>
      </c>
      <c r="C1017" s="273">
        <f t="shared" si="221"/>
        <v>130000</v>
      </c>
      <c r="D1017" s="273"/>
      <c r="E1017" s="273"/>
      <c r="F1017" s="273"/>
      <c r="G1017" s="273"/>
      <c r="H1017" s="273"/>
      <c r="I1017" s="273"/>
      <c r="J1017" s="50"/>
      <c r="K1017" s="273"/>
      <c r="L1017" s="273"/>
      <c r="M1017" s="273"/>
      <c r="N1017" s="273"/>
      <c r="O1017" s="273"/>
      <c r="P1017" s="273"/>
      <c r="Q1017" s="273"/>
      <c r="R1017" s="273"/>
      <c r="S1017" s="273"/>
      <c r="T1017" s="273"/>
      <c r="U1017" s="273"/>
      <c r="V1017" s="273"/>
      <c r="W1017" s="273">
        <v>130000</v>
      </c>
      <c r="X1017" s="269"/>
      <c r="Y1017" s="269"/>
      <c r="Z1017" s="269"/>
      <c r="AA1017" s="269"/>
      <c r="AB1017" s="269">
        <v>130000</v>
      </c>
      <c r="AC1017" s="269"/>
      <c r="AD1017" s="269"/>
      <c r="AE1017" s="269"/>
      <c r="AF1017" s="7"/>
      <c r="AG1017" s="13"/>
      <c r="AH1017" s="13"/>
      <c r="AI1017" s="13"/>
      <c r="AJ1017" s="13"/>
    </row>
    <row r="1018" spans="1:36" x14ac:dyDescent="0.3">
      <c r="A1018" s="259">
        <f>A1017+1</f>
        <v>787</v>
      </c>
      <c r="B1018" s="20" t="s">
        <v>2843</v>
      </c>
      <c r="C1018" s="273">
        <f t="shared" si="221"/>
        <v>130000</v>
      </c>
      <c r="D1018" s="273"/>
      <c r="E1018" s="273"/>
      <c r="F1018" s="273"/>
      <c r="G1018" s="273"/>
      <c r="H1018" s="273"/>
      <c r="I1018" s="273"/>
      <c r="J1018" s="50"/>
      <c r="K1018" s="273"/>
      <c r="L1018" s="273"/>
      <c r="M1018" s="273"/>
      <c r="N1018" s="273"/>
      <c r="O1018" s="273"/>
      <c r="P1018" s="273"/>
      <c r="Q1018" s="273"/>
      <c r="R1018" s="273"/>
      <c r="S1018" s="273"/>
      <c r="T1018" s="273"/>
      <c r="U1018" s="273"/>
      <c r="V1018" s="273"/>
      <c r="W1018" s="273">
        <v>130000</v>
      </c>
      <c r="X1018" s="269"/>
      <c r="Y1018" s="269"/>
      <c r="Z1018" s="269"/>
      <c r="AA1018" s="269"/>
      <c r="AB1018" s="269">
        <v>130000</v>
      </c>
      <c r="AC1018" s="269"/>
      <c r="AD1018" s="269"/>
      <c r="AE1018" s="269"/>
      <c r="AF1018" s="7"/>
      <c r="AG1018" s="13"/>
      <c r="AH1018" s="13"/>
      <c r="AI1018" s="13"/>
      <c r="AJ1018" s="13"/>
    </row>
    <row r="1019" spans="1:36" x14ac:dyDescent="0.3">
      <c r="A1019" s="259">
        <f t="shared" ref="A1019:A1024" si="222">A1018+1</f>
        <v>788</v>
      </c>
      <c r="B1019" s="20" t="s">
        <v>2845</v>
      </c>
      <c r="C1019" s="273">
        <f t="shared" si="221"/>
        <v>130000</v>
      </c>
      <c r="D1019" s="273"/>
      <c r="E1019" s="273"/>
      <c r="F1019" s="273"/>
      <c r="G1019" s="273"/>
      <c r="H1019" s="273"/>
      <c r="I1019" s="273"/>
      <c r="J1019" s="50"/>
      <c r="K1019" s="273"/>
      <c r="L1019" s="273"/>
      <c r="M1019" s="273"/>
      <c r="N1019" s="273"/>
      <c r="O1019" s="273"/>
      <c r="P1019" s="273"/>
      <c r="Q1019" s="273"/>
      <c r="R1019" s="273"/>
      <c r="S1019" s="273"/>
      <c r="T1019" s="273"/>
      <c r="U1019" s="273"/>
      <c r="V1019" s="273"/>
      <c r="W1019" s="273">
        <v>130000</v>
      </c>
      <c r="X1019" s="269"/>
      <c r="Y1019" s="269"/>
      <c r="Z1019" s="269"/>
      <c r="AA1019" s="269"/>
      <c r="AB1019" s="269">
        <v>130000</v>
      </c>
      <c r="AC1019" s="269"/>
      <c r="AD1019" s="269"/>
      <c r="AE1019" s="269"/>
      <c r="AF1019" s="7"/>
      <c r="AG1019" s="13"/>
      <c r="AH1019" s="13"/>
      <c r="AI1019" s="13"/>
      <c r="AJ1019" s="13"/>
    </row>
    <row r="1020" spans="1:36" x14ac:dyDescent="0.3">
      <c r="A1020" s="259">
        <f t="shared" si="222"/>
        <v>789</v>
      </c>
      <c r="B1020" s="20" t="s">
        <v>2846</v>
      </c>
      <c r="C1020" s="273">
        <f t="shared" si="221"/>
        <v>130000</v>
      </c>
      <c r="D1020" s="273"/>
      <c r="E1020" s="273"/>
      <c r="F1020" s="273"/>
      <c r="G1020" s="273"/>
      <c r="H1020" s="273"/>
      <c r="I1020" s="273"/>
      <c r="J1020" s="50"/>
      <c r="K1020" s="273"/>
      <c r="L1020" s="273"/>
      <c r="M1020" s="273"/>
      <c r="N1020" s="273"/>
      <c r="O1020" s="273"/>
      <c r="P1020" s="273"/>
      <c r="Q1020" s="273"/>
      <c r="R1020" s="273"/>
      <c r="S1020" s="273"/>
      <c r="T1020" s="273"/>
      <c r="U1020" s="273"/>
      <c r="V1020" s="273"/>
      <c r="W1020" s="273">
        <v>130000</v>
      </c>
      <c r="X1020" s="269"/>
      <c r="Y1020" s="269"/>
      <c r="Z1020" s="269"/>
      <c r="AA1020" s="269"/>
      <c r="AB1020" s="269">
        <v>130000</v>
      </c>
      <c r="AC1020" s="269"/>
      <c r="AD1020" s="269"/>
      <c r="AE1020" s="269"/>
      <c r="AF1020" s="7"/>
      <c r="AG1020" s="13"/>
      <c r="AH1020" s="13"/>
      <c r="AI1020" s="13"/>
      <c r="AJ1020" s="13"/>
    </row>
    <row r="1021" spans="1:36" x14ac:dyDescent="0.3">
      <c r="A1021" s="259">
        <f t="shared" si="222"/>
        <v>790</v>
      </c>
      <c r="B1021" s="20" t="s">
        <v>2847</v>
      </c>
      <c r="C1021" s="273">
        <f t="shared" si="221"/>
        <v>130000</v>
      </c>
      <c r="D1021" s="273"/>
      <c r="E1021" s="273"/>
      <c r="F1021" s="273"/>
      <c r="G1021" s="273"/>
      <c r="H1021" s="273"/>
      <c r="I1021" s="273"/>
      <c r="J1021" s="50"/>
      <c r="K1021" s="273"/>
      <c r="L1021" s="273"/>
      <c r="M1021" s="273"/>
      <c r="N1021" s="273"/>
      <c r="O1021" s="273"/>
      <c r="P1021" s="273"/>
      <c r="Q1021" s="273"/>
      <c r="R1021" s="273"/>
      <c r="S1021" s="273"/>
      <c r="T1021" s="273"/>
      <c r="U1021" s="273"/>
      <c r="V1021" s="273"/>
      <c r="W1021" s="273">
        <v>130000</v>
      </c>
      <c r="X1021" s="269"/>
      <c r="Y1021" s="269"/>
      <c r="Z1021" s="269"/>
      <c r="AA1021" s="269"/>
      <c r="AB1021" s="269">
        <v>130000</v>
      </c>
      <c r="AC1021" s="269"/>
      <c r="AD1021" s="269"/>
      <c r="AE1021" s="269"/>
      <c r="AF1021" s="7"/>
      <c r="AG1021" s="13"/>
      <c r="AH1021" s="13"/>
      <c r="AI1021" s="13"/>
      <c r="AJ1021" s="13"/>
    </row>
    <row r="1022" spans="1:36" x14ac:dyDescent="0.3">
      <c r="A1022" s="259">
        <f t="shared" si="222"/>
        <v>791</v>
      </c>
      <c r="B1022" s="20" t="s">
        <v>2848</v>
      </c>
      <c r="C1022" s="273">
        <f t="shared" si="221"/>
        <v>130000</v>
      </c>
      <c r="D1022" s="273"/>
      <c r="E1022" s="273"/>
      <c r="F1022" s="273"/>
      <c r="G1022" s="273"/>
      <c r="H1022" s="273"/>
      <c r="I1022" s="273"/>
      <c r="J1022" s="50"/>
      <c r="K1022" s="273"/>
      <c r="L1022" s="273"/>
      <c r="M1022" s="273"/>
      <c r="N1022" s="273"/>
      <c r="O1022" s="273"/>
      <c r="P1022" s="273"/>
      <c r="Q1022" s="273"/>
      <c r="R1022" s="273"/>
      <c r="S1022" s="273"/>
      <c r="T1022" s="273"/>
      <c r="U1022" s="273"/>
      <c r="V1022" s="273"/>
      <c r="W1022" s="273">
        <v>130000</v>
      </c>
      <c r="X1022" s="269"/>
      <c r="Y1022" s="269"/>
      <c r="Z1022" s="269"/>
      <c r="AA1022" s="269"/>
      <c r="AB1022" s="269">
        <v>130000</v>
      </c>
      <c r="AC1022" s="269"/>
      <c r="AD1022" s="269"/>
      <c r="AE1022" s="269"/>
      <c r="AF1022" s="7"/>
      <c r="AG1022" s="13"/>
      <c r="AH1022" s="13"/>
      <c r="AI1022" s="13"/>
      <c r="AJ1022" s="13"/>
    </row>
    <row r="1023" spans="1:36" x14ac:dyDescent="0.3">
      <c r="A1023" s="259">
        <f t="shared" si="222"/>
        <v>792</v>
      </c>
      <c r="B1023" s="20" t="s">
        <v>2849</v>
      </c>
      <c r="C1023" s="273">
        <f t="shared" si="221"/>
        <v>130000</v>
      </c>
      <c r="D1023" s="273"/>
      <c r="E1023" s="273"/>
      <c r="F1023" s="273"/>
      <c r="G1023" s="273"/>
      <c r="H1023" s="273"/>
      <c r="I1023" s="273"/>
      <c r="J1023" s="50"/>
      <c r="K1023" s="273"/>
      <c r="L1023" s="273"/>
      <c r="M1023" s="273"/>
      <c r="N1023" s="273"/>
      <c r="O1023" s="273"/>
      <c r="P1023" s="273"/>
      <c r="Q1023" s="273"/>
      <c r="R1023" s="273"/>
      <c r="S1023" s="273"/>
      <c r="T1023" s="273"/>
      <c r="U1023" s="273"/>
      <c r="V1023" s="273"/>
      <c r="W1023" s="273">
        <v>130000</v>
      </c>
      <c r="X1023" s="269"/>
      <c r="Y1023" s="269"/>
      <c r="Z1023" s="269"/>
      <c r="AA1023" s="269"/>
      <c r="AB1023" s="269">
        <v>130000</v>
      </c>
      <c r="AC1023" s="269"/>
      <c r="AD1023" s="269"/>
      <c r="AE1023" s="269"/>
      <c r="AF1023" s="7"/>
      <c r="AG1023" s="13"/>
      <c r="AH1023" s="13"/>
      <c r="AI1023" s="13"/>
      <c r="AJ1023" s="13"/>
    </row>
    <row r="1024" spans="1:36" x14ac:dyDescent="0.3">
      <c r="A1024" s="259">
        <f t="shared" si="222"/>
        <v>793</v>
      </c>
      <c r="B1024" s="20" t="s">
        <v>2850</v>
      </c>
      <c r="C1024" s="273">
        <f t="shared" si="221"/>
        <v>130000</v>
      </c>
      <c r="D1024" s="273"/>
      <c r="E1024" s="273"/>
      <c r="F1024" s="273"/>
      <c r="G1024" s="273"/>
      <c r="H1024" s="273"/>
      <c r="I1024" s="273"/>
      <c r="J1024" s="50"/>
      <c r="K1024" s="273"/>
      <c r="L1024" s="273"/>
      <c r="M1024" s="273"/>
      <c r="N1024" s="273"/>
      <c r="O1024" s="273"/>
      <c r="P1024" s="273"/>
      <c r="Q1024" s="273"/>
      <c r="R1024" s="273"/>
      <c r="S1024" s="273"/>
      <c r="T1024" s="273"/>
      <c r="U1024" s="273"/>
      <c r="V1024" s="273"/>
      <c r="W1024" s="273">
        <v>130000</v>
      </c>
      <c r="X1024" s="269"/>
      <c r="Y1024" s="269"/>
      <c r="Z1024" s="269"/>
      <c r="AA1024" s="269"/>
      <c r="AB1024" s="269">
        <v>130000</v>
      </c>
      <c r="AC1024" s="269"/>
      <c r="AD1024" s="269"/>
      <c r="AE1024" s="269"/>
      <c r="AF1024" s="7"/>
      <c r="AG1024" s="13"/>
      <c r="AH1024" s="13"/>
      <c r="AI1024" s="13"/>
      <c r="AJ1024" s="13"/>
    </row>
    <row r="1025" spans="1:36" x14ac:dyDescent="0.3">
      <c r="A1025" s="259">
        <f t="shared" ref="A1025:A1032" si="223">A1024+1</f>
        <v>794</v>
      </c>
      <c r="B1025" s="20" t="s">
        <v>2851</v>
      </c>
      <c r="C1025" s="273">
        <f t="shared" si="221"/>
        <v>130000</v>
      </c>
      <c r="D1025" s="273"/>
      <c r="E1025" s="273"/>
      <c r="F1025" s="273"/>
      <c r="G1025" s="273"/>
      <c r="H1025" s="273"/>
      <c r="I1025" s="273"/>
      <c r="J1025" s="50"/>
      <c r="K1025" s="273"/>
      <c r="L1025" s="273"/>
      <c r="M1025" s="273"/>
      <c r="N1025" s="273"/>
      <c r="O1025" s="273"/>
      <c r="P1025" s="273"/>
      <c r="Q1025" s="273"/>
      <c r="R1025" s="273"/>
      <c r="S1025" s="273"/>
      <c r="T1025" s="273"/>
      <c r="U1025" s="273"/>
      <c r="V1025" s="273"/>
      <c r="W1025" s="273">
        <v>130000</v>
      </c>
      <c r="X1025" s="269"/>
      <c r="Y1025" s="269"/>
      <c r="Z1025" s="269"/>
      <c r="AA1025" s="269"/>
      <c r="AB1025" s="269">
        <v>130000</v>
      </c>
      <c r="AC1025" s="269"/>
      <c r="AD1025" s="269"/>
      <c r="AE1025" s="269"/>
      <c r="AF1025" s="7"/>
      <c r="AG1025" s="13"/>
      <c r="AH1025" s="13"/>
      <c r="AI1025" s="13"/>
      <c r="AJ1025" s="13"/>
    </row>
    <row r="1026" spans="1:36" x14ac:dyDescent="0.3">
      <c r="A1026" s="259">
        <f t="shared" si="223"/>
        <v>795</v>
      </c>
      <c r="B1026" s="20" t="s">
        <v>2852</v>
      </c>
      <c r="C1026" s="273">
        <f t="shared" si="221"/>
        <v>130000</v>
      </c>
      <c r="D1026" s="273"/>
      <c r="E1026" s="273"/>
      <c r="F1026" s="273"/>
      <c r="G1026" s="273"/>
      <c r="H1026" s="273"/>
      <c r="I1026" s="273"/>
      <c r="J1026" s="50"/>
      <c r="K1026" s="273"/>
      <c r="L1026" s="273"/>
      <c r="M1026" s="273"/>
      <c r="N1026" s="273"/>
      <c r="O1026" s="273"/>
      <c r="P1026" s="273"/>
      <c r="Q1026" s="273"/>
      <c r="R1026" s="273"/>
      <c r="S1026" s="273"/>
      <c r="T1026" s="273"/>
      <c r="U1026" s="273"/>
      <c r="V1026" s="273"/>
      <c r="W1026" s="273">
        <v>130000</v>
      </c>
      <c r="X1026" s="269"/>
      <c r="Y1026" s="269"/>
      <c r="Z1026" s="269"/>
      <c r="AA1026" s="269"/>
      <c r="AB1026" s="269">
        <v>130000</v>
      </c>
      <c r="AC1026" s="269"/>
      <c r="AD1026" s="269"/>
      <c r="AE1026" s="269"/>
      <c r="AF1026" s="7"/>
      <c r="AG1026" s="13"/>
      <c r="AH1026" s="13"/>
      <c r="AI1026" s="13"/>
      <c r="AJ1026" s="13"/>
    </row>
    <row r="1027" spans="1:36" x14ac:dyDescent="0.3">
      <c r="A1027" s="259">
        <f t="shared" si="223"/>
        <v>796</v>
      </c>
      <c r="B1027" s="20" t="s">
        <v>2854</v>
      </c>
      <c r="C1027" s="273">
        <f t="shared" si="221"/>
        <v>130000</v>
      </c>
      <c r="D1027" s="273"/>
      <c r="E1027" s="273"/>
      <c r="F1027" s="273"/>
      <c r="G1027" s="273"/>
      <c r="H1027" s="273"/>
      <c r="I1027" s="273"/>
      <c r="J1027" s="50"/>
      <c r="K1027" s="273"/>
      <c r="L1027" s="273"/>
      <c r="M1027" s="273"/>
      <c r="N1027" s="273"/>
      <c r="O1027" s="273"/>
      <c r="P1027" s="273"/>
      <c r="Q1027" s="273"/>
      <c r="R1027" s="273"/>
      <c r="S1027" s="273"/>
      <c r="T1027" s="273"/>
      <c r="U1027" s="273"/>
      <c r="V1027" s="273"/>
      <c r="W1027" s="273">
        <v>130000</v>
      </c>
      <c r="X1027" s="269"/>
      <c r="Y1027" s="269"/>
      <c r="Z1027" s="269"/>
      <c r="AA1027" s="269"/>
      <c r="AB1027" s="269">
        <v>130000</v>
      </c>
      <c r="AC1027" s="269"/>
      <c r="AD1027" s="269"/>
      <c r="AE1027" s="269"/>
      <c r="AF1027" s="7"/>
      <c r="AG1027" s="13"/>
      <c r="AH1027" s="13"/>
      <c r="AI1027" s="13"/>
      <c r="AJ1027" s="13"/>
    </row>
    <row r="1028" spans="1:36" x14ac:dyDescent="0.3">
      <c r="A1028" s="259">
        <f t="shared" si="223"/>
        <v>797</v>
      </c>
      <c r="B1028" s="20" t="s">
        <v>2855</v>
      </c>
      <c r="C1028" s="273">
        <f t="shared" si="221"/>
        <v>130000</v>
      </c>
      <c r="D1028" s="273"/>
      <c r="E1028" s="273"/>
      <c r="F1028" s="273"/>
      <c r="G1028" s="273"/>
      <c r="H1028" s="273"/>
      <c r="I1028" s="273"/>
      <c r="J1028" s="50"/>
      <c r="K1028" s="273"/>
      <c r="L1028" s="273"/>
      <c r="M1028" s="273"/>
      <c r="N1028" s="273"/>
      <c r="O1028" s="273"/>
      <c r="P1028" s="273"/>
      <c r="Q1028" s="273"/>
      <c r="R1028" s="273"/>
      <c r="S1028" s="273"/>
      <c r="T1028" s="273"/>
      <c r="U1028" s="273"/>
      <c r="V1028" s="273"/>
      <c r="W1028" s="273">
        <v>130000</v>
      </c>
      <c r="X1028" s="269"/>
      <c r="Y1028" s="269"/>
      <c r="Z1028" s="269"/>
      <c r="AA1028" s="269"/>
      <c r="AB1028" s="269">
        <v>130000</v>
      </c>
      <c r="AC1028" s="269"/>
      <c r="AD1028" s="269"/>
      <c r="AE1028" s="269"/>
      <c r="AF1028" s="7"/>
      <c r="AG1028" s="13"/>
      <c r="AH1028" s="13"/>
      <c r="AI1028" s="13"/>
      <c r="AJ1028" s="13"/>
    </row>
    <row r="1029" spans="1:36" x14ac:dyDescent="0.3">
      <c r="A1029" s="259">
        <f t="shared" si="223"/>
        <v>798</v>
      </c>
      <c r="B1029" s="20" t="s">
        <v>2857</v>
      </c>
      <c r="C1029" s="273">
        <f t="shared" si="221"/>
        <v>130000</v>
      </c>
      <c r="D1029" s="273"/>
      <c r="E1029" s="273"/>
      <c r="F1029" s="273"/>
      <c r="G1029" s="273"/>
      <c r="H1029" s="273"/>
      <c r="I1029" s="273"/>
      <c r="J1029" s="50"/>
      <c r="K1029" s="273"/>
      <c r="L1029" s="273"/>
      <c r="M1029" s="273"/>
      <c r="N1029" s="273"/>
      <c r="O1029" s="273"/>
      <c r="P1029" s="273"/>
      <c r="Q1029" s="273"/>
      <c r="R1029" s="273"/>
      <c r="S1029" s="273"/>
      <c r="T1029" s="273"/>
      <c r="U1029" s="273"/>
      <c r="V1029" s="273"/>
      <c r="W1029" s="273">
        <v>130000</v>
      </c>
      <c r="X1029" s="269"/>
      <c r="Y1029" s="269"/>
      <c r="Z1029" s="269"/>
      <c r="AA1029" s="269"/>
      <c r="AB1029" s="269">
        <v>130000</v>
      </c>
      <c r="AC1029" s="269"/>
      <c r="AD1029" s="269"/>
      <c r="AE1029" s="269"/>
      <c r="AF1029" s="7"/>
      <c r="AG1029" s="13"/>
      <c r="AH1029" s="13"/>
      <c r="AI1029" s="13"/>
      <c r="AJ1029" s="13"/>
    </row>
    <row r="1030" spans="1:36" x14ac:dyDescent="0.3">
      <c r="A1030" s="259">
        <f t="shared" si="223"/>
        <v>799</v>
      </c>
      <c r="B1030" s="20" t="s">
        <v>2858</v>
      </c>
      <c r="C1030" s="273">
        <f t="shared" si="221"/>
        <v>130000</v>
      </c>
      <c r="D1030" s="273"/>
      <c r="E1030" s="273"/>
      <c r="F1030" s="273"/>
      <c r="G1030" s="273"/>
      <c r="H1030" s="273"/>
      <c r="I1030" s="273"/>
      <c r="J1030" s="50"/>
      <c r="K1030" s="273"/>
      <c r="L1030" s="273"/>
      <c r="M1030" s="273"/>
      <c r="N1030" s="273"/>
      <c r="O1030" s="273"/>
      <c r="P1030" s="273"/>
      <c r="Q1030" s="273"/>
      <c r="R1030" s="273"/>
      <c r="S1030" s="273"/>
      <c r="T1030" s="273"/>
      <c r="U1030" s="273"/>
      <c r="V1030" s="273"/>
      <c r="W1030" s="273">
        <v>130000</v>
      </c>
      <c r="X1030" s="269"/>
      <c r="Y1030" s="269"/>
      <c r="Z1030" s="269"/>
      <c r="AA1030" s="269"/>
      <c r="AB1030" s="269">
        <v>130000</v>
      </c>
      <c r="AC1030" s="269"/>
      <c r="AD1030" s="269"/>
      <c r="AE1030" s="269"/>
      <c r="AF1030" s="7"/>
      <c r="AG1030" s="13"/>
      <c r="AH1030" s="13"/>
      <c r="AI1030" s="13"/>
      <c r="AJ1030" s="13"/>
    </row>
    <row r="1031" spans="1:36" x14ac:dyDescent="0.3">
      <c r="A1031" s="259">
        <f t="shared" si="223"/>
        <v>800</v>
      </c>
      <c r="B1031" s="20" t="s">
        <v>2860</v>
      </c>
      <c r="C1031" s="273">
        <f t="shared" si="221"/>
        <v>130000</v>
      </c>
      <c r="D1031" s="273"/>
      <c r="E1031" s="273"/>
      <c r="F1031" s="273"/>
      <c r="G1031" s="273"/>
      <c r="H1031" s="273"/>
      <c r="I1031" s="273"/>
      <c r="J1031" s="50"/>
      <c r="K1031" s="273"/>
      <c r="L1031" s="273"/>
      <c r="M1031" s="273"/>
      <c r="N1031" s="273"/>
      <c r="O1031" s="273"/>
      <c r="P1031" s="273"/>
      <c r="Q1031" s="273"/>
      <c r="R1031" s="273"/>
      <c r="S1031" s="273"/>
      <c r="T1031" s="273"/>
      <c r="U1031" s="273"/>
      <c r="V1031" s="273"/>
      <c r="W1031" s="273">
        <v>130000</v>
      </c>
      <c r="X1031" s="269"/>
      <c r="Y1031" s="269"/>
      <c r="Z1031" s="269"/>
      <c r="AA1031" s="269"/>
      <c r="AB1031" s="269">
        <v>130000</v>
      </c>
      <c r="AC1031" s="269"/>
      <c r="AD1031" s="269"/>
      <c r="AE1031" s="269"/>
      <c r="AF1031" s="7"/>
      <c r="AG1031" s="13"/>
      <c r="AH1031" s="13"/>
      <c r="AI1031" s="13"/>
      <c r="AJ1031" s="13"/>
    </row>
    <row r="1032" spans="1:36" x14ac:dyDescent="0.3">
      <c r="A1032" s="259">
        <f t="shared" si="223"/>
        <v>801</v>
      </c>
      <c r="B1032" s="20" t="s">
        <v>2861</v>
      </c>
      <c r="C1032" s="273">
        <f t="shared" si="221"/>
        <v>130000</v>
      </c>
      <c r="D1032" s="273"/>
      <c r="E1032" s="273"/>
      <c r="F1032" s="273"/>
      <c r="G1032" s="273"/>
      <c r="H1032" s="273"/>
      <c r="I1032" s="273"/>
      <c r="J1032" s="50"/>
      <c r="K1032" s="273"/>
      <c r="L1032" s="273"/>
      <c r="M1032" s="273"/>
      <c r="N1032" s="273"/>
      <c r="O1032" s="273"/>
      <c r="P1032" s="273"/>
      <c r="Q1032" s="273"/>
      <c r="R1032" s="273"/>
      <c r="S1032" s="273"/>
      <c r="T1032" s="273"/>
      <c r="U1032" s="273"/>
      <c r="V1032" s="273"/>
      <c r="W1032" s="273">
        <v>130000</v>
      </c>
      <c r="X1032" s="269"/>
      <c r="Y1032" s="269"/>
      <c r="Z1032" s="269"/>
      <c r="AA1032" s="269"/>
      <c r="AB1032" s="269">
        <v>130000</v>
      </c>
      <c r="AC1032" s="269"/>
      <c r="AD1032" s="269"/>
      <c r="AE1032" s="269"/>
      <c r="AF1032" s="7"/>
      <c r="AG1032" s="13"/>
      <c r="AH1032" s="13"/>
      <c r="AI1032" s="13"/>
      <c r="AJ1032" s="13"/>
    </row>
    <row r="1033" spans="1:36" x14ac:dyDescent="0.3">
      <c r="A1033" s="302" t="s">
        <v>208</v>
      </c>
      <c r="B1033" s="302"/>
      <c r="C1033" s="273">
        <f t="shared" ref="C1033:W1033" si="224">SUBTOTAL(9,C1014:C1032)</f>
        <v>2470000</v>
      </c>
      <c r="D1033" s="273">
        <f t="shared" si="224"/>
        <v>0</v>
      </c>
      <c r="E1033" s="273">
        <f t="shared" si="224"/>
        <v>0</v>
      </c>
      <c r="F1033" s="273">
        <f t="shared" si="224"/>
        <v>0</v>
      </c>
      <c r="G1033" s="273">
        <f t="shared" si="224"/>
        <v>0</v>
      </c>
      <c r="H1033" s="273">
        <f t="shared" si="224"/>
        <v>0</v>
      </c>
      <c r="I1033" s="273">
        <f t="shared" si="224"/>
        <v>0</v>
      </c>
      <c r="J1033" s="50">
        <f t="shared" si="224"/>
        <v>0</v>
      </c>
      <c r="K1033" s="273">
        <f t="shared" si="224"/>
        <v>0</v>
      </c>
      <c r="L1033" s="273">
        <f t="shared" si="224"/>
        <v>0</v>
      </c>
      <c r="M1033" s="273">
        <f t="shared" si="224"/>
        <v>0</v>
      </c>
      <c r="N1033" s="273">
        <f t="shared" si="224"/>
        <v>0</v>
      </c>
      <c r="O1033" s="273">
        <f t="shared" si="224"/>
        <v>0</v>
      </c>
      <c r="P1033" s="273">
        <f t="shared" si="224"/>
        <v>0</v>
      </c>
      <c r="Q1033" s="273">
        <f t="shared" si="224"/>
        <v>0</v>
      </c>
      <c r="R1033" s="273">
        <f t="shared" si="224"/>
        <v>0</v>
      </c>
      <c r="S1033" s="273">
        <f t="shared" si="224"/>
        <v>0</v>
      </c>
      <c r="T1033" s="273">
        <f t="shared" si="224"/>
        <v>0</v>
      </c>
      <c r="U1033" s="273">
        <f t="shared" si="224"/>
        <v>0</v>
      </c>
      <c r="V1033" s="273">
        <f t="shared" si="224"/>
        <v>0</v>
      </c>
      <c r="W1033" s="273">
        <f t="shared" si="224"/>
        <v>2470000</v>
      </c>
      <c r="X1033" s="269"/>
      <c r="Y1033" s="269"/>
      <c r="Z1033" s="269"/>
      <c r="AA1033" s="269"/>
      <c r="AB1033" s="269"/>
      <c r="AC1033" s="269"/>
      <c r="AD1033" s="269"/>
      <c r="AE1033" s="269"/>
      <c r="AF1033" s="7"/>
      <c r="AG1033" s="13"/>
      <c r="AH1033" s="13"/>
      <c r="AI1033" s="13"/>
      <c r="AJ1033" s="13"/>
    </row>
    <row r="1034" spans="1:36" x14ac:dyDescent="0.3">
      <c r="A1034" s="304" t="s">
        <v>2864</v>
      </c>
      <c r="B1034" s="304"/>
      <c r="C1034" s="273">
        <f t="shared" ref="C1034:W1034" si="225">C1012+C1033</f>
        <v>572337423.98000002</v>
      </c>
      <c r="D1034" s="273">
        <f t="shared" si="225"/>
        <v>0</v>
      </c>
      <c r="E1034" s="273">
        <f t="shared" si="225"/>
        <v>0</v>
      </c>
      <c r="F1034" s="273">
        <f t="shared" si="225"/>
        <v>0</v>
      </c>
      <c r="G1034" s="273">
        <f t="shared" si="225"/>
        <v>0</v>
      </c>
      <c r="H1034" s="273">
        <f t="shared" si="225"/>
        <v>0</v>
      </c>
      <c r="I1034" s="273">
        <f t="shared" si="225"/>
        <v>0</v>
      </c>
      <c r="J1034" s="50">
        <f t="shared" si="225"/>
        <v>0</v>
      </c>
      <c r="K1034" s="273">
        <f t="shared" si="225"/>
        <v>0</v>
      </c>
      <c r="L1034" s="273">
        <f t="shared" si="225"/>
        <v>0</v>
      </c>
      <c r="M1034" s="273">
        <f t="shared" si="225"/>
        <v>2350</v>
      </c>
      <c r="N1034" s="273">
        <f t="shared" si="225"/>
        <v>22721713.25</v>
      </c>
      <c r="O1034" s="273">
        <f t="shared" si="225"/>
        <v>27427.39</v>
      </c>
      <c r="P1034" s="273">
        <f t="shared" si="225"/>
        <v>431227593.21999997</v>
      </c>
      <c r="Q1034" s="273">
        <f t="shared" si="225"/>
        <v>15932.240000000002</v>
      </c>
      <c r="R1034" s="273">
        <f t="shared" si="225"/>
        <v>115918117.51000004</v>
      </c>
      <c r="S1034" s="273">
        <f t="shared" si="225"/>
        <v>0</v>
      </c>
      <c r="T1034" s="273">
        <f t="shared" si="225"/>
        <v>0</v>
      </c>
      <c r="U1034" s="273">
        <f t="shared" si="225"/>
        <v>0</v>
      </c>
      <c r="V1034" s="273">
        <f t="shared" si="225"/>
        <v>0</v>
      </c>
      <c r="W1034" s="273">
        <f t="shared" si="225"/>
        <v>2470000</v>
      </c>
      <c r="X1034" s="269"/>
      <c r="Y1034" s="269"/>
      <c r="Z1034" s="269"/>
      <c r="AA1034" s="269"/>
      <c r="AB1034" s="269"/>
      <c r="AC1034" s="269"/>
      <c r="AD1034" s="269"/>
      <c r="AE1034" s="269"/>
      <c r="AF1034" s="7"/>
      <c r="AG1034" s="13"/>
      <c r="AH1034" s="13"/>
      <c r="AI1034" s="13"/>
      <c r="AJ1034" s="13"/>
    </row>
    <row r="1035" spans="1:36" ht="15.75" customHeight="1" x14ac:dyDescent="0.3">
      <c r="A1035" s="441" t="s">
        <v>2865</v>
      </c>
      <c r="B1035" s="442"/>
      <c r="C1035" s="442"/>
      <c r="D1035" s="442"/>
      <c r="E1035" s="442"/>
      <c r="F1035" s="442"/>
      <c r="G1035" s="442"/>
      <c r="H1035" s="442"/>
      <c r="I1035" s="442"/>
      <c r="J1035" s="442"/>
      <c r="K1035" s="442"/>
      <c r="L1035" s="442"/>
      <c r="M1035" s="442"/>
      <c r="N1035" s="442"/>
      <c r="O1035" s="442"/>
      <c r="P1035" s="442"/>
      <c r="Q1035" s="442"/>
      <c r="R1035" s="442"/>
      <c r="S1035" s="442"/>
      <c r="T1035" s="442"/>
      <c r="U1035" s="442"/>
      <c r="V1035" s="442"/>
      <c r="W1035" s="443"/>
      <c r="X1035" s="99"/>
      <c r="Y1035" s="277"/>
      <c r="Z1035" s="277"/>
      <c r="AA1035" s="277"/>
      <c r="AB1035" s="277"/>
      <c r="AC1035" s="277"/>
      <c r="AD1035" s="277"/>
      <c r="AE1035" s="277"/>
      <c r="AF1035" s="277"/>
      <c r="AG1035" s="16"/>
      <c r="AH1035" s="17"/>
      <c r="AI1035" s="17"/>
      <c r="AJ1035" s="13"/>
    </row>
    <row r="1036" spans="1:36" ht="30.75" customHeight="1" x14ac:dyDescent="0.3">
      <c r="A1036" s="317" t="s">
        <v>2915</v>
      </c>
      <c r="B1036" s="318"/>
      <c r="C1036" s="273"/>
      <c r="D1036" s="273"/>
      <c r="E1036" s="273"/>
      <c r="F1036" s="273"/>
      <c r="G1036" s="273"/>
      <c r="H1036" s="273"/>
      <c r="I1036" s="273"/>
      <c r="J1036" s="50"/>
      <c r="K1036" s="273"/>
      <c r="L1036" s="273"/>
      <c r="M1036" s="273"/>
      <c r="N1036" s="273"/>
      <c r="O1036" s="273"/>
      <c r="P1036" s="273"/>
      <c r="Q1036" s="273"/>
      <c r="R1036" s="273"/>
      <c r="S1036" s="273"/>
      <c r="T1036" s="273"/>
      <c r="U1036" s="273"/>
      <c r="V1036" s="273"/>
      <c r="W1036" s="273"/>
      <c r="X1036" s="100"/>
      <c r="Y1036" s="273"/>
      <c r="Z1036" s="273"/>
      <c r="AA1036" s="273"/>
      <c r="AB1036" s="273"/>
      <c r="AC1036" s="273"/>
      <c r="AD1036" s="273"/>
      <c r="AE1036" s="273"/>
      <c r="AF1036" s="273"/>
      <c r="AG1036" s="16"/>
      <c r="AH1036" s="17"/>
      <c r="AI1036" s="15"/>
      <c r="AJ1036" s="13"/>
    </row>
    <row r="1037" spans="1:36" x14ac:dyDescent="0.3">
      <c r="A1037" s="259">
        <f>A1032+1</f>
        <v>802</v>
      </c>
      <c r="B1037" s="20" t="s">
        <v>2916</v>
      </c>
      <c r="C1037" s="273">
        <f>D1037+K1037+L1037+N1037+P1037+R1037+S1037+U1037+V1037+W1037</f>
        <v>3313141.2</v>
      </c>
      <c r="D1037" s="273"/>
      <c r="E1037" s="273"/>
      <c r="F1037" s="273"/>
      <c r="G1037" s="273"/>
      <c r="H1037" s="273"/>
      <c r="I1037" s="273"/>
      <c r="J1037" s="50"/>
      <c r="K1037" s="273"/>
      <c r="L1037" s="273"/>
      <c r="M1037" s="273"/>
      <c r="N1037" s="273"/>
      <c r="O1037" s="273"/>
      <c r="P1037" s="273"/>
      <c r="Q1037" s="273">
        <v>614</v>
      </c>
      <c r="R1037" s="273">
        <v>3313141.2</v>
      </c>
      <c r="S1037" s="273"/>
      <c r="T1037" s="273"/>
      <c r="U1037" s="273"/>
      <c r="V1037" s="273"/>
      <c r="W1037" s="273"/>
      <c r="X1037" s="100"/>
      <c r="Y1037" s="273"/>
      <c r="Z1037" s="273"/>
      <c r="AA1037" s="273"/>
      <c r="AB1037" s="273"/>
      <c r="AC1037" s="273"/>
      <c r="AD1037" s="273"/>
      <c r="AE1037" s="273"/>
      <c r="AF1037" s="273"/>
      <c r="AG1037" s="16"/>
      <c r="AH1037" s="17"/>
      <c r="AI1037" s="15"/>
      <c r="AJ1037" s="13"/>
    </row>
    <row r="1038" spans="1:36" ht="31.2" x14ac:dyDescent="0.3">
      <c r="A1038" s="259">
        <f>A1037+1</f>
        <v>803</v>
      </c>
      <c r="B1038" s="20" t="s">
        <v>2917</v>
      </c>
      <c r="C1038" s="273">
        <f>D1038+K1038+L1038+N1038+P1038+R1038+S1038+U1038+V1038+W1038</f>
        <v>867911.41999999993</v>
      </c>
      <c r="D1038" s="273"/>
      <c r="E1038" s="273"/>
      <c r="F1038" s="273"/>
      <c r="G1038" s="273"/>
      <c r="H1038" s="273"/>
      <c r="I1038" s="273"/>
      <c r="J1038" s="50"/>
      <c r="K1038" s="273"/>
      <c r="L1038" s="273"/>
      <c r="M1038" s="273"/>
      <c r="N1038" s="273"/>
      <c r="O1038" s="273"/>
      <c r="P1038" s="273"/>
      <c r="Q1038" s="273"/>
      <c r="R1038" s="273"/>
      <c r="S1038" s="273"/>
      <c r="T1038" s="273"/>
      <c r="U1038" s="273"/>
      <c r="V1038" s="273"/>
      <c r="W1038" s="273">
        <f>SUM(X1038:AI1038)</f>
        <v>867911.41999999993</v>
      </c>
      <c r="X1038" s="100"/>
      <c r="Y1038" s="273"/>
      <c r="AA1038" s="273"/>
      <c r="AB1038" s="273">
        <v>116478.53</v>
      </c>
      <c r="AC1038" s="273"/>
      <c r="AD1038" s="273">
        <v>213708.77</v>
      </c>
      <c r="AE1038" s="16"/>
      <c r="AF1038" s="17">
        <v>537724.12</v>
      </c>
      <c r="AI1038" s="15"/>
      <c r="AJ1038" s="13"/>
    </row>
    <row r="1039" spans="1:36" ht="31.2" x14ac:dyDescent="0.3">
      <c r="A1039" s="259">
        <f>A1038+1</f>
        <v>804</v>
      </c>
      <c r="B1039" s="20" t="s">
        <v>2918</v>
      </c>
      <c r="C1039" s="273">
        <f>D1039+K1039+L1039+N1039+P1039+R1039+S1039+U1039+V1039+W1039</f>
        <v>654455.22</v>
      </c>
      <c r="D1039" s="273"/>
      <c r="E1039" s="273"/>
      <c r="F1039" s="273"/>
      <c r="G1039" s="273"/>
      <c r="H1039" s="273"/>
      <c r="I1039" s="273"/>
      <c r="J1039" s="50"/>
      <c r="K1039" s="273"/>
      <c r="L1039" s="273"/>
      <c r="M1039" s="273"/>
      <c r="N1039" s="273"/>
      <c r="O1039" s="273"/>
      <c r="P1039" s="273"/>
      <c r="Q1039" s="273"/>
      <c r="R1039" s="273"/>
      <c r="S1039" s="273"/>
      <c r="T1039" s="273"/>
      <c r="U1039" s="273"/>
      <c r="V1039" s="273"/>
      <c r="W1039" s="273">
        <f>SUM(X1039:AI1039)</f>
        <v>654455.22</v>
      </c>
      <c r="X1039" s="100"/>
      <c r="Y1039" s="273"/>
      <c r="AA1039" s="273"/>
      <c r="AB1039" s="273">
        <v>83178.05</v>
      </c>
      <c r="AC1039" s="273"/>
      <c r="AD1039" s="273">
        <v>161257.07999999999</v>
      </c>
      <c r="AE1039" s="16"/>
      <c r="AF1039" s="17">
        <v>410020.09</v>
      </c>
      <c r="AI1039" s="15"/>
      <c r="AJ1039" s="13"/>
    </row>
    <row r="1040" spans="1:36" x14ac:dyDescent="0.3">
      <c r="A1040" s="259"/>
      <c r="B1040" s="20" t="s">
        <v>208</v>
      </c>
      <c r="C1040" s="273">
        <f>SUM(C1037:C1039)</f>
        <v>4835507.84</v>
      </c>
      <c r="D1040" s="273">
        <f t="shared" ref="D1040:W1040" si="226">SUM(D1037:D1039)</f>
        <v>0</v>
      </c>
      <c r="E1040" s="273">
        <f t="shared" si="226"/>
        <v>0</v>
      </c>
      <c r="F1040" s="273">
        <f t="shared" si="226"/>
        <v>0</v>
      </c>
      <c r="G1040" s="273">
        <f t="shared" si="226"/>
        <v>0</v>
      </c>
      <c r="H1040" s="273">
        <f t="shared" si="226"/>
        <v>0</v>
      </c>
      <c r="I1040" s="273">
        <f t="shared" si="226"/>
        <v>0</v>
      </c>
      <c r="J1040" s="50">
        <f t="shared" si="226"/>
        <v>0</v>
      </c>
      <c r="K1040" s="273">
        <f t="shared" si="226"/>
        <v>0</v>
      </c>
      <c r="L1040" s="273">
        <f t="shared" si="226"/>
        <v>0</v>
      </c>
      <c r="M1040" s="273">
        <f t="shared" si="226"/>
        <v>0</v>
      </c>
      <c r="N1040" s="273">
        <f t="shared" si="226"/>
        <v>0</v>
      </c>
      <c r="O1040" s="273">
        <f t="shared" si="226"/>
        <v>0</v>
      </c>
      <c r="P1040" s="273">
        <f t="shared" si="226"/>
        <v>0</v>
      </c>
      <c r="Q1040" s="273">
        <f t="shared" si="226"/>
        <v>614</v>
      </c>
      <c r="R1040" s="273">
        <f t="shared" si="226"/>
        <v>3313141.2</v>
      </c>
      <c r="S1040" s="273">
        <f t="shared" si="226"/>
        <v>0</v>
      </c>
      <c r="T1040" s="273">
        <f t="shared" si="226"/>
        <v>0</v>
      </c>
      <c r="U1040" s="273">
        <f t="shared" si="226"/>
        <v>0</v>
      </c>
      <c r="V1040" s="273">
        <f t="shared" si="226"/>
        <v>0</v>
      </c>
      <c r="W1040" s="273">
        <f t="shared" si="226"/>
        <v>1522366.64</v>
      </c>
      <c r="X1040" s="100"/>
      <c r="Y1040" s="273"/>
      <c r="Z1040" s="273"/>
      <c r="AA1040" s="273"/>
      <c r="AB1040" s="273"/>
      <c r="AC1040" s="273"/>
      <c r="AD1040" s="273"/>
      <c r="AE1040" s="273"/>
      <c r="AF1040" s="273"/>
      <c r="AG1040" s="16"/>
      <c r="AH1040" s="17"/>
      <c r="AI1040" s="15"/>
      <c r="AJ1040" s="13"/>
    </row>
    <row r="1041" spans="1:36" ht="33" customHeight="1" x14ac:dyDescent="0.3">
      <c r="A1041" s="317" t="s">
        <v>2919</v>
      </c>
      <c r="B1041" s="318"/>
      <c r="C1041" s="273"/>
      <c r="D1041" s="273"/>
      <c r="E1041" s="273"/>
      <c r="F1041" s="273"/>
      <c r="G1041" s="273"/>
      <c r="H1041" s="273"/>
      <c r="I1041" s="273"/>
      <c r="J1041" s="50"/>
      <c r="K1041" s="273"/>
      <c r="L1041" s="273"/>
      <c r="M1041" s="273"/>
      <c r="N1041" s="273"/>
      <c r="O1041" s="273"/>
      <c r="P1041" s="273"/>
      <c r="Q1041" s="273"/>
      <c r="R1041" s="273"/>
      <c r="S1041" s="273"/>
      <c r="T1041" s="273"/>
      <c r="U1041" s="273"/>
      <c r="V1041" s="273"/>
      <c r="W1041" s="273"/>
      <c r="X1041" s="100"/>
      <c r="Y1041" s="273"/>
      <c r="Z1041" s="273"/>
      <c r="AA1041" s="273"/>
      <c r="AB1041" s="273"/>
      <c r="AC1041" s="273"/>
      <c r="AD1041" s="273"/>
      <c r="AE1041" s="273"/>
      <c r="AF1041" s="273"/>
      <c r="AG1041" s="16"/>
      <c r="AH1041" s="17"/>
      <c r="AI1041" s="15"/>
      <c r="AJ1041" s="13"/>
    </row>
    <row r="1042" spans="1:36" x14ac:dyDescent="0.3">
      <c r="A1042" s="259">
        <f>A1039+1</f>
        <v>805</v>
      </c>
      <c r="B1042" s="20" t="s">
        <v>2920</v>
      </c>
      <c r="C1042" s="273">
        <f t="shared" ref="C1042:C1047" si="227">D1042+K1042+L1042+N1042+P1042+R1042+S1042+U1042+V1042+W1042</f>
        <v>130000</v>
      </c>
      <c r="D1042" s="273"/>
      <c r="E1042" s="273"/>
      <c r="F1042" s="273"/>
      <c r="G1042" s="273"/>
      <c r="H1042" s="273"/>
      <c r="I1042" s="273"/>
      <c r="J1042" s="50"/>
      <c r="K1042" s="273"/>
      <c r="L1042" s="273"/>
      <c r="M1042" s="273"/>
      <c r="N1042" s="273"/>
      <c r="O1042" s="273"/>
      <c r="P1042" s="273"/>
      <c r="Q1042" s="273"/>
      <c r="R1042" s="273"/>
      <c r="S1042" s="273"/>
      <c r="T1042" s="273"/>
      <c r="U1042" s="273"/>
      <c r="V1042" s="273"/>
      <c r="W1042" s="273">
        <v>130000</v>
      </c>
      <c r="X1042" s="100"/>
      <c r="Y1042" s="273"/>
      <c r="Z1042" s="273"/>
      <c r="AA1042" s="273"/>
      <c r="AB1042" s="273"/>
      <c r="AC1042" s="273"/>
      <c r="AD1042" s="273"/>
      <c r="AE1042" s="273"/>
      <c r="AF1042" s="273"/>
      <c r="AG1042" s="16"/>
      <c r="AH1042" s="17"/>
      <c r="AI1042" s="15"/>
      <c r="AJ1042" s="13"/>
    </row>
    <row r="1043" spans="1:36" x14ac:dyDescent="0.3">
      <c r="A1043" s="259">
        <f>A1042+1</f>
        <v>806</v>
      </c>
      <c r="B1043" s="20" t="s">
        <v>2921</v>
      </c>
      <c r="C1043" s="273">
        <f t="shared" si="227"/>
        <v>130000</v>
      </c>
      <c r="D1043" s="273"/>
      <c r="E1043" s="273"/>
      <c r="F1043" s="273"/>
      <c r="G1043" s="273"/>
      <c r="H1043" s="273"/>
      <c r="I1043" s="273"/>
      <c r="J1043" s="50"/>
      <c r="K1043" s="273"/>
      <c r="L1043" s="273"/>
      <c r="M1043" s="273"/>
      <c r="N1043" s="273"/>
      <c r="O1043" s="273"/>
      <c r="P1043" s="273"/>
      <c r="Q1043" s="273"/>
      <c r="R1043" s="273"/>
      <c r="S1043" s="273"/>
      <c r="T1043" s="273"/>
      <c r="U1043" s="273"/>
      <c r="V1043" s="273"/>
      <c r="W1043" s="273">
        <v>130000</v>
      </c>
      <c r="X1043" s="100"/>
      <c r="Y1043" s="273"/>
      <c r="Z1043" s="273"/>
      <c r="AA1043" s="273"/>
      <c r="AB1043" s="273"/>
      <c r="AC1043" s="273"/>
      <c r="AD1043" s="273"/>
      <c r="AE1043" s="273"/>
      <c r="AF1043" s="273"/>
      <c r="AG1043" s="16"/>
      <c r="AH1043" s="17"/>
      <c r="AI1043" s="15"/>
      <c r="AJ1043" s="13"/>
    </row>
    <row r="1044" spans="1:36" x14ac:dyDescent="0.3">
      <c r="A1044" s="259">
        <f>A1043+1</f>
        <v>807</v>
      </c>
      <c r="B1044" s="20" t="s">
        <v>2922</v>
      </c>
      <c r="C1044" s="273">
        <f t="shared" si="227"/>
        <v>130000</v>
      </c>
      <c r="D1044" s="273"/>
      <c r="E1044" s="273"/>
      <c r="F1044" s="273"/>
      <c r="G1044" s="273"/>
      <c r="H1044" s="273"/>
      <c r="I1044" s="273"/>
      <c r="J1044" s="50"/>
      <c r="K1044" s="273"/>
      <c r="L1044" s="273"/>
      <c r="M1044" s="273"/>
      <c r="N1044" s="273"/>
      <c r="O1044" s="273"/>
      <c r="P1044" s="273"/>
      <c r="Q1044" s="273"/>
      <c r="R1044" s="273"/>
      <c r="S1044" s="273"/>
      <c r="T1044" s="273"/>
      <c r="U1044" s="273"/>
      <c r="V1044" s="273"/>
      <c r="W1044" s="273">
        <v>130000</v>
      </c>
      <c r="X1044" s="100"/>
      <c r="Y1044" s="273"/>
      <c r="Z1044" s="273"/>
      <c r="AA1044" s="273"/>
      <c r="AB1044" s="273"/>
      <c r="AC1044" s="273"/>
      <c r="AD1044" s="273"/>
      <c r="AE1044" s="273"/>
      <c r="AF1044" s="273"/>
      <c r="AG1044" s="16"/>
      <c r="AH1044" s="17"/>
      <c r="AI1044" s="15"/>
      <c r="AJ1044" s="13"/>
    </row>
    <row r="1045" spans="1:36" x14ac:dyDescent="0.3">
      <c r="A1045" s="259">
        <f>A1044+1</f>
        <v>808</v>
      </c>
      <c r="B1045" s="20" t="s">
        <v>3283</v>
      </c>
      <c r="C1045" s="273">
        <f t="shared" si="227"/>
        <v>4455788</v>
      </c>
      <c r="D1045" s="273"/>
      <c r="E1045" s="273"/>
      <c r="F1045" s="273"/>
      <c r="G1045" s="273"/>
      <c r="H1045" s="273"/>
      <c r="I1045" s="273"/>
      <c r="J1045" s="50"/>
      <c r="K1045" s="273"/>
      <c r="L1045" s="273"/>
      <c r="M1045" s="273">
        <v>692</v>
      </c>
      <c r="N1045" s="273">
        <v>4455788</v>
      </c>
      <c r="O1045" s="273"/>
      <c r="P1045" s="273"/>
      <c r="Q1045" s="273"/>
      <c r="R1045" s="273"/>
      <c r="S1045" s="273"/>
      <c r="T1045" s="273"/>
      <c r="U1045" s="273"/>
      <c r="V1045" s="273"/>
      <c r="W1045" s="273"/>
      <c r="X1045" s="100"/>
      <c r="Y1045" s="273"/>
      <c r="Z1045" s="273"/>
      <c r="AA1045" s="273"/>
      <c r="AB1045" s="273"/>
      <c r="AC1045" s="273"/>
      <c r="AD1045" s="273"/>
      <c r="AE1045" s="273"/>
      <c r="AF1045" s="273"/>
      <c r="AG1045" s="16"/>
      <c r="AH1045" s="17"/>
      <c r="AI1045" s="15"/>
      <c r="AJ1045" s="13"/>
    </row>
    <row r="1046" spans="1:36" x14ac:dyDescent="0.3">
      <c r="A1046" s="259">
        <f>A1045+1</f>
        <v>809</v>
      </c>
      <c r="B1046" s="20" t="s">
        <v>3284</v>
      </c>
      <c r="C1046" s="273">
        <f t="shared" si="227"/>
        <v>4861445</v>
      </c>
      <c r="D1046" s="273"/>
      <c r="E1046" s="273"/>
      <c r="F1046" s="273"/>
      <c r="G1046" s="273"/>
      <c r="H1046" s="273"/>
      <c r="I1046" s="273"/>
      <c r="J1046" s="50"/>
      <c r="K1046" s="273"/>
      <c r="L1046" s="273"/>
      <c r="M1046" s="273">
        <v>755</v>
      </c>
      <c r="N1046" s="273">
        <v>4861445</v>
      </c>
      <c r="O1046" s="273"/>
      <c r="P1046" s="273"/>
      <c r="Q1046" s="273"/>
      <c r="R1046" s="273"/>
      <c r="S1046" s="273"/>
      <c r="T1046" s="273"/>
      <c r="U1046" s="273"/>
      <c r="V1046" s="273"/>
      <c r="W1046" s="273"/>
      <c r="X1046" s="100"/>
      <c r="Y1046" s="273"/>
      <c r="Z1046" s="273"/>
      <c r="AA1046" s="273"/>
      <c r="AB1046" s="273"/>
      <c r="AC1046" s="273"/>
      <c r="AD1046" s="273"/>
      <c r="AE1046" s="273"/>
      <c r="AF1046" s="273"/>
      <c r="AG1046" s="16"/>
      <c r="AH1046" s="17"/>
      <c r="AI1046" s="15"/>
      <c r="AJ1046" s="13"/>
    </row>
    <row r="1047" spans="1:36" x14ac:dyDescent="0.3">
      <c r="A1047" s="259">
        <f>A1046+1</f>
        <v>810</v>
      </c>
      <c r="B1047" s="20" t="s">
        <v>258</v>
      </c>
      <c r="C1047" s="273">
        <f t="shared" si="227"/>
        <v>10320400</v>
      </c>
      <c r="D1047" s="273"/>
      <c r="E1047" s="273"/>
      <c r="F1047" s="273"/>
      <c r="G1047" s="273"/>
      <c r="H1047" s="273"/>
      <c r="I1047" s="273"/>
      <c r="J1047" s="50"/>
      <c r="K1047" s="273"/>
      <c r="L1047" s="273"/>
      <c r="M1047" s="273">
        <v>1600</v>
      </c>
      <c r="N1047" s="273">
        <v>10320400</v>
      </c>
      <c r="O1047" s="273"/>
      <c r="P1047" s="273"/>
      <c r="Q1047" s="273"/>
      <c r="R1047" s="273"/>
      <c r="S1047" s="273"/>
      <c r="T1047" s="273"/>
      <c r="U1047" s="273"/>
      <c r="V1047" s="273"/>
      <c r="W1047" s="273"/>
      <c r="X1047" s="100"/>
      <c r="Y1047" s="273"/>
      <c r="Z1047" s="273"/>
      <c r="AA1047" s="273"/>
      <c r="AB1047" s="273"/>
      <c r="AC1047" s="273"/>
      <c r="AD1047" s="273"/>
      <c r="AE1047" s="273"/>
      <c r="AF1047" s="273"/>
      <c r="AG1047" s="16"/>
      <c r="AH1047" s="17"/>
      <c r="AI1047" s="15"/>
      <c r="AJ1047" s="13"/>
    </row>
    <row r="1048" spans="1:36" x14ac:dyDescent="0.3">
      <c r="A1048" s="259"/>
      <c r="B1048" s="20" t="s">
        <v>208</v>
      </c>
      <c r="C1048" s="273">
        <f>SUM(C1042:C1047)</f>
        <v>20027633</v>
      </c>
      <c r="D1048" s="273">
        <f t="shared" ref="D1048:W1048" si="228">SUM(D1042:D1047)</f>
        <v>0</v>
      </c>
      <c r="E1048" s="273">
        <f t="shared" si="228"/>
        <v>0</v>
      </c>
      <c r="F1048" s="273">
        <f t="shared" si="228"/>
        <v>0</v>
      </c>
      <c r="G1048" s="273">
        <f t="shared" si="228"/>
        <v>0</v>
      </c>
      <c r="H1048" s="273">
        <f t="shared" si="228"/>
        <v>0</v>
      </c>
      <c r="I1048" s="273">
        <f t="shared" si="228"/>
        <v>0</v>
      </c>
      <c r="J1048" s="50">
        <f t="shared" si="228"/>
        <v>0</v>
      </c>
      <c r="K1048" s="273">
        <f t="shared" si="228"/>
        <v>0</v>
      </c>
      <c r="L1048" s="273">
        <f t="shared" si="228"/>
        <v>0</v>
      </c>
      <c r="M1048" s="273">
        <f t="shared" si="228"/>
        <v>3047</v>
      </c>
      <c r="N1048" s="273">
        <f t="shared" si="228"/>
        <v>19637633</v>
      </c>
      <c r="O1048" s="273">
        <f t="shared" si="228"/>
        <v>0</v>
      </c>
      <c r="P1048" s="273">
        <f t="shared" si="228"/>
        <v>0</v>
      </c>
      <c r="Q1048" s="273">
        <f t="shared" si="228"/>
        <v>0</v>
      </c>
      <c r="R1048" s="273">
        <f t="shared" si="228"/>
        <v>0</v>
      </c>
      <c r="S1048" s="273">
        <f t="shared" si="228"/>
        <v>0</v>
      </c>
      <c r="T1048" s="273">
        <f t="shared" si="228"/>
        <v>0</v>
      </c>
      <c r="U1048" s="273">
        <f t="shared" si="228"/>
        <v>0</v>
      </c>
      <c r="V1048" s="273">
        <f t="shared" si="228"/>
        <v>0</v>
      </c>
      <c r="W1048" s="273">
        <f t="shared" si="228"/>
        <v>390000</v>
      </c>
      <c r="X1048" s="100"/>
      <c r="Y1048" s="273"/>
      <c r="Z1048" s="273"/>
      <c r="AA1048" s="273"/>
      <c r="AB1048" s="273"/>
      <c r="AC1048" s="273"/>
      <c r="AD1048" s="273"/>
      <c r="AE1048" s="273"/>
      <c r="AF1048" s="273"/>
      <c r="AG1048" s="16"/>
      <c r="AH1048" s="17"/>
      <c r="AI1048" s="15"/>
      <c r="AJ1048" s="13"/>
    </row>
    <row r="1049" spans="1:36" ht="35.25" customHeight="1" x14ac:dyDescent="0.3">
      <c r="A1049" s="317" t="s">
        <v>2204</v>
      </c>
      <c r="B1049" s="318"/>
      <c r="C1049" s="273"/>
      <c r="D1049" s="273"/>
      <c r="E1049" s="273"/>
      <c r="F1049" s="273"/>
      <c r="G1049" s="273"/>
      <c r="H1049" s="273"/>
      <c r="I1049" s="273"/>
      <c r="J1049" s="50"/>
      <c r="K1049" s="273"/>
      <c r="L1049" s="273"/>
      <c r="M1049" s="273"/>
      <c r="N1049" s="273"/>
      <c r="O1049" s="273"/>
      <c r="P1049" s="273"/>
      <c r="Q1049" s="273"/>
      <c r="R1049" s="273"/>
      <c r="S1049" s="273"/>
      <c r="T1049" s="273"/>
      <c r="U1049" s="273"/>
      <c r="V1049" s="273"/>
      <c r="W1049" s="273"/>
      <c r="X1049" s="100"/>
      <c r="Y1049" s="273"/>
      <c r="Z1049" s="273"/>
      <c r="AA1049" s="273"/>
      <c r="AB1049" s="273"/>
      <c r="AC1049" s="273"/>
      <c r="AD1049" s="273"/>
      <c r="AE1049" s="273"/>
      <c r="AF1049" s="273"/>
      <c r="AG1049" s="16"/>
      <c r="AH1049" s="17"/>
      <c r="AI1049" s="15"/>
      <c r="AJ1049" s="13"/>
    </row>
    <row r="1050" spans="1:36" x14ac:dyDescent="0.3">
      <c r="A1050" s="259">
        <f>A1047+1</f>
        <v>811</v>
      </c>
      <c r="B1050" s="20" t="s">
        <v>2927</v>
      </c>
      <c r="C1050" s="273">
        <f>D1050+K1050+L1050+N1050+P1050+R1050+S1050+U1050+V1050+W1050</f>
        <v>24985930.800000001</v>
      </c>
      <c r="D1050" s="273"/>
      <c r="E1050" s="273"/>
      <c r="F1050" s="273"/>
      <c r="G1050" s="273"/>
      <c r="H1050" s="273"/>
      <c r="I1050" s="273"/>
      <c r="J1050" s="50"/>
      <c r="K1050" s="273"/>
      <c r="L1050" s="273"/>
      <c r="M1050" s="273"/>
      <c r="N1050" s="273"/>
      <c r="O1050" s="273"/>
      <c r="P1050" s="273"/>
      <c r="Q1050" s="273">
        <v>1230</v>
      </c>
      <c r="R1050" s="273">
        <v>24985930.800000001</v>
      </c>
      <c r="S1050" s="273"/>
      <c r="T1050" s="273"/>
      <c r="U1050" s="273"/>
      <c r="V1050" s="273"/>
      <c r="W1050" s="273"/>
      <c r="X1050" s="100" t="s">
        <v>2928</v>
      </c>
      <c r="Y1050" s="273"/>
      <c r="Z1050" s="273"/>
      <c r="AA1050" s="273"/>
      <c r="AB1050" s="273"/>
      <c r="AC1050" s="273"/>
      <c r="AD1050" s="273"/>
      <c r="AE1050" s="273"/>
      <c r="AF1050" s="273"/>
      <c r="AG1050" s="16"/>
      <c r="AH1050" s="17"/>
      <c r="AI1050" s="15"/>
      <c r="AJ1050" s="13"/>
    </row>
    <row r="1051" spans="1:36" x14ac:dyDescent="0.3">
      <c r="A1051" s="259">
        <f>A1050+1</f>
        <v>812</v>
      </c>
      <c r="B1051" s="20" t="s">
        <v>2930</v>
      </c>
      <c r="C1051" s="273">
        <f>D1051+K1051+L1051+N1051+P1051+R1051+S1051+U1051+V1051+W1051</f>
        <v>18932373.600000001</v>
      </c>
      <c r="D1051" s="273"/>
      <c r="E1051" s="273"/>
      <c r="F1051" s="273"/>
      <c r="G1051" s="273"/>
      <c r="H1051" s="273"/>
      <c r="I1051" s="273"/>
      <c r="J1051" s="50"/>
      <c r="K1051" s="273"/>
      <c r="L1051" s="273"/>
      <c r="M1051" s="273"/>
      <c r="N1051" s="273"/>
      <c r="O1051" s="273"/>
      <c r="P1051" s="273"/>
      <c r="Q1051" s="273">
        <v>2590</v>
      </c>
      <c r="R1051" s="273">
        <v>18932373.600000001</v>
      </c>
      <c r="S1051" s="273"/>
      <c r="T1051" s="273"/>
      <c r="U1051" s="273"/>
      <c r="V1051" s="273"/>
      <c r="W1051" s="273"/>
      <c r="X1051" s="100"/>
      <c r="Y1051" s="273"/>
      <c r="Z1051" s="273"/>
      <c r="AA1051" s="273"/>
      <c r="AB1051" s="273"/>
      <c r="AC1051" s="273"/>
      <c r="AD1051" s="273"/>
      <c r="AE1051" s="273"/>
      <c r="AF1051" s="273"/>
      <c r="AG1051" s="16"/>
      <c r="AH1051" s="17"/>
      <c r="AI1051" s="15"/>
      <c r="AJ1051" s="13"/>
    </row>
    <row r="1052" spans="1:36" x14ac:dyDescent="0.3">
      <c r="A1052" s="259"/>
      <c r="B1052" s="20" t="s">
        <v>208</v>
      </c>
      <c r="C1052" s="273">
        <f>SUM(C1050:C1051)</f>
        <v>43918304.400000006</v>
      </c>
      <c r="D1052" s="273">
        <f t="shared" ref="D1052:W1052" si="229">SUM(D1050:D1051)</f>
        <v>0</v>
      </c>
      <c r="E1052" s="273">
        <f t="shared" si="229"/>
        <v>0</v>
      </c>
      <c r="F1052" s="273">
        <f t="shared" si="229"/>
        <v>0</v>
      </c>
      <c r="G1052" s="273">
        <f t="shared" si="229"/>
        <v>0</v>
      </c>
      <c r="H1052" s="273">
        <f t="shared" si="229"/>
        <v>0</v>
      </c>
      <c r="I1052" s="273">
        <f t="shared" si="229"/>
        <v>0</v>
      </c>
      <c r="J1052" s="50">
        <f t="shared" si="229"/>
        <v>0</v>
      </c>
      <c r="K1052" s="273">
        <f t="shared" si="229"/>
        <v>0</v>
      </c>
      <c r="L1052" s="273">
        <f t="shared" si="229"/>
        <v>0</v>
      </c>
      <c r="M1052" s="273">
        <f t="shared" si="229"/>
        <v>0</v>
      </c>
      <c r="N1052" s="273">
        <f t="shared" si="229"/>
        <v>0</v>
      </c>
      <c r="O1052" s="273">
        <f t="shared" si="229"/>
        <v>0</v>
      </c>
      <c r="P1052" s="273">
        <f t="shared" si="229"/>
        <v>0</v>
      </c>
      <c r="Q1052" s="273">
        <f t="shared" si="229"/>
        <v>3820</v>
      </c>
      <c r="R1052" s="273">
        <f t="shared" si="229"/>
        <v>43918304.400000006</v>
      </c>
      <c r="S1052" s="273">
        <f t="shared" si="229"/>
        <v>0</v>
      </c>
      <c r="T1052" s="273">
        <f t="shared" si="229"/>
        <v>0</v>
      </c>
      <c r="U1052" s="273">
        <f t="shared" si="229"/>
        <v>0</v>
      </c>
      <c r="V1052" s="273">
        <f t="shared" si="229"/>
        <v>0</v>
      </c>
      <c r="W1052" s="273">
        <f t="shared" si="229"/>
        <v>0</v>
      </c>
      <c r="X1052" s="100"/>
      <c r="Y1052" s="273"/>
      <c r="Z1052" s="273"/>
      <c r="AA1052" s="273"/>
      <c r="AB1052" s="273"/>
      <c r="AC1052" s="273"/>
      <c r="AD1052" s="273"/>
      <c r="AE1052" s="273"/>
      <c r="AF1052" s="273"/>
      <c r="AG1052" s="16"/>
      <c r="AH1052" s="17"/>
      <c r="AI1052" s="15"/>
      <c r="AJ1052" s="13"/>
    </row>
    <row r="1053" spans="1:36" ht="34.5" customHeight="1" x14ac:dyDescent="0.3">
      <c r="A1053" s="317" t="s">
        <v>2936</v>
      </c>
      <c r="B1053" s="318"/>
      <c r="C1053" s="273"/>
      <c r="D1053" s="273"/>
      <c r="E1053" s="273"/>
      <c r="F1053" s="273"/>
      <c r="G1053" s="273"/>
      <c r="H1053" s="273"/>
      <c r="I1053" s="273"/>
      <c r="J1053" s="50"/>
      <c r="K1053" s="273"/>
      <c r="L1053" s="273"/>
      <c r="M1053" s="273"/>
      <c r="N1053" s="273"/>
      <c r="O1053" s="273"/>
      <c r="P1053" s="273"/>
      <c r="Q1053" s="273"/>
      <c r="R1053" s="273"/>
      <c r="S1053" s="273"/>
      <c r="T1053" s="273"/>
      <c r="U1053" s="273"/>
      <c r="V1053" s="273"/>
      <c r="W1053" s="273"/>
      <c r="X1053" s="100"/>
      <c r="Y1053" s="273"/>
      <c r="Z1053" s="273"/>
      <c r="AA1053" s="273"/>
      <c r="AB1053" s="273"/>
      <c r="AC1053" s="273"/>
      <c r="AD1053" s="273"/>
      <c r="AE1053" s="273"/>
      <c r="AF1053" s="273"/>
      <c r="AG1053" s="16"/>
      <c r="AH1053" s="17"/>
      <c r="AI1053" s="15"/>
      <c r="AJ1053" s="13"/>
    </row>
    <row r="1054" spans="1:36" ht="18.75" customHeight="1" x14ac:dyDescent="0.3">
      <c r="A1054" s="259">
        <f>A1051+1</f>
        <v>813</v>
      </c>
      <c r="B1054" s="20" t="s">
        <v>2940</v>
      </c>
      <c r="C1054" s="273">
        <f>D1054+K1054+L1054+N1054+P1054+R1054+S1054+U1054+V1054+W1054</f>
        <v>2447950.7999999998</v>
      </c>
      <c r="D1054" s="273"/>
      <c r="E1054" s="273"/>
      <c r="F1054" s="273"/>
      <c r="G1054" s="273"/>
      <c r="H1054" s="273"/>
      <c r="I1054" s="273"/>
      <c r="J1054" s="50"/>
      <c r="K1054" s="273"/>
      <c r="L1054" s="273"/>
      <c r="M1054" s="273"/>
      <c r="N1054" s="273"/>
      <c r="O1054" s="273"/>
      <c r="P1054" s="273"/>
      <c r="Q1054" s="273">
        <v>1243</v>
      </c>
      <c r="R1054" s="273">
        <v>2447950.7999999998</v>
      </c>
      <c r="S1054" s="273"/>
      <c r="T1054" s="273"/>
      <c r="U1054" s="273"/>
      <c r="V1054" s="273"/>
      <c r="W1054" s="273"/>
      <c r="X1054" s="100" t="s">
        <v>2941</v>
      </c>
      <c r="Y1054" s="273"/>
      <c r="Z1054" s="273"/>
      <c r="AA1054" s="273"/>
      <c r="AB1054" s="273"/>
      <c r="AC1054" s="273"/>
      <c r="AD1054" s="273"/>
      <c r="AE1054" s="273"/>
      <c r="AF1054" s="273"/>
      <c r="AG1054" s="16"/>
      <c r="AH1054" s="17"/>
      <c r="AI1054" s="15"/>
      <c r="AJ1054" s="13"/>
    </row>
    <row r="1055" spans="1:36" x14ac:dyDescent="0.3">
      <c r="A1055" s="259"/>
      <c r="B1055" s="20" t="s">
        <v>208</v>
      </c>
      <c r="C1055" s="273">
        <f>SUM(C1054:C1054)</f>
        <v>2447950.7999999998</v>
      </c>
      <c r="D1055" s="273">
        <f t="shared" ref="D1055:W1055" si="230">SUM(D1054:D1054)</f>
        <v>0</v>
      </c>
      <c r="E1055" s="273">
        <f t="shared" si="230"/>
        <v>0</v>
      </c>
      <c r="F1055" s="273">
        <f t="shared" si="230"/>
        <v>0</v>
      </c>
      <c r="G1055" s="273">
        <f t="shared" si="230"/>
        <v>0</v>
      </c>
      <c r="H1055" s="273">
        <f t="shared" si="230"/>
        <v>0</v>
      </c>
      <c r="I1055" s="273">
        <f t="shared" si="230"/>
        <v>0</v>
      </c>
      <c r="J1055" s="50">
        <f t="shared" si="230"/>
        <v>0</v>
      </c>
      <c r="K1055" s="273">
        <f t="shared" si="230"/>
        <v>0</v>
      </c>
      <c r="L1055" s="273">
        <f t="shared" si="230"/>
        <v>0</v>
      </c>
      <c r="M1055" s="273">
        <f t="shared" si="230"/>
        <v>0</v>
      </c>
      <c r="N1055" s="273">
        <f t="shared" si="230"/>
        <v>0</v>
      </c>
      <c r="O1055" s="273">
        <f t="shared" si="230"/>
        <v>0</v>
      </c>
      <c r="P1055" s="273">
        <f t="shared" si="230"/>
        <v>0</v>
      </c>
      <c r="Q1055" s="273">
        <f t="shared" si="230"/>
        <v>1243</v>
      </c>
      <c r="R1055" s="273">
        <f t="shared" si="230"/>
        <v>2447950.7999999998</v>
      </c>
      <c r="S1055" s="273">
        <f t="shared" si="230"/>
        <v>0</v>
      </c>
      <c r="T1055" s="273">
        <f t="shared" si="230"/>
        <v>0</v>
      </c>
      <c r="U1055" s="273">
        <f t="shared" si="230"/>
        <v>0</v>
      </c>
      <c r="V1055" s="273">
        <f t="shared" si="230"/>
        <v>0</v>
      </c>
      <c r="W1055" s="273">
        <f t="shared" si="230"/>
        <v>0</v>
      </c>
      <c r="X1055" s="100"/>
      <c r="Y1055" s="273"/>
      <c r="Z1055" s="273"/>
      <c r="AA1055" s="273"/>
      <c r="AB1055" s="273"/>
      <c r="AC1055" s="273"/>
      <c r="AD1055" s="273"/>
      <c r="AE1055" s="273"/>
      <c r="AF1055" s="273"/>
      <c r="AG1055" s="16"/>
      <c r="AH1055" s="17"/>
      <c r="AI1055" s="15"/>
      <c r="AJ1055" s="13"/>
    </row>
    <row r="1056" spans="1:36" ht="33" customHeight="1" x14ac:dyDescent="0.3">
      <c r="A1056" s="317" t="s">
        <v>2946</v>
      </c>
      <c r="B1056" s="318"/>
      <c r="C1056" s="273"/>
      <c r="D1056" s="273"/>
      <c r="E1056" s="273"/>
      <c r="F1056" s="273"/>
      <c r="G1056" s="273"/>
      <c r="H1056" s="273"/>
      <c r="I1056" s="273"/>
      <c r="J1056" s="50"/>
      <c r="K1056" s="273"/>
      <c r="L1056" s="273"/>
      <c r="M1056" s="273"/>
      <c r="N1056" s="273"/>
      <c r="O1056" s="273"/>
      <c r="P1056" s="273"/>
      <c r="Q1056" s="273"/>
      <c r="R1056" s="273"/>
      <c r="S1056" s="273"/>
      <c r="T1056" s="273"/>
      <c r="U1056" s="273"/>
      <c r="V1056" s="273"/>
      <c r="W1056" s="273"/>
      <c r="X1056" s="100"/>
      <c r="Y1056" s="273"/>
      <c r="Z1056" s="273"/>
      <c r="AA1056" s="273"/>
      <c r="AB1056" s="273"/>
      <c r="AC1056" s="273"/>
      <c r="AD1056" s="273"/>
      <c r="AE1056" s="273"/>
      <c r="AF1056" s="273"/>
      <c r="AG1056" s="16"/>
      <c r="AH1056" s="17"/>
      <c r="AI1056" s="15"/>
      <c r="AJ1056" s="13"/>
    </row>
    <row r="1057" spans="1:36" x14ac:dyDescent="0.3">
      <c r="A1057" s="259">
        <f>A1054+1</f>
        <v>814</v>
      </c>
      <c r="B1057" s="20" t="s">
        <v>2947</v>
      </c>
      <c r="C1057" s="273">
        <f t="shared" ref="C1057:C1065" si="231">D1057+K1057+L1057+N1057+P1057+R1057+S1057+U1057+V1057+W1057</f>
        <v>6193183.9800000004</v>
      </c>
      <c r="D1057" s="273"/>
      <c r="E1057" s="273"/>
      <c r="F1057" s="273"/>
      <c r="G1057" s="273"/>
      <c r="H1057" s="273"/>
      <c r="I1057" s="273"/>
      <c r="J1057" s="50"/>
      <c r="K1057" s="273"/>
      <c r="L1057" s="273"/>
      <c r="M1057" s="273"/>
      <c r="N1057" s="273"/>
      <c r="O1057" s="273"/>
      <c r="P1057" s="273"/>
      <c r="Q1057" s="273">
        <v>724</v>
      </c>
      <c r="R1057" s="273">
        <v>6193183.9800000004</v>
      </c>
      <c r="S1057" s="273"/>
      <c r="T1057" s="273"/>
      <c r="U1057" s="273"/>
      <c r="V1057" s="273"/>
      <c r="W1057" s="273"/>
      <c r="X1057" s="100"/>
      <c r="Y1057" s="273"/>
      <c r="Z1057" s="273"/>
      <c r="AA1057" s="273"/>
      <c r="AB1057" s="273"/>
      <c r="AC1057" s="273"/>
      <c r="AD1057" s="273"/>
      <c r="AE1057" s="273"/>
      <c r="AF1057" s="273"/>
      <c r="AG1057" s="16"/>
      <c r="AH1057" s="17"/>
      <c r="AI1057" s="15"/>
      <c r="AJ1057" s="13"/>
    </row>
    <row r="1058" spans="1:36" x14ac:dyDescent="0.3">
      <c r="A1058" s="259">
        <f>A1057+1</f>
        <v>815</v>
      </c>
      <c r="B1058" s="20" t="s">
        <v>2948</v>
      </c>
      <c r="C1058" s="273">
        <f t="shared" si="231"/>
        <v>6628881.2800000003</v>
      </c>
      <c r="D1058" s="273"/>
      <c r="E1058" s="273"/>
      <c r="F1058" s="273"/>
      <c r="G1058" s="273"/>
      <c r="H1058" s="273"/>
      <c r="I1058" s="273"/>
      <c r="J1058" s="50"/>
      <c r="K1058" s="273"/>
      <c r="L1058" s="273"/>
      <c r="M1058" s="273"/>
      <c r="N1058" s="273"/>
      <c r="O1058" s="273"/>
      <c r="P1058" s="273"/>
      <c r="Q1058" s="273">
        <v>724</v>
      </c>
      <c r="R1058" s="273">
        <v>6628881.2800000003</v>
      </c>
      <c r="S1058" s="273"/>
      <c r="T1058" s="273"/>
      <c r="U1058" s="273"/>
      <c r="V1058" s="273"/>
      <c r="W1058" s="273"/>
      <c r="X1058" s="100"/>
      <c r="Y1058" s="273"/>
      <c r="Z1058" s="273"/>
      <c r="AA1058" s="273"/>
      <c r="AB1058" s="273"/>
      <c r="AC1058" s="273"/>
      <c r="AD1058" s="273"/>
      <c r="AE1058" s="273"/>
      <c r="AF1058" s="273"/>
      <c r="AG1058" s="16"/>
      <c r="AH1058" s="17"/>
      <c r="AI1058" s="15"/>
      <c r="AJ1058" s="13"/>
    </row>
    <row r="1059" spans="1:36" x14ac:dyDescent="0.3">
      <c r="A1059" s="259">
        <f t="shared" ref="A1059:A1065" si="232">A1058+1</f>
        <v>816</v>
      </c>
      <c r="B1059" s="20" t="s">
        <v>2953</v>
      </c>
      <c r="C1059" s="273">
        <f t="shared" si="231"/>
        <v>3002381</v>
      </c>
      <c r="D1059" s="273">
        <f t="shared" ref="D1059:D1064" si="233">E1059+F1059+G1059+H1059+I1059</f>
        <v>2820342</v>
      </c>
      <c r="E1059" s="273">
        <v>399938.4</v>
      </c>
      <c r="F1059" s="273">
        <v>1313287.2</v>
      </c>
      <c r="G1059" s="273"/>
      <c r="H1059" s="273"/>
      <c r="I1059" s="273">
        <v>1107116.3999999999</v>
      </c>
      <c r="J1059" s="273"/>
      <c r="K1059" s="273"/>
      <c r="L1059" s="273"/>
      <c r="M1059" s="273"/>
      <c r="N1059" s="273"/>
      <c r="O1059" s="273"/>
      <c r="P1059" s="273"/>
      <c r="Q1059" s="273"/>
      <c r="R1059" s="273"/>
      <c r="S1059" s="273"/>
      <c r="T1059" s="273"/>
      <c r="U1059" s="273"/>
      <c r="V1059" s="273"/>
      <c r="W1059" s="273">
        <v>182039</v>
      </c>
      <c r="X1059" s="273"/>
      <c r="Y1059" s="273"/>
      <c r="Z1059" s="273"/>
      <c r="AA1059" s="273"/>
      <c r="AB1059" s="273"/>
      <c r="AC1059" s="273"/>
      <c r="AD1059" s="273"/>
      <c r="AE1059" s="16"/>
      <c r="AF1059" s="17">
        <v>182039</v>
      </c>
      <c r="AG1059" s="15"/>
      <c r="AH1059" s="13"/>
    </row>
    <row r="1060" spans="1:36" x14ac:dyDescent="0.3">
      <c r="A1060" s="259">
        <f t="shared" si="232"/>
        <v>817</v>
      </c>
      <c r="B1060" s="20" t="s">
        <v>2954</v>
      </c>
      <c r="C1060" s="273">
        <f t="shared" si="231"/>
        <v>1393196</v>
      </c>
      <c r="D1060" s="273">
        <f t="shared" si="233"/>
        <v>1393196</v>
      </c>
      <c r="E1060" s="273"/>
      <c r="F1060" s="273"/>
      <c r="G1060" s="273"/>
      <c r="H1060" s="273"/>
      <c r="I1060" s="273">
        <v>1393196</v>
      </c>
      <c r="J1060" s="273"/>
      <c r="K1060" s="273"/>
      <c r="L1060" s="273"/>
      <c r="M1060" s="273"/>
      <c r="N1060" s="273"/>
      <c r="O1060" s="273"/>
      <c r="P1060" s="273"/>
      <c r="Q1060" s="273"/>
      <c r="R1060" s="273"/>
      <c r="S1060" s="273"/>
      <c r="T1060" s="273"/>
      <c r="U1060" s="273"/>
      <c r="V1060" s="273"/>
      <c r="W1060" s="273"/>
      <c r="X1060" s="273"/>
      <c r="Y1060" s="273"/>
      <c r="Z1060" s="273"/>
      <c r="AA1060" s="273"/>
      <c r="AB1060" s="273"/>
      <c r="AC1060" s="273"/>
      <c r="AD1060" s="273"/>
      <c r="AE1060" s="16"/>
      <c r="AF1060" s="17"/>
      <c r="AG1060" s="15"/>
      <c r="AH1060" s="13"/>
    </row>
    <row r="1061" spans="1:36" x14ac:dyDescent="0.3">
      <c r="A1061" s="259">
        <f t="shared" si="232"/>
        <v>818</v>
      </c>
      <c r="B1061" s="20" t="s">
        <v>2955</v>
      </c>
      <c r="C1061" s="273">
        <f t="shared" si="231"/>
        <v>2858072</v>
      </c>
      <c r="D1061" s="273">
        <f t="shared" si="233"/>
        <v>1429036</v>
      </c>
      <c r="E1061" s="273"/>
      <c r="F1061" s="273"/>
      <c r="G1061" s="273"/>
      <c r="H1061" s="273"/>
      <c r="I1061" s="273">
        <v>1429036</v>
      </c>
      <c r="J1061" s="273"/>
      <c r="K1061" s="273"/>
      <c r="L1061" s="273"/>
      <c r="M1061" s="273"/>
      <c r="N1061" s="273"/>
      <c r="O1061" s="273"/>
      <c r="P1061" s="273"/>
      <c r="Q1061" s="273"/>
      <c r="R1061" s="273"/>
      <c r="S1061" s="273"/>
      <c r="T1061" s="273"/>
      <c r="U1061" s="273">
        <v>1429036</v>
      </c>
      <c r="V1061" s="273"/>
      <c r="W1061" s="273"/>
      <c r="X1061" s="273"/>
      <c r="Y1061" s="273"/>
      <c r="Z1061" s="273"/>
      <c r="AA1061" s="273"/>
      <c r="AB1061" s="273"/>
      <c r="AC1061" s="273"/>
      <c r="AD1061" s="273"/>
      <c r="AE1061" s="16"/>
      <c r="AF1061" s="17"/>
      <c r="AG1061" s="15"/>
      <c r="AH1061" s="13"/>
    </row>
    <row r="1062" spans="1:36" x14ac:dyDescent="0.3">
      <c r="A1062" s="259">
        <f t="shared" si="232"/>
        <v>819</v>
      </c>
      <c r="B1062" s="20" t="s">
        <v>2956</v>
      </c>
      <c r="C1062" s="273">
        <f t="shared" si="231"/>
        <v>2858072</v>
      </c>
      <c r="D1062" s="273">
        <f t="shared" si="233"/>
        <v>1429036</v>
      </c>
      <c r="E1062" s="273"/>
      <c r="F1062" s="273"/>
      <c r="G1062" s="273"/>
      <c r="H1062" s="273"/>
      <c r="I1062" s="273">
        <v>1429036</v>
      </c>
      <c r="J1062" s="273"/>
      <c r="K1062" s="273"/>
      <c r="L1062" s="273"/>
      <c r="M1062" s="273"/>
      <c r="N1062" s="273"/>
      <c r="O1062" s="273"/>
      <c r="P1062" s="273"/>
      <c r="Q1062" s="273"/>
      <c r="R1062" s="273"/>
      <c r="S1062" s="273"/>
      <c r="T1062" s="273"/>
      <c r="U1062" s="273">
        <v>1429036</v>
      </c>
      <c r="V1062" s="273"/>
      <c r="W1062" s="273"/>
      <c r="X1062" s="273"/>
      <c r="Y1062" s="273"/>
      <c r="Z1062" s="273"/>
      <c r="AA1062" s="273"/>
      <c r="AB1062" s="273"/>
      <c r="AC1062" s="273"/>
      <c r="AD1062" s="273"/>
      <c r="AE1062" s="16"/>
      <c r="AF1062" s="17"/>
      <c r="AG1062" s="15"/>
      <c r="AH1062" s="13"/>
    </row>
    <row r="1063" spans="1:36" x14ac:dyDescent="0.3">
      <c r="A1063" s="259">
        <f t="shared" si="232"/>
        <v>820</v>
      </c>
      <c r="B1063" s="20" t="s">
        <v>2957</v>
      </c>
      <c r="C1063" s="273">
        <f t="shared" si="231"/>
        <v>2858072</v>
      </c>
      <c r="D1063" s="273">
        <f t="shared" si="233"/>
        <v>1429036</v>
      </c>
      <c r="E1063" s="273"/>
      <c r="F1063" s="273"/>
      <c r="G1063" s="273"/>
      <c r="H1063" s="273"/>
      <c r="I1063" s="273">
        <v>1429036</v>
      </c>
      <c r="J1063" s="273"/>
      <c r="K1063" s="273"/>
      <c r="L1063" s="273"/>
      <c r="M1063" s="273"/>
      <c r="N1063" s="273"/>
      <c r="O1063" s="273"/>
      <c r="P1063" s="273"/>
      <c r="Q1063" s="273"/>
      <c r="R1063" s="273"/>
      <c r="S1063" s="273"/>
      <c r="T1063" s="273"/>
      <c r="U1063" s="273">
        <v>1429036</v>
      </c>
      <c r="V1063" s="273"/>
      <c r="W1063" s="273"/>
      <c r="X1063" s="273"/>
      <c r="Y1063" s="273"/>
      <c r="Z1063" s="273"/>
      <c r="AA1063" s="273"/>
      <c r="AB1063" s="273"/>
      <c r="AC1063" s="273"/>
      <c r="AD1063" s="273"/>
      <c r="AE1063" s="16"/>
      <c r="AF1063" s="17"/>
      <c r="AG1063" s="15"/>
      <c r="AH1063" s="13"/>
    </row>
    <row r="1064" spans="1:36" x14ac:dyDescent="0.3">
      <c r="A1064" s="259">
        <f t="shared" si="232"/>
        <v>821</v>
      </c>
      <c r="B1064" s="20" t="s">
        <v>2958</v>
      </c>
      <c r="C1064" s="273">
        <f t="shared" si="231"/>
        <v>1429036</v>
      </c>
      <c r="D1064" s="273">
        <f t="shared" si="233"/>
        <v>1429036</v>
      </c>
      <c r="E1064" s="273"/>
      <c r="F1064" s="273"/>
      <c r="G1064" s="273"/>
      <c r="H1064" s="273"/>
      <c r="I1064" s="273">
        <v>1429036</v>
      </c>
      <c r="J1064" s="273"/>
      <c r="K1064" s="273"/>
      <c r="L1064" s="273"/>
      <c r="M1064" s="273"/>
      <c r="N1064" s="273"/>
      <c r="O1064" s="273"/>
      <c r="P1064" s="273"/>
      <c r="Q1064" s="273"/>
      <c r="R1064" s="273"/>
      <c r="S1064" s="273"/>
      <c r="T1064" s="273"/>
      <c r="U1064" s="273"/>
      <c r="V1064" s="273"/>
      <c r="W1064" s="273"/>
      <c r="X1064" s="273"/>
      <c r="Y1064" s="273"/>
      <c r="Z1064" s="273"/>
      <c r="AA1064" s="273"/>
      <c r="AB1064" s="273"/>
      <c r="AC1064" s="273"/>
      <c r="AD1064" s="273"/>
      <c r="AE1064" s="16"/>
      <c r="AF1064" s="17"/>
      <c r="AG1064" s="15"/>
      <c r="AH1064" s="13"/>
    </row>
    <row r="1065" spans="1:36" x14ac:dyDescent="0.3">
      <c r="A1065" s="259">
        <f t="shared" si="232"/>
        <v>822</v>
      </c>
      <c r="B1065" s="20" t="s">
        <v>2959</v>
      </c>
      <c r="C1065" s="273">
        <f t="shared" si="231"/>
        <v>3635688</v>
      </c>
      <c r="D1065" s="273"/>
      <c r="E1065" s="273"/>
      <c r="F1065" s="273"/>
      <c r="G1065" s="273"/>
      <c r="H1065" s="273"/>
      <c r="I1065" s="273"/>
      <c r="J1065" s="50"/>
      <c r="K1065" s="273"/>
      <c r="L1065" s="273"/>
      <c r="M1065" s="273"/>
      <c r="N1065" s="273"/>
      <c r="O1065" s="273"/>
      <c r="P1065" s="273"/>
      <c r="Q1065" s="273">
        <v>670</v>
      </c>
      <c r="R1065" s="273">
        <v>3635688</v>
      </c>
      <c r="S1065" s="273"/>
      <c r="T1065" s="273"/>
      <c r="U1065" s="273"/>
      <c r="V1065" s="273"/>
      <c r="W1065" s="273"/>
      <c r="X1065" s="100"/>
      <c r="Y1065" s="273"/>
      <c r="Z1065" s="273"/>
      <c r="AA1065" s="273"/>
      <c r="AB1065" s="273"/>
      <c r="AC1065" s="273"/>
      <c r="AD1065" s="273"/>
      <c r="AE1065" s="273"/>
      <c r="AF1065" s="273"/>
      <c r="AG1065" s="16"/>
      <c r="AH1065" s="17"/>
      <c r="AI1065" s="15"/>
      <c r="AJ1065" s="13"/>
    </row>
    <row r="1066" spans="1:36" x14ac:dyDescent="0.3">
      <c r="A1066" s="259"/>
      <c r="B1066" s="20" t="s">
        <v>208</v>
      </c>
      <c r="C1066" s="273">
        <f t="shared" ref="C1066:W1066" si="234">SUM(C1057:C1065)</f>
        <v>30856582.260000002</v>
      </c>
      <c r="D1066" s="273">
        <f t="shared" si="234"/>
        <v>9929682</v>
      </c>
      <c r="E1066" s="273">
        <f t="shared" si="234"/>
        <v>399938.4</v>
      </c>
      <c r="F1066" s="273">
        <f t="shared" si="234"/>
        <v>1313287.2</v>
      </c>
      <c r="G1066" s="273">
        <f t="shared" si="234"/>
        <v>0</v>
      </c>
      <c r="H1066" s="273">
        <f t="shared" si="234"/>
        <v>0</v>
      </c>
      <c r="I1066" s="273">
        <f t="shared" si="234"/>
        <v>8216456.4000000004</v>
      </c>
      <c r="J1066" s="50">
        <f t="shared" si="234"/>
        <v>0</v>
      </c>
      <c r="K1066" s="273">
        <f t="shared" si="234"/>
        <v>0</v>
      </c>
      <c r="L1066" s="273">
        <f t="shared" si="234"/>
        <v>0</v>
      </c>
      <c r="M1066" s="273">
        <f t="shared" si="234"/>
        <v>0</v>
      </c>
      <c r="N1066" s="273">
        <f t="shared" si="234"/>
        <v>0</v>
      </c>
      <c r="O1066" s="273">
        <f t="shared" si="234"/>
        <v>0</v>
      </c>
      <c r="P1066" s="273">
        <f t="shared" si="234"/>
        <v>0</v>
      </c>
      <c r="Q1066" s="273">
        <f t="shared" si="234"/>
        <v>2118</v>
      </c>
      <c r="R1066" s="273">
        <f t="shared" si="234"/>
        <v>16457753.260000002</v>
      </c>
      <c r="S1066" s="273">
        <f t="shared" si="234"/>
        <v>0</v>
      </c>
      <c r="T1066" s="273">
        <f t="shared" si="234"/>
        <v>0</v>
      </c>
      <c r="U1066" s="273">
        <f t="shared" si="234"/>
        <v>4287108</v>
      </c>
      <c r="V1066" s="273">
        <f t="shared" si="234"/>
        <v>0</v>
      </c>
      <c r="W1066" s="273">
        <f t="shared" si="234"/>
        <v>182039</v>
      </c>
      <c r="X1066" s="100"/>
      <c r="Y1066" s="273"/>
      <c r="Z1066" s="273"/>
      <c r="AA1066" s="273"/>
      <c r="AB1066" s="273"/>
      <c r="AC1066" s="273"/>
      <c r="AD1066" s="273"/>
      <c r="AE1066" s="273"/>
      <c r="AF1066" s="273"/>
      <c r="AG1066" s="16"/>
      <c r="AH1066" s="17"/>
      <c r="AI1066" s="15"/>
      <c r="AJ1066" s="13"/>
    </row>
    <row r="1067" spans="1:36" ht="33.75" customHeight="1" x14ac:dyDescent="0.3">
      <c r="A1067" s="317" t="s">
        <v>2965</v>
      </c>
      <c r="B1067" s="318"/>
      <c r="C1067" s="273"/>
      <c r="D1067" s="273"/>
      <c r="E1067" s="273"/>
      <c r="F1067" s="273"/>
      <c r="G1067" s="273"/>
      <c r="H1067" s="273"/>
      <c r="I1067" s="273"/>
      <c r="J1067" s="50"/>
      <c r="K1067" s="273"/>
      <c r="L1067" s="273"/>
      <c r="M1067" s="273"/>
      <c r="N1067" s="273"/>
      <c r="O1067" s="273"/>
      <c r="P1067" s="273"/>
      <c r="Q1067" s="273"/>
      <c r="R1067" s="273"/>
      <c r="S1067" s="273"/>
      <c r="T1067" s="273"/>
      <c r="U1067" s="273"/>
      <c r="V1067" s="273"/>
      <c r="W1067" s="273"/>
      <c r="X1067" s="100"/>
      <c r="Y1067" s="273"/>
      <c r="Z1067" s="273"/>
      <c r="AA1067" s="273"/>
      <c r="AB1067" s="273"/>
      <c r="AC1067" s="273"/>
      <c r="AD1067" s="273"/>
      <c r="AE1067" s="273"/>
      <c r="AF1067" s="273"/>
      <c r="AG1067" s="16"/>
      <c r="AH1067" s="17"/>
      <c r="AI1067" s="15"/>
      <c r="AJ1067" s="13"/>
    </row>
    <row r="1068" spans="1:36" ht="31.2" x14ac:dyDescent="0.3">
      <c r="A1068" s="259">
        <f>A1065+1</f>
        <v>823</v>
      </c>
      <c r="B1068" s="20" t="s">
        <v>2966</v>
      </c>
      <c r="C1068" s="273">
        <f t="shared" ref="C1068:C1072" si="235">D1068+K1068+L1068+N1068+P1068+R1068+S1068+U1068+V1068+W1068</f>
        <v>216389.95</v>
      </c>
      <c r="D1068" s="273"/>
      <c r="E1068" s="273"/>
      <c r="F1068" s="273"/>
      <c r="G1068" s="273"/>
      <c r="H1068" s="273"/>
      <c r="I1068" s="273"/>
      <c r="J1068" s="50"/>
      <c r="K1068" s="273"/>
      <c r="L1068" s="273"/>
      <c r="M1068" s="273"/>
      <c r="N1068" s="273"/>
      <c r="O1068" s="273"/>
      <c r="P1068" s="273"/>
      <c r="Q1068" s="273"/>
      <c r="R1068" s="273"/>
      <c r="S1068" s="273"/>
      <c r="T1068" s="273"/>
      <c r="U1068" s="273"/>
      <c r="V1068" s="273"/>
      <c r="W1068" s="273">
        <f>SUM(AA1068:AG1068)</f>
        <v>216389.95</v>
      </c>
      <c r="X1068" s="100"/>
      <c r="Y1068" s="273"/>
      <c r="AA1068" s="273"/>
      <c r="AB1068" s="273"/>
      <c r="AC1068" s="273"/>
      <c r="AD1068" s="273">
        <v>216389.95</v>
      </c>
      <c r="AE1068" s="16"/>
      <c r="AF1068" s="17"/>
      <c r="AG1068" s="15"/>
      <c r="AJ1068" s="13"/>
    </row>
    <row r="1069" spans="1:36" ht="31.2" x14ac:dyDescent="0.3">
      <c r="A1069" s="259">
        <f>A1068+1</f>
        <v>824</v>
      </c>
      <c r="B1069" s="20" t="s">
        <v>2967</v>
      </c>
      <c r="C1069" s="273">
        <f t="shared" si="235"/>
        <v>216389.95</v>
      </c>
      <c r="D1069" s="273"/>
      <c r="E1069" s="273"/>
      <c r="F1069" s="273"/>
      <c r="G1069" s="273"/>
      <c r="H1069" s="273"/>
      <c r="I1069" s="273"/>
      <c r="J1069" s="50"/>
      <c r="K1069" s="273"/>
      <c r="L1069" s="273"/>
      <c r="M1069" s="273"/>
      <c r="N1069" s="273"/>
      <c r="O1069" s="273"/>
      <c r="P1069" s="273"/>
      <c r="Q1069" s="273"/>
      <c r="R1069" s="273"/>
      <c r="S1069" s="273"/>
      <c r="T1069" s="273"/>
      <c r="U1069" s="273"/>
      <c r="V1069" s="273"/>
      <c r="W1069" s="273">
        <f>SUM(AA1069:AG1069)</f>
        <v>216389.95</v>
      </c>
      <c r="X1069" s="100"/>
      <c r="Y1069" s="273"/>
      <c r="Z1069" s="273"/>
      <c r="AA1069" s="273"/>
      <c r="AB1069" s="273"/>
      <c r="AD1069" s="273">
        <v>216389.95</v>
      </c>
      <c r="AE1069" s="16"/>
      <c r="AF1069" s="17"/>
      <c r="AG1069" s="15"/>
      <c r="AJ1069" s="13"/>
    </row>
    <row r="1070" spans="1:36" ht="31.2" x14ac:dyDescent="0.3">
      <c r="A1070" s="259">
        <f>A1069+1</f>
        <v>825</v>
      </c>
      <c r="B1070" s="20" t="s">
        <v>2968</v>
      </c>
      <c r="C1070" s="273">
        <f t="shared" si="235"/>
        <v>274524.14</v>
      </c>
      <c r="D1070" s="273"/>
      <c r="E1070" s="273"/>
      <c r="F1070" s="273"/>
      <c r="G1070" s="273"/>
      <c r="H1070" s="273"/>
      <c r="I1070" s="273"/>
      <c r="J1070" s="50"/>
      <c r="K1070" s="273"/>
      <c r="L1070" s="273"/>
      <c r="M1070" s="273"/>
      <c r="N1070" s="273"/>
      <c r="O1070" s="273"/>
      <c r="P1070" s="273"/>
      <c r="Q1070" s="273"/>
      <c r="R1070" s="273"/>
      <c r="S1070" s="273"/>
      <c r="T1070" s="273"/>
      <c r="U1070" s="273"/>
      <c r="V1070" s="273"/>
      <c r="W1070" s="273">
        <f>SUM(AA1070:AG1070)</f>
        <v>274524.14</v>
      </c>
      <c r="X1070" s="273"/>
      <c r="Y1070" s="273"/>
      <c r="Z1070" s="273"/>
      <c r="AA1070" s="273"/>
      <c r="AB1070" s="273"/>
      <c r="AD1070" s="273">
        <v>274524.14</v>
      </c>
      <c r="AE1070" s="16"/>
      <c r="AF1070" s="17"/>
      <c r="AG1070" s="15"/>
      <c r="AJ1070" s="13"/>
    </row>
    <row r="1071" spans="1:36" x14ac:dyDescent="0.3">
      <c r="A1071" s="259">
        <f>A1070+1</f>
        <v>826</v>
      </c>
      <c r="B1071" s="20" t="s">
        <v>2969</v>
      </c>
      <c r="C1071" s="273">
        <f t="shared" si="235"/>
        <v>208853.62</v>
      </c>
      <c r="D1071" s="273"/>
      <c r="E1071" s="273"/>
      <c r="F1071" s="273"/>
      <c r="G1071" s="273"/>
      <c r="H1071" s="273"/>
      <c r="I1071" s="273"/>
      <c r="J1071" s="50"/>
      <c r="K1071" s="273"/>
      <c r="L1071" s="273"/>
      <c r="M1071" s="273"/>
      <c r="N1071" s="273"/>
      <c r="O1071" s="273"/>
      <c r="P1071" s="273"/>
      <c r="Q1071" s="273"/>
      <c r="R1071" s="273"/>
      <c r="S1071" s="273"/>
      <c r="T1071" s="273"/>
      <c r="U1071" s="273"/>
      <c r="V1071" s="273"/>
      <c r="W1071" s="273">
        <f>SUM(AA1071:AG1071)</f>
        <v>208853.62</v>
      </c>
      <c r="X1071" s="273"/>
      <c r="Y1071" s="273"/>
      <c r="AA1071" s="273"/>
      <c r="AB1071" s="273"/>
      <c r="AC1071" s="273"/>
      <c r="AD1071" s="273">
        <v>208853.62</v>
      </c>
      <c r="AE1071" s="16"/>
      <c r="AF1071" s="17"/>
      <c r="AG1071" s="15"/>
      <c r="AJ1071" s="13"/>
    </row>
    <row r="1072" spans="1:36" x14ac:dyDescent="0.3">
      <c r="A1072" s="259">
        <f>A1071+1</f>
        <v>827</v>
      </c>
      <c r="B1072" s="20" t="s">
        <v>2970</v>
      </c>
      <c r="C1072" s="273">
        <f t="shared" si="235"/>
        <v>119061.78</v>
      </c>
      <c r="D1072" s="273"/>
      <c r="E1072" s="273"/>
      <c r="F1072" s="273"/>
      <c r="G1072" s="273"/>
      <c r="H1072" s="273"/>
      <c r="I1072" s="273"/>
      <c r="J1072" s="50"/>
      <c r="K1072" s="273"/>
      <c r="L1072" s="273"/>
      <c r="M1072" s="273"/>
      <c r="N1072" s="273"/>
      <c r="O1072" s="273"/>
      <c r="P1072" s="273"/>
      <c r="Q1072" s="273"/>
      <c r="R1072" s="273"/>
      <c r="S1072" s="273"/>
      <c r="T1072" s="273"/>
      <c r="U1072" s="273"/>
      <c r="V1072" s="273"/>
      <c r="W1072" s="273">
        <f>SUM(AA1072:AG1072)</f>
        <v>119061.78</v>
      </c>
      <c r="X1072" s="273"/>
      <c r="Y1072" s="273"/>
      <c r="AA1072" s="273"/>
      <c r="AB1072" s="273"/>
      <c r="AC1072" s="273"/>
      <c r="AD1072" s="273">
        <v>119061.78</v>
      </c>
      <c r="AE1072" s="16"/>
      <c r="AF1072" s="17"/>
      <c r="AG1072" s="15"/>
      <c r="AJ1072" s="13"/>
    </row>
    <row r="1073" spans="1:36" x14ac:dyDescent="0.3">
      <c r="A1073" s="259"/>
      <c r="B1073" s="20" t="s">
        <v>208</v>
      </c>
      <c r="C1073" s="273">
        <f>SUM(C1068:C1072)</f>
        <v>1035219.4400000001</v>
      </c>
      <c r="D1073" s="273">
        <f t="shared" ref="D1073:W1073" si="236">SUM(D1068:D1072)</f>
        <v>0</v>
      </c>
      <c r="E1073" s="273">
        <f t="shared" si="236"/>
        <v>0</v>
      </c>
      <c r="F1073" s="273">
        <f t="shared" si="236"/>
        <v>0</v>
      </c>
      <c r="G1073" s="273">
        <f t="shared" si="236"/>
        <v>0</v>
      </c>
      <c r="H1073" s="273">
        <f t="shared" si="236"/>
        <v>0</v>
      </c>
      <c r="I1073" s="273">
        <f t="shared" si="236"/>
        <v>0</v>
      </c>
      <c r="J1073" s="50">
        <f t="shared" si="236"/>
        <v>0</v>
      </c>
      <c r="K1073" s="273">
        <f t="shared" si="236"/>
        <v>0</v>
      </c>
      <c r="L1073" s="273">
        <f t="shared" si="236"/>
        <v>0</v>
      </c>
      <c r="M1073" s="273">
        <f t="shared" si="236"/>
        <v>0</v>
      </c>
      <c r="N1073" s="273">
        <f t="shared" si="236"/>
        <v>0</v>
      </c>
      <c r="O1073" s="273">
        <f t="shared" si="236"/>
        <v>0</v>
      </c>
      <c r="P1073" s="273">
        <f t="shared" si="236"/>
        <v>0</v>
      </c>
      <c r="Q1073" s="273">
        <f t="shared" si="236"/>
        <v>0</v>
      </c>
      <c r="R1073" s="273">
        <f t="shared" si="236"/>
        <v>0</v>
      </c>
      <c r="S1073" s="273">
        <f t="shared" si="236"/>
        <v>0</v>
      </c>
      <c r="T1073" s="273">
        <f t="shared" si="236"/>
        <v>0</v>
      </c>
      <c r="U1073" s="273">
        <f t="shared" si="236"/>
        <v>0</v>
      </c>
      <c r="V1073" s="273">
        <f t="shared" si="236"/>
        <v>0</v>
      </c>
      <c r="W1073" s="273">
        <f t="shared" si="236"/>
        <v>1035219.4400000001</v>
      </c>
      <c r="X1073" s="100"/>
      <c r="Y1073" s="273"/>
      <c r="Z1073" s="273"/>
      <c r="AA1073" s="273"/>
      <c r="AB1073" s="273"/>
      <c r="AC1073" s="273"/>
      <c r="AD1073" s="273"/>
      <c r="AE1073" s="273"/>
      <c r="AF1073" s="273"/>
      <c r="AG1073" s="16"/>
      <c r="AH1073" s="17"/>
      <c r="AI1073" s="15"/>
      <c r="AJ1073" s="13"/>
    </row>
    <row r="1074" spans="1:36" ht="28.5" customHeight="1" x14ac:dyDescent="0.3">
      <c r="A1074" s="317" t="s">
        <v>2986</v>
      </c>
      <c r="B1074" s="318"/>
      <c r="C1074" s="273"/>
      <c r="D1074" s="273"/>
      <c r="E1074" s="273"/>
      <c r="F1074" s="273"/>
      <c r="G1074" s="273"/>
      <c r="H1074" s="273"/>
      <c r="I1074" s="273"/>
      <c r="J1074" s="50"/>
      <c r="K1074" s="273"/>
      <c r="L1074" s="273"/>
      <c r="M1074" s="273"/>
      <c r="N1074" s="273"/>
      <c r="O1074" s="273"/>
      <c r="P1074" s="273"/>
      <c r="Q1074" s="273"/>
      <c r="R1074" s="273"/>
      <c r="S1074" s="273"/>
      <c r="T1074" s="273"/>
      <c r="U1074" s="273"/>
      <c r="V1074" s="273"/>
      <c r="W1074" s="273"/>
      <c r="X1074" s="100"/>
      <c r="Y1074" s="273"/>
      <c r="Z1074" s="273"/>
      <c r="AA1074" s="273"/>
      <c r="AB1074" s="273"/>
      <c r="AC1074" s="273"/>
      <c r="AD1074" s="273"/>
      <c r="AE1074" s="273"/>
      <c r="AF1074" s="273"/>
      <c r="AG1074" s="16"/>
      <c r="AH1074" s="17"/>
      <c r="AI1074" s="15"/>
      <c r="AJ1074" s="13"/>
    </row>
    <row r="1075" spans="1:36" x14ac:dyDescent="0.3">
      <c r="A1075" s="259">
        <f>A1072+1</f>
        <v>828</v>
      </c>
      <c r="B1075" s="20" t="s">
        <v>2987</v>
      </c>
      <c r="C1075" s="273">
        <f t="shared" ref="C1075:C1094" si="237">D1075+K1075+L1075+N1075+P1075+R1075+S1075+U1075+V1075+W1075</f>
        <v>297838.2</v>
      </c>
      <c r="D1075" s="273"/>
      <c r="E1075" s="273"/>
      <c r="F1075" s="273"/>
      <c r="G1075" s="273"/>
      <c r="H1075" s="273"/>
      <c r="I1075" s="273"/>
      <c r="J1075" s="50"/>
      <c r="K1075" s="273"/>
      <c r="L1075" s="273"/>
      <c r="M1075" s="273"/>
      <c r="N1075" s="273"/>
      <c r="O1075" s="273"/>
      <c r="P1075" s="273"/>
      <c r="Q1075" s="273"/>
      <c r="R1075" s="273"/>
      <c r="S1075" s="273"/>
      <c r="T1075" s="273"/>
      <c r="U1075" s="273"/>
      <c r="V1075" s="273"/>
      <c r="W1075" s="273">
        <f>SUM(X1075:AG1075)</f>
        <v>297838.2</v>
      </c>
      <c r="X1075" s="100"/>
      <c r="Y1075" s="273"/>
      <c r="Z1075" s="273"/>
      <c r="AC1075" s="273"/>
      <c r="AD1075" s="273"/>
      <c r="AE1075" s="16">
        <v>297838.2</v>
      </c>
      <c r="AF1075" s="17"/>
      <c r="AG1075" s="15"/>
      <c r="AJ1075" s="13"/>
    </row>
    <row r="1076" spans="1:36" x14ac:dyDescent="0.3">
      <c r="A1076" s="259">
        <f>A1075+1</f>
        <v>829</v>
      </c>
      <c r="B1076" s="20" t="s">
        <v>2988</v>
      </c>
      <c r="C1076" s="273">
        <f t="shared" si="237"/>
        <v>239780.4</v>
      </c>
      <c r="D1076" s="273"/>
      <c r="E1076" s="273"/>
      <c r="F1076" s="273"/>
      <c r="G1076" s="273"/>
      <c r="H1076" s="273"/>
      <c r="I1076" s="273"/>
      <c r="J1076" s="50"/>
      <c r="K1076" s="273"/>
      <c r="L1076" s="273"/>
      <c r="M1076" s="273"/>
      <c r="N1076" s="273"/>
      <c r="O1076" s="273"/>
      <c r="P1076" s="273"/>
      <c r="Q1076" s="273"/>
      <c r="R1076" s="273"/>
      <c r="S1076" s="273"/>
      <c r="T1076" s="273"/>
      <c r="U1076" s="273"/>
      <c r="V1076" s="273"/>
      <c r="W1076" s="273">
        <f>SUM(X1076:AG1076)</f>
        <v>239780.4</v>
      </c>
      <c r="X1076" s="100"/>
      <c r="Y1076" s="273"/>
      <c r="AB1076" s="273"/>
      <c r="AC1076" s="273"/>
      <c r="AD1076" s="273">
        <v>239780.4</v>
      </c>
      <c r="AE1076" s="16"/>
      <c r="AF1076" s="17"/>
      <c r="AG1076" s="15"/>
      <c r="AJ1076" s="13"/>
    </row>
    <row r="1077" spans="1:36" x14ac:dyDescent="0.3">
      <c r="A1077" s="259">
        <f>A1076+1</f>
        <v>830</v>
      </c>
      <c r="B1077" s="20" t="s">
        <v>2989</v>
      </c>
      <c r="C1077" s="273">
        <f t="shared" si="237"/>
        <v>234490.37</v>
      </c>
      <c r="D1077" s="273"/>
      <c r="E1077" s="273"/>
      <c r="F1077" s="273"/>
      <c r="G1077" s="273"/>
      <c r="H1077" s="273"/>
      <c r="I1077" s="273"/>
      <c r="J1077" s="50"/>
      <c r="K1077" s="273"/>
      <c r="L1077" s="273"/>
      <c r="M1077" s="273"/>
      <c r="N1077" s="273"/>
      <c r="O1077" s="273"/>
      <c r="P1077" s="273"/>
      <c r="Q1077" s="273"/>
      <c r="R1077" s="273"/>
      <c r="S1077" s="273"/>
      <c r="T1077" s="273"/>
      <c r="U1077" s="273"/>
      <c r="V1077" s="273"/>
      <c r="W1077" s="273">
        <f t="shared" ref="W1077:W1094" si="238">SUM(X1077:AG1077)</f>
        <v>234490.37</v>
      </c>
      <c r="X1077" s="100"/>
      <c r="Y1077" s="273"/>
      <c r="AB1077" s="273"/>
      <c r="AC1077" s="273"/>
      <c r="AD1077" s="273">
        <v>234490.37</v>
      </c>
      <c r="AE1077" s="16"/>
      <c r="AF1077" s="17"/>
      <c r="AG1077" s="15"/>
      <c r="AJ1077" s="13"/>
    </row>
    <row r="1078" spans="1:36" x14ac:dyDescent="0.3">
      <c r="A1078" s="259">
        <f t="shared" ref="A1078:A1094" si="239">A1077+1</f>
        <v>831</v>
      </c>
      <c r="B1078" s="20" t="s">
        <v>2990</v>
      </c>
      <c r="C1078" s="273">
        <f t="shared" si="237"/>
        <v>224331.83</v>
      </c>
      <c r="D1078" s="273"/>
      <c r="E1078" s="273"/>
      <c r="F1078" s="273"/>
      <c r="G1078" s="273"/>
      <c r="H1078" s="273"/>
      <c r="I1078" s="273"/>
      <c r="J1078" s="50"/>
      <c r="K1078" s="273"/>
      <c r="L1078" s="273"/>
      <c r="M1078" s="273"/>
      <c r="N1078" s="273"/>
      <c r="O1078" s="273"/>
      <c r="P1078" s="273"/>
      <c r="Q1078" s="273"/>
      <c r="R1078" s="273"/>
      <c r="S1078" s="273"/>
      <c r="T1078" s="273"/>
      <c r="U1078" s="273"/>
      <c r="V1078" s="273"/>
      <c r="W1078" s="273">
        <f t="shared" si="238"/>
        <v>224331.83</v>
      </c>
      <c r="X1078" s="100"/>
      <c r="Y1078" s="273"/>
      <c r="AB1078" s="273"/>
      <c r="AC1078" s="273"/>
      <c r="AD1078" s="273">
        <v>224331.83</v>
      </c>
      <c r="AE1078" s="16"/>
      <c r="AF1078" s="17"/>
      <c r="AG1078" s="15"/>
      <c r="AJ1078" s="13"/>
    </row>
    <row r="1079" spans="1:36" x14ac:dyDescent="0.3">
      <c r="A1079" s="259">
        <f t="shared" si="239"/>
        <v>832</v>
      </c>
      <c r="B1079" s="20" t="s">
        <v>2991</v>
      </c>
      <c r="C1079" s="273">
        <f t="shared" si="237"/>
        <v>235944.18</v>
      </c>
      <c r="D1079" s="273"/>
      <c r="E1079" s="273"/>
      <c r="F1079" s="273"/>
      <c r="G1079" s="273"/>
      <c r="H1079" s="273"/>
      <c r="I1079" s="273"/>
      <c r="J1079" s="50"/>
      <c r="K1079" s="273"/>
      <c r="L1079" s="273"/>
      <c r="M1079" s="273"/>
      <c r="N1079" s="273"/>
      <c r="O1079" s="273"/>
      <c r="P1079" s="273"/>
      <c r="Q1079" s="273"/>
      <c r="R1079" s="273"/>
      <c r="S1079" s="273"/>
      <c r="T1079" s="273"/>
      <c r="U1079" s="273"/>
      <c r="V1079" s="273"/>
      <c r="W1079" s="273">
        <f t="shared" si="238"/>
        <v>235944.18</v>
      </c>
      <c r="X1079" s="100"/>
      <c r="Y1079" s="273"/>
      <c r="AB1079" s="273"/>
      <c r="AC1079" s="273"/>
      <c r="AD1079" s="273">
        <v>235944.18</v>
      </c>
      <c r="AE1079" s="16"/>
      <c r="AF1079" s="17"/>
      <c r="AG1079" s="15"/>
      <c r="AJ1079" s="13"/>
    </row>
    <row r="1080" spans="1:36" x14ac:dyDescent="0.3">
      <c r="A1080" s="259">
        <f t="shared" si="239"/>
        <v>833</v>
      </c>
      <c r="B1080" s="20" t="s">
        <v>2993</v>
      </c>
      <c r="C1080" s="273">
        <f t="shared" si="237"/>
        <v>235961.84</v>
      </c>
      <c r="D1080" s="273"/>
      <c r="E1080" s="273"/>
      <c r="F1080" s="273"/>
      <c r="G1080" s="273"/>
      <c r="H1080" s="273"/>
      <c r="I1080" s="273"/>
      <c r="J1080" s="50"/>
      <c r="K1080" s="273"/>
      <c r="L1080" s="273"/>
      <c r="M1080" s="273"/>
      <c r="N1080" s="273"/>
      <c r="O1080" s="273"/>
      <c r="P1080" s="273"/>
      <c r="Q1080" s="273"/>
      <c r="R1080" s="273"/>
      <c r="S1080" s="273"/>
      <c r="T1080" s="273"/>
      <c r="U1080" s="273"/>
      <c r="V1080" s="273"/>
      <c r="W1080" s="273">
        <f t="shared" si="238"/>
        <v>235961.84</v>
      </c>
      <c r="X1080" s="100"/>
      <c r="Y1080" s="273"/>
      <c r="AB1080" s="273">
        <v>113568.62</v>
      </c>
      <c r="AC1080" s="273"/>
      <c r="AD1080" s="273"/>
      <c r="AE1080" s="16">
        <v>122393.22</v>
      </c>
      <c r="AF1080" s="17"/>
      <c r="AG1080" s="15"/>
      <c r="AJ1080" s="13"/>
    </row>
    <row r="1081" spans="1:36" x14ac:dyDescent="0.3">
      <c r="A1081" s="259">
        <f t="shared" si="239"/>
        <v>834</v>
      </c>
      <c r="B1081" s="20" t="s">
        <v>2995</v>
      </c>
      <c r="C1081" s="273">
        <f t="shared" si="237"/>
        <v>128687.8</v>
      </c>
      <c r="D1081" s="273"/>
      <c r="E1081" s="273"/>
      <c r="F1081" s="273"/>
      <c r="G1081" s="273"/>
      <c r="H1081" s="273"/>
      <c r="I1081" s="273"/>
      <c r="J1081" s="50"/>
      <c r="K1081" s="273"/>
      <c r="L1081" s="273"/>
      <c r="M1081" s="273"/>
      <c r="N1081" s="273"/>
      <c r="O1081" s="273"/>
      <c r="P1081" s="273"/>
      <c r="Q1081" s="273"/>
      <c r="R1081" s="273"/>
      <c r="S1081" s="273"/>
      <c r="T1081" s="273"/>
      <c r="U1081" s="273"/>
      <c r="V1081" s="273"/>
      <c r="W1081" s="273">
        <f t="shared" si="238"/>
        <v>128687.8</v>
      </c>
      <c r="X1081" s="100"/>
      <c r="Y1081" s="273">
        <v>128687.8</v>
      </c>
      <c r="AB1081" s="273"/>
      <c r="AC1081" s="273"/>
      <c r="AD1081" s="273"/>
      <c r="AE1081" s="16"/>
      <c r="AF1081" s="17"/>
      <c r="AG1081" s="15"/>
      <c r="AJ1081" s="13"/>
    </row>
    <row r="1082" spans="1:36" x14ac:dyDescent="0.3">
      <c r="A1082" s="259">
        <f t="shared" si="239"/>
        <v>835</v>
      </c>
      <c r="B1082" s="20" t="s">
        <v>2997</v>
      </c>
      <c r="C1082" s="273">
        <f t="shared" si="237"/>
        <v>218084.21</v>
      </c>
      <c r="D1082" s="273"/>
      <c r="E1082" s="273"/>
      <c r="F1082" s="273"/>
      <c r="G1082" s="273"/>
      <c r="H1082" s="273"/>
      <c r="I1082" s="273"/>
      <c r="J1082" s="50"/>
      <c r="K1082" s="273"/>
      <c r="L1082" s="273"/>
      <c r="M1082" s="273"/>
      <c r="N1082" s="273"/>
      <c r="O1082" s="273"/>
      <c r="P1082" s="273"/>
      <c r="Q1082" s="273"/>
      <c r="R1082" s="273"/>
      <c r="S1082" s="273"/>
      <c r="T1082" s="273"/>
      <c r="U1082" s="273"/>
      <c r="V1082" s="273"/>
      <c r="W1082" s="273">
        <f t="shared" si="238"/>
        <v>218084.21</v>
      </c>
      <c r="X1082" s="100"/>
      <c r="Y1082" s="273"/>
      <c r="AA1082" s="273"/>
      <c r="AB1082" s="273"/>
      <c r="AD1082" s="273"/>
      <c r="AE1082" s="16">
        <v>218084.21</v>
      </c>
      <c r="AF1082" s="17"/>
      <c r="AG1082" s="15"/>
      <c r="AJ1082" s="13"/>
    </row>
    <row r="1083" spans="1:36" x14ac:dyDescent="0.3">
      <c r="A1083" s="259">
        <f t="shared" si="239"/>
        <v>836</v>
      </c>
      <c r="B1083" s="20" t="s">
        <v>2999</v>
      </c>
      <c r="C1083" s="273">
        <f t="shared" si="237"/>
        <v>184498.21</v>
      </c>
      <c r="D1083" s="273"/>
      <c r="E1083" s="273"/>
      <c r="F1083" s="273"/>
      <c r="G1083" s="273"/>
      <c r="H1083" s="273"/>
      <c r="I1083" s="273"/>
      <c r="J1083" s="50"/>
      <c r="K1083" s="273"/>
      <c r="L1083" s="273"/>
      <c r="M1083" s="273"/>
      <c r="N1083" s="273"/>
      <c r="O1083" s="273"/>
      <c r="P1083" s="273"/>
      <c r="Q1083" s="273"/>
      <c r="R1083" s="273"/>
      <c r="S1083" s="273"/>
      <c r="T1083" s="273"/>
      <c r="U1083" s="273"/>
      <c r="V1083" s="273"/>
      <c r="W1083" s="273">
        <f t="shared" si="238"/>
        <v>184498.21</v>
      </c>
      <c r="X1083" s="273"/>
      <c r="Y1083" s="273"/>
      <c r="Z1083" s="273"/>
      <c r="AA1083" s="273"/>
      <c r="AB1083" s="273"/>
      <c r="AD1083" s="273">
        <v>184498.21</v>
      </c>
      <c r="AE1083" s="16"/>
      <c r="AF1083" s="17"/>
      <c r="AG1083" s="15"/>
      <c r="AJ1083" s="13"/>
    </row>
    <row r="1084" spans="1:36" x14ac:dyDescent="0.3">
      <c r="A1084" s="259">
        <f t="shared" si="239"/>
        <v>837</v>
      </c>
      <c r="B1084" s="20" t="s">
        <v>3003</v>
      </c>
      <c r="C1084" s="273">
        <f t="shared" si="237"/>
        <v>337139.27999999997</v>
      </c>
      <c r="D1084" s="273"/>
      <c r="E1084" s="273"/>
      <c r="F1084" s="273"/>
      <c r="G1084" s="273"/>
      <c r="H1084" s="273"/>
      <c r="I1084" s="273"/>
      <c r="J1084" s="50"/>
      <c r="K1084" s="273"/>
      <c r="L1084" s="273"/>
      <c r="M1084" s="273"/>
      <c r="N1084" s="273"/>
      <c r="O1084" s="273"/>
      <c r="P1084" s="273"/>
      <c r="Q1084" s="273"/>
      <c r="R1084" s="273"/>
      <c r="S1084" s="273"/>
      <c r="T1084" s="273"/>
      <c r="U1084" s="273"/>
      <c r="V1084" s="273"/>
      <c r="W1084" s="273">
        <f t="shared" si="238"/>
        <v>337139.27999999997</v>
      </c>
      <c r="X1084" s="273">
        <v>105740.26</v>
      </c>
      <c r="Y1084" s="273">
        <v>125658.76</v>
      </c>
      <c r="Z1084" s="273">
        <v>105740.26</v>
      </c>
      <c r="AA1084" s="273"/>
      <c r="AB1084" s="273"/>
      <c r="AD1084" s="273"/>
      <c r="AE1084" s="16"/>
      <c r="AF1084" s="17"/>
      <c r="AG1084" s="15"/>
      <c r="AJ1084" s="13"/>
    </row>
    <row r="1085" spans="1:36" x14ac:dyDescent="0.3">
      <c r="A1085" s="259">
        <f t="shared" si="239"/>
        <v>838</v>
      </c>
      <c r="B1085" s="20" t="s">
        <v>3004</v>
      </c>
      <c r="C1085" s="273">
        <f t="shared" si="237"/>
        <v>797555.07000000007</v>
      </c>
      <c r="D1085" s="273"/>
      <c r="E1085" s="273"/>
      <c r="F1085" s="273"/>
      <c r="G1085" s="273"/>
      <c r="H1085" s="273"/>
      <c r="I1085" s="273"/>
      <c r="J1085" s="50"/>
      <c r="K1085" s="273"/>
      <c r="L1085" s="273"/>
      <c r="M1085" s="273"/>
      <c r="N1085" s="273"/>
      <c r="O1085" s="273"/>
      <c r="P1085" s="273"/>
      <c r="Q1085" s="273"/>
      <c r="R1085" s="273"/>
      <c r="S1085" s="273"/>
      <c r="T1085" s="273"/>
      <c r="U1085" s="273"/>
      <c r="V1085" s="273"/>
      <c r="W1085" s="273">
        <f t="shared" si="238"/>
        <v>797555.07000000007</v>
      </c>
      <c r="X1085" s="273"/>
      <c r="Y1085" s="273"/>
      <c r="Z1085" s="273"/>
      <c r="AA1085" s="273"/>
      <c r="AB1085" s="273">
        <v>319953.31</v>
      </c>
      <c r="AD1085" s="273"/>
      <c r="AE1085" s="16">
        <v>477601.76</v>
      </c>
      <c r="AF1085" s="17"/>
      <c r="AG1085" s="15"/>
      <c r="AJ1085" s="13"/>
    </row>
    <row r="1086" spans="1:36" x14ac:dyDescent="0.3">
      <c r="A1086" s="259">
        <f t="shared" si="239"/>
        <v>839</v>
      </c>
      <c r="B1086" s="20" t="s">
        <v>3005</v>
      </c>
      <c r="C1086" s="273">
        <f t="shared" si="237"/>
        <v>256448.05</v>
      </c>
      <c r="D1086" s="273"/>
      <c r="E1086" s="273"/>
      <c r="F1086" s="273"/>
      <c r="G1086" s="273"/>
      <c r="H1086" s="273"/>
      <c r="I1086" s="273"/>
      <c r="J1086" s="50"/>
      <c r="K1086" s="273"/>
      <c r="L1086" s="273"/>
      <c r="M1086" s="273"/>
      <c r="N1086" s="273"/>
      <c r="O1086" s="273"/>
      <c r="P1086" s="273"/>
      <c r="Q1086" s="273"/>
      <c r="R1086" s="273"/>
      <c r="S1086" s="273"/>
      <c r="T1086" s="273"/>
      <c r="U1086" s="273"/>
      <c r="V1086" s="273"/>
      <c r="W1086" s="273">
        <f t="shared" si="238"/>
        <v>256448.05</v>
      </c>
      <c r="X1086" s="273"/>
      <c r="Y1086" s="273"/>
      <c r="Z1086" s="273"/>
      <c r="AA1086" s="273"/>
      <c r="AB1086" s="273">
        <v>256448.05</v>
      </c>
      <c r="AD1086" s="273"/>
      <c r="AE1086" s="16"/>
      <c r="AF1086" s="17"/>
      <c r="AG1086" s="15"/>
      <c r="AJ1086" s="13"/>
    </row>
    <row r="1087" spans="1:36" x14ac:dyDescent="0.3">
      <c r="A1087" s="259">
        <f t="shared" si="239"/>
        <v>840</v>
      </c>
      <c r="B1087" s="20" t="s">
        <v>3006</v>
      </c>
      <c r="C1087" s="273">
        <f t="shared" si="237"/>
        <v>260711.67999999999</v>
      </c>
      <c r="D1087" s="273"/>
      <c r="E1087" s="273"/>
      <c r="F1087" s="273"/>
      <c r="G1087" s="273"/>
      <c r="H1087" s="273"/>
      <c r="I1087" s="273"/>
      <c r="J1087" s="50"/>
      <c r="K1087" s="273"/>
      <c r="L1087" s="273"/>
      <c r="M1087" s="273"/>
      <c r="N1087" s="273"/>
      <c r="O1087" s="273"/>
      <c r="P1087" s="273"/>
      <c r="Q1087" s="273"/>
      <c r="R1087" s="273"/>
      <c r="S1087" s="273"/>
      <c r="T1087" s="273"/>
      <c r="U1087" s="273"/>
      <c r="V1087" s="273"/>
      <c r="W1087" s="273">
        <f t="shared" si="238"/>
        <v>260711.67999999999</v>
      </c>
      <c r="X1087" s="273"/>
      <c r="Y1087" s="273"/>
      <c r="Z1087" s="273"/>
      <c r="AA1087" s="273"/>
      <c r="AB1087" s="273"/>
      <c r="AD1087" s="273">
        <v>260711.67999999999</v>
      </c>
      <c r="AE1087" s="16"/>
      <c r="AF1087" s="17"/>
      <c r="AG1087" s="15"/>
      <c r="AJ1087" s="13"/>
    </row>
    <row r="1088" spans="1:36" x14ac:dyDescent="0.3">
      <c r="A1088" s="259">
        <f t="shared" si="239"/>
        <v>841</v>
      </c>
      <c r="B1088" s="20" t="s">
        <v>3007</v>
      </c>
      <c r="C1088" s="273">
        <f t="shared" si="237"/>
        <v>235355.08</v>
      </c>
      <c r="D1088" s="273"/>
      <c r="E1088" s="273"/>
      <c r="F1088" s="273"/>
      <c r="G1088" s="273"/>
      <c r="H1088" s="273"/>
      <c r="I1088" s="273"/>
      <c r="J1088" s="50"/>
      <c r="K1088" s="273"/>
      <c r="L1088" s="273"/>
      <c r="M1088" s="273"/>
      <c r="N1088" s="273"/>
      <c r="O1088" s="273"/>
      <c r="P1088" s="273"/>
      <c r="Q1088" s="273"/>
      <c r="R1088" s="273"/>
      <c r="S1088" s="273"/>
      <c r="T1088" s="273"/>
      <c r="U1088" s="273"/>
      <c r="V1088" s="273"/>
      <c r="W1088" s="273">
        <f t="shared" si="238"/>
        <v>235355.08</v>
      </c>
      <c r="X1088" s="273"/>
      <c r="Y1088" s="273"/>
      <c r="Z1088" s="273"/>
      <c r="AA1088" s="273"/>
      <c r="AB1088" s="273"/>
      <c r="AD1088" s="273">
        <v>235355.08</v>
      </c>
      <c r="AE1088" s="16"/>
      <c r="AF1088" s="17"/>
      <c r="AG1088" s="15"/>
      <c r="AJ1088" s="13"/>
    </row>
    <row r="1089" spans="1:36" x14ac:dyDescent="0.3">
      <c r="A1089" s="259">
        <f t="shared" si="239"/>
        <v>842</v>
      </c>
      <c r="B1089" s="20" t="s">
        <v>3008</v>
      </c>
      <c r="C1089" s="273">
        <f t="shared" si="237"/>
        <v>235355.08</v>
      </c>
      <c r="D1089" s="273"/>
      <c r="E1089" s="273"/>
      <c r="F1089" s="273"/>
      <c r="G1089" s="273"/>
      <c r="H1089" s="273"/>
      <c r="I1089" s="273"/>
      <c r="J1089" s="50"/>
      <c r="K1089" s="273"/>
      <c r="L1089" s="273"/>
      <c r="M1089" s="273"/>
      <c r="N1089" s="273"/>
      <c r="O1089" s="273"/>
      <c r="P1089" s="273"/>
      <c r="Q1089" s="273"/>
      <c r="R1089" s="273"/>
      <c r="S1089" s="273"/>
      <c r="T1089" s="273"/>
      <c r="U1089" s="273"/>
      <c r="V1089" s="273"/>
      <c r="W1089" s="273">
        <f t="shared" si="238"/>
        <v>235355.08</v>
      </c>
      <c r="X1089" s="273"/>
      <c r="Y1089" s="273"/>
      <c r="Z1089" s="273"/>
      <c r="AA1089" s="273"/>
      <c r="AB1089" s="273"/>
      <c r="AD1089" s="273">
        <v>235355.08</v>
      </c>
      <c r="AE1089" s="16"/>
      <c r="AF1089" s="17"/>
      <c r="AG1089" s="15"/>
      <c r="AJ1089" s="13"/>
    </row>
    <row r="1090" spans="1:36" x14ac:dyDescent="0.3">
      <c r="A1090" s="259">
        <f t="shared" si="239"/>
        <v>843</v>
      </c>
      <c r="B1090" s="20" t="s">
        <v>3009</v>
      </c>
      <c r="C1090" s="273">
        <f t="shared" si="237"/>
        <v>228411.92</v>
      </c>
      <c r="D1090" s="273"/>
      <c r="E1090" s="273"/>
      <c r="F1090" s="273"/>
      <c r="G1090" s="273"/>
      <c r="H1090" s="273"/>
      <c r="I1090" s="273"/>
      <c r="J1090" s="50"/>
      <c r="K1090" s="273"/>
      <c r="L1090" s="273"/>
      <c r="M1090" s="273"/>
      <c r="N1090" s="273"/>
      <c r="O1090" s="273"/>
      <c r="P1090" s="273"/>
      <c r="Q1090" s="273"/>
      <c r="R1090" s="273"/>
      <c r="S1090" s="273"/>
      <c r="T1090" s="273"/>
      <c r="U1090" s="273"/>
      <c r="V1090" s="273"/>
      <c r="W1090" s="273">
        <f t="shared" si="238"/>
        <v>228411.92</v>
      </c>
      <c r="X1090" s="273"/>
      <c r="Y1090" s="273"/>
      <c r="Z1090" s="273"/>
      <c r="AA1090" s="273"/>
      <c r="AB1090" s="273"/>
      <c r="AD1090" s="273">
        <v>228411.92</v>
      </c>
      <c r="AE1090" s="16"/>
      <c r="AF1090" s="17"/>
      <c r="AG1090" s="15"/>
      <c r="AJ1090" s="13"/>
    </row>
    <row r="1091" spans="1:36" x14ac:dyDescent="0.3">
      <c r="A1091" s="259">
        <f t="shared" si="239"/>
        <v>844</v>
      </c>
      <c r="B1091" s="20" t="s">
        <v>3010</v>
      </c>
      <c r="C1091" s="273">
        <f t="shared" si="237"/>
        <v>258320.98</v>
      </c>
      <c r="D1091" s="273"/>
      <c r="E1091" s="273"/>
      <c r="F1091" s="273"/>
      <c r="G1091" s="273"/>
      <c r="H1091" s="273"/>
      <c r="I1091" s="273"/>
      <c r="J1091" s="50"/>
      <c r="K1091" s="273"/>
      <c r="L1091" s="273"/>
      <c r="M1091" s="273"/>
      <c r="N1091" s="273"/>
      <c r="O1091" s="273"/>
      <c r="P1091" s="273"/>
      <c r="Q1091" s="273"/>
      <c r="R1091" s="273"/>
      <c r="S1091" s="273"/>
      <c r="T1091" s="273"/>
      <c r="U1091" s="273"/>
      <c r="V1091" s="273"/>
      <c r="W1091" s="273">
        <f t="shared" si="238"/>
        <v>258320.98</v>
      </c>
      <c r="X1091" s="273"/>
      <c r="Y1091" s="273"/>
      <c r="Z1091" s="273"/>
      <c r="AA1091" s="273"/>
      <c r="AB1091" s="273"/>
      <c r="AD1091" s="273">
        <v>258320.98</v>
      </c>
      <c r="AE1091" s="16"/>
      <c r="AF1091" s="17"/>
      <c r="AG1091" s="15"/>
      <c r="AJ1091" s="13"/>
    </row>
    <row r="1092" spans="1:36" x14ac:dyDescent="0.3">
      <c r="A1092" s="259">
        <f t="shared" si="239"/>
        <v>845</v>
      </c>
      <c r="B1092" s="20" t="s">
        <v>3014</v>
      </c>
      <c r="C1092" s="273">
        <f t="shared" si="237"/>
        <v>195527.57</v>
      </c>
      <c r="D1092" s="273"/>
      <c r="E1092" s="273"/>
      <c r="F1092" s="273"/>
      <c r="G1092" s="273"/>
      <c r="H1092" s="273"/>
      <c r="I1092" s="273"/>
      <c r="J1092" s="50"/>
      <c r="K1092" s="273"/>
      <c r="L1092" s="273"/>
      <c r="M1092" s="273"/>
      <c r="N1092" s="273"/>
      <c r="O1092" s="273"/>
      <c r="P1092" s="273"/>
      <c r="Q1092" s="273"/>
      <c r="R1092" s="273"/>
      <c r="S1092" s="273"/>
      <c r="T1092" s="273"/>
      <c r="U1092" s="273"/>
      <c r="V1092" s="273"/>
      <c r="W1092" s="273">
        <f t="shared" si="238"/>
        <v>195527.57</v>
      </c>
      <c r="X1092" s="273"/>
      <c r="Y1092" s="273"/>
      <c r="Z1092" s="273"/>
      <c r="AA1092" s="273"/>
      <c r="AB1092" s="273"/>
      <c r="AD1092" s="273">
        <v>195527.57</v>
      </c>
      <c r="AE1092" s="16"/>
      <c r="AF1092" s="17"/>
      <c r="AG1092" s="15"/>
      <c r="AJ1092" s="13"/>
    </row>
    <row r="1093" spans="1:36" x14ac:dyDescent="0.3">
      <c r="A1093" s="259">
        <f t="shared" si="239"/>
        <v>846</v>
      </c>
      <c r="B1093" s="20" t="s">
        <v>3015</v>
      </c>
      <c r="C1093" s="273">
        <f t="shared" si="237"/>
        <v>266582.33999999997</v>
      </c>
      <c r="D1093" s="273"/>
      <c r="E1093" s="273"/>
      <c r="F1093" s="273"/>
      <c r="G1093" s="273"/>
      <c r="H1093" s="273"/>
      <c r="I1093" s="273"/>
      <c r="J1093" s="50"/>
      <c r="K1093" s="273"/>
      <c r="L1093" s="273"/>
      <c r="M1093" s="273"/>
      <c r="N1093" s="273"/>
      <c r="O1093" s="273"/>
      <c r="P1093" s="273"/>
      <c r="Q1093" s="273"/>
      <c r="R1093" s="273"/>
      <c r="S1093" s="273"/>
      <c r="T1093" s="273"/>
      <c r="U1093" s="273"/>
      <c r="V1093" s="273"/>
      <c r="W1093" s="273">
        <f t="shared" si="238"/>
        <v>266582.33999999997</v>
      </c>
      <c r="X1093" s="273"/>
      <c r="Y1093" s="273"/>
      <c r="Z1093" s="273"/>
      <c r="AA1093" s="273"/>
      <c r="AB1093" s="273">
        <v>98499.56</v>
      </c>
      <c r="AD1093" s="273"/>
      <c r="AE1093" s="16"/>
      <c r="AF1093" s="17"/>
      <c r="AG1093" s="15">
        <v>168082.78</v>
      </c>
      <c r="AJ1093" s="13"/>
    </row>
    <row r="1094" spans="1:36" x14ac:dyDescent="0.3">
      <c r="A1094" s="259">
        <f t="shared" si="239"/>
        <v>847</v>
      </c>
      <c r="B1094" s="20" t="s">
        <v>3016</v>
      </c>
      <c r="C1094" s="273">
        <f t="shared" si="237"/>
        <v>96750.64</v>
      </c>
      <c r="D1094" s="273"/>
      <c r="E1094" s="273"/>
      <c r="F1094" s="273"/>
      <c r="G1094" s="273"/>
      <c r="H1094" s="273"/>
      <c r="I1094" s="273"/>
      <c r="J1094" s="50"/>
      <c r="K1094" s="273"/>
      <c r="L1094" s="273"/>
      <c r="M1094" s="273"/>
      <c r="N1094" s="273"/>
      <c r="O1094" s="273"/>
      <c r="P1094" s="273"/>
      <c r="Q1094" s="273"/>
      <c r="R1094" s="273"/>
      <c r="S1094" s="273"/>
      <c r="T1094" s="273"/>
      <c r="U1094" s="273"/>
      <c r="V1094" s="273"/>
      <c r="W1094" s="273">
        <f t="shared" si="238"/>
        <v>96750.64</v>
      </c>
      <c r="X1094" s="100"/>
      <c r="Y1094" s="273"/>
      <c r="Z1094" s="273">
        <v>96750.64</v>
      </c>
      <c r="AA1094" s="273"/>
      <c r="AB1094" s="273"/>
      <c r="AE1094" s="273"/>
      <c r="AF1094" s="273"/>
      <c r="AG1094" s="16"/>
      <c r="AH1094" s="17"/>
      <c r="AI1094" s="15"/>
      <c r="AJ1094" s="13"/>
    </row>
    <row r="1095" spans="1:36" x14ac:dyDescent="0.3">
      <c r="A1095" s="259"/>
      <c r="B1095" s="20" t="s">
        <v>208</v>
      </c>
      <c r="C1095" s="273">
        <f t="shared" ref="C1095:W1095" si="240">SUM(C1075:C1094)</f>
        <v>5167774.7300000004</v>
      </c>
      <c r="D1095" s="273">
        <f t="shared" si="240"/>
        <v>0</v>
      </c>
      <c r="E1095" s="273">
        <f t="shared" si="240"/>
        <v>0</v>
      </c>
      <c r="F1095" s="273">
        <f t="shared" si="240"/>
        <v>0</v>
      </c>
      <c r="G1095" s="273">
        <f t="shared" si="240"/>
        <v>0</v>
      </c>
      <c r="H1095" s="273">
        <f t="shared" si="240"/>
        <v>0</v>
      </c>
      <c r="I1095" s="273">
        <f t="shared" si="240"/>
        <v>0</v>
      </c>
      <c r="J1095" s="50">
        <f t="shared" si="240"/>
        <v>0</v>
      </c>
      <c r="K1095" s="273">
        <f t="shared" si="240"/>
        <v>0</v>
      </c>
      <c r="L1095" s="273">
        <f t="shared" si="240"/>
        <v>0</v>
      </c>
      <c r="M1095" s="273">
        <f t="shared" si="240"/>
        <v>0</v>
      </c>
      <c r="N1095" s="273">
        <f t="shared" si="240"/>
        <v>0</v>
      </c>
      <c r="O1095" s="273">
        <f t="shared" si="240"/>
        <v>0</v>
      </c>
      <c r="P1095" s="273">
        <f t="shared" si="240"/>
        <v>0</v>
      </c>
      <c r="Q1095" s="273">
        <f t="shared" si="240"/>
        <v>0</v>
      </c>
      <c r="R1095" s="273">
        <f t="shared" si="240"/>
        <v>0</v>
      </c>
      <c r="S1095" s="273">
        <f t="shared" si="240"/>
        <v>0</v>
      </c>
      <c r="T1095" s="273">
        <f t="shared" si="240"/>
        <v>0</v>
      </c>
      <c r="U1095" s="273">
        <f t="shared" si="240"/>
        <v>0</v>
      </c>
      <c r="V1095" s="273">
        <f t="shared" si="240"/>
        <v>0</v>
      </c>
      <c r="W1095" s="273">
        <f t="shared" si="240"/>
        <v>5167774.7300000004</v>
      </c>
      <c r="X1095" s="74"/>
      <c r="Y1095" s="273"/>
      <c r="Z1095" s="273"/>
      <c r="AA1095" s="273"/>
      <c r="AB1095" s="273"/>
      <c r="AD1095" s="273"/>
      <c r="AE1095" s="273"/>
      <c r="AF1095" s="273"/>
      <c r="AG1095" s="16"/>
      <c r="AH1095" s="17"/>
      <c r="AI1095" s="15"/>
      <c r="AJ1095" s="13"/>
    </row>
    <row r="1096" spans="1:36" x14ac:dyDescent="0.3">
      <c r="A1096" s="317" t="s">
        <v>3285</v>
      </c>
      <c r="B1096" s="318"/>
      <c r="C1096" s="251">
        <f t="shared" ref="C1096:W1096" si="241">C1095+C1073+C1066+C1055+C1052+C1048+C1040</f>
        <v>108288972.47</v>
      </c>
      <c r="D1096" s="251">
        <f t="shared" si="241"/>
        <v>9929682</v>
      </c>
      <c r="E1096" s="251">
        <f t="shared" si="241"/>
        <v>399938.4</v>
      </c>
      <c r="F1096" s="251">
        <f t="shared" si="241"/>
        <v>1313287.2</v>
      </c>
      <c r="G1096" s="251">
        <f t="shared" si="241"/>
        <v>0</v>
      </c>
      <c r="H1096" s="251">
        <f t="shared" si="241"/>
        <v>0</v>
      </c>
      <c r="I1096" s="251">
        <f t="shared" si="241"/>
        <v>8216456.4000000004</v>
      </c>
      <c r="J1096" s="57">
        <f t="shared" si="241"/>
        <v>0</v>
      </c>
      <c r="K1096" s="251">
        <f t="shared" si="241"/>
        <v>0</v>
      </c>
      <c r="L1096" s="251">
        <f t="shared" si="241"/>
        <v>0</v>
      </c>
      <c r="M1096" s="251">
        <f t="shared" si="241"/>
        <v>3047</v>
      </c>
      <c r="N1096" s="251">
        <f t="shared" si="241"/>
        <v>19637633</v>
      </c>
      <c r="O1096" s="251">
        <f t="shared" si="241"/>
        <v>0</v>
      </c>
      <c r="P1096" s="251">
        <f t="shared" si="241"/>
        <v>0</v>
      </c>
      <c r="Q1096" s="251">
        <f t="shared" si="241"/>
        <v>7795</v>
      </c>
      <c r="R1096" s="251">
        <f t="shared" si="241"/>
        <v>66137149.660000011</v>
      </c>
      <c r="S1096" s="251">
        <f t="shared" si="241"/>
        <v>0</v>
      </c>
      <c r="T1096" s="251">
        <f t="shared" si="241"/>
        <v>0</v>
      </c>
      <c r="U1096" s="251">
        <f t="shared" si="241"/>
        <v>4287108</v>
      </c>
      <c r="V1096" s="251">
        <f t="shared" si="241"/>
        <v>0</v>
      </c>
      <c r="W1096" s="251">
        <f t="shared" si="241"/>
        <v>8297399.8100000005</v>
      </c>
      <c r="X1096" s="74"/>
      <c r="Y1096" s="273"/>
      <c r="Z1096" s="273"/>
      <c r="AA1096" s="273"/>
      <c r="AB1096" s="273"/>
      <c r="AC1096" s="273"/>
      <c r="AD1096" s="273"/>
      <c r="AE1096" s="273"/>
      <c r="AF1096" s="273"/>
      <c r="AG1096" s="16"/>
      <c r="AH1096" s="17"/>
      <c r="AI1096" s="15"/>
      <c r="AJ1096" s="13"/>
    </row>
    <row r="1097" spans="1:36" x14ac:dyDescent="0.3">
      <c r="A1097" s="317" t="s">
        <v>3023</v>
      </c>
      <c r="B1097" s="318"/>
      <c r="C1097" s="251">
        <f t="shared" ref="C1097:X1097" si="242">C1096+C1034+C961+C853+C844+C787+C764+C708+C649+C596+C442+C406+C383+C307+C236+C125+C55+C31</f>
        <v>3700355040.9799995</v>
      </c>
      <c r="D1097" s="251">
        <f t="shared" si="242"/>
        <v>79097336.310000002</v>
      </c>
      <c r="E1097" s="251">
        <f t="shared" si="242"/>
        <v>11939975.43</v>
      </c>
      <c r="F1097" s="251">
        <f t="shared" si="242"/>
        <v>40836490.640000001</v>
      </c>
      <c r="G1097" s="251">
        <f t="shared" si="242"/>
        <v>7354820.7999999998</v>
      </c>
      <c r="H1097" s="251">
        <f t="shared" si="242"/>
        <v>6807575</v>
      </c>
      <c r="I1097" s="251">
        <f t="shared" si="242"/>
        <v>12158474.440000001</v>
      </c>
      <c r="J1097" s="57">
        <f t="shared" si="242"/>
        <v>0</v>
      </c>
      <c r="K1097" s="251">
        <f t="shared" si="242"/>
        <v>0</v>
      </c>
      <c r="L1097" s="251">
        <f t="shared" si="242"/>
        <v>0</v>
      </c>
      <c r="M1097" s="251">
        <f t="shared" si="242"/>
        <v>20195.099999999999</v>
      </c>
      <c r="N1097" s="251">
        <f t="shared" si="242"/>
        <v>189314630.63999999</v>
      </c>
      <c r="O1097" s="251">
        <f t="shared" si="242"/>
        <v>28081.39</v>
      </c>
      <c r="P1097" s="251">
        <f t="shared" si="242"/>
        <v>436662192.81999999</v>
      </c>
      <c r="Q1097" s="251">
        <f t="shared" si="242"/>
        <v>371799.5</v>
      </c>
      <c r="R1097" s="251">
        <f t="shared" si="242"/>
        <v>2768230522.3899999</v>
      </c>
      <c r="S1097" s="251">
        <f t="shared" si="242"/>
        <v>4375292.75</v>
      </c>
      <c r="T1097" s="251">
        <f t="shared" si="242"/>
        <v>7289.9699999999993</v>
      </c>
      <c r="U1097" s="251">
        <f t="shared" si="242"/>
        <v>48450554.640000001</v>
      </c>
      <c r="V1097" s="251">
        <f t="shared" si="242"/>
        <v>2110475.7999999998</v>
      </c>
      <c r="W1097" s="251">
        <f t="shared" si="242"/>
        <v>163510224.16999999</v>
      </c>
      <c r="X1097" s="41" t="e">
        <f t="shared" si="242"/>
        <v>#REF!</v>
      </c>
      <c r="Y1097" s="41" t="e">
        <f>Y1096+Y1034+AB961+Y853+Y844+Y787+Y764+Y708+Y649+Y596+Y442+Y406+Y383+Y307+Y236+Y125+Y55+Y31</f>
        <v>#REF!</v>
      </c>
      <c r="Z1097" s="41" t="e">
        <f>Z1096+Z1034+Y961+Z853+Z844+Z787+Z764+Z708+Z649+Z596+Z442+Z406+Z383+Z307+Z236+Z125+Z55+Z31</f>
        <v>#REF!</v>
      </c>
      <c r="AA1097" s="41" t="e">
        <f>AA1096+AA1034+Z961+AA853+AA844+AA787+AA764+AA708+AA649+AA596+AA442+AA406+AA383+AA307+AA236+AA125+AA55+AA31</f>
        <v>#REF!</v>
      </c>
      <c r="AB1097" s="41" t="e">
        <f>AB1096+AB1034+#REF!+AB853+AB844+AB787+AB764+AB708+AB649+AB596+AB442+AB406+AB383+AB307+AB236+AB125+AB55+AB31</f>
        <v>#REF!</v>
      </c>
    </row>
    <row r="1098" spans="1:36" x14ac:dyDescent="0.3">
      <c r="A1098" s="414" t="s">
        <v>3520</v>
      </c>
      <c r="B1098" s="414"/>
      <c r="C1098" s="280">
        <f>(C1097-W1097)*0.0214</f>
        <v>75688479.079733983</v>
      </c>
      <c r="D1098" s="280"/>
      <c r="E1098" s="280"/>
      <c r="F1098" s="280"/>
      <c r="G1098" s="280"/>
      <c r="H1098" s="280"/>
      <c r="I1098" s="280"/>
      <c r="J1098" s="187"/>
      <c r="K1098" s="280"/>
      <c r="L1098" s="280"/>
      <c r="M1098" s="280"/>
      <c r="N1098" s="280"/>
      <c r="O1098" s="280"/>
      <c r="P1098" s="280"/>
      <c r="Q1098" s="280"/>
      <c r="R1098" s="280"/>
      <c r="S1098" s="280"/>
      <c r="T1098" s="280"/>
      <c r="U1098" s="280"/>
      <c r="V1098" s="280"/>
      <c r="W1098" s="280"/>
    </row>
    <row r="1099" spans="1:36" x14ac:dyDescent="0.3">
      <c r="A1099" s="415" t="s">
        <v>3521</v>
      </c>
      <c r="B1099" s="415"/>
      <c r="C1099" s="280">
        <f>C1097+C1098</f>
        <v>3776043520.0597334</v>
      </c>
      <c r="D1099" s="280"/>
      <c r="E1099" s="280"/>
      <c r="F1099" s="280"/>
      <c r="G1099" s="280"/>
      <c r="H1099" s="280"/>
      <c r="I1099" s="280"/>
      <c r="J1099" s="187"/>
      <c r="K1099" s="280"/>
      <c r="L1099" s="280"/>
      <c r="M1099" s="280"/>
      <c r="N1099" s="280"/>
      <c r="O1099" s="280"/>
      <c r="P1099" s="280"/>
      <c r="Q1099" s="280"/>
      <c r="R1099" s="280"/>
      <c r="S1099" s="280"/>
      <c r="T1099" s="280"/>
      <c r="U1099" s="280"/>
      <c r="V1099" s="280"/>
      <c r="W1099" s="280"/>
    </row>
  </sheetData>
  <autoFilter ref="A9:AG1099"/>
  <mergeCells count="199">
    <mergeCell ref="A444:B444"/>
    <mergeCell ref="A510:B510"/>
    <mergeCell ref="A1074:B1074"/>
    <mergeCell ref="A1041:B1041"/>
    <mergeCell ref="A1049:B1049"/>
    <mergeCell ref="A1053:B1053"/>
    <mergeCell ref="A1056:B1056"/>
    <mergeCell ref="A1067:B1067"/>
    <mergeCell ref="A1033:B1033"/>
    <mergeCell ref="A1034:B1034"/>
    <mergeCell ref="A1036:B1036"/>
    <mergeCell ref="A1035:W1035"/>
    <mergeCell ref="A963:B963"/>
    <mergeCell ref="A1012:B1012"/>
    <mergeCell ref="A1013:B1013"/>
    <mergeCell ref="A852:B852"/>
    <mergeCell ref="A853:B853"/>
    <mergeCell ref="A854:W854"/>
    <mergeCell ref="A961:B961"/>
    <mergeCell ref="A962:W962"/>
    <mergeCell ref="A846:B846"/>
    <mergeCell ref="A838:B838"/>
    <mergeCell ref="A843:B843"/>
    <mergeCell ref="A844:B844"/>
    <mergeCell ref="A845:W845"/>
    <mergeCell ref="A833:B833"/>
    <mergeCell ref="A837:B837"/>
    <mergeCell ref="A815:B815"/>
    <mergeCell ref="A816:B816"/>
    <mergeCell ref="A826:B826"/>
    <mergeCell ref="A789:B789"/>
    <mergeCell ref="A797:B797"/>
    <mergeCell ref="A798:B798"/>
    <mergeCell ref="A802:B802"/>
    <mergeCell ref="A803:B803"/>
    <mergeCell ref="A808:B808"/>
    <mergeCell ref="A775:B775"/>
    <mergeCell ref="A779:B779"/>
    <mergeCell ref="A780:B780"/>
    <mergeCell ref="A786:B786"/>
    <mergeCell ref="A787:B787"/>
    <mergeCell ref="A788:W788"/>
    <mergeCell ref="A764:B764"/>
    <mergeCell ref="A765:W765"/>
    <mergeCell ref="A766:B766"/>
    <mergeCell ref="A768:B768"/>
    <mergeCell ref="A769:B769"/>
    <mergeCell ref="A774:B774"/>
    <mergeCell ref="A743:B743"/>
    <mergeCell ref="A746:B746"/>
    <mergeCell ref="A747:B747"/>
    <mergeCell ref="A750:B750"/>
    <mergeCell ref="A751:B751"/>
    <mergeCell ref="A763:B763"/>
    <mergeCell ref="A740:B740"/>
    <mergeCell ref="A742:B742"/>
    <mergeCell ref="A730:B730"/>
    <mergeCell ref="A739:B739"/>
    <mergeCell ref="A718:B718"/>
    <mergeCell ref="A724:B724"/>
    <mergeCell ref="A725:B725"/>
    <mergeCell ref="A729:B729"/>
    <mergeCell ref="A710:B710"/>
    <mergeCell ref="A717:B717"/>
    <mergeCell ref="A702:B702"/>
    <mergeCell ref="A707:B707"/>
    <mergeCell ref="A708:B708"/>
    <mergeCell ref="A709:W709"/>
    <mergeCell ref="A682:B682"/>
    <mergeCell ref="A695:B695"/>
    <mergeCell ref="A696:B696"/>
    <mergeCell ref="A698:B698"/>
    <mergeCell ref="A699:B699"/>
    <mergeCell ref="A701:B701"/>
    <mergeCell ref="A443:W443"/>
    <mergeCell ref="A650:W650"/>
    <mergeCell ref="A651:B651"/>
    <mergeCell ref="A654:B654"/>
    <mergeCell ref="A655:B655"/>
    <mergeCell ref="A666:B666"/>
    <mergeCell ref="A668:B668"/>
    <mergeCell ref="A669:B669"/>
    <mergeCell ref="A681:B681"/>
    <mergeCell ref="A659:B659"/>
    <mergeCell ref="A662:B662"/>
    <mergeCell ref="A663:B663"/>
    <mergeCell ref="A665:B665"/>
    <mergeCell ref="A658:B658"/>
    <mergeCell ref="A596:B596"/>
    <mergeCell ref="A597:W597"/>
    <mergeCell ref="A649:B649"/>
    <mergeCell ref="A648:B648"/>
    <mergeCell ref="A643:B643"/>
    <mergeCell ref="A551:B551"/>
    <mergeCell ref="A569:B569"/>
    <mergeCell ref="A559:B559"/>
    <mergeCell ref="A564:B564"/>
    <mergeCell ref="A555:B555"/>
    <mergeCell ref="A225:B225"/>
    <mergeCell ref="Z213:AA213"/>
    <mergeCell ref="Z214:AA214"/>
    <mergeCell ref="Z215:AA215"/>
    <mergeCell ref="A406:B406"/>
    <mergeCell ref="A383:B383"/>
    <mergeCell ref="A307:B307"/>
    <mergeCell ref="A304:B304"/>
    <mergeCell ref="A442:B442"/>
    <mergeCell ref="A308:W308"/>
    <mergeCell ref="A384:W384"/>
    <mergeCell ref="A407:W407"/>
    <mergeCell ref="A408:B408"/>
    <mergeCell ref="A413:B413"/>
    <mergeCell ref="A416:B416"/>
    <mergeCell ref="A433:B433"/>
    <mergeCell ref="Z216:AA216"/>
    <mergeCell ref="A513:B513"/>
    <mergeCell ref="A262:B262"/>
    <mergeCell ref="A258:B258"/>
    <mergeCell ref="A254:B254"/>
    <mergeCell ref="A251:B251"/>
    <mergeCell ref="Z222:AA222"/>
    <mergeCell ref="Z223:AA223"/>
    <mergeCell ref="A237:W237"/>
    <mergeCell ref="Z247:AA247"/>
    <mergeCell ref="Z217:AA217"/>
    <mergeCell ref="Z218:AA218"/>
    <mergeCell ref="Z219:AA219"/>
    <mergeCell ref="Z220:AA220"/>
    <mergeCell ref="Z221:AA221"/>
    <mergeCell ref="A245:B245"/>
    <mergeCell ref="A238:B238"/>
    <mergeCell ref="A236:B236"/>
    <mergeCell ref="A230:B230"/>
    <mergeCell ref="X10:X11"/>
    <mergeCell ref="A31:B31"/>
    <mergeCell ref="Z145:AA145"/>
    <mergeCell ref="A126:W126"/>
    <mergeCell ref="Z129:AA129"/>
    <mergeCell ref="A127:B127"/>
    <mergeCell ref="A32:W32"/>
    <mergeCell ref="A10:W10"/>
    <mergeCell ref="A55:B55"/>
    <mergeCell ref="Z134:AA134"/>
    <mergeCell ref="Z135:AA135"/>
    <mergeCell ref="A56:W56"/>
    <mergeCell ref="A212:B212"/>
    <mergeCell ref="A207:B207"/>
    <mergeCell ref="A203:B203"/>
    <mergeCell ref="A168:B168"/>
    <mergeCell ref="A150:B150"/>
    <mergeCell ref="A144:B144"/>
    <mergeCell ref="A140:B140"/>
    <mergeCell ref="X132:Y132"/>
    <mergeCell ref="X133:Y133"/>
    <mergeCell ref="A1:W1"/>
    <mergeCell ref="AD2:AF2"/>
    <mergeCell ref="D4:I4"/>
    <mergeCell ref="J4:L4"/>
    <mergeCell ref="M4:N7"/>
    <mergeCell ref="O4:P7"/>
    <mergeCell ref="Q4:R7"/>
    <mergeCell ref="T4:U7"/>
    <mergeCell ref="V4:V7"/>
    <mergeCell ref="W4:W7"/>
    <mergeCell ref="AD4:AD8"/>
    <mergeCell ref="AE4:AE8"/>
    <mergeCell ref="AF4:AF8"/>
    <mergeCell ref="D5:D7"/>
    <mergeCell ref="E5:E7"/>
    <mergeCell ref="F5:F7"/>
    <mergeCell ref="G5:G7"/>
    <mergeCell ref="H5:H7"/>
    <mergeCell ref="I5:I7"/>
    <mergeCell ref="J5:J7"/>
    <mergeCell ref="D3:W3"/>
    <mergeCell ref="A1096:B1096"/>
    <mergeCell ref="A1097:B1097"/>
    <mergeCell ref="A1098:B1098"/>
    <mergeCell ref="A1099:B1099"/>
    <mergeCell ref="C3:C7"/>
    <mergeCell ref="B3:B7"/>
    <mergeCell ref="A3:A7"/>
    <mergeCell ref="S1013:T1013"/>
    <mergeCell ref="S4:S7"/>
    <mergeCell ref="K5:K7"/>
    <mergeCell ref="L5:L7"/>
    <mergeCell ref="A385:B385"/>
    <mergeCell ref="A389:B389"/>
    <mergeCell ref="A399:B399"/>
    <mergeCell ref="A370:B370"/>
    <mergeCell ref="A373:B373"/>
    <mergeCell ref="A376:B376"/>
    <mergeCell ref="A380:B380"/>
    <mergeCell ref="A316:B316"/>
    <mergeCell ref="A319:B319"/>
    <mergeCell ref="A361:B361"/>
    <mergeCell ref="A367:B367"/>
    <mergeCell ref="A309:B309"/>
    <mergeCell ref="A278:B278"/>
  </mergeCells>
  <conditionalFormatting sqref="B30 A31">
    <cfRule type="duplicateValues" dxfId="54" priority="64"/>
  </conditionalFormatting>
  <conditionalFormatting sqref="B34">
    <cfRule type="duplicateValues" dxfId="53" priority="62"/>
  </conditionalFormatting>
  <conditionalFormatting sqref="B36">
    <cfRule type="duplicateValues" dxfId="52" priority="60"/>
  </conditionalFormatting>
  <conditionalFormatting sqref="B51">
    <cfRule type="duplicateValues" dxfId="51" priority="59"/>
  </conditionalFormatting>
  <conditionalFormatting sqref="B255:B256">
    <cfRule type="duplicateValues" dxfId="50" priority="58"/>
  </conditionalFormatting>
  <conditionalFormatting sqref="B371:B372">
    <cfRule type="duplicateValues" dxfId="49" priority="50"/>
  </conditionalFormatting>
  <conditionalFormatting sqref="B374:B375">
    <cfRule type="duplicateValues" dxfId="48" priority="49"/>
  </conditionalFormatting>
  <conditionalFormatting sqref="B398">
    <cfRule type="duplicateValues" dxfId="47" priority="43"/>
  </conditionalFormatting>
  <conditionalFormatting sqref="B405">
    <cfRule type="duplicateValues" dxfId="46" priority="41"/>
  </conditionalFormatting>
  <conditionalFormatting sqref="B409:B412">
    <cfRule type="duplicateValues" dxfId="45" priority="35"/>
  </conditionalFormatting>
  <conditionalFormatting sqref="A442">
    <cfRule type="duplicateValues" dxfId="44" priority="36"/>
  </conditionalFormatting>
  <conditionalFormatting sqref="B415">
    <cfRule type="duplicateValues" dxfId="43" priority="37"/>
  </conditionalFormatting>
  <conditionalFormatting sqref="B432">
    <cfRule type="duplicateValues" dxfId="42" priority="38"/>
  </conditionalFormatting>
  <conditionalFormatting sqref="B441">
    <cfRule type="duplicateValues" dxfId="41" priority="39"/>
  </conditionalFormatting>
  <conditionalFormatting sqref="B964">
    <cfRule type="duplicateValues" dxfId="40" priority="32"/>
  </conditionalFormatting>
  <conditionalFormatting sqref="B1015">
    <cfRule type="duplicateValues" dxfId="39" priority="31"/>
  </conditionalFormatting>
  <conditionalFormatting sqref="B1037:B1038">
    <cfRule type="duplicateValues" dxfId="38" priority="24"/>
  </conditionalFormatting>
  <conditionalFormatting sqref="B1039">
    <cfRule type="duplicateValues" dxfId="37" priority="23"/>
  </conditionalFormatting>
  <conditionalFormatting sqref="B1070">
    <cfRule type="duplicateValues" dxfId="36" priority="22"/>
  </conditionalFormatting>
  <conditionalFormatting sqref="A1096:A1097 B1075:B1094">
    <cfRule type="duplicateValues" dxfId="35" priority="19"/>
  </conditionalFormatting>
  <conditionalFormatting sqref="B1040">
    <cfRule type="duplicateValues" dxfId="34" priority="18"/>
  </conditionalFormatting>
  <conditionalFormatting sqref="B1048">
    <cfRule type="duplicateValues" dxfId="33" priority="17"/>
  </conditionalFormatting>
  <conditionalFormatting sqref="B1052">
    <cfRule type="duplicateValues" dxfId="32" priority="16"/>
  </conditionalFormatting>
  <conditionalFormatting sqref="B1055">
    <cfRule type="duplicateValues" dxfId="31" priority="15"/>
  </conditionalFormatting>
  <conditionalFormatting sqref="B1066">
    <cfRule type="duplicateValues" dxfId="30" priority="14"/>
  </conditionalFormatting>
  <conditionalFormatting sqref="B1073">
    <cfRule type="duplicateValues" dxfId="29" priority="13"/>
  </conditionalFormatting>
  <conditionalFormatting sqref="B1095">
    <cfRule type="duplicateValues" dxfId="28" priority="11"/>
  </conditionalFormatting>
  <conditionalFormatting sqref="B1045:B1047">
    <cfRule type="duplicateValues" dxfId="27" priority="10"/>
  </conditionalFormatting>
  <conditionalFormatting sqref="B117:B118 B110:B115 B57:B67 B69:B72 B74:B76 B120:B123 B78:B95 B97:B108">
    <cfRule type="duplicateValues" dxfId="26" priority="67"/>
  </conditionalFormatting>
  <conditionalFormatting sqref="B310:B315">
    <cfRule type="duplicateValues" dxfId="25" priority="68"/>
  </conditionalFormatting>
  <conditionalFormatting sqref="B317:B318">
    <cfRule type="duplicateValues" dxfId="24" priority="69"/>
  </conditionalFormatting>
  <conditionalFormatting sqref="B368:B369">
    <cfRule type="duplicateValues" dxfId="23" priority="71"/>
  </conditionalFormatting>
  <conditionalFormatting sqref="B377:B379">
    <cfRule type="duplicateValues" dxfId="22" priority="72"/>
  </conditionalFormatting>
  <conditionalFormatting sqref="B381:B382">
    <cfRule type="duplicateValues" dxfId="21" priority="73"/>
  </conditionalFormatting>
  <conditionalFormatting sqref="B1042:B1044">
    <cfRule type="duplicateValues" dxfId="20" priority="77"/>
  </conditionalFormatting>
  <conditionalFormatting sqref="B1054">
    <cfRule type="duplicateValues" dxfId="19" priority="79"/>
  </conditionalFormatting>
  <conditionalFormatting sqref="B400">
    <cfRule type="duplicateValues" dxfId="18" priority="8"/>
  </conditionalFormatting>
  <conditionalFormatting sqref="B401:B404">
    <cfRule type="duplicateValues" dxfId="17" priority="9"/>
  </conditionalFormatting>
  <conditionalFormatting sqref="B391">
    <cfRule type="duplicateValues" dxfId="16" priority="6"/>
  </conditionalFormatting>
  <conditionalFormatting sqref="B392:B393">
    <cfRule type="duplicateValues" dxfId="15" priority="5"/>
  </conditionalFormatting>
  <conditionalFormatting sqref="B394:B395">
    <cfRule type="duplicateValues" dxfId="14" priority="4"/>
  </conditionalFormatting>
  <conditionalFormatting sqref="B396:B397">
    <cfRule type="duplicateValues" dxfId="13" priority="3"/>
  </conditionalFormatting>
  <conditionalFormatting sqref="B29 B16:B27">
    <cfRule type="duplicateValues" dxfId="12" priority="449"/>
  </conditionalFormatting>
  <conditionalFormatting sqref="A383">
    <cfRule type="duplicateValues" dxfId="11" priority="663"/>
  </conditionalFormatting>
  <conditionalFormatting sqref="B390">
    <cfRule type="duplicateValues" dxfId="10" priority="677"/>
  </conditionalFormatting>
  <conditionalFormatting sqref="B14">
    <cfRule type="duplicateValues" dxfId="9" priority="2"/>
  </conditionalFormatting>
  <conditionalFormatting sqref="B362:B366">
    <cfRule type="duplicateValues" dxfId="8" priority="766"/>
  </conditionalFormatting>
  <conditionalFormatting sqref="B387:B388">
    <cfRule type="duplicateValues" dxfId="7" priority="771"/>
  </conditionalFormatting>
  <conditionalFormatting sqref="B1050:B1051">
    <cfRule type="duplicateValues" dxfId="6" priority="774"/>
  </conditionalFormatting>
  <conditionalFormatting sqref="B1071:B1072 B1068:B1069">
    <cfRule type="duplicateValues" dxfId="5" priority="776"/>
  </conditionalFormatting>
  <conditionalFormatting sqref="A55">
    <cfRule type="duplicateValues" dxfId="4" priority="1"/>
  </conditionalFormatting>
  <conditionalFormatting sqref="B347:B360 B320:B345">
    <cfRule type="duplicateValues" dxfId="3" priority="1798"/>
  </conditionalFormatting>
  <conditionalFormatting sqref="B1016:B1032 B1006:B1011 B965:B1002 B1014">
    <cfRule type="duplicateValues" dxfId="2" priority="1858"/>
  </conditionalFormatting>
  <conditionalFormatting sqref="B1057:B1065">
    <cfRule type="duplicateValues" dxfId="1" priority="1860"/>
  </conditionalFormatting>
  <conditionalFormatting sqref="B33 B35 B52:B54 B37:B47">
    <cfRule type="duplicateValues" dxfId="0" priority="1869"/>
  </conditionalFormatting>
  <pageMargins left="0.23622047244094491" right="0.23622047244094491" top="0.55118110236220474" bottom="0.39370078740157483" header="0.31496062992125984" footer="0.23622047244094491"/>
  <pageSetup paperSize="9" scale="42" orientation="landscape" r:id="rId1"/>
  <headerFooter>
    <oddFooter>&amp;CСтраница &amp;P&amp;RРаздел  IV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XH10" workbookViewId="0">
      <selection activeCell="BXH17" sqref="A17:XFD17"/>
    </sheetView>
  </sheetViews>
  <sheetFormatPr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09375" defaultRowHeight="14.4" x14ac:dyDescent="0.3"/>
  <cols>
    <col min="1" max="1" width="24.33203125" style="1" customWidth="1"/>
    <col min="2" max="2" width="9.109375" style="1"/>
    <col min="3" max="3" width="17.33203125" style="1" customWidth="1"/>
    <col min="4" max="4" width="16.5546875" style="1" customWidth="1"/>
    <col min="5" max="5" width="14.5546875" style="1" customWidth="1"/>
    <col min="6" max="6" width="17.88671875" style="1" customWidth="1"/>
    <col min="7" max="7" width="19.33203125" style="1" customWidth="1"/>
    <col min="8" max="16384" width="9.109375" style="1"/>
  </cols>
  <sheetData>
    <row r="3" spans="1:7" x14ac:dyDescent="0.3">
      <c r="B3" s="1" t="s">
        <v>3416</v>
      </c>
      <c r="C3" s="1" t="s">
        <v>3417</v>
      </c>
      <c r="D3" s="1">
        <v>2020</v>
      </c>
      <c r="E3" s="1">
        <v>2021</v>
      </c>
      <c r="F3" s="1">
        <v>2022</v>
      </c>
      <c r="G3" s="1" t="s">
        <v>3517</v>
      </c>
    </row>
    <row r="4" spans="1:7" x14ac:dyDescent="0.3">
      <c r="A4" s="1" t="s">
        <v>3418</v>
      </c>
      <c r="C4" s="21">
        <f>D4+E4+F4</f>
        <v>287744189.85000002</v>
      </c>
      <c r="D4" s="21">
        <f>'2020'!C66</f>
        <v>155264803.25999999</v>
      </c>
      <c r="E4" s="21">
        <f>'2021'!C135</f>
        <v>92470129.179999992</v>
      </c>
      <c r="F4" s="21">
        <f>'2022'!C31</f>
        <v>40009257.409999996</v>
      </c>
      <c r="G4" s="21">
        <f>C4-'Раздел 1'!I176</f>
        <v>0</v>
      </c>
    </row>
    <row r="5" spans="1:7" x14ac:dyDescent="0.3">
      <c r="A5" s="1" t="s">
        <v>3419</v>
      </c>
      <c r="C5" s="21">
        <f t="shared" ref="C5:C21" si="0">D5+E5+F5</f>
        <v>187402060.38999999</v>
      </c>
      <c r="D5" s="21">
        <f>'2020'!C90</f>
        <v>61712364.189999998</v>
      </c>
      <c r="E5" s="21">
        <f>'2021'!C189</f>
        <v>33204683</v>
      </c>
      <c r="F5" s="21">
        <f>'2022'!C55</f>
        <v>92485013.200000003</v>
      </c>
      <c r="G5" s="24">
        <f>C5-'Раздел 1'!I249</f>
        <v>0</v>
      </c>
    </row>
    <row r="6" spans="1:7" x14ac:dyDescent="0.3">
      <c r="A6" s="1" t="s">
        <v>3420</v>
      </c>
      <c r="C6" s="21">
        <f t="shared" si="0"/>
        <v>368119647.5999999</v>
      </c>
      <c r="D6" s="21">
        <f>'2020'!C156</f>
        <v>84622895.049999997</v>
      </c>
      <c r="E6" s="21">
        <f>'2021'!C353</f>
        <v>134335816.93999997</v>
      </c>
      <c r="F6" s="21">
        <f>'2022'!C125</f>
        <v>149160935.60999998</v>
      </c>
      <c r="G6" s="21">
        <f>C6-'Раздел 1'!I464</f>
        <v>0</v>
      </c>
    </row>
    <row r="7" spans="1:7" x14ac:dyDescent="0.3">
      <c r="A7" s="1" t="s">
        <v>3421</v>
      </c>
      <c r="C7" s="21">
        <f t="shared" si="0"/>
        <v>723581663.88000011</v>
      </c>
      <c r="D7" s="21">
        <f>'2020'!C192</f>
        <v>90878575.459999979</v>
      </c>
      <c r="E7" s="21">
        <f>'2021'!C572</f>
        <v>183214002.35000002</v>
      </c>
      <c r="F7" s="21">
        <f>'2022'!C236</f>
        <v>449489086.07000005</v>
      </c>
      <c r="G7" s="21">
        <f>C7-'Раздел 1'!I761</f>
        <v>0</v>
      </c>
    </row>
    <row r="8" spans="1:7" x14ac:dyDescent="0.3">
      <c r="A8" s="1" t="s">
        <v>3422</v>
      </c>
      <c r="C8" s="21">
        <f t="shared" si="0"/>
        <v>787333094.89999998</v>
      </c>
      <c r="D8" s="21">
        <f>'2020'!C257</f>
        <v>145464018.00999999</v>
      </c>
      <c r="E8" s="21">
        <f>'2021'!C864</f>
        <v>408487528.51999998</v>
      </c>
      <c r="F8" s="21">
        <f>'2022'!C307</f>
        <v>233381548.37</v>
      </c>
      <c r="G8" s="21">
        <f>C8-'Раздел 1'!I1118</f>
        <v>0</v>
      </c>
    </row>
    <row r="9" spans="1:7" x14ac:dyDescent="0.3">
      <c r="A9" s="1" t="s">
        <v>3423</v>
      </c>
      <c r="C9" s="21">
        <f t="shared" si="0"/>
        <v>872766721.46000004</v>
      </c>
      <c r="D9" s="21">
        <f>'2020'!C342</f>
        <v>147888670.81999999</v>
      </c>
      <c r="E9" s="21">
        <f>'2021'!C1293</f>
        <v>351312679.66000003</v>
      </c>
      <c r="F9" s="21">
        <f>'2022'!C383</f>
        <v>373565370.98000002</v>
      </c>
      <c r="G9" s="21">
        <f>C9-'Раздел 1'!I1585</f>
        <v>0</v>
      </c>
    </row>
    <row r="10" spans="1:7" x14ac:dyDescent="0.3">
      <c r="A10" s="1" t="s">
        <v>3424</v>
      </c>
      <c r="C10" s="21">
        <f t="shared" si="0"/>
        <v>804492396.69999981</v>
      </c>
      <c r="D10" s="21">
        <f>'2020'!C379</f>
        <v>76045722</v>
      </c>
      <c r="E10" s="21">
        <f>'2021'!C1372</f>
        <v>131500077.78999998</v>
      </c>
      <c r="F10" s="21">
        <f>'2022'!C442</f>
        <v>596946596.90999985</v>
      </c>
      <c r="G10" s="24">
        <f>C10-'Раздел 1'!I1719</f>
        <v>0</v>
      </c>
    </row>
    <row r="11" spans="1:7" x14ac:dyDescent="0.3">
      <c r="A11" s="1" t="s">
        <v>3425</v>
      </c>
      <c r="C11" s="21">
        <f t="shared" si="0"/>
        <v>447522076.94999999</v>
      </c>
      <c r="D11" s="21">
        <f>'2020'!C470</f>
        <v>148912761.97</v>
      </c>
      <c r="E11" s="21">
        <f>'2021'!C1447</f>
        <v>172371266.42000002</v>
      </c>
      <c r="F11" s="21">
        <f>'2022'!C596</f>
        <v>126238048.56</v>
      </c>
      <c r="G11" s="25">
        <f>C11-'Раздел 1'!I1978</f>
        <v>0</v>
      </c>
    </row>
    <row r="12" spans="1:7" x14ac:dyDescent="0.3">
      <c r="A12" s="1" t="s">
        <v>3426</v>
      </c>
      <c r="C12" s="21">
        <f t="shared" si="0"/>
        <v>116693966.98</v>
      </c>
      <c r="D12" s="21">
        <f>'2020'!C355</f>
        <v>21217224.539999995</v>
      </c>
      <c r="E12" s="21">
        <f>'2021'!C1332</f>
        <v>11003049.039999999</v>
      </c>
      <c r="F12" s="21">
        <f>'2022'!C406</f>
        <v>84473693.400000006</v>
      </c>
      <c r="G12" s="25">
        <f>C12-'Раздел 1'!I1639</f>
        <v>0</v>
      </c>
    </row>
    <row r="13" spans="1:7" x14ac:dyDescent="0.3">
      <c r="A13" s="1" t="s">
        <v>3427</v>
      </c>
      <c r="C13" s="21">
        <f t="shared" si="0"/>
        <v>582057583.96000004</v>
      </c>
      <c r="D13" s="21">
        <f>'2020'!C494</f>
        <v>30886745.920000002</v>
      </c>
      <c r="E13" s="21">
        <f>'2021'!C1577</f>
        <v>208246248.37</v>
      </c>
      <c r="F13" s="21">
        <f>'2022'!C649</f>
        <v>342924589.67000002</v>
      </c>
      <c r="G13" s="21">
        <f>C13-'Раздел 1'!I2149</f>
        <v>0</v>
      </c>
    </row>
    <row r="14" spans="1:7" x14ac:dyDescent="0.3">
      <c r="A14" s="1" t="s">
        <v>3428</v>
      </c>
      <c r="C14" s="21">
        <f t="shared" si="0"/>
        <v>666524824.5999999</v>
      </c>
      <c r="D14" s="21">
        <f>'2020'!C534</f>
        <v>216859716.34999996</v>
      </c>
      <c r="E14" s="21">
        <f>'2021'!C1657</f>
        <v>338542454.23000002</v>
      </c>
      <c r="F14" s="21">
        <f>'2022'!C708</f>
        <v>111122654.02000001</v>
      </c>
      <c r="G14" s="21">
        <f>C14-'Раздел 1'!I2276</f>
        <v>0</v>
      </c>
    </row>
    <row r="15" spans="1:7" x14ac:dyDescent="0.3">
      <c r="A15" s="1" t="s">
        <v>3429</v>
      </c>
      <c r="C15" s="21">
        <f t="shared" si="0"/>
        <v>506257874.44999999</v>
      </c>
      <c r="D15" s="21">
        <f>'2020'!C607</f>
        <v>167660344.84000003</v>
      </c>
      <c r="E15" s="21">
        <f>'2021'!C1785</f>
        <v>154609483.41</v>
      </c>
      <c r="F15" s="21">
        <f>'2022'!C764</f>
        <v>183988046.19999999</v>
      </c>
      <c r="G15" s="21">
        <f>C15-'Раздел 1'!I2494</f>
        <v>0</v>
      </c>
    </row>
    <row r="16" spans="1:7" x14ac:dyDescent="0.3">
      <c r="A16" s="1" t="s">
        <v>3430</v>
      </c>
      <c r="C16" s="21">
        <f t="shared" si="0"/>
        <v>249414692.36000001</v>
      </c>
      <c r="D16" s="21">
        <f>'2020'!C621</f>
        <v>33409781.25</v>
      </c>
      <c r="E16" s="21">
        <f>'2021'!C1805</f>
        <v>146069430.40000001</v>
      </c>
      <c r="F16" s="21">
        <f>'2022'!C787</f>
        <v>69935480.710000008</v>
      </c>
      <c r="G16" s="21">
        <f>C16-'Раздел 1'!I2527</f>
        <v>0</v>
      </c>
    </row>
    <row r="17" spans="1:7" x14ac:dyDescent="0.3">
      <c r="A17" s="1" t="s">
        <v>3431</v>
      </c>
      <c r="C17" s="21">
        <f t="shared" si="0"/>
        <v>178161458.39000002</v>
      </c>
      <c r="D17" s="21">
        <f>'2020'!C645</f>
        <v>14707676.040000003</v>
      </c>
      <c r="E17" s="21">
        <f>'2021'!C1906</f>
        <v>39934514.859999999</v>
      </c>
      <c r="F17" s="21">
        <f>'2022'!C844</f>
        <v>123519267.49000001</v>
      </c>
      <c r="G17" s="21">
        <f>C17-'Раздел 1'!I2672</f>
        <v>0</v>
      </c>
    </row>
    <row r="18" spans="1:7" x14ac:dyDescent="0.3">
      <c r="A18" s="1" t="s">
        <v>3432</v>
      </c>
      <c r="C18" s="21">
        <f t="shared" si="0"/>
        <v>701814764.46999991</v>
      </c>
      <c r="D18" s="21">
        <f>'2020'!C682</f>
        <v>116626108.52</v>
      </c>
      <c r="E18" s="21">
        <f>'2021'!C2063</f>
        <v>543609795.01999998</v>
      </c>
      <c r="F18" s="21">
        <f>'2022'!C961</f>
        <v>41578860.93</v>
      </c>
      <c r="G18" s="21">
        <f>C18-'Раздел 1'!I2950</f>
        <v>0</v>
      </c>
    </row>
    <row r="19" spans="1:7" x14ac:dyDescent="0.3">
      <c r="A19" s="1" t="s">
        <v>3433</v>
      </c>
      <c r="C19" s="21">
        <f t="shared" si="0"/>
        <v>70127158.670000002</v>
      </c>
      <c r="D19" s="21">
        <f>'2020'!C652</f>
        <v>8674440</v>
      </c>
      <c r="E19" s="21">
        <f>'2021'!C2028</f>
        <v>60542523.670000002</v>
      </c>
      <c r="F19" s="21">
        <f>'2022'!C853</f>
        <v>910195</v>
      </c>
      <c r="G19" s="21">
        <f>C19-'Раздел 1'!I2795</f>
        <v>0</v>
      </c>
    </row>
    <row r="20" spans="1:7" x14ac:dyDescent="0.3">
      <c r="A20" s="1" t="s">
        <v>3434</v>
      </c>
      <c r="C20" s="21">
        <f t="shared" si="0"/>
        <v>725909071.52999997</v>
      </c>
      <c r="D20" s="21">
        <f>'2020'!C723</f>
        <v>32132792.229999989</v>
      </c>
      <c r="E20" s="21">
        <f>'2021'!C2246</f>
        <v>121438855.32000001</v>
      </c>
      <c r="F20" s="21">
        <f>'2022'!C1034</f>
        <v>572337423.98000002</v>
      </c>
      <c r="G20" s="25">
        <f>C20-'Раздел 1'!I3207</f>
        <v>0</v>
      </c>
    </row>
    <row r="21" spans="1:7" x14ac:dyDescent="0.3">
      <c r="A21" s="1" t="s">
        <v>3435</v>
      </c>
      <c r="C21" s="21">
        <f t="shared" si="0"/>
        <v>301455598.10000002</v>
      </c>
      <c r="D21" s="21">
        <f>'2020'!C767</f>
        <v>81187829.980000004</v>
      </c>
      <c r="E21" s="21">
        <f>'2021'!C2362</f>
        <v>111978795.64999999</v>
      </c>
      <c r="F21" s="21">
        <f>'2022'!C1096</f>
        <v>108288972.47</v>
      </c>
      <c r="G21" s="21">
        <f>C21-'Раздел 1'!I3379</f>
        <v>0</v>
      </c>
    </row>
    <row r="22" spans="1:7" ht="15" x14ac:dyDescent="0.25">
      <c r="E22" s="21"/>
      <c r="F22" s="21"/>
    </row>
    <row r="23" spans="1:7" ht="15" x14ac:dyDescent="0.25">
      <c r="E23" s="21"/>
      <c r="F23" s="21"/>
    </row>
    <row r="24" spans="1:7" x14ac:dyDescent="0.3">
      <c r="A24" s="1" t="s">
        <v>3417</v>
      </c>
      <c r="B24" s="1">
        <f>'Раздел 1'!A3377</f>
        <v>3034</v>
      </c>
      <c r="C24" s="21">
        <f>SUM(C4:C22)</f>
        <v>8577378845.2399988</v>
      </c>
      <c r="D24" s="21">
        <f>SUM(D4:D21)</f>
        <v>1634152470.4299998</v>
      </c>
      <c r="E24" s="21">
        <f>SUM(E4:E21)</f>
        <v>3242871333.8300004</v>
      </c>
      <c r="F24" s="21">
        <f>SUM(F4:F21)</f>
        <v>3700355040.9799991</v>
      </c>
      <c r="G24" s="21" t="e">
        <f>C24-'Раздел 1'!#REF!</f>
        <v>#REF!</v>
      </c>
    </row>
    <row r="26" spans="1:7" x14ac:dyDescent="0.3">
      <c r="A26" s="1" t="s">
        <v>3436</v>
      </c>
      <c r="B26" s="1">
        <v>177</v>
      </c>
      <c r="C26" s="21">
        <f>D26+E26+F26</f>
        <v>1820186772.2199998</v>
      </c>
      <c r="D26" s="21">
        <v>1356759812.5599999</v>
      </c>
      <c r="E26" s="1">
        <v>187839468.58000001</v>
      </c>
      <c r="F26" s="1">
        <v>275587491.07999998</v>
      </c>
    </row>
    <row r="27" spans="1:7" ht="15" x14ac:dyDescent="0.25">
      <c r="B27" s="1">
        <v>470</v>
      </c>
    </row>
    <row r="29" spans="1:7" x14ac:dyDescent="0.3">
      <c r="A29" s="1" t="s">
        <v>3522</v>
      </c>
      <c r="C29" s="21">
        <f>D29+E29+F29</f>
        <v>8747459537.8406868</v>
      </c>
      <c r="D29" s="21">
        <f>'2020'!C770</f>
        <v>1668514918.68768</v>
      </c>
      <c r="E29" s="21">
        <f>'2021'!C2365</f>
        <v>3302901099.0932736</v>
      </c>
      <c r="F29" s="21">
        <f>'2022'!C1099</f>
        <v>3776043520.0597334</v>
      </c>
    </row>
    <row r="30" spans="1:7" ht="15" x14ac:dyDescent="0.25">
      <c r="C30" s="21">
        <f>D30+E30+F30</f>
        <v>1820186772.2199998</v>
      </c>
      <c r="D30" s="21">
        <v>1356759812.5599999</v>
      </c>
      <c r="E30" s="1">
        <v>187839468.58000001</v>
      </c>
      <c r="F30" s="1">
        <v>275587491.07999998</v>
      </c>
    </row>
    <row r="31" spans="1:7" ht="15" x14ac:dyDescent="0.25">
      <c r="C31" s="21">
        <f>SUM(C29:C30)</f>
        <v>10567646310.060686</v>
      </c>
      <c r="D31" s="21">
        <f>SUM(D29:D30)</f>
        <v>3025274731.2476797</v>
      </c>
      <c r="E31" s="21">
        <f>SUM(E29:E30)</f>
        <v>3490740567.6732736</v>
      </c>
      <c r="F31" s="21">
        <f>SUM(F29:F30)</f>
        <v>4051631011.1397333</v>
      </c>
    </row>
    <row r="32" spans="1:7" ht="15" x14ac:dyDescent="0.25">
      <c r="A32" s="23"/>
      <c r="C32" s="21"/>
      <c r="D32" s="21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Раздел 1</vt:lpstr>
      <vt:lpstr>2020</vt:lpstr>
      <vt:lpstr>2021</vt:lpstr>
      <vt:lpstr>2022</vt:lpstr>
      <vt:lpstr>Лист1</vt:lpstr>
      <vt:lpstr>свод</vt:lpstr>
      <vt:lpstr>'2020'!Print_Area</vt:lpstr>
      <vt:lpstr>'2021'!Print_Area</vt:lpstr>
      <vt:lpstr>'2022'!Print_Area</vt:lpstr>
      <vt:lpstr>'Раздел 1'!Print_Area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Алла Ефимовна ГАЛЬПЕРИНА</cp:lastModifiedBy>
  <cp:lastPrinted>2020-05-26T09:52:04Z</cp:lastPrinted>
  <dcterms:created xsi:type="dcterms:W3CDTF">2019-06-18T13:49:47Z</dcterms:created>
  <dcterms:modified xsi:type="dcterms:W3CDTF">2020-05-26T12:47:18Z</dcterms:modified>
</cp:coreProperties>
</file>