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3800" yWindow="-45" windowWidth="14040" windowHeight="12105" tabRatio="884"/>
  </bookViews>
  <sheets>
    <sheet name="характеристика мкд" sheetId="5" r:id="rId1"/>
    <sheet name="виды работ " sheetId="3" r:id="rId2"/>
    <sheet name="Лист1" sheetId="6" r:id="rId3"/>
  </sheets>
  <definedNames>
    <definedName name="_FilterDatabase" localSheetId="1" hidden="1">'виды работ '!$A$7:$AC$219</definedName>
    <definedName name="_FilterDatabase" localSheetId="0" hidden="1">'характеристика мкд'!$A$9:$T$130</definedName>
    <definedName name="BossProviderVariable?_8654d734_1d23_4b3f_91ed_4e5d8f55a223" hidden="1">"25_01_2006"</definedName>
    <definedName name="Print_Area" localSheetId="1">'виды работ '!$A$1:$X$219</definedName>
    <definedName name="Print_Area" localSheetId="0">'характеристика мкд'!$A$1:$T$220</definedName>
    <definedName name="Print_Titles" localSheetId="1">'виды работ '!$7:$7</definedName>
    <definedName name="Print_Titles" localSheetId="0">'характеристика мкд'!$9:$9</definedName>
    <definedName name="_xlnm.Print_Area" localSheetId="1">'виды работ '!$A$1:$X$220</definedName>
    <definedName name="_xlnm.Print_Area" localSheetId="0">'характеристика мкд'!$A$1:$T$221</definedName>
  </definedNames>
  <calcPr calcId="145621"/>
</workbook>
</file>

<file path=xl/calcChain.xml><?xml version="1.0" encoding="utf-8"?>
<calcChain xmlns="http://schemas.openxmlformats.org/spreadsheetml/2006/main">
  <c r="U71" i="5" l="1"/>
  <c r="A106" i="5" l="1"/>
  <c r="A107" i="5"/>
  <c r="A108" i="5"/>
  <c r="A109" i="5" s="1"/>
  <c r="A110" i="5" s="1"/>
  <c r="A111" i="5" s="1"/>
  <c r="A112" i="5" s="1"/>
  <c r="U139" i="5"/>
  <c r="V139" i="5"/>
  <c r="L139" i="5"/>
  <c r="L138" i="5"/>
  <c r="M140" i="5"/>
  <c r="N140" i="5"/>
  <c r="O140" i="5"/>
  <c r="P140" i="5"/>
  <c r="L140" i="5"/>
  <c r="L137" i="5"/>
  <c r="V138" i="5"/>
  <c r="A103" i="3" l="1"/>
  <c r="A104" i="3"/>
  <c r="A105" i="3"/>
  <c r="A106" i="3"/>
  <c r="A107" i="3" s="1"/>
  <c r="C32" i="3" l="1"/>
  <c r="U12" i="5" l="1"/>
  <c r="D20" i="3" l="1"/>
  <c r="E20" i="3"/>
  <c r="F20" i="3"/>
  <c r="G20" i="3"/>
  <c r="H20" i="3"/>
  <c r="I20" i="3"/>
  <c r="J20" i="3"/>
  <c r="K20" i="3"/>
  <c r="N20" i="3"/>
  <c r="O20" i="3"/>
  <c r="P20" i="3"/>
  <c r="Q20" i="3"/>
  <c r="R20" i="3"/>
  <c r="S20" i="3"/>
  <c r="T20" i="3"/>
  <c r="U20" i="3"/>
  <c r="V20" i="3"/>
  <c r="W20" i="3"/>
  <c r="A15" i="3"/>
  <c r="A17" i="5"/>
  <c r="P216" i="5" l="1"/>
  <c r="P215" i="5"/>
  <c r="P214" i="5"/>
  <c r="P213" i="5"/>
  <c r="P212" i="5"/>
  <c r="P211" i="5"/>
  <c r="P210" i="5"/>
  <c r="P209" i="5"/>
  <c r="P208" i="5"/>
  <c r="P207" i="5"/>
  <c r="P204" i="5"/>
  <c r="P200" i="5"/>
  <c r="P199" i="5"/>
  <c r="P195" i="5"/>
  <c r="P194" i="5"/>
  <c r="P189" i="5"/>
  <c r="P188" i="5"/>
  <c r="P187" i="5"/>
  <c r="P186" i="5"/>
  <c r="P183" i="5"/>
  <c r="P180" i="5"/>
  <c r="P171" i="5"/>
  <c r="P170" i="5"/>
  <c r="P169" i="5"/>
  <c r="P166" i="5"/>
  <c r="P165" i="5"/>
  <c r="P162" i="5"/>
  <c r="P157" i="5"/>
  <c r="P156" i="5"/>
  <c r="P155" i="5" l="1"/>
  <c r="P152" i="5"/>
  <c r="P151" i="5"/>
  <c r="P147" i="5"/>
  <c r="P146" i="5"/>
  <c r="P145" i="5"/>
  <c r="P139" i="5"/>
  <c r="P138" i="5"/>
  <c r="P137" i="5"/>
  <c r="P136" i="5"/>
  <c r="P135" i="5"/>
  <c r="P127" i="5"/>
  <c r="P126" i="5"/>
  <c r="P125" i="5"/>
  <c r="P124" i="5"/>
  <c r="P123" i="5"/>
  <c r="P122" i="5"/>
  <c r="P121" i="5"/>
  <c r="P116" i="5"/>
  <c r="P115" i="5"/>
  <c r="P112" i="5"/>
  <c r="P111" i="5"/>
  <c r="P110" i="5"/>
  <c r="P109" i="5"/>
  <c r="P108" i="5"/>
  <c r="P106" i="5"/>
  <c r="P105" i="5"/>
  <c r="P104" i="5"/>
  <c r="P103" i="5"/>
  <c r="P102" i="5"/>
  <c r="P101" i="5"/>
  <c r="P94" i="5"/>
  <c r="P91" i="5"/>
  <c r="P86" i="5"/>
  <c r="P85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3" i="5"/>
  <c r="P62" i="5"/>
  <c r="P59" i="5"/>
  <c r="P58" i="5"/>
  <c r="P57" i="5"/>
  <c r="P56" i="5"/>
  <c r="P55" i="5"/>
  <c r="P52" i="5"/>
  <c r="P51" i="5"/>
  <c r="P50" i="5"/>
  <c r="P49" i="5"/>
  <c r="P48" i="5"/>
  <c r="P47" i="5"/>
  <c r="P44" i="5"/>
  <c r="P41" i="5"/>
  <c r="P40" i="5"/>
  <c r="P25" i="5" l="1"/>
  <c r="U25" i="5" s="1"/>
  <c r="P20" i="5"/>
  <c r="P17" i="5"/>
  <c r="W168" i="3" l="1"/>
  <c r="W167" i="3"/>
  <c r="W145" i="3" l="1"/>
  <c r="W144" i="3"/>
  <c r="W143" i="3"/>
  <c r="W142" i="3"/>
  <c r="W89" i="3"/>
  <c r="W39" i="3" l="1"/>
  <c r="W38" i="3"/>
  <c r="W9" i="6" l="1"/>
  <c r="Z9" i="6" s="1"/>
  <c r="AA9" i="6" s="1"/>
  <c r="D9" i="6"/>
  <c r="C9" i="6" s="1"/>
  <c r="A9" i="6"/>
  <c r="Z8" i="6"/>
  <c r="AA8" i="6" s="1"/>
  <c r="AA7" i="6"/>
  <c r="Z7" i="6"/>
  <c r="T222" i="5" l="1"/>
  <c r="W36" i="3" l="1"/>
  <c r="Q36" i="3"/>
  <c r="P36" i="3"/>
  <c r="K36" i="3"/>
  <c r="J36" i="3"/>
  <c r="H36" i="3"/>
  <c r="G36" i="3"/>
  <c r="I38" i="5"/>
  <c r="J38" i="5"/>
  <c r="K38" i="5"/>
  <c r="M38" i="5"/>
  <c r="H38" i="5"/>
  <c r="J53" i="5"/>
  <c r="K53" i="5"/>
  <c r="M53" i="5"/>
  <c r="N53" i="5"/>
  <c r="O53" i="5"/>
  <c r="P53" i="5"/>
  <c r="H53" i="5"/>
  <c r="W51" i="3"/>
  <c r="I60" i="5"/>
  <c r="J60" i="5"/>
  <c r="K60" i="5"/>
  <c r="M60" i="5"/>
  <c r="N60" i="5"/>
  <c r="O60" i="5"/>
  <c r="P60" i="5"/>
  <c r="H60" i="5"/>
  <c r="U58" i="3"/>
  <c r="T58" i="3"/>
  <c r="Q58" i="3"/>
  <c r="P58" i="3"/>
  <c r="O58" i="3"/>
  <c r="N58" i="3"/>
  <c r="M58" i="3"/>
  <c r="L58" i="3"/>
  <c r="K58" i="3"/>
  <c r="J58" i="3"/>
  <c r="I190" i="5"/>
  <c r="J190" i="5"/>
  <c r="K190" i="5"/>
  <c r="M190" i="5"/>
  <c r="N190" i="5"/>
  <c r="O190" i="5"/>
  <c r="P190" i="5"/>
  <c r="H190" i="5"/>
  <c r="M188" i="3"/>
  <c r="L188" i="3"/>
  <c r="M174" i="3"/>
  <c r="Q170" i="3"/>
  <c r="P170" i="3"/>
  <c r="I172" i="5"/>
  <c r="J172" i="5"/>
  <c r="K172" i="5"/>
  <c r="M172" i="5"/>
  <c r="N172" i="5"/>
  <c r="O172" i="5"/>
  <c r="P172" i="5"/>
  <c r="H172" i="5"/>
  <c r="W165" i="3"/>
  <c r="M165" i="3"/>
  <c r="L165" i="3"/>
  <c r="I167" i="5"/>
  <c r="J167" i="5"/>
  <c r="K167" i="5"/>
  <c r="M167" i="5"/>
  <c r="N167" i="5"/>
  <c r="O167" i="5"/>
  <c r="P167" i="5"/>
  <c r="H167" i="5"/>
  <c r="M156" i="3" l="1"/>
  <c r="L156" i="3"/>
  <c r="I158" i="5"/>
  <c r="J158" i="5"/>
  <c r="K158" i="5"/>
  <c r="M158" i="5"/>
  <c r="N158" i="5"/>
  <c r="O158" i="5"/>
  <c r="P158" i="5"/>
  <c r="H158" i="5"/>
  <c r="N153" i="5"/>
  <c r="H153" i="5"/>
  <c r="K153" i="5"/>
  <c r="I153" i="5" l="1"/>
  <c r="J153" i="5"/>
  <c r="M153" i="5"/>
  <c r="O153" i="5"/>
  <c r="U151" i="3"/>
  <c r="T151" i="3"/>
  <c r="Q151" i="3"/>
  <c r="P151" i="3"/>
  <c r="I148" i="5"/>
  <c r="J148" i="5"/>
  <c r="K148" i="5"/>
  <c r="M148" i="5"/>
  <c r="N148" i="5"/>
  <c r="O148" i="5"/>
  <c r="H148" i="5"/>
  <c r="U146" i="3"/>
  <c r="T146" i="3"/>
  <c r="O146" i="3"/>
  <c r="N146" i="3"/>
  <c r="M146" i="3"/>
  <c r="L146" i="3"/>
  <c r="I146" i="3"/>
  <c r="H140" i="5"/>
  <c r="I128" i="5" l="1"/>
  <c r="J128" i="5"/>
  <c r="K128" i="5"/>
  <c r="M128" i="5"/>
  <c r="N128" i="5"/>
  <c r="O128" i="5"/>
  <c r="P128" i="5"/>
  <c r="H128" i="5"/>
  <c r="U126" i="3"/>
  <c r="T126" i="3"/>
  <c r="Q126" i="3"/>
  <c r="P126" i="3"/>
  <c r="I113" i="5" l="1"/>
  <c r="J113" i="5"/>
  <c r="K113" i="5"/>
  <c r="M113" i="5"/>
  <c r="N113" i="5"/>
  <c r="O113" i="5"/>
  <c r="H113" i="5"/>
  <c r="W111" i="3"/>
  <c r="Q111" i="3"/>
  <c r="Q116" i="3" s="1"/>
  <c r="P111" i="3"/>
  <c r="P116" i="3" s="1"/>
  <c r="M111" i="3"/>
  <c r="L111" i="3"/>
  <c r="P87" i="5"/>
  <c r="O87" i="5"/>
  <c r="N87" i="5"/>
  <c r="M87" i="5"/>
  <c r="K87" i="5"/>
  <c r="J87" i="5"/>
  <c r="I87" i="5"/>
  <c r="H87" i="5"/>
  <c r="U85" i="5"/>
  <c r="K85" i="3"/>
  <c r="J85" i="3"/>
  <c r="Z83" i="3"/>
  <c r="C83" i="3"/>
  <c r="L85" i="5" l="1"/>
  <c r="Q85" i="5" s="1"/>
  <c r="AA83" i="3"/>
  <c r="V85" i="5" l="1"/>
  <c r="I83" i="5" l="1"/>
  <c r="J83" i="5"/>
  <c r="K83" i="5"/>
  <c r="M83" i="5"/>
  <c r="N83" i="5"/>
  <c r="O83" i="5"/>
  <c r="P83" i="5"/>
  <c r="H83" i="5"/>
  <c r="Q81" i="3"/>
  <c r="P81" i="3"/>
  <c r="M81" i="3"/>
  <c r="L81" i="3"/>
  <c r="K81" i="3"/>
  <c r="J81" i="3"/>
  <c r="M161" i="3" l="1"/>
  <c r="M175" i="3" s="1"/>
  <c r="L161" i="3"/>
  <c r="U15" i="5" l="1"/>
  <c r="V15" i="5" s="1"/>
  <c r="U16" i="5"/>
  <c r="V16" i="5" s="1"/>
  <c r="U17" i="5"/>
  <c r="U19" i="5"/>
  <c r="V19" i="5" s="1"/>
  <c r="U20" i="5"/>
  <c r="U23" i="5"/>
  <c r="V23" i="5" s="1"/>
  <c r="U24" i="5"/>
  <c r="V24" i="5" s="1"/>
  <c r="U28" i="5"/>
  <c r="V28" i="5" s="1"/>
  <c r="U29" i="5"/>
  <c r="V29" i="5" s="1"/>
  <c r="U39" i="5"/>
  <c r="V39" i="5" s="1"/>
  <c r="U40" i="5"/>
  <c r="U41" i="5"/>
  <c r="U43" i="5"/>
  <c r="V43" i="5" s="1"/>
  <c r="U44" i="5"/>
  <c r="U46" i="5"/>
  <c r="V46" i="5" s="1"/>
  <c r="U47" i="5"/>
  <c r="U50" i="5"/>
  <c r="U52" i="5"/>
  <c r="U48" i="5"/>
  <c r="U49" i="5"/>
  <c r="U51" i="5"/>
  <c r="U54" i="5"/>
  <c r="V54" i="5" s="1"/>
  <c r="U56" i="5"/>
  <c r="U57" i="5"/>
  <c r="U58" i="5"/>
  <c r="U59" i="5"/>
  <c r="U55" i="5"/>
  <c r="U61" i="5"/>
  <c r="V61" i="5" s="1"/>
  <c r="U62" i="5"/>
  <c r="U63" i="5"/>
  <c r="U66" i="5"/>
  <c r="V66" i="5" s="1"/>
  <c r="U67" i="5"/>
  <c r="V67" i="5" s="1"/>
  <c r="U78" i="5"/>
  <c r="U72" i="5"/>
  <c r="U74" i="5"/>
  <c r="U68" i="5"/>
  <c r="U77" i="5"/>
  <c r="U82" i="5"/>
  <c r="U70" i="5"/>
  <c r="U69" i="5"/>
  <c r="U79" i="5"/>
  <c r="U73" i="5"/>
  <c r="U81" i="5"/>
  <c r="U75" i="5"/>
  <c r="U76" i="5"/>
  <c r="U80" i="5"/>
  <c r="U84" i="5"/>
  <c r="V84" i="5" s="1"/>
  <c r="U86" i="5"/>
  <c r="U89" i="5"/>
  <c r="V89" i="5" s="1"/>
  <c r="U96" i="5"/>
  <c r="V96" i="5" s="1"/>
  <c r="U102" i="5"/>
  <c r="U106" i="5"/>
  <c r="U107" i="5"/>
  <c r="U108" i="5"/>
  <c r="U112" i="5"/>
  <c r="U109" i="5"/>
  <c r="U110" i="5"/>
  <c r="U111" i="5"/>
  <c r="U101" i="5"/>
  <c r="U103" i="5"/>
  <c r="U104" i="5"/>
  <c r="U105" i="5"/>
  <c r="U114" i="5"/>
  <c r="V114" i="5" s="1"/>
  <c r="U115" i="5"/>
  <c r="U116" i="5"/>
  <c r="U90" i="5"/>
  <c r="V90" i="5" s="1"/>
  <c r="U91" i="5"/>
  <c r="U93" i="5"/>
  <c r="V93" i="5" s="1"/>
  <c r="U94" i="5"/>
  <c r="U119" i="5"/>
  <c r="V119" i="5" s="1"/>
  <c r="U120" i="5"/>
  <c r="V120" i="5" s="1"/>
  <c r="U121" i="5"/>
  <c r="U124" i="5"/>
  <c r="U123" i="5"/>
  <c r="U122" i="5"/>
  <c r="U125" i="5"/>
  <c r="U126" i="5"/>
  <c r="U127" i="5"/>
  <c r="U130" i="5"/>
  <c r="V130" i="5" s="1"/>
  <c r="U131" i="5"/>
  <c r="V131" i="5" s="1"/>
  <c r="U134" i="5"/>
  <c r="V134" i="5" s="1"/>
  <c r="U135" i="5"/>
  <c r="U136" i="5"/>
  <c r="U138" i="5"/>
  <c r="U137" i="5"/>
  <c r="U142" i="5"/>
  <c r="V142" i="5" s="1"/>
  <c r="U143" i="5"/>
  <c r="V143" i="5" s="1"/>
  <c r="U145" i="5"/>
  <c r="U146" i="5"/>
  <c r="U147" i="5"/>
  <c r="U149" i="5"/>
  <c r="V149" i="5" s="1"/>
  <c r="U151" i="5"/>
  <c r="U152" i="5"/>
  <c r="U154" i="5"/>
  <c r="V154" i="5" s="1"/>
  <c r="U157" i="5"/>
  <c r="U155" i="5"/>
  <c r="U156" i="5"/>
  <c r="U160" i="5"/>
  <c r="V160" i="5" s="1"/>
  <c r="U161" i="5"/>
  <c r="V161" i="5" s="1"/>
  <c r="U162" i="5"/>
  <c r="U164" i="5"/>
  <c r="V164" i="5" s="1"/>
  <c r="U166" i="5"/>
  <c r="U165" i="5"/>
  <c r="U168" i="5"/>
  <c r="V168" i="5" s="1"/>
  <c r="U171" i="5"/>
  <c r="U169" i="5"/>
  <c r="U170" i="5"/>
  <c r="U173" i="5"/>
  <c r="V173" i="5" s="1"/>
  <c r="U174" i="5"/>
  <c r="U175" i="5"/>
  <c r="U178" i="5"/>
  <c r="V178" i="5" s="1"/>
  <c r="U179" i="5"/>
  <c r="V179" i="5" s="1"/>
  <c r="U180" i="5"/>
  <c r="U182" i="5"/>
  <c r="V182" i="5" s="1"/>
  <c r="U183" i="5"/>
  <c r="U185" i="5"/>
  <c r="V185" i="5" s="1"/>
  <c r="U189" i="5"/>
  <c r="U187" i="5"/>
  <c r="U186" i="5"/>
  <c r="U188" i="5"/>
  <c r="U192" i="5"/>
  <c r="V192" i="5" s="1"/>
  <c r="U193" i="5"/>
  <c r="V193" i="5" s="1"/>
  <c r="U194" i="5"/>
  <c r="U195" i="5"/>
  <c r="U198" i="5"/>
  <c r="V198" i="5" s="1"/>
  <c r="U199" i="5"/>
  <c r="U200" i="5"/>
  <c r="U202" i="5"/>
  <c r="V202" i="5" s="1"/>
  <c r="U203" i="5"/>
  <c r="V203" i="5" s="1"/>
  <c r="U204" i="5"/>
  <c r="U206" i="5"/>
  <c r="V206" i="5" s="1"/>
  <c r="U207" i="5"/>
  <c r="U208" i="5"/>
  <c r="U209" i="5"/>
  <c r="U210" i="5"/>
  <c r="U211" i="5"/>
  <c r="U212" i="5"/>
  <c r="U213" i="5"/>
  <c r="U214" i="5"/>
  <c r="U215" i="5"/>
  <c r="U216" i="5"/>
  <c r="K217" i="5"/>
  <c r="H201" i="5"/>
  <c r="K196" i="5"/>
  <c r="H117" i="5"/>
  <c r="H64" i="5"/>
  <c r="P42" i="5"/>
  <c r="H42" i="5"/>
  <c r="H88" i="5" l="1"/>
  <c r="H215" i="3"/>
  <c r="H216" i="3" s="1"/>
  <c r="W203" i="3"/>
  <c r="W216" i="3" s="1"/>
  <c r="J199" i="3"/>
  <c r="K199" i="3"/>
  <c r="L194" i="3"/>
  <c r="L195" i="3" s="1"/>
  <c r="M194" i="3"/>
  <c r="M195" i="3" s="1"/>
  <c r="L182" i="3"/>
  <c r="M182" i="3"/>
  <c r="L179" i="3"/>
  <c r="M179" i="3"/>
  <c r="L174" i="3"/>
  <c r="P175" i="3"/>
  <c r="Q175" i="3"/>
  <c r="P157" i="3"/>
  <c r="Q157" i="3"/>
  <c r="I157" i="3"/>
  <c r="N157" i="3"/>
  <c r="O157" i="3"/>
  <c r="F138" i="3"/>
  <c r="F139" i="3" s="1"/>
  <c r="H138" i="3"/>
  <c r="H139" i="3" s="1"/>
  <c r="L138" i="3"/>
  <c r="L139" i="3" s="1"/>
  <c r="M138" i="3"/>
  <c r="M139" i="3" s="1"/>
  <c r="E131" i="3"/>
  <c r="E139" i="3" s="1"/>
  <c r="P131" i="3"/>
  <c r="P139" i="3" s="1"/>
  <c r="Q131" i="3"/>
  <c r="Q139" i="3" s="1"/>
  <c r="P127" i="3"/>
  <c r="Q127" i="3"/>
  <c r="T127" i="3"/>
  <c r="U127" i="3"/>
  <c r="L93" i="3"/>
  <c r="L116" i="3" s="1"/>
  <c r="M93" i="3"/>
  <c r="M116" i="3" s="1"/>
  <c r="J115" i="3"/>
  <c r="J116" i="3" s="1"/>
  <c r="K115" i="3"/>
  <c r="K116" i="3" s="1"/>
  <c r="M86" i="3"/>
  <c r="Q86" i="3"/>
  <c r="P62" i="3"/>
  <c r="Q62" i="3"/>
  <c r="O63" i="3"/>
  <c r="U63" i="3"/>
  <c r="J43" i="3"/>
  <c r="K43" i="3"/>
  <c r="G40" i="3"/>
  <c r="H40" i="3"/>
  <c r="I40" i="3"/>
  <c r="I63" i="3" s="1"/>
  <c r="L40" i="3"/>
  <c r="M40" i="3"/>
  <c r="W24" i="3"/>
  <c r="W25" i="3" s="1"/>
  <c r="L19" i="3"/>
  <c r="M19" i="3"/>
  <c r="L16" i="3"/>
  <c r="L20" i="3" s="1"/>
  <c r="M16" i="3"/>
  <c r="P11" i="3"/>
  <c r="P12" i="3" s="1"/>
  <c r="Q11" i="3"/>
  <c r="Q12" i="3" s="1"/>
  <c r="M20" i="3" l="1"/>
  <c r="Q63" i="3"/>
  <c r="Q217" i="3" s="1"/>
  <c r="M63" i="3"/>
  <c r="J86" i="3"/>
  <c r="G63" i="3"/>
  <c r="G217" i="3" s="1"/>
  <c r="T157" i="3"/>
  <c r="L157" i="3"/>
  <c r="M189" i="3"/>
  <c r="U157" i="3"/>
  <c r="U217" i="3" s="1"/>
  <c r="M157" i="3"/>
  <c r="K86" i="3"/>
  <c r="K63" i="3"/>
  <c r="L175" i="3"/>
  <c r="J63" i="3"/>
  <c r="L189" i="3"/>
  <c r="O217" i="3"/>
  <c r="I217" i="3"/>
  <c r="E217" i="3"/>
  <c r="N63" i="3"/>
  <c r="N217" i="3" s="1"/>
  <c r="F217" i="3"/>
  <c r="T63" i="3"/>
  <c r="P63" i="3"/>
  <c r="L63" i="3"/>
  <c r="H63" i="3"/>
  <c r="P86" i="3"/>
  <c r="L86" i="3"/>
  <c r="T217" i="3" l="1"/>
  <c r="J217" i="3"/>
  <c r="K217" i="3"/>
  <c r="L217" i="3"/>
  <c r="M217" i="3"/>
  <c r="P217" i="3"/>
  <c r="H217" i="3"/>
  <c r="D130" i="3" l="1"/>
  <c r="D131" i="3" s="1"/>
  <c r="W170" i="3" l="1"/>
  <c r="W175" i="3" s="1"/>
  <c r="W146" i="3"/>
  <c r="W157" i="3" s="1"/>
  <c r="W90" i="3"/>
  <c r="W116" i="3" s="1"/>
  <c r="D39" i="3" l="1"/>
  <c r="D38" i="3"/>
  <c r="D35" i="3"/>
  <c r="D36" i="3" s="1"/>
  <c r="Z13" i="3"/>
  <c r="AA13" i="3" s="1"/>
  <c r="Z14" i="3"/>
  <c r="AA14" i="3" s="1"/>
  <c r="Z15" i="3"/>
  <c r="Z17" i="3"/>
  <c r="AA17" i="3" s="1"/>
  <c r="Z18" i="3"/>
  <c r="Z21" i="3"/>
  <c r="AA21" i="3" s="1"/>
  <c r="Z22" i="3"/>
  <c r="AA22" i="3" s="1"/>
  <c r="Z23" i="3"/>
  <c r="Z26" i="3"/>
  <c r="AA26" i="3" s="1"/>
  <c r="Z27" i="3"/>
  <c r="AA27" i="3" s="1"/>
  <c r="Z35" i="3"/>
  <c r="Z31" i="3"/>
  <c r="Z32" i="3"/>
  <c r="Z33" i="3"/>
  <c r="Z28" i="3"/>
  <c r="Z29" i="3"/>
  <c r="Z30" i="3"/>
  <c r="Z34" i="3"/>
  <c r="Z37" i="3"/>
  <c r="AA37" i="3" s="1"/>
  <c r="Z41" i="3"/>
  <c r="AA41" i="3" s="1"/>
  <c r="Z42" i="3"/>
  <c r="Z44" i="3"/>
  <c r="AA44" i="3" s="1"/>
  <c r="Z45" i="3"/>
  <c r="Z48" i="3"/>
  <c r="Z50" i="3"/>
  <c r="Z46" i="3"/>
  <c r="Z47" i="3"/>
  <c r="Z49" i="3"/>
  <c r="Z52" i="3"/>
  <c r="AA52" i="3" s="1"/>
  <c r="Z54" i="3"/>
  <c r="Z55" i="3"/>
  <c r="Z56" i="3"/>
  <c r="Z57" i="3"/>
  <c r="Z53" i="3"/>
  <c r="Z59" i="3"/>
  <c r="AA59" i="3" s="1"/>
  <c r="Z60" i="3"/>
  <c r="Z61" i="3"/>
  <c r="Z64" i="3"/>
  <c r="AA64" i="3" s="1"/>
  <c r="Z65" i="3"/>
  <c r="AA65" i="3" s="1"/>
  <c r="Z76" i="3"/>
  <c r="Z70" i="3"/>
  <c r="Z69" i="3"/>
  <c r="Z72" i="3"/>
  <c r="Z66" i="3"/>
  <c r="Z75" i="3"/>
  <c r="Z80" i="3"/>
  <c r="Z68" i="3"/>
  <c r="Z67" i="3"/>
  <c r="Z77" i="3"/>
  <c r="Z71" i="3"/>
  <c r="Z79" i="3"/>
  <c r="Z73" i="3"/>
  <c r="Z74" i="3"/>
  <c r="Z78" i="3"/>
  <c r="Z82" i="3"/>
  <c r="AA82" i="3" s="1"/>
  <c r="Z84" i="3"/>
  <c r="Z87" i="3"/>
  <c r="AA87" i="3" s="1"/>
  <c r="Z94" i="3"/>
  <c r="AA94" i="3" s="1"/>
  <c r="Z100" i="3"/>
  <c r="Z104" i="3"/>
  <c r="Z105" i="3"/>
  <c r="Z106" i="3"/>
  <c r="Z110" i="3"/>
  <c r="Z107" i="3"/>
  <c r="Z108" i="3"/>
  <c r="Z109" i="3"/>
  <c r="Z95" i="3"/>
  <c r="Z96" i="3"/>
  <c r="Z97" i="3"/>
  <c r="Z98" i="3"/>
  <c r="Z99" i="3"/>
  <c r="Z101" i="3"/>
  <c r="Z102" i="3"/>
  <c r="Z103" i="3"/>
  <c r="Z112" i="3"/>
  <c r="AA112" i="3" s="1"/>
  <c r="Z113" i="3"/>
  <c r="Z114" i="3"/>
  <c r="Z88" i="3"/>
  <c r="AA88" i="3" s="1"/>
  <c r="Z89" i="3"/>
  <c r="Z91" i="3"/>
  <c r="AA91" i="3" s="1"/>
  <c r="Z92" i="3"/>
  <c r="Z117" i="3"/>
  <c r="AA117" i="3" s="1"/>
  <c r="Z118" i="3"/>
  <c r="AA118" i="3" s="1"/>
  <c r="Z119" i="3"/>
  <c r="Z122" i="3"/>
  <c r="Z121" i="3"/>
  <c r="Z120" i="3"/>
  <c r="Z123" i="3"/>
  <c r="Z124" i="3"/>
  <c r="Z125" i="3"/>
  <c r="Z128" i="3"/>
  <c r="AA128" i="3" s="1"/>
  <c r="Z129" i="3"/>
  <c r="AA129" i="3" s="1"/>
  <c r="Z130" i="3"/>
  <c r="Z132" i="3"/>
  <c r="AA132" i="3" s="1"/>
  <c r="Z133" i="3"/>
  <c r="Z134" i="3"/>
  <c r="Z136" i="3"/>
  <c r="Z135" i="3"/>
  <c r="Z137" i="3"/>
  <c r="Z140" i="3"/>
  <c r="AA140" i="3" s="1"/>
  <c r="Z141" i="3"/>
  <c r="AA141" i="3" s="1"/>
  <c r="Z143" i="3"/>
  <c r="Z144" i="3"/>
  <c r="Z145" i="3"/>
  <c r="Z142" i="3"/>
  <c r="Z147" i="3"/>
  <c r="AA147" i="3" s="1"/>
  <c r="Z149" i="3"/>
  <c r="Z148" i="3"/>
  <c r="Z150" i="3"/>
  <c r="Z152" i="3"/>
  <c r="AA152" i="3" s="1"/>
  <c r="Z155" i="3"/>
  <c r="Z153" i="3"/>
  <c r="Z154" i="3"/>
  <c r="Z158" i="3"/>
  <c r="AA158" i="3" s="1"/>
  <c r="Z159" i="3"/>
  <c r="AA159" i="3" s="1"/>
  <c r="Z160" i="3"/>
  <c r="Z162" i="3"/>
  <c r="AA162" i="3" s="1"/>
  <c r="Z164" i="3"/>
  <c r="Z163" i="3"/>
  <c r="Z166" i="3"/>
  <c r="AA166" i="3" s="1"/>
  <c r="Z169" i="3"/>
  <c r="Z167" i="3"/>
  <c r="Z168" i="3"/>
  <c r="Z171" i="3"/>
  <c r="AA171" i="3" s="1"/>
  <c r="Z172" i="3"/>
  <c r="Z173" i="3"/>
  <c r="Z176" i="3"/>
  <c r="AA176" i="3" s="1"/>
  <c r="Z177" i="3"/>
  <c r="AA177" i="3" s="1"/>
  <c r="Z178" i="3"/>
  <c r="Z180" i="3"/>
  <c r="AA180" i="3" s="1"/>
  <c r="Z181" i="3"/>
  <c r="Z183" i="3"/>
  <c r="AA183" i="3" s="1"/>
  <c r="Z187" i="3"/>
  <c r="Z185" i="3"/>
  <c r="Z184" i="3"/>
  <c r="Z186" i="3"/>
  <c r="Z190" i="3"/>
  <c r="AA190" i="3" s="1"/>
  <c r="Z191" i="3"/>
  <c r="AA191" i="3" s="1"/>
  <c r="Z192" i="3"/>
  <c r="Z193" i="3"/>
  <c r="Z196" i="3"/>
  <c r="AA196" i="3" s="1"/>
  <c r="Z197" i="3"/>
  <c r="Z200" i="3"/>
  <c r="AA200" i="3" s="1"/>
  <c r="Z201" i="3"/>
  <c r="AA201" i="3" s="1"/>
  <c r="Z202" i="3"/>
  <c r="Z204" i="3"/>
  <c r="AA204" i="3" s="1"/>
  <c r="Z205" i="3"/>
  <c r="Z206" i="3"/>
  <c r="Z207" i="3"/>
  <c r="Z208" i="3"/>
  <c r="Z209" i="3"/>
  <c r="Z210" i="3"/>
  <c r="Z211" i="3"/>
  <c r="Z212" i="3"/>
  <c r="Z213" i="3"/>
  <c r="Z214" i="3"/>
  <c r="Z218" i="3"/>
  <c r="Z219" i="3"/>
  <c r="Z10" i="3"/>
  <c r="C35" i="3" l="1"/>
  <c r="D40" i="3"/>
  <c r="Z39" i="3"/>
  <c r="D63" i="3" l="1"/>
  <c r="AA35" i="3"/>
  <c r="Z38" i="3"/>
  <c r="W40" i="3"/>
  <c r="W63" i="3" s="1"/>
  <c r="W217" i="3" s="1"/>
  <c r="D221" i="3" s="1"/>
  <c r="C38" i="3"/>
  <c r="C39" i="3"/>
  <c r="AA39" i="3" s="1"/>
  <c r="AA38" i="3" l="1"/>
  <c r="C40" i="3"/>
  <c r="Z198" i="3"/>
  <c r="I201" i="5"/>
  <c r="J201" i="5"/>
  <c r="K201" i="5"/>
  <c r="M201" i="5"/>
  <c r="N201" i="5"/>
  <c r="O201" i="5"/>
  <c r="Z199" i="3" l="1"/>
  <c r="M217" i="5" l="1"/>
  <c r="N217" i="5"/>
  <c r="O217" i="5"/>
  <c r="D214" i="3"/>
  <c r="C214" i="3" s="1"/>
  <c r="AA214" i="3" s="1"/>
  <c r="D213" i="3"/>
  <c r="C213" i="3" s="1"/>
  <c r="AA213" i="3" s="1"/>
  <c r="D212" i="3"/>
  <c r="C212" i="3" s="1"/>
  <c r="AA212" i="3" s="1"/>
  <c r="D211" i="3"/>
  <c r="C211" i="3" s="1"/>
  <c r="AA211" i="3" s="1"/>
  <c r="D210" i="3"/>
  <c r="C210" i="3" s="1"/>
  <c r="AA210" i="3" s="1"/>
  <c r="D209" i="3"/>
  <c r="C209" i="3" s="1"/>
  <c r="AA209" i="3" s="1"/>
  <c r="D208" i="3"/>
  <c r="C208" i="3" s="1"/>
  <c r="AA208" i="3" s="1"/>
  <c r="D207" i="3"/>
  <c r="C207" i="3" s="1"/>
  <c r="AA207" i="3" s="1"/>
  <c r="D206" i="3"/>
  <c r="C206" i="3" s="1"/>
  <c r="AA206" i="3" s="1"/>
  <c r="D205" i="3"/>
  <c r="H217" i="5"/>
  <c r="I217" i="5"/>
  <c r="J217" i="5"/>
  <c r="D215" i="3" l="1"/>
  <c r="D216" i="3" s="1"/>
  <c r="Z215" i="3"/>
  <c r="L208" i="5"/>
  <c r="V208" i="5" s="1"/>
  <c r="L211" i="5"/>
  <c r="V211" i="5" s="1"/>
  <c r="L214" i="5"/>
  <c r="V214" i="5" s="1"/>
  <c r="L209" i="5"/>
  <c r="V209" i="5" s="1"/>
  <c r="L212" i="5"/>
  <c r="V212" i="5" s="1"/>
  <c r="L215" i="5"/>
  <c r="V215" i="5" s="1"/>
  <c r="L210" i="5"/>
  <c r="V210" i="5" s="1"/>
  <c r="L213" i="5"/>
  <c r="V213" i="5" s="1"/>
  <c r="L216" i="5"/>
  <c r="V216" i="5" s="1"/>
  <c r="Q216" i="5" l="1"/>
  <c r="Q213" i="5"/>
  <c r="Q210" i="5"/>
  <c r="Q208" i="5"/>
  <c r="Q214" i="5"/>
  <c r="Q212" i="5"/>
  <c r="Q211" i="5"/>
  <c r="Q215" i="5"/>
  <c r="Q209" i="5"/>
  <c r="Z179" i="3" l="1"/>
  <c r="Z174" i="3" l="1"/>
  <c r="Z156" i="3"/>
  <c r="C150" i="3"/>
  <c r="C148" i="3"/>
  <c r="D142" i="3"/>
  <c r="C142" i="3" s="1"/>
  <c r="D145" i="3"/>
  <c r="D144" i="3"/>
  <c r="D143" i="3"/>
  <c r="D137" i="3"/>
  <c r="C137" i="3" s="1"/>
  <c r="D135" i="3"/>
  <c r="C135" i="3" s="1"/>
  <c r="D136" i="3"/>
  <c r="I140" i="5"/>
  <c r="J140" i="5"/>
  <c r="K140" i="5"/>
  <c r="D146" i="3" l="1"/>
  <c r="U140" i="5"/>
  <c r="C136" i="3"/>
  <c r="D138" i="3"/>
  <c r="D139" i="3" s="1"/>
  <c r="D157" i="3"/>
  <c r="Z151" i="3"/>
  <c r="Z146" i="3"/>
  <c r="L150" i="5"/>
  <c r="P150" i="5" s="1"/>
  <c r="AA148" i="3"/>
  <c r="Z138" i="3"/>
  <c r="L152" i="5"/>
  <c r="V152" i="5" s="1"/>
  <c r="AA150" i="3"/>
  <c r="L144" i="5"/>
  <c r="P144" i="5" s="1"/>
  <c r="AA142" i="3"/>
  <c r="V137" i="5"/>
  <c r="AA135" i="3"/>
  <c r="AA137" i="3"/>
  <c r="C125" i="3"/>
  <c r="C124" i="3"/>
  <c r="AA124" i="3" s="1"/>
  <c r="C123" i="3"/>
  <c r="C120" i="3"/>
  <c r="C121" i="3"/>
  <c r="C122" i="3"/>
  <c r="I129" i="5"/>
  <c r="J129" i="5"/>
  <c r="K129" i="5"/>
  <c r="M129" i="5"/>
  <c r="O129" i="5"/>
  <c r="H129" i="5"/>
  <c r="P153" i="5" l="1"/>
  <c r="U150" i="5"/>
  <c r="V150" i="5" s="1"/>
  <c r="P148" i="5"/>
  <c r="U144" i="5"/>
  <c r="V144" i="5" s="1"/>
  <c r="N129" i="5"/>
  <c r="D217" i="3"/>
  <c r="AA136" i="3"/>
  <c r="Q139" i="5"/>
  <c r="Q138" i="5"/>
  <c r="Q152" i="5"/>
  <c r="Q137" i="5"/>
  <c r="Z157" i="3"/>
  <c r="L127" i="5"/>
  <c r="V127" i="5" s="1"/>
  <c r="AA125" i="3"/>
  <c r="L125" i="5"/>
  <c r="V125" i="5" s="1"/>
  <c r="AA123" i="3"/>
  <c r="L122" i="5"/>
  <c r="V122" i="5" s="1"/>
  <c r="AA120" i="3"/>
  <c r="L123" i="5"/>
  <c r="V123" i="5" s="1"/>
  <c r="AA121" i="3"/>
  <c r="L124" i="5"/>
  <c r="V124" i="5" s="1"/>
  <c r="AA122" i="3"/>
  <c r="Z127" i="3"/>
  <c r="Z126" i="3"/>
  <c r="L126" i="5"/>
  <c r="V126" i="5" s="1"/>
  <c r="Q127" i="5" l="1"/>
  <c r="Q122" i="5"/>
  <c r="Q124" i="5"/>
  <c r="Q123" i="5"/>
  <c r="Q125" i="5"/>
  <c r="Z90" i="3"/>
  <c r="Z115" i="3"/>
  <c r="Q126" i="5"/>
  <c r="C78" i="3" l="1"/>
  <c r="AA78" i="3" s="1"/>
  <c r="C74" i="3"/>
  <c r="AA74" i="3" s="1"/>
  <c r="C73" i="3"/>
  <c r="AA73" i="3" s="1"/>
  <c r="C79" i="3"/>
  <c r="C71" i="3"/>
  <c r="C77" i="3"/>
  <c r="C67" i="3"/>
  <c r="C68" i="3"/>
  <c r="C80" i="3"/>
  <c r="C75" i="3"/>
  <c r="C66" i="3"/>
  <c r="C72" i="3"/>
  <c r="Z62" i="3"/>
  <c r="C49" i="3"/>
  <c r="C47" i="3"/>
  <c r="C46" i="3"/>
  <c r="C50" i="3"/>
  <c r="C48" i="3"/>
  <c r="I50" i="5"/>
  <c r="I53" i="5" s="1"/>
  <c r="L75" i="5" l="1"/>
  <c r="V75" i="5" s="1"/>
  <c r="L76" i="5"/>
  <c r="V76" i="5" s="1"/>
  <c r="L80" i="5"/>
  <c r="V80" i="5" s="1"/>
  <c r="Z81" i="3"/>
  <c r="L81" i="5"/>
  <c r="V81" i="5" s="1"/>
  <c r="AA79" i="3"/>
  <c r="L73" i="5"/>
  <c r="V73" i="5" s="1"/>
  <c r="AA71" i="3"/>
  <c r="L79" i="5"/>
  <c r="V79" i="5" s="1"/>
  <c r="AA77" i="3"/>
  <c r="L69" i="5"/>
  <c r="V69" i="5" s="1"/>
  <c r="AA67" i="3"/>
  <c r="L70" i="5"/>
  <c r="V70" i="5" s="1"/>
  <c r="AA68" i="3"/>
  <c r="L82" i="5"/>
  <c r="V82" i="5" s="1"/>
  <c r="AA80" i="3"/>
  <c r="L77" i="5"/>
  <c r="V77" i="5" s="1"/>
  <c r="AA75" i="3"/>
  <c r="L68" i="5"/>
  <c r="AA66" i="3"/>
  <c r="L74" i="5"/>
  <c r="V74" i="5" s="1"/>
  <c r="AA72" i="3"/>
  <c r="Z58" i="3"/>
  <c r="L51" i="5"/>
  <c r="V51" i="5" s="1"/>
  <c r="AA49" i="3"/>
  <c r="L49" i="5"/>
  <c r="V49" i="5" s="1"/>
  <c r="AA47" i="3"/>
  <c r="L48" i="5"/>
  <c r="V48" i="5" s="1"/>
  <c r="AA46" i="3"/>
  <c r="L52" i="5"/>
  <c r="V52" i="5" s="1"/>
  <c r="AA50" i="3"/>
  <c r="L50" i="5"/>
  <c r="V50" i="5" s="1"/>
  <c r="AA48" i="3"/>
  <c r="Z51" i="3"/>
  <c r="Z43" i="3"/>
  <c r="Z40" i="3"/>
  <c r="C30" i="3"/>
  <c r="C29" i="3"/>
  <c r="C28" i="3"/>
  <c r="V68" i="5" l="1"/>
  <c r="Q75" i="5"/>
  <c r="Q80" i="5"/>
  <c r="Q76" i="5"/>
  <c r="L30" i="5"/>
  <c r="P30" i="5" s="1"/>
  <c r="AA28" i="3"/>
  <c r="L31" i="5"/>
  <c r="AA29" i="3"/>
  <c r="L32" i="5"/>
  <c r="AA30" i="3"/>
  <c r="Q74" i="5"/>
  <c r="Q81" i="5"/>
  <c r="Q52" i="5"/>
  <c r="Q82" i="5"/>
  <c r="Q69" i="5"/>
  <c r="Q73" i="5"/>
  <c r="Q50" i="5"/>
  <c r="Q51" i="5"/>
  <c r="Q79" i="5"/>
  <c r="Q70" i="5"/>
  <c r="Q77" i="5"/>
  <c r="Q68" i="5"/>
  <c r="Q49" i="5"/>
  <c r="Q48" i="5"/>
  <c r="C34" i="3"/>
  <c r="C33" i="3"/>
  <c r="O32" i="5" l="1"/>
  <c r="N32" i="5"/>
  <c r="N31" i="5"/>
  <c r="O31" i="5"/>
  <c r="U30" i="5"/>
  <c r="V30" i="5" s="1"/>
  <c r="Q32" i="5"/>
  <c r="Q30" i="5"/>
  <c r="Z36" i="3"/>
  <c r="Q31" i="5"/>
  <c r="L35" i="5"/>
  <c r="AA33" i="3"/>
  <c r="L36" i="5"/>
  <c r="AA34" i="3"/>
  <c r="Z63" i="3"/>
  <c r="H26" i="5"/>
  <c r="H27" i="5" s="1"/>
  <c r="N35" i="5" l="1"/>
  <c r="O35" i="5"/>
  <c r="P32" i="5"/>
  <c r="U32" i="5" s="1"/>
  <c r="V32" i="5" s="1"/>
  <c r="O36" i="5"/>
  <c r="N36" i="5"/>
  <c r="P31" i="5"/>
  <c r="U31" i="5" s="1"/>
  <c r="V31" i="5" s="1"/>
  <c r="Q36" i="5"/>
  <c r="Q35" i="5"/>
  <c r="Z24" i="3"/>
  <c r="H205" i="5"/>
  <c r="H218" i="5" s="1"/>
  <c r="I205" i="5"/>
  <c r="I218" i="5" s="1"/>
  <c r="J205" i="5"/>
  <c r="J218" i="5" s="1"/>
  <c r="K205" i="5"/>
  <c r="K218" i="5" s="1"/>
  <c r="M205" i="5"/>
  <c r="M218" i="5" s="1"/>
  <c r="N205" i="5"/>
  <c r="O205" i="5"/>
  <c r="O218" i="5" s="1"/>
  <c r="Z188" i="3"/>
  <c r="Z170" i="3"/>
  <c r="I163" i="5"/>
  <c r="J163" i="5"/>
  <c r="K163" i="5"/>
  <c r="M163" i="5"/>
  <c r="N163" i="5"/>
  <c r="O163" i="5"/>
  <c r="H163" i="5"/>
  <c r="P36" i="5" l="1"/>
  <c r="P35" i="5"/>
  <c r="U35" i="5" s="1"/>
  <c r="V35" i="5" s="1"/>
  <c r="U36" i="5"/>
  <c r="V36" i="5" s="1"/>
  <c r="N218" i="5"/>
  <c r="Z25" i="3"/>
  <c r="H159" i="5"/>
  <c r="I159" i="5"/>
  <c r="J159" i="5"/>
  <c r="K159" i="5"/>
  <c r="M159" i="5"/>
  <c r="O159" i="5"/>
  <c r="N159" i="5" l="1"/>
  <c r="K117" i="5"/>
  <c r="I117" i="5"/>
  <c r="J117" i="5"/>
  <c r="M117" i="5"/>
  <c r="N117" i="5"/>
  <c r="O117" i="5"/>
  <c r="I64" i="5" l="1"/>
  <c r="J64" i="5"/>
  <c r="K64" i="5"/>
  <c r="M64" i="5"/>
  <c r="N64" i="5"/>
  <c r="O64" i="5"/>
  <c r="H45" i="5" l="1"/>
  <c r="H65" i="5" s="1"/>
  <c r="I45" i="5"/>
  <c r="J45" i="5"/>
  <c r="K45" i="5"/>
  <c r="M45" i="5"/>
  <c r="N45" i="5"/>
  <c r="O45" i="5"/>
  <c r="I42" i="5"/>
  <c r="J42" i="5"/>
  <c r="K42" i="5"/>
  <c r="M42" i="5"/>
  <c r="N42" i="5"/>
  <c r="O42" i="5"/>
  <c r="U42" i="5" l="1"/>
  <c r="I65" i="5"/>
  <c r="J65" i="5"/>
  <c r="M65" i="5"/>
  <c r="K65" i="5"/>
  <c r="Z19" i="3" l="1"/>
  <c r="I21" i="5"/>
  <c r="J21" i="5"/>
  <c r="K21" i="5"/>
  <c r="M21" i="5"/>
  <c r="N21" i="5"/>
  <c r="O21" i="5"/>
  <c r="H21" i="5"/>
  <c r="H13" i="5" l="1"/>
  <c r="H14" i="5" s="1"/>
  <c r="Z11" i="3" l="1"/>
  <c r="I196" i="5"/>
  <c r="I197" i="5" s="1"/>
  <c r="J196" i="5"/>
  <c r="J197" i="5" s="1"/>
  <c r="K197" i="5"/>
  <c r="M196" i="5"/>
  <c r="M197" i="5" s="1"/>
  <c r="N196" i="5"/>
  <c r="O196" i="5"/>
  <c r="O197" i="5" s="1"/>
  <c r="H196" i="5"/>
  <c r="H197" i="5" s="1"/>
  <c r="N197" i="5" l="1"/>
  <c r="Z12" i="3"/>
  <c r="O184" i="5" l="1"/>
  <c r="N184" i="5"/>
  <c r="M184" i="5"/>
  <c r="K184" i="5"/>
  <c r="J184" i="5"/>
  <c r="I184" i="5"/>
  <c r="H184" i="5"/>
  <c r="O181" i="5"/>
  <c r="N181" i="5"/>
  <c r="M181" i="5"/>
  <c r="K181" i="5"/>
  <c r="J181" i="5"/>
  <c r="I181" i="5"/>
  <c r="H181" i="5"/>
  <c r="O176" i="5"/>
  <c r="N176" i="5"/>
  <c r="M176" i="5"/>
  <c r="K176" i="5"/>
  <c r="J176" i="5"/>
  <c r="I176" i="5"/>
  <c r="H176" i="5"/>
  <c r="H177" i="5" s="1"/>
  <c r="M133" i="5"/>
  <c r="M141" i="5" s="1"/>
  <c r="K133" i="5"/>
  <c r="K141" i="5" s="1"/>
  <c r="J133" i="5"/>
  <c r="J141" i="5" s="1"/>
  <c r="I133" i="5"/>
  <c r="I141" i="5" s="1"/>
  <c r="H133" i="5"/>
  <c r="H141" i="5" s="1"/>
  <c r="O95" i="5"/>
  <c r="N95" i="5"/>
  <c r="M95" i="5"/>
  <c r="K95" i="5"/>
  <c r="J95" i="5"/>
  <c r="I95" i="5"/>
  <c r="H95" i="5"/>
  <c r="O92" i="5"/>
  <c r="N92" i="5"/>
  <c r="M92" i="5"/>
  <c r="K92" i="5"/>
  <c r="J92" i="5"/>
  <c r="I92" i="5"/>
  <c r="H92" i="5"/>
  <c r="O88" i="5"/>
  <c r="M88" i="5"/>
  <c r="K88" i="5"/>
  <c r="J88" i="5"/>
  <c r="I88" i="5"/>
  <c r="O26" i="5"/>
  <c r="O27" i="5" s="1"/>
  <c r="N26" i="5"/>
  <c r="M26" i="5"/>
  <c r="M27" i="5" s="1"/>
  <c r="K26" i="5"/>
  <c r="K27" i="5" s="1"/>
  <c r="J26" i="5"/>
  <c r="J27" i="5" s="1"/>
  <c r="I26" i="5"/>
  <c r="I27" i="5" s="1"/>
  <c r="O18" i="5"/>
  <c r="O22" i="5" s="1"/>
  <c r="N18" i="5"/>
  <c r="N22" i="5" s="1"/>
  <c r="M18" i="5"/>
  <c r="M22" i="5" s="1"/>
  <c r="K18" i="5"/>
  <c r="K22" i="5" s="1"/>
  <c r="J18" i="5"/>
  <c r="J22" i="5" s="1"/>
  <c r="I18" i="5"/>
  <c r="I22" i="5" s="1"/>
  <c r="H18" i="5"/>
  <c r="H22" i="5" s="1"/>
  <c r="O13" i="5"/>
  <c r="O14" i="5" s="1"/>
  <c r="N13" i="5"/>
  <c r="M13" i="5"/>
  <c r="M14" i="5" s="1"/>
  <c r="K13" i="5"/>
  <c r="K14" i="5" s="1"/>
  <c r="J13" i="5"/>
  <c r="J14" i="5" s="1"/>
  <c r="I13" i="5"/>
  <c r="I14" i="5" s="1"/>
  <c r="K118" i="5" l="1"/>
  <c r="N118" i="5"/>
  <c r="I118" i="5"/>
  <c r="H118" i="5"/>
  <c r="M118" i="5"/>
  <c r="J118" i="5"/>
  <c r="O118" i="5"/>
  <c r="N14" i="5"/>
  <c r="N27" i="5"/>
  <c r="H191" i="5"/>
  <c r="N88" i="5"/>
  <c r="K177" i="5"/>
  <c r="M177" i="5"/>
  <c r="I177" i="5"/>
  <c r="N177" i="5"/>
  <c r="J177" i="5"/>
  <c r="O177" i="5"/>
  <c r="J191" i="5"/>
  <c r="O191" i="5"/>
  <c r="I191" i="5"/>
  <c r="M191" i="5"/>
  <c r="K191" i="5"/>
  <c r="N191" i="5"/>
  <c r="I219" i="5" l="1"/>
  <c r="J219" i="5"/>
  <c r="M219" i="5"/>
  <c r="M220" i="5" s="1"/>
  <c r="K219" i="5"/>
  <c r="H219" i="5"/>
  <c r="A20" i="5"/>
  <c r="A25" i="5" l="1"/>
  <c r="A30" i="5" s="1"/>
  <c r="A31" i="5" s="1"/>
  <c r="A32" i="5" s="1"/>
  <c r="A33" i="5" s="1"/>
  <c r="A34" i="5" s="1"/>
  <c r="A35" i="5" s="1"/>
  <c r="A36" i="5" s="1"/>
  <c r="A37" i="5" s="1"/>
  <c r="A40" i="5" s="1"/>
  <c r="C102" i="3" l="1"/>
  <c r="C98" i="3"/>
  <c r="L100" i="5" s="1"/>
  <c r="P100" i="5" s="1"/>
  <c r="U100" i="5" s="1"/>
  <c r="L104" i="5" l="1"/>
  <c r="V104" i="5" s="1"/>
  <c r="AA102" i="3"/>
  <c r="V100" i="5"/>
  <c r="AA98" i="3"/>
  <c r="C96" i="3"/>
  <c r="C104" i="3"/>
  <c r="C105" i="3"/>
  <c r="C106" i="3"/>
  <c r="Q104" i="5" l="1"/>
  <c r="Q100" i="5"/>
  <c r="L98" i="5"/>
  <c r="AA96" i="3"/>
  <c r="L108" i="5"/>
  <c r="V108" i="5" s="1"/>
  <c r="AA106" i="3"/>
  <c r="L107" i="5"/>
  <c r="V107" i="5" s="1"/>
  <c r="AA105" i="3"/>
  <c r="L106" i="5"/>
  <c r="V106" i="5" s="1"/>
  <c r="AA104" i="3"/>
  <c r="A41" i="5"/>
  <c r="A44" i="5" s="1"/>
  <c r="A47" i="5" s="1"/>
  <c r="P98" i="5" l="1"/>
  <c r="U98" i="5" s="1"/>
  <c r="V98" i="5" s="1"/>
  <c r="A48" i="5"/>
  <c r="A49" i="5" s="1"/>
  <c r="A50" i="5" s="1"/>
  <c r="A51" i="5" s="1"/>
  <c r="A52" i="5" s="1"/>
  <c r="A55" i="5" s="1"/>
  <c r="A56" i="5" s="1"/>
  <c r="A57" i="5" s="1"/>
  <c r="A58" i="5" s="1"/>
  <c r="A59" i="5" s="1"/>
  <c r="A62" i="5" s="1"/>
  <c r="A63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5" i="5" s="1"/>
  <c r="A86" i="5" s="1"/>
  <c r="Q107" i="5"/>
  <c r="Q106" i="5"/>
  <c r="Q98" i="5"/>
  <c r="Q108" i="5"/>
  <c r="A91" i="5" l="1"/>
  <c r="C133" i="3"/>
  <c r="AA133" i="3" l="1"/>
  <c r="L135" i="5"/>
  <c r="V135" i="5" l="1"/>
  <c r="Q135" i="5"/>
  <c r="C153" i="3"/>
  <c r="C155" i="3"/>
  <c r="AA155" i="3" l="1"/>
  <c r="L155" i="5"/>
  <c r="AA153" i="3"/>
  <c r="L157" i="5"/>
  <c r="V157" i="5" s="1"/>
  <c r="C154" i="3"/>
  <c r="C156" i="3" s="1"/>
  <c r="V155" i="5" l="1"/>
  <c r="Q155" i="5"/>
  <c r="AA156" i="3"/>
  <c r="AA154" i="3"/>
  <c r="Q157" i="5"/>
  <c r="L156" i="5"/>
  <c r="V156" i="5" s="1"/>
  <c r="L158" i="5" l="1"/>
  <c r="Q156" i="5"/>
  <c r="U158" i="5" l="1"/>
  <c r="V158" i="5" s="1"/>
  <c r="Q158" i="5"/>
  <c r="Z195" i="3" l="1"/>
  <c r="Z194" i="3"/>
  <c r="Z161" i="3" l="1"/>
  <c r="C103" i="3"/>
  <c r="C110" i="3"/>
  <c r="L105" i="5" l="1"/>
  <c r="V105" i="5" s="1"/>
  <c r="AA103" i="3"/>
  <c r="L112" i="5"/>
  <c r="V112" i="5" s="1"/>
  <c r="AA110" i="3"/>
  <c r="C186" i="3"/>
  <c r="C144" i="3"/>
  <c r="C119" i="3"/>
  <c r="C126" i="3" s="1"/>
  <c r="C113" i="3"/>
  <c r="C70" i="3"/>
  <c r="AA70" i="3" s="1"/>
  <c r="C69" i="3"/>
  <c r="C76" i="3"/>
  <c r="C81" i="3" l="1"/>
  <c r="AA76" i="3"/>
  <c r="L146" i="5"/>
  <c r="V146" i="5" s="1"/>
  <c r="AA144" i="3"/>
  <c r="L188" i="5"/>
  <c r="V188" i="5" s="1"/>
  <c r="AA186" i="3"/>
  <c r="Q112" i="5"/>
  <c r="Q105" i="5"/>
  <c r="AA119" i="3"/>
  <c r="L115" i="5"/>
  <c r="V115" i="5" s="1"/>
  <c r="AA113" i="3"/>
  <c r="L71" i="5"/>
  <c r="AA69" i="3"/>
  <c r="L72" i="5"/>
  <c r="V72" i="5" s="1"/>
  <c r="L121" i="5"/>
  <c r="L128" i="5" s="1"/>
  <c r="L78" i="5"/>
  <c r="V78" i="5" s="1"/>
  <c r="V71" i="5" l="1"/>
  <c r="L83" i="5"/>
  <c r="V121" i="5"/>
  <c r="AA81" i="3"/>
  <c r="Q71" i="5"/>
  <c r="Q188" i="5"/>
  <c r="Q146" i="5"/>
  <c r="Q115" i="5"/>
  <c r="Q72" i="5"/>
  <c r="C127" i="3"/>
  <c r="AA127" i="3" s="1"/>
  <c r="AA126" i="3"/>
  <c r="Q78" i="5"/>
  <c r="Q121" i="5"/>
  <c r="Q128" i="5" l="1"/>
  <c r="U128" i="5"/>
  <c r="V128" i="5" s="1"/>
  <c r="L129" i="5"/>
  <c r="Q83" i="5"/>
  <c r="U83" i="5"/>
  <c r="V83" i="5" s="1"/>
  <c r="C198" i="3"/>
  <c r="C193" i="3"/>
  <c r="C192" i="3"/>
  <c r="C185" i="3"/>
  <c r="C187" i="3"/>
  <c r="C173" i="3"/>
  <c r="C168" i="3"/>
  <c r="C169" i="3"/>
  <c r="C145" i="3"/>
  <c r="C114" i="3"/>
  <c r="C99" i="3"/>
  <c r="C109" i="3"/>
  <c r="C61" i="3"/>
  <c r="C60" i="3"/>
  <c r="C53" i="3"/>
  <c r="C57" i="3"/>
  <c r="C45" i="3"/>
  <c r="C51" i="3" s="1"/>
  <c r="Z16" i="3"/>
  <c r="AA187" i="3" l="1"/>
  <c r="AA192" i="3"/>
  <c r="C194" i="3"/>
  <c r="C195" i="3" s="1"/>
  <c r="AA114" i="3"/>
  <c r="C115" i="3"/>
  <c r="AA169" i="3"/>
  <c r="AA45" i="3"/>
  <c r="AA51" i="3"/>
  <c r="AA60" i="3"/>
  <c r="C62" i="3"/>
  <c r="AA62" i="3" s="1"/>
  <c r="P129" i="5"/>
  <c r="U129" i="5" s="1"/>
  <c r="V129" i="5" s="1"/>
  <c r="Z131" i="3"/>
  <c r="Z189" i="3"/>
  <c r="Z182" i="3"/>
  <c r="L170" i="5"/>
  <c r="V170" i="5" s="1"/>
  <c r="AA168" i="3"/>
  <c r="L195" i="5"/>
  <c r="V195" i="5" s="1"/>
  <c r="AA193" i="3"/>
  <c r="L147" i="5"/>
  <c r="V147" i="5" s="1"/>
  <c r="AA145" i="3"/>
  <c r="L175" i="5"/>
  <c r="V175" i="5" s="1"/>
  <c r="AA173" i="3"/>
  <c r="Z203" i="3"/>
  <c r="Z216" i="3"/>
  <c r="L187" i="5"/>
  <c r="V187" i="5" s="1"/>
  <c r="AA185" i="3"/>
  <c r="L200" i="5"/>
  <c r="V200" i="5" s="1"/>
  <c r="AA198" i="3"/>
  <c r="L101" i="5"/>
  <c r="V101" i="5" s="1"/>
  <c r="AA99" i="3"/>
  <c r="L111" i="5"/>
  <c r="V111" i="5" s="1"/>
  <c r="AA109" i="3"/>
  <c r="Z85" i="3"/>
  <c r="L63" i="5"/>
  <c r="V63" i="5" s="1"/>
  <c r="AA61" i="3"/>
  <c r="L55" i="5"/>
  <c r="AA53" i="3"/>
  <c r="L59" i="5"/>
  <c r="V59" i="5" s="1"/>
  <c r="AA57" i="3"/>
  <c r="L171" i="5"/>
  <c r="V171" i="5" s="1"/>
  <c r="L62" i="5"/>
  <c r="V62" i="5" s="1"/>
  <c r="L47" i="5"/>
  <c r="C202" i="3"/>
  <c r="L194" i="5"/>
  <c r="V194" i="5" s="1"/>
  <c r="L189" i="5"/>
  <c r="V189" i="5" s="1"/>
  <c r="L116" i="5"/>
  <c r="V116" i="5" s="1"/>
  <c r="C54" i="3"/>
  <c r="L41" i="5"/>
  <c r="V41" i="5" s="1"/>
  <c r="C10" i="3"/>
  <c r="C11" i="3" s="1"/>
  <c r="C84" i="3"/>
  <c r="C85" i="3" s="1"/>
  <c r="C184" i="3"/>
  <c r="C188" i="3" s="1"/>
  <c r="C167" i="3"/>
  <c r="C170" i="3" s="1"/>
  <c r="C18" i="3"/>
  <c r="AA18" i="3" s="1"/>
  <c r="C23" i="3"/>
  <c r="C89" i="3"/>
  <c r="Z93" i="3"/>
  <c r="C92" i="3"/>
  <c r="C143" i="3"/>
  <c r="C146" i="3" s="1"/>
  <c r="C178" i="3"/>
  <c r="C179" i="3" s="1"/>
  <c r="C95" i="3"/>
  <c r="C107" i="3"/>
  <c r="C205" i="3"/>
  <c r="C215" i="3" s="1"/>
  <c r="C181" i="3"/>
  <c r="C97" i="3"/>
  <c r="C15" i="3"/>
  <c r="AA15" i="3" s="1"/>
  <c r="C31" i="3"/>
  <c r="C36" i="3" s="1"/>
  <c r="C42" i="3"/>
  <c r="C149" i="3"/>
  <c r="C151" i="3" s="1"/>
  <c r="C100" i="3"/>
  <c r="C172" i="3"/>
  <c r="C101" i="3"/>
  <c r="C134" i="3"/>
  <c r="C138" i="3" s="1"/>
  <c r="C197" i="3"/>
  <c r="C199" i="3" s="1"/>
  <c r="C160" i="3"/>
  <c r="C161" i="3" s="1"/>
  <c r="C164" i="3"/>
  <c r="C55" i="3"/>
  <c r="Z111" i="3"/>
  <c r="C56" i="3"/>
  <c r="C108" i="3"/>
  <c r="AA108" i="3" s="1"/>
  <c r="C130" i="3"/>
  <c r="C131" i="3" s="1"/>
  <c r="C163" i="3"/>
  <c r="V47" i="5" l="1"/>
  <c r="L53" i="5"/>
  <c r="C58" i="3"/>
  <c r="AA58" i="3" s="1"/>
  <c r="V55" i="5"/>
  <c r="C165" i="3"/>
  <c r="C111" i="3"/>
  <c r="AA172" i="3"/>
  <c r="C174" i="3"/>
  <c r="AA174" i="3" s="1"/>
  <c r="AA143" i="3"/>
  <c r="C157" i="3"/>
  <c r="AA134" i="3"/>
  <c r="C139" i="3"/>
  <c r="AA202" i="3"/>
  <c r="C203" i="3"/>
  <c r="C216" i="3" s="1"/>
  <c r="C86" i="3"/>
  <c r="AA36" i="3"/>
  <c r="AA181" i="3"/>
  <c r="C182" i="3"/>
  <c r="C189" i="3" s="1"/>
  <c r="AA54" i="3"/>
  <c r="Q147" i="5"/>
  <c r="AA84" i="3"/>
  <c r="Q187" i="5"/>
  <c r="Q175" i="5"/>
  <c r="Q195" i="5"/>
  <c r="L33" i="5"/>
  <c r="AA31" i="3"/>
  <c r="AA205" i="3"/>
  <c r="L207" i="5"/>
  <c r="AA215" i="3"/>
  <c r="L180" i="5"/>
  <c r="V180" i="5" s="1"/>
  <c r="AA178" i="3"/>
  <c r="AA188" i="3"/>
  <c r="AA184" i="3"/>
  <c r="L132" i="5"/>
  <c r="AA130" i="3"/>
  <c r="L199" i="5"/>
  <c r="V199" i="5" s="1"/>
  <c r="AA197" i="3"/>
  <c r="AA199" i="3"/>
  <c r="L169" i="5"/>
  <c r="L172" i="5" s="1"/>
  <c r="AA167" i="3"/>
  <c r="AA10" i="3"/>
  <c r="L165" i="5"/>
  <c r="AA163" i="3"/>
  <c r="L162" i="5"/>
  <c r="V162" i="5" s="1"/>
  <c r="AA160" i="3"/>
  <c r="AA151" i="3"/>
  <c r="AA149" i="3"/>
  <c r="AA195" i="3"/>
  <c r="AA194" i="3"/>
  <c r="L166" i="5"/>
  <c r="AA164" i="3"/>
  <c r="L44" i="5"/>
  <c r="V44" i="5" s="1"/>
  <c r="AA42" i="3"/>
  <c r="Z175" i="3"/>
  <c r="Z165" i="3"/>
  <c r="L25" i="5"/>
  <c r="V25" i="5" s="1"/>
  <c r="AA23" i="3"/>
  <c r="L34" i="5"/>
  <c r="AA32" i="3"/>
  <c r="Z139" i="3"/>
  <c r="Q41" i="5"/>
  <c r="Q101" i="5"/>
  <c r="Q63" i="5"/>
  <c r="Q111" i="5"/>
  <c r="Z20" i="3"/>
  <c r="L94" i="5"/>
  <c r="V94" i="5" s="1"/>
  <c r="AA92" i="3"/>
  <c r="L91" i="5"/>
  <c r="V91" i="5" s="1"/>
  <c r="AA89" i="3"/>
  <c r="L103" i="5"/>
  <c r="V103" i="5" s="1"/>
  <c r="AA101" i="3"/>
  <c r="L99" i="5"/>
  <c r="AA97" i="3"/>
  <c r="L97" i="5"/>
  <c r="AA95" i="3"/>
  <c r="L109" i="5"/>
  <c r="V109" i="5" s="1"/>
  <c r="AA107" i="3"/>
  <c r="L102" i="5"/>
  <c r="V102" i="5" s="1"/>
  <c r="AA100" i="3"/>
  <c r="Z86" i="3"/>
  <c r="Q55" i="5"/>
  <c r="Q59" i="5"/>
  <c r="L58" i="5"/>
  <c r="V58" i="5" s="1"/>
  <c r="AA56" i="3"/>
  <c r="L57" i="5"/>
  <c r="V57" i="5" s="1"/>
  <c r="AA55" i="3"/>
  <c r="AA170" i="3"/>
  <c r="L145" i="5"/>
  <c r="L136" i="5"/>
  <c r="Z116" i="3"/>
  <c r="Q62" i="5"/>
  <c r="Q47" i="5"/>
  <c r="L40" i="5"/>
  <c r="AA40" i="3"/>
  <c r="L37" i="5"/>
  <c r="L196" i="5"/>
  <c r="Q189" i="5"/>
  <c r="L64" i="5"/>
  <c r="Q116" i="5"/>
  <c r="L117" i="5"/>
  <c r="L204" i="5"/>
  <c r="V204" i="5" s="1"/>
  <c r="Q194" i="5"/>
  <c r="L183" i="5"/>
  <c r="V183" i="5" s="1"/>
  <c r="AA161" i="3"/>
  <c r="AA115" i="3"/>
  <c r="L110" i="5"/>
  <c r="V110" i="5" s="1"/>
  <c r="L86" i="5"/>
  <c r="L56" i="5"/>
  <c r="V56" i="5" s="1"/>
  <c r="C43" i="3"/>
  <c r="AA43" i="3" s="1"/>
  <c r="L20" i="5"/>
  <c r="V20" i="5" s="1"/>
  <c r="C19" i="3"/>
  <c r="AA19" i="3" s="1"/>
  <c r="L12" i="5"/>
  <c r="V12" i="5" s="1"/>
  <c r="Q170" i="5"/>
  <c r="L186" i="5"/>
  <c r="L174" i="5"/>
  <c r="V174" i="5" s="1"/>
  <c r="L151" i="5"/>
  <c r="C16" i="3"/>
  <c r="L17" i="5"/>
  <c r="V17" i="5" s="1"/>
  <c r="AA179" i="3"/>
  <c r="AA131" i="3"/>
  <c r="C93" i="3"/>
  <c r="C90" i="3"/>
  <c r="AA90" i="3" s="1"/>
  <c r="C24" i="3"/>
  <c r="C25" i="3" s="1"/>
  <c r="N34" i="5" l="1"/>
  <c r="O34" i="5"/>
  <c r="O132" i="5"/>
  <c r="O133" i="5" s="1"/>
  <c r="O141" i="5" s="1"/>
  <c r="N132" i="5"/>
  <c r="AA16" i="3"/>
  <c r="C20" i="3"/>
  <c r="AA20" i="3" s="1"/>
  <c r="O37" i="5"/>
  <c r="N37" i="5"/>
  <c r="O33" i="5"/>
  <c r="N33" i="5"/>
  <c r="Q97" i="5"/>
  <c r="P97" i="5"/>
  <c r="U97" i="5" s="1"/>
  <c r="V97" i="5" s="1"/>
  <c r="P99" i="5"/>
  <c r="L38" i="5"/>
  <c r="L60" i="5"/>
  <c r="V186" i="5"/>
  <c r="L190" i="5"/>
  <c r="V165" i="5"/>
  <c r="L167" i="5"/>
  <c r="V151" i="5"/>
  <c r="L153" i="5"/>
  <c r="V145" i="5"/>
  <c r="L148" i="5"/>
  <c r="C116" i="3"/>
  <c r="AA116" i="3" s="1"/>
  <c r="C175" i="3"/>
  <c r="AA175" i="3" s="1"/>
  <c r="AA111" i="3"/>
  <c r="L113" i="5"/>
  <c r="V86" i="5"/>
  <c r="L87" i="5"/>
  <c r="AA182" i="3"/>
  <c r="L42" i="5"/>
  <c r="V42" i="5" s="1"/>
  <c r="V40" i="5"/>
  <c r="V166" i="5"/>
  <c r="V140" i="5"/>
  <c r="V136" i="5"/>
  <c r="L217" i="5"/>
  <c r="V207" i="5"/>
  <c r="V169" i="5"/>
  <c r="AA93" i="3"/>
  <c r="C63" i="3"/>
  <c r="AA63" i="3" s="1"/>
  <c r="U53" i="5"/>
  <c r="V53" i="5" s="1"/>
  <c r="Q99" i="5"/>
  <c r="Q207" i="5"/>
  <c r="P64" i="5"/>
  <c r="U64" i="5" s="1"/>
  <c r="V64" i="5" s="1"/>
  <c r="AA138" i="3"/>
  <c r="AA139" i="3"/>
  <c r="L13" i="5"/>
  <c r="AA216" i="3"/>
  <c r="L181" i="5"/>
  <c r="Q58" i="5"/>
  <c r="Q165" i="5"/>
  <c r="Q180" i="5"/>
  <c r="Q162" i="5"/>
  <c r="Q169" i="5"/>
  <c r="Q33" i="5"/>
  <c r="L163" i="5"/>
  <c r="Q132" i="5"/>
  <c r="L26" i="5"/>
  <c r="AA86" i="3"/>
  <c r="L133" i="5"/>
  <c r="Q44" i="5"/>
  <c r="P196" i="5"/>
  <c r="U196" i="5" s="1"/>
  <c r="V196" i="5" s="1"/>
  <c r="AA25" i="3"/>
  <c r="AA24" i="3"/>
  <c r="Q34" i="5"/>
  <c r="Q25" i="5"/>
  <c r="AA157" i="3"/>
  <c r="AA146" i="3"/>
  <c r="C12" i="3"/>
  <c r="AA12" i="3" s="1"/>
  <c r="AA11" i="3"/>
  <c r="Q166" i="5"/>
  <c r="L45" i="5"/>
  <c r="AA165" i="3"/>
  <c r="AA203" i="3"/>
  <c r="Q37" i="5"/>
  <c r="Q109" i="5"/>
  <c r="L95" i="5"/>
  <c r="Q57" i="5"/>
  <c r="L176" i="5"/>
  <c r="Q117" i="5"/>
  <c r="Q110" i="5"/>
  <c r="Q64" i="5"/>
  <c r="Q145" i="5"/>
  <c r="L92" i="5"/>
  <c r="Q53" i="5"/>
  <c r="Q94" i="5"/>
  <c r="Q91" i="5"/>
  <c r="Q103" i="5"/>
  <c r="Q102" i="5"/>
  <c r="AA85" i="3"/>
  <c r="L201" i="5"/>
  <c r="Q196" i="5"/>
  <c r="L197" i="5"/>
  <c r="AA189" i="3"/>
  <c r="Q150" i="5"/>
  <c r="Q136" i="5"/>
  <c r="Q144" i="5"/>
  <c r="Q40" i="5"/>
  <c r="L205" i="5"/>
  <c r="Q86" i="5"/>
  <c r="L21" i="5"/>
  <c r="L184" i="5"/>
  <c r="Q204" i="5"/>
  <c r="Q183" i="5"/>
  <c r="Q171" i="5"/>
  <c r="P117" i="5"/>
  <c r="U117" i="5" s="1"/>
  <c r="V117" i="5" s="1"/>
  <c r="Q56" i="5"/>
  <c r="Q20" i="5"/>
  <c r="Q12" i="5"/>
  <c r="Q17" i="5"/>
  <c r="L18" i="5"/>
  <c r="Q174" i="5"/>
  <c r="Q151" i="5"/>
  <c r="Q186" i="5"/>
  <c r="N38" i="5" l="1"/>
  <c r="P37" i="5"/>
  <c r="U37" i="5" s="1"/>
  <c r="V37" i="5" s="1"/>
  <c r="N133" i="5"/>
  <c r="N141" i="5" s="1"/>
  <c r="P33" i="5"/>
  <c r="P34" i="5"/>
  <c r="U34" i="5" s="1"/>
  <c r="V34" i="5" s="1"/>
  <c r="L22" i="5"/>
  <c r="Q22" i="5" s="1"/>
  <c r="O38" i="5"/>
  <c r="O65" i="5" s="1"/>
  <c r="O219" i="5" s="1"/>
  <c r="O220" i="5" s="1"/>
  <c r="P132" i="5"/>
  <c r="U132" i="5" s="1"/>
  <c r="V132" i="5" s="1"/>
  <c r="P113" i="5"/>
  <c r="U113" i="5" s="1"/>
  <c r="V113" i="5" s="1"/>
  <c r="U99" i="5"/>
  <c r="V99" i="5" s="1"/>
  <c r="L118" i="5"/>
  <c r="Q167" i="5"/>
  <c r="L65" i="5"/>
  <c r="L191" i="5"/>
  <c r="Q18" i="5"/>
  <c r="L27" i="5"/>
  <c r="Q13" i="5"/>
  <c r="C217" i="3"/>
  <c r="L177" i="5"/>
  <c r="L159" i="5"/>
  <c r="U190" i="5"/>
  <c r="V190" i="5" s="1"/>
  <c r="P18" i="5"/>
  <c r="P181" i="5"/>
  <c r="U181" i="5" s="1"/>
  <c r="V181" i="5" s="1"/>
  <c r="P176" i="5"/>
  <c r="U176" i="5" s="1"/>
  <c r="V176" i="5" s="1"/>
  <c r="P21" i="5"/>
  <c r="U21" i="5" s="1"/>
  <c r="V21" i="5" s="1"/>
  <c r="P95" i="5"/>
  <c r="U95" i="5" s="1"/>
  <c r="V95" i="5" s="1"/>
  <c r="P26" i="5"/>
  <c r="P13" i="5"/>
  <c r="U87" i="5"/>
  <c r="V87" i="5" s="1"/>
  <c r="P92" i="5"/>
  <c r="P197" i="5"/>
  <c r="U197" i="5" s="1"/>
  <c r="V197" i="5" s="1"/>
  <c r="P133" i="5"/>
  <c r="P184" i="5"/>
  <c r="U184" i="5" s="1"/>
  <c r="V184" i="5" s="1"/>
  <c r="P45" i="5"/>
  <c r="U45" i="5" s="1"/>
  <c r="V45" i="5" s="1"/>
  <c r="P163" i="5"/>
  <c r="U163" i="5" s="1"/>
  <c r="V163" i="5" s="1"/>
  <c r="P217" i="5"/>
  <c r="U217" i="5" s="1"/>
  <c r="V217" i="5" s="1"/>
  <c r="L141" i="5"/>
  <c r="L14" i="5"/>
  <c r="Q181" i="5"/>
  <c r="U167" i="5"/>
  <c r="V167" i="5" s="1"/>
  <c r="Q190" i="5"/>
  <c r="Q95" i="5"/>
  <c r="Q26" i="5"/>
  <c r="Q140" i="5"/>
  <c r="U172" i="5"/>
  <c r="V172" i="5" s="1"/>
  <c r="Q133" i="5"/>
  <c r="Q163" i="5"/>
  <c r="Q45" i="5"/>
  <c r="Q217" i="5"/>
  <c r="Q113" i="5"/>
  <c r="Q153" i="5"/>
  <c r="Q176" i="5"/>
  <c r="Q184" i="5"/>
  <c r="Q92" i="5"/>
  <c r="L218" i="5"/>
  <c r="U60" i="5"/>
  <c r="V60" i="5" s="1"/>
  <c r="Q21" i="5"/>
  <c r="Q42" i="5"/>
  <c r="Z217" i="3"/>
  <c r="P201" i="5"/>
  <c r="U201" i="5" s="1"/>
  <c r="V201" i="5" s="1"/>
  <c r="U148" i="5"/>
  <c r="V148" i="5" s="1"/>
  <c r="Q148" i="5"/>
  <c r="U153" i="5"/>
  <c r="V153" i="5" s="1"/>
  <c r="Q87" i="5"/>
  <c r="L88" i="5"/>
  <c r="Q38" i="5"/>
  <c r="Q197" i="5"/>
  <c r="Q172" i="5"/>
  <c r="Q60" i="5"/>
  <c r="P205" i="5"/>
  <c r="U205" i="5" s="1"/>
  <c r="V205" i="5" s="1"/>
  <c r="Q205" i="5"/>
  <c r="U18" i="5" l="1"/>
  <c r="V18" i="5" s="1"/>
  <c r="P22" i="5"/>
  <c r="U133" i="5"/>
  <c r="V133" i="5" s="1"/>
  <c r="P38" i="5"/>
  <c r="U38" i="5" s="1"/>
  <c r="V38" i="5" s="1"/>
  <c r="U33" i="5"/>
  <c r="V33" i="5" s="1"/>
  <c r="N65" i="5"/>
  <c r="N219" i="5" s="1"/>
  <c r="N220" i="5" s="1"/>
  <c r="L219" i="5"/>
  <c r="C221" i="3"/>
  <c r="C218" i="3"/>
  <c r="U92" i="5"/>
  <c r="V92" i="5" s="1"/>
  <c r="P118" i="5"/>
  <c r="U118" i="5" s="1"/>
  <c r="V118" i="5" s="1"/>
  <c r="P27" i="5"/>
  <c r="U27" i="5" s="1"/>
  <c r="V27" i="5" s="1"/>
  <c r="U26" i="5"/>
  <c r="V26" i="5" s="1"/>
  <c r="P14" i="5"/>
  <c r="U14" i="5" s="1"/>
  <c r="V14" i="5" s="1"/>
  <c r="U13" i="5"/>
  <c r="V13" i="5" s="1"/>
  <c r="Q27" i="5"/>
  <c r="P191" i="5"/>
  <c r="U191" i="5" s="1"/>
  <c r="V191" i="5" s="1"/>
  <c r="U22" i="5"/>
  <c r="V22" i="5" s="1"/>
  <c r="P88" i="5"/>
  <c r="U88" i="5" s="1"/>
  <c r="V88" i="5" s="1"/>
  <c r="P141" i="5"/>
  <c r="U141" i="5" s="1"/>
  <c r="V141" i="5" s="1"/>
  <c r="P218" i="5"/>
  <c r="U218" i="5" s="1"/>
  <c r="V218" i="5" s="1"/>
  <c r="P177" i="5"/>
  <c r="U177" i="5" s="1"/>
  <c r="V177" i="5" s="1"/>
  <c r="P159" i="5"/>
  <c r="U159" i="5" s="1"/>
  <c r="V159" i="5" s="1"/>
  <c r="Q141" i="5"/>
  <c r="Q218" i="5"/>
  <c r="Q118" i="5"/>
  <c r="Q88" i="5"/>
  <c r="Q177" i="5"/>
  <c r="Q159" i="5"/>
  <c r="Q65" i="5"/>
  <c r="Q191" i="5"/>
  <c r="AA217" i="3"/>
  <c r="A18" i="3"/>
  <c r="Q14" i="5"/>
  <c r="P65" i="5" l="1"/>
  <c r="U65" i="5" s="1"/>
  <c r="V65" i="5" s="1"/>
  <c r="AA218" i="3"/>
  <c r="A23" i="3"/>
  <c r="A28" i="3" s="1"/>
  <c r="A29" i="3" s="1"/>
  <c r="A30" i="3" s="1"/>
  <c r="A31" i="3" s="1"/>
  <c r="A32" i="3" s="1"/>
  <c r="A33" i="3" s="1"/>
  <c r="A34" i="3" s="1"/>
  <c r="A35" i="3" s="1"/>
  <c r="A38" i="3" s="1"/>
  <c r="P219" i="5" l="1"/>
  <c r="U219" i="5" s="1"/>
  <c r="V219" i="5" s="1"/>
  <c r="C219" i="3"/>
  <c r="AA219" i="3" s="1"/>
  <c r="P220" i="5" l="1"/>
  <c r="U220" i="5" s="1"/>
  <c r="L220" i="5"/>
  <c r="Q199" i="5"/>
  <c r="A39" i="3"/>
  <c r="A42" i="3" s="1"/>
  <c r="A45" i="3" s="1"/>
  <c r="V220" i="5" l="1"/>
  <c r="A46" i="3"/>
  <c r="A47" i="3" s="1"/>
  <c r="A48" i="3" s="1"/>
  <c r="A49" i="3" s="1"/>
  <c r="A50" i="3" s="1"/>
  <c r="A53" i="3" s="1"/>
  <c r="A54" i="3" s="1"/>
  <c r="A55" i="3" s="1"/>
  <c r="A56" i="3" s="1"/>
  <c r="A57" i="3" s="1"/>
  <c r="A60" i="3" s="1"/>
  <c r="Q200" i="5"/>
  <c r="A61" i="3" l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3" i="3" s="1"/>
  <c r="A84" i="3" s="1"/>
  <c r="A89" i="3" l="1"/>
  <c r="A92" i="3" s="1"/>
  <c r="A95" i="3" s="1"/>
  <c r="A96" i="3" s="1"/>
  <c r="A97" i="3" l="1"/>
  <c r="A98" i="3" s="1"/>
  <c r="A99" i="3" s="1"/>
  <c r="A100" i="3" s="1"/>
  <c r="A101" i="3" s="1"/>
  <c r="A102" i="3" s="1"/>
  <c r="A108" i="3" l="1"/>
  <c r="A109" i="3" s="1"/>
  <c r="A110" i="3" s="1"/>
  <c r="A113" i="3" s="1"/>
  <c r="A114" i="3" s="1"/>
  <c r="A119" i="3" l="1"/>
  <c r="A120" i="3" s="1"/>
  <c r="A121" i="3" s="1"/>
  <c r="A122" i="3" s="1"/>
  <c r="A123" i="3" s="1"/>
  <c r="A124" i="3" s="1"/>
  <c r="A125" i="3" s="1"/>
  <c r="A130" i="3" s="1"/>
  <c r="A133" i="3" s="1"/>
  <c r="A134" i="3" s="1"/>
  <c r="A135" i="3" l="1"/>
  <c r="A136" i="3" s="1"/>
  <c r="A137" i="3" s="1"/>
  <c r="A142" i="3" l="1"/>
  <c r="A143" i="3" s="1"/>
  <c r="A144" i="3" s="1"/>
  <c r="A145" i="3" s="1"/>
  <c r="A148" i="3" l="1"/>
  <c r="A149" i="3" s="1"/>
  <c r="A150" i="3" s="1"/>
  <c r="A153" i="3" s="1"/>
  <c r="A154" i="3" l="1"/>
  <c r="A155" i="3" l="1"/>
  <c r="A160" i="3" s="1"/>
  <c r="A163" i="3" s="1"/>
  <c r="A164" i="3" s="1"/>
  <c r="A167" i="3" s="1"/>
  <c r="Q201" i="5"/>
  <c r="A168" i="3" l="1"/>
  <c r="A169" i="3" s="1"/>
  <c r="A172" i="3" s="1"/>
  <c r="A173" i="3" l="1"/>
  <c r="A178" i="3" s="1"/>
  <c r="A181" i="3" s="1"/>
  <c r="A184" i="3" s="1"/>
  <c r="A185" i="3" s="1"/>
  <c r="A186" i="3" s="1"/>
  <c r="A187" i="3" s="1"/>
  <c r="A192" i="3" s="1"/>
  <c r="A193" i="3" l="1"/>
  <c r="A197" i="3" s="1"/>
  <c r="A198" i="3" l="1"/>
  <c r="A202" i="3" s="1"/>
  <c r="A205" i="3" l="1"/>
  <c r="A206" i="3" l="1"/>
  <c r="A207" i="3" s="1"/>
  <c r="A208" i="3" s="1"/>
  <c r="A209" i="3" s="1"/>
  <c r="A210" i="3" s="1"/>
  <c r="A211" i="3" s="1"/>
  <c r="A212" i="3" s="1"/>
  <c r="A213" i="3" l="1"/>
  <c r="A214" i="3" s="1"/>
  <c r="Q129" i="5" l="1"/>
  <c r="Q219" i="5"/>
  <c r="A94" i="5"/>
  <c r="A97" i="5" s="1"/>
  <c r="A98" i="5" s="1"/>
  <c r="A99" i="5" s="1"/>
  <c r="A100" i="5" s="1"/>
  <c r="A101" i="5" s="1"/>
  <c r="A102" i="5" s="1"/>
  <c r="A103" i="5" s="1"/>
  <c r="A104" i="5" s="1"/>
  <c r="A105" i="5" s="1"/>
  <c r="A115" i="5" l="1"/>
  <c r="A116" i="5" s="1"/>
  <c r="A121" i="5" s="1"/>
  <c r="A122" i="5" s="1"/>
  <c r="A123" i="5" s="1"/>
  <c r="A124" i="5" s="1"/>
  <c r="A125" i="5" s="1"/>
  <c r="A126" i="5" s="1"/>
  <c r="A127" i="5" s="1"/>
  <c r="A132" i="5" s="1"/>
  <c r="A135" i="5" s="1"/>
  <c r="A136" i="5" s="1"/>
  <c r="A137" i="5" l="1"/>
  <c r="A138" i="5" s="1"/>
  <c r="A139" i="5" s="1"/>
  <c r="A144" i="5" l="1"/>
  <c r="A145" i="5" s="1"/>
  <c r="A146" i="5" s="1"/>
  <c r="A147" i="5" s="1"/>
  <c r="A150" i="5" l="1"/>
  <c r="A151" i="5" s="1"/>
  <c r="A152" i="5" s="1"/>
  <c r="A155" i="5" l="1"/>
  <c r="A156" i="5" s="1"/>
  <c r="A157" i="5" l="1"/>
  <c r="A162" i="5" s="1"/>
  <c r="A165" i="5" l="1"/>
  <c r="A166" i="5" s="1"/>
  <c r="A169" i="5" l="1"/>
  <c r="A170" i="5" s="1"/>
  <c r="A171" i="5" l="1"/>
  <c r="A174" i="5" s="1"/>
  <c r="A175" i="5" s="1"/>
  <c r="A180" i="5" s="1"/>
  <c r="A183" i="5" s="1"/>
  <c r="A186" i="5" l="1"/>
  <c r="A187" i="5" s="1"/>
  <c r="A188" i="5" s="1"/>
  <c r="A189" i="5" s="1"/>
  <c r="A194" i="5" s="1"/>
  <c r="A195" i="5" s="1"/>
  <c r="A199" i="5" s="1"/>
  <c r="A200" i="5" s="1"/>
  <c r="A204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</calcChain>
</file>

<file path=xl/sharedStrings.xml><?xml version="1.0" encoding="utf-8"?>
<sst xmlns="http://schemas.openxmlformats.org/spreadsheetml/2006/main" count="1247" uniqueCount="255">
  <si>
    <t>№ п\п</t>
  </si>
  <si>
    <t>Адрес МКД</t>
  </si>
  <si>
    <t>Стоимость капитального ремонта ВСЕГО</t>
  </si>
  <si>
    <t>Установка коллективных (общедомовых) ПУ и УУ</t>
  </si>
  <si>
    <t>Проектные работы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</si>
  <si>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</si>
  <si>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</si>
  <si>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</si>
  <si>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</si>
  <si>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</si>
  <si>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</si>
  <si>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</si>
  <si>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</si>
  <si>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</si>
  <si>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</si>
  <si>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</si>
  <si>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Волховский муниципальный район</t>
  </si>
  <si>
    <t>Итого по муниципальному образованию</t>
  </si>
  <si>
    <t>Итого по Волховскому муниципальному району</t>
  </si>
  <si>
    <t>Выборгский район</t>
  </si>
  <si>
    <t>Муниципальное образование Выборгское городское поселение</t>
  </si>
  <si>
    <t>Муниципальное образование Светогорское городское поселение</t>
  </si>
  <si>
    <t>Итого по Выборгскому району</t>
  </si>
  <si>
    <t>Киришский муниципальный район</t>
  </si>
  <si>
    <t>Муниципальное образование Киришское городское поселение</t>
  </si>
  <si>
    <t>Итого по Киришскому муниципальному району</t>
  </si>
  <si>
    <t>Ломоносовский муниципальный район</t>
  </si>
  <si>
    <t>Муниципальное образование Аннинское сельское поселение</t>
  </si>
  <si>
    <t>Итого по Ломоносовскому муниципальному району</t>
  </si>
  <si>
    <t>Лужский муниципальный район</t>
  </si>
  <si>
    <t>Муниципальное образование Дзержинское сельское поселение</t>
  </si>
  <si>
    <t>Муниципальное образование Ям-Тесовское сельское поселение</t>
  </si>
  <si>
    <t>Итого по Лужскому муниципальному району</t>
  </si>
  <si>
    <t>Подпорожский муниципальный район</t>
  </si>
  <si>
    <t>Муниципальное образование Никольское городское поселение</t>
  </si>
  <si>
    <t>Муниципальное образование Подпорожское городское поселение</t>
  </si>
  <si>
    <t>Итого по Подпорожскому муниципальному району</t>
  </si>
  <si>
    <t>Приозерский муниципальный район</t>
  </si>
  <si>
    <t>Муниципальное образование Приозерское городское поселение</t>
  </si>
  <si>
    <t>Итого по Приозерскому муниципальному району</t>
  </si>
  <si>
    <t>Муниципальное образование Сосновоборгский городской округ</t>
  </si>
  <si>
    <t>Тосненский муниципальный район</t>
  </si>
  <si>
    <t>Муниципальное образование Ульяновское сельское поселение</t>
  </si>
  <si>
    <t>Итого по Тосненскому району</t>
  </si>
  <si>
    <t>ИТОГО по Ленинградской области</t>
  </si>
  <si>
    <t>Бокситогорский муниципальный район</t>
  </si>
  <si>
    <t>Муниципальное образование Борское сельское поселение</t>
  </si>
  <si>
    <t>Итого по Бокситогорскому муниципальному району</t>
  </si>
  <si>
    <t>Волосовский муниципальный район</t>
  </si>
  <si>
    <t>Итого по Волосовскому муниципальному району</t>
  </si>
  <si>
    <t>Всеволожский муниципальный район</t>
  </si>
  <si>
    <t>Муниципальное образование Город Всеволожск</t>
  </si>
  <si>
    <t>Муниципальное образование Свердловское городское поселение</t>
  </si>
  <si>
    <t>Муниципальное образование "Сертолово"</t>
  </si>
  <si>
    <t>Муниципальное образование Токсовское городское поселение</t>
  </si>
  <si>
    <t>Итого по Всеволожскому муниципальному району</t>
  </si>
  <si>
    <t>Гатчинский мунициальный район</t>
  </si>
  <si>
    <t>Муниципальное образование Город Гатчина</t>
  </si>
  <si>
    <t>Муниципальное образование Город Коммунар</t>
  </si>
  <si>
    <t>Итого по Гатчинскому муниципальному району</t>
  </si>
  <si>
    <t>Кировский муниципальный район</t>
  </si>
  <si>
    <t>Муниципальное образование Путиловское сельское поселение</t>
  </si>
  <si>
    <t>Итого по Кировскому муниципальному району</t>
  </si>
  <si>
    <t>Итого по Ленинградской области со строительным контролем</t>
  </si>
  <si>
    <t>Осуществление строительного контроля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</si>
  <si>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</si>
  <si>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</si>
  <si>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</si>
  <si>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</si>
  <si>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</si>
  <si>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</si>
  <si>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Виды работ</t>
  </si>
  <si>
    <t>Ремонт внутридомовых инженерных систем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</si>
  <si>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</si>
  <si>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</si>
  <si>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</si>
  <si>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</si>
  <si>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</si>
  <si>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</si>
  <si>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</si>
  <si>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</si>
  <si>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</si>
  <si>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</si>
  <si>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</si>
  <si>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</si>
  <si>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</si>
  <si>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</si>
  <si>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</si>
  <si>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</si>
  <si>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</si>
  <si>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</si>
  <si>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</si>
  <si>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</si>
  <si>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</si>
  <si>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</si>
  <si>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</si>
  <si>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</si>
  <si>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Кирпич</t>
  </si>
  <si>
    <t>х</t>
  </si>
  <si>
    <t>Панель</t>
  </si>
  <si>
    <t>Муниципальное образование Город Выборг</t>
  </si>
  <si>
    <t>Гатчинский муниципальный район</t>
  </si>
  <si>
    <t>РО</t>
  </si>
  <si>
    <t>Итого по Сосоновоборскому городскому округу</t>
  </si>
  <si>
    <t>Итого по Ленинградской области</t>
  </si>
  <si>
    <t>до 1940</t>
  </si>
  <si>
    <t>Дерево</t>
  </si>
  <si>
    <t>30.12.2017</t>
  </si>
  <si>
    <t>Пос. Токсово, ул. Привокзальная, д. 14</t>
  </si>
  <si>
    <t>Пос. Токсово, ул. Привокзальная, д. 16</t>
  </si>
  <si>
    <t>Другое</t>
  </si>
  <si>
    <t>Работы по предпроектной подготовке</t>
  </si>
  <si>
    <t>Дер. Бор, д. 25</t>
  </si>
  <si>
    <t>Муниципальное образование Зимитицкое сельское поселение</t>
  </si>
  <si>
    <t>Пос. Зимитицы, д. 14</t>
  </si>
  <si>
    <t xml:space="preserve"> Муниципальное образование Зимитицкое сельское поселение</t>
  </si>
  <si>
    <t>Муниципальное образование Сельцовское сельское поселение</t>
  </si>
  <si>
    <t>Пос. Сельцо, д. 33</t>
  </si>
  <si>
    <t>Муниципальное образование Потанинское сельское поселение</t>
  </si>
  <si>
    <t>Дер. Потанино, д. 5</t>
  </si>
  <si>
    <t xml:space="preserve">Г. Всеволожск, ш. Колтушское, д. 78  </t>
  </si>
  <si>
    <t xml:space="preserve">Г. Всеволожск, ул. Ленинградская, д. 3  </t>
  </si>
  <si>
    <t xml:space="preserve">Г. Всеволожск, ул. Ленинградская, д. 5  </t>
  </si>
  <si>
    <t xml:space="preserve">Г. Всеволожск, ул. Ленинградская, д. 7  </t>
  </si>
  <si>
    <t xml:space="preserve">Г. Всеволожск, ул. Ленинградская, д. 13  </t>
  </si>
  <si>
    <t xml:space="preserve">Г. Всеволожск, ул. Ленинградская, д. 21/2  </t>
  </si>
  <si>
    <t xml:space="preserve">Г. Всеволожск, ул. Ленинградская, д. 21/3  </t>
  </si>
  <si>
    <t xml:space="preserve">Г. Всеволожск, ул. Межевая, д. 18  </t>
  </si>
  <si>
    <t>Муниципальное образование Лесколовское сельское поселение</t>
  </si>
  <si>
    <t>Пос. Осельки, д. 3</t>
  </si>
  <si>
    <t>Дер. Лесколово, ул. Красноборская, д. 12</t>
  </si>
  <si>
    <t>Муниципальное образование Новодевяткинское сельское поселение</t>
  </si>
  <si>
    <t xml:space="preserve">Дер. Новое Девяткино, д. 95  </t>
  </si>
  <si>
    <t>Пос. им. Свердлова, микрорайон 1, д. 2</t>
  </si>
  <si>
    <t>Пос. им. Свердлова, микрорайон 1, д. 4</t>
  </si>
  <si>
    <t>Пос. им. Свердлова, микрорайон 1, д. 5</t>
  </si>
  <si>
    <t>Пос. им. Свердлова, микрорайон 1, д. 37</t>
  </si>
  <si>
    <t>Пос. им. Свердлова, микрорайон 1, д. 39</t>
  </si>
  <si>
    <t>Пос. им. Свердлова, микрорайон 2, д. 49</t>
  </si>
  <si>
    <t xml:space="preserve">Г. Сертолово, ул. Ларина, д. 1  </t>
  </si>
  <si>
    <t xml:space="preserve">Г. Сертолово, ул. Ларина, д. 4  </t>
  </si>
  <si>
    <t xml:space="preserve">Г. Сертолово, ул. Ларина, д. 8  </t>
  </si>
  <si>
    <t xml:space="preserve">Г. Сертолово, ул. Центральная, д. 2  </t>
  </si>
  <si>
    <t xml:space="preserve">Г. Сертолово, микрорайон Черная Речка, д. 9  </t>
  </si>
  <si>
    <t xml:space="preserve">Г. Выборг, ул. Репина, д. 7  </t>
  </si>
  <si>
    <t xml:space="preserve">Г. Выборг, ул. Большая Каменная, д. 9  </t>
  </si>
  <si>
    <t xml:space="preserve">Г. Выборг, ул. Крепостная, д. 49  </t>
  </si>
  <si>
    <t xml:space="preserve">Г. Выборг, бул. Кутузова, д. 43  </t>
  </si>
  <si>
    <t xml:space="preserve">Г. Выборг, ул. Первомайская, д. 2  </t>
  </si>
  <si>
    <t xml:space="preserve">Г. Выборг, ш. Приморское, д. 2  </t>
  </si>
  <si>
    <t xml:space="preserve">Г. Выборг, просп. Московский, д. 7  </t>
  </si>
  <si>
    <t xml:space="preserve">Г. Выборг, просп. Ленина, д. 20  </t>
  </si>
  <si>
    <t xml:space="preserve">Г. Выборг, ул. Рубежная, д. 23  </t>
  </si>
  <si>
    <t xml:space="preserve">Г. Выборг, ул. Гагарина, д. 16  </t>
  </si>
  <si>
    <t xml:space="preserve">Г. Выборг, ш. Ленинградское, д. 15  </t>
  </si>
  <si>
    <t xml:space="preserve">Г. Выборг, ул. Куйбышева, д. 15  </t>
  </si>
  <si>
    <t xml:space="preserve">Г. Выборг, ул. Куйбышева, д. 21  </t>
  </si>
  <si>
    <t xml:space="preserve">Г. Выборг, ул. Рубежная, д. 25  </t>
  </si>
  <si>
    <t>Г. Светогорск, ул. Красноармейская, д. 4</t>
  </si>
  <si>
    <t>Г. Светогорск, ул. Красноармейская, д. 18</t>
  </si>
  <si>
    <t>Г. Гатчина, просп. 25 Октября, д. 31</t>
  </si>
  <si>
    <t>Г. Гатчина, ул. Беляева, д. 32</t>
  </si>
  <si>
    <t>Г. Гатчина, ул. К. Маркса, д. 34</t>
  </si>
  <si>
    <t>Г. Гатчина, ул. К. Маркса, д. 49/51</t>
  </si>
  <si>
    <t>Г. Гатчина, ул. Лейтенанта Шмидта, д. 3</t>
  </si>
  <si>
    <t>Г. Гатчина, ул. Лейтенанта Шмидта, д. 10</t>
  </si>
  <si>
    <t>Г. Гатчина, ул. Лейтенанта Шмидта, д. 12</t>
  </si>
  <si>
    <t>Г. Гатчина, ул. Лейтенанта Шмидта, д. 14</t>
  </si>
  <si>
    <t>Г. Гатчина, просп. 25 Октября, д. 11/13</t>
  </si>
  <si>
    <t>Г. Гатчина, просп. 25 Октября, д. 15</t>
  </si>
  <si>
    <t>Г. Гатчина, просп. 25 Октября, д. 17</t>
  </si>
  <si>
    <t>Г. Гатчина, просп. 25 Октября, д. 19</t>
  </si>
  <si>
    <t>Г. Гатчина, просп. 25 Октября, д. 22</t>
  </si>
  <si>
    <t>Г. Гатчина, просп. 25 Октября, д. 46, кор. 1</t>
  </si>
  <si>
    <t>Г. Гатчина, просп. 25 Октября, д. 50, кор. 1</t>
  </si>
  <si>
    <t>Г. Гатчина, просп. 25 Октября, д. 59</t>
  </si>
  <si>
    <t>Г. Коммунар, ул. Бумажников, д. 7</t>
  </si>
  <si>
    <t>Г. Коммунар, ш. Ленинградское, д. 24</t>
  </si>
  <si>
    <t>Муниципальное образование Большеколпанское сельское поселение</t>
  </si>
  <si>
    <t>Дер. Большие Колпаны, ул. 30 лет Победы, д. 7</t>
  </si>
  <si>
    <t>Муниципальное образование Веревское сельское поселение</t>
  </si>
  <si>
    <t>Дер. Зайцево, д. 8</t>
  </si>
  <si>
    <t>Г. Кириши, бул. Молодежный, д. 15</t>
  </si>
  <si>
    <t>Г. Кириши, ул. Декабристов Бестужевых, д. 27</t>
  </si>
  <si>
    <t>Г. Кириши, бул. Плавницкий, д. 4</t>
  </si>
  <si>
    <t>Г. Кириши, бул. Плавницкий, д. 10</t>
  </si>
  <si>
    <t>Г. Кириши, ул. Пионерская, д. 5</t>
  </si>
  <si>
    <t>Г. Кириши, ул. Пионерская, д. 7</t>
  </si>
  <si>
    <t>С. Путилово, ул. Братьев Пожарских, д. 23</t>
  </si>
  <si>
    <t>Муниципальное образование Синявинское городское поселение</t>
  </si>
  <si>
    <t>Г.п. Синявино, ул. Кравченко, д. 10</t>
  </si>
  <si>
    <t>Г.п. Синявино, ул. Кравченко, д. 13</t>
  </si>
  <si>
    <t>Г.п. Синявино, ул. Кравченко, д. 3</t>
  </si>
  <si>
    <t>Г.п. Синявино, ул. Кравченко, д. 18</t>
  </si>
  <si>
    <t>Г.п. Синявино, ул. Кравченко, д. 9</t>
  </si>
  <si>
    <t>Пос. Новоселье, д. 156</t>
  </si>
  <si>
    <t>Пос. Новоселье, д. 160</t>
  </si>
  <si>
    <t>Пос. Новоселье, д. 167</t>
  </si>
  <si>
    <t>Пос. Аннино, ул. Центральная, д. 2</t>
  </si>
  <si>
    <t>Муниципальное образование Виллозское сельское поселение</t>
  </si>
  <si>
    <t>Дер. Виллози, д. 4</t>
  </si>
  <si>
    <t>Дер. Малое Карлино, д. 17а</t>
  </si>
  <si>
    <t>Муниципальное образование Лопухинское сельское поселение</t>
  </si>
  <si>
    <t>Дер. Лопухинка, ул. Мира, д. 7</t>
  </si>
  <si>
    <t>Дер. Лопухинка, ул. Мира, д. 11</t>
  </si>
  <si>
    <t>Дер. Лопухинка, ул. Мира, д. 13</t>
  </si>
  <si>
    <t>Пос. Дзержинского, пер. Октябрьский, д. 3</t>
  </si>
  <si>
    <t>Дер. Ям-Тесово, ул. Центральная, д. 5</t>
  </si>
  <si>
    <t>Дер. Ям-Тесово, ул. Центральная, д. 8</t>
  </si>
  <si>
    <t>Муниципальное образование Серебрянское сельское поселение</t>
  </si>
  <si>
    <t>Пос. Серебрянский, ул. Совхозная,  д. 14</t>
  </si>
  <si>
    <t>Пос. Серебрянский, ул. Лужская,  д. 1</t>
  </si>
  <si>
    <t>Муниципальное образование Тесовское сельское поселение</t>
  </si>
  <si>
    <t>Дер. Тесовов-4, ул. Гагарина, д. 9</t>
  </si>
  <si>
    <t>Дер. Мошковые Поляны, ул. Широкая, д. 1</t>
  </si>
  <si>
    <t>Дер. Мошковые Поляны, ул. Широкая, д. 2</t>
  </si>
  <si>
    <t>Муниципальное образование Вознесенское городское поселение</t>
  </si>
  <si>
    <t>Г.п. Вознесенье, ул. Пионерская, д. 47А</t>
  </si>
  <si>
    <t>Г. Никольский, ул. Советская, д. 1</t>
  </si>
  <si>
    <t>Г. Подпорожье, ул. Строителей, д. 9</t>
  </si>
  <si>
    <t>Г. Подпорожье, ул. Красноармейская, д. 14а</t>
  </si>
  <si>
    <t>Г. Подпорожье, просп. Ленина, д. 13</t>
  </si>
  <si>
    <t>Г. Подпорожье, ул. Свирская, д. 54</t>
  </si>
  <si>
    <t>Г. Приозерск, ул. Выборгская, д. 27</t>
  </si>
  <si>
    <t>Г. Приозерск, ул. Сосновая, д. 21</t>
  </si>
  <si>
    <t>Г. Сосновый Бор, ул. Ленинградская, д. 4</t>
  </si>
  <si>
    <t>Г. Сосновый Бор, ул. Солнечная, д. 32</t>
  </si>
  <si>
    <t>Муниципальное образование Рябовское городское поселение</t>
  </si>
  <si>
    <t>Г.п. Рябово, ул. Школьная, д. 9</t>
  </si>
  <si>
    <t>Г.п. Ульяновка, ул. Калинина, д. 74</t>
  </si>
  <si>
    <t>Г.п. Ульяновка, ул. Калинина, д. 74а</t>
  </si>
  <si>
    <t>Г.п. Ульяновка, ул. Калинина, д. 74б</t>
  </si>
  <si>
    <t>Г.п. Ульяновка, ул. Калинина, д. 78</t>
  </si>
  <si>
    <t>Г.п. Ульяновка, ул. Калинина, д. 80</t>
  </si>
  <si>
    <t>Г.п. Ульяновка, ул. Калинина, д. 82</t>
  </si>
  <si>
    <t>Г.п. Ульяновка, ул. Победы, д. 37</t>
  </si>
  <si>
    <t>Г.п. Ульяновка, ул. Победы, д. 39</t>
  </si>
  <si>
    <t>Г.п. Ульяновка, ул. Победы, д. 41</t>
  </si>
  <si>
    <t>Г.п. Ульяновка, ул. Победы, д. 44</t>
  </si>
  <si>
    <t>III. Перечень многоквратирных домов, которые подлежат капитальному ремонту в 2016 году с учетом мер государственной поддержки</t>
  </si>
  <si>
    <t>IV. Реестр многоквратирных домов, которые подлежат капитальному ремонту в 2016 году с учетом мер государственной поддержки</t>
  </si>
  <si>
    <t>электрика+тепло</t>
  </si>
  <si>
    <t>фасад</t>
  </si>
  <si>
    <t>электрика</t>
  </si>
  <si>
    <t>тепло</t>
  </si>
  <si>
    <t>фундамент, фасад</t>
  </si>
  <si>
    <t>фундамент+электрика</t>
  </si>
  <si>
    <t>Т,ХВС,ГВС,В,УУ+Э,УУ</t>
  </si>
  <si>
    <t>крыша</t>
  </si>
  <si>
    <t>фунтамент+крыша</t>
  </si>
  <si>
    <t>спецсчет</t>
  </si>
  <si>
    <t>Дер. Виллози, д. 12</t>
  </si>
  <si>
    <t xml:space="preserve">Г. Выборг, ул. Большая Каменная, д. 3  </t>
  </si>
  <si>
    <t>Г. Кириши, ул. Нефтехимиков, д. 6</t>
  </si>
  <si>
    <t xml:space="preserve">Приложение                                                     к постановлению Правительства                   Ленинградской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</si>
</sst>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scheme val="minor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8">
    <xf numFmtId="0" fontId="0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7" fillId="0" borderId="0"/>
    <xf numFmtId="0" fontId="14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8" fillId="0" borderId="0"/>
    <xf numFmtId="0" fontId="20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2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1">
    <xf numFmtId="0" fontId="0" fillId="0" borderId="0" xfId="0"/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/>
    <xf numFmtId="0" fontId="9" fillId="2" borderId="0" xfId="0" applyFont="1" applyFill="1"/>
    <xf numFmtId="0" fontId="10" fillId="2" borderId="1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vertical="center"/>
    </xf>
    <xf numFmtId="4" fontId="10" fillId="2" borderId="0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 shrinkToFit="1"/>
    </xf>
    <xf numFmtId="3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4" fontId="10" fillId="2" borderId="4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4" fontId="10" fillId="2" borderId="0" xfId="0" applyNumberFormat="1" applyFont="1" applyFill="1"/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10" fillId="2" borderId="1" xfId="7" quotePrefix="1" applyFont="1" applyFill="1" applyBorder="1" applyAlignment="1">
      <alignment horizontal="center" vertical="center"/>
    </xf>
    <xf numFmtId="0" fontId="10" fillId="2" borderId="1" xfId="7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center"/>
    </xf>
    <xf numFmtId="2" fontId="10" fillId="2" borderId="3" xfId="0" applyNumberFormat="1" applyFont="1" applyFill="1" applyBorder="1" applyAlignment="1">
      <alignment horizontal="left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right" vertical="center" indent="1"/>
    </xf>
    <xf numFmtId="0" fontId="10" fillId="2" borderId="1" xfId="0" applyNumberFormat="1" applyFont="1" applyFill="1" applyBorder="1" applyAlignment="1">
      <alignment horizontal="center" vertical="center" wrapText="1"/>
    </xf>
    <xf numFmtId="4" fontId="9" fillId="2" borderId="1" xfId="1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1" xfId="7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3" fontId="9" fillId="2" borderId="1" xfId="1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1" fontId="10" fillId="2" borderId="1" xfId="7" quotePrefix="1" applyNumberFormat="1" applyFont="1" applyFill="1" applyBorder="1" applyAlignment="1">
      <alignment horizontal="center" vertical="center" wrapText="1"/>
    </xf>
    <xf numFmtId="1" fontId="10" fillId="2" borderId="1" xfId="7" quotePrefix="1" applyNumberFormat="1" applyFont="1" applyFill="1" applyBorder="1" applyAlignment="1">
      <alignment horizontal="center" vertical="center"/>
    </xf>
    <xf numFmtId="1" fontId="10" fillId="2" borderId="1" xfId="7" applyNumberFormat="1" applyFont="1" applyFill="1" applyBorder="1" applyAlignment="1">
      <alignment horizontal="center" vertical="center" wrapText="1"/>
    </xf>
    <xf numFmtId="1" fontId="10" fillId="2" borderId="1" xfId="7" applyNumberFormat="1" applyFont="1" applyFill="1" applyBorder="1" applyAlignment="1">
      <alignment horizontal="center" vertical="center"/>
    </xf>
    <xf numFmtId="0" fontId="10" fillId="2" borderId="1" xfId="47" applyFont="1" applyFill="1" applyBorder="1" applyAlignment="1">
      <alignment horizontal="center" vertical="top" wrapText="1"/>
    </xf>
    <xf numFmtId="0" fontId="10" fillId="2" borderId="1" xfId="48" applyFont="1" applyFill="1" applyBorder="1" applyAlignment="1">
      <alignment horizontal="center" vertical="center"/>
    </xf>
    <xf numFmtId="4" fontId="10" fillId="2" borderId="1" xfId="48" applyNumberFormat="1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vertical="center"/>
    </xf>
    <xf numFmtId="4" fontId="10" fillId="2" borderId="1" xfId="5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 wrapText="1" shrinkToFit="1"/>
    </xf>
    <xf numFmtId="4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4" fontId="10" fillId="2" borderId="0" xfId="0" applyNumberFormat="1" applyFont="1" applyFill="1" applyAlignment="1">
      <alignment vertical="center" wrapText="1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 wrapText="1"/>
    </xf>
    <xf numFmtId="2" fontId="10" fillId="2" borderId="1" xfId="47" applyNumberFormat="1" applyFont="1" applyFill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right" vertical="center" wrapText="1" indent="1"/>
    </xf>
    <xf numFmtId="4" fontId="10" fillId="2" borderId="1" xfId="0" applyNumberFormat="1" applyFont="1" applyFill="1" applyBorder="1" applyAlignment="1">
      <alignment horizontal="center" vertical="top" wrapText="1"/>
    </xf>
    <xf numFmtId="4" fontId="9" fillId="2" borderId="0" xfId="0" applyNumberFormat="1" applyFont="1" applyFill="1" applyBorder="1" applyAlignment="1">
      <alignment horizontal="right" vertical="center" indent="1"/>
    </xf>
    <xf numFmtId="0" fontId="18" fillId="2" borderId="0" xfId="0" applyFont="1" applyFill="1"/>
    <xf numFmtId="0" fontId="22" fillId="2" borderId="0" xfId="0" applyFont="1" applyFill="1"/>
    <xf numFmtId="0" fontId="9" fillId="2" borderId="0" xfId="0" applyFont="1" applyFill="1" applyAlignment="1">
      <alignment vertical="center"/>
    </xf>
    <xf numFmtId="4" fontId="10" fillId="2" borderId="1" xfId="5" applyNumberFormat="1" applyFont="1" applyFill="1" applyBorder="1" applyAlignment="1">
      <alignment horizontal="center" vertical="center" wrapText="1"/>
    </xf>
    <xf numFmtId="3" fontId="10" fillId="2" borderId="1" xfId="1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 applyProtection="1">
      <alignment horizontal="center" vertical="center"/>
    </xf>
    <xf numFmtId="4" fontId="10" fillId="2" borderId="1" xfId="10" applyNumberFormat="1" applyFont="1" applyFill="1" applyBorder="1" applyAlignment="1">
      <alignment horizontal="center" vertical="center"/>
    </xf>
    <xf numFmtId="4" fontId="10" fillId="2" borderId="1" xfId="5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/>
    <xf numFmtId="4" fontId="10" fillId="2" borderId="1" xfId="47" applyNumberFormat="1" applyFont="1" applyFill="1" applyBorder="1" applyAlignment="1">
      <alignment horizontal="center" vertical="top" wrapText="1"/>
    </xf>
    <xf numFmtId="4" fontId="10" fillId="2" borderId="1" xfId="22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/>
    <xf numFmtId="3" fontId="10" fillId="2" borderId="2" xfId="0" applyNumberFormat="1" applyFont="1" applyFill="1" applyBorder="1" applyAlignment="1">
      <alignment horizontal="center" vertical="center"/>
    </xf>
    <xf numFmtId="3" fontId="10" fillId="2" borderId="1" xfId="47" applyNumberFormat="1" applyFont="1" applyFill="1" applyBorder="1" applyAlignment="1">
      <alignment horizontal="center" vertical="top" wrapText="1"/>
    </xf>
    <xf numFmtId="3" fontId="10" fillId="2" borderId="1" xfId="0" applyNumberFormat="1" applyFont="1" applyFill="1" applyBorder="1" applyAlignment="1">
      <alignment horizontal="center" wrapText="1"/>
    </xf>
    <xf numFmtId="3" fontId="10" fillId="2" borderId="1" xfId="0" applyNumberFormat="1" applyFont="1" applyFill="1" applyBorder="1" applyAlignment="1">
      <alignment horizontal="center" vertical="top" wrapText="1"/>
    </xf>
    <xf numFmtId="3" fontId="10" fillId="2" borderId="1" xfId="48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53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10" fillId="3" borderId="1" xfId="7" applyFont="1" applyFill="1" applyBorder="1" applyAlignment="1">
      <alignment horizontal="left" vertical="top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right" vertical="center" indent="1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horizontal="left" vertical="center" wrapText="1"/>
    </xf>
    <xf numFmtId="4" fontId="9" fillId="2" borderId="4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left" vertical="center" wrapText="1"/>
    </xf>
    <xf numFmtId="4" fontId="9" fillId="2" borderId="15" xfId="0" applyNumberFormat="1" applyFont="1" applyFill="1" applyBorder="1" applyAlignment="1">
      <alignment horizontal="left" vertical="center" wrapText="1"/>
    </xf>
    <xf numFmtId="4" fontId="9" fillId="2" borderId="9" xfId="0" applyNumberFormat="1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left" vertical="center" wrapText="1"/>
    </xf>
    <xf numFmtId="4" fontId="10" fillId="2" borderId="13" xfId="0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10" fillId="2" borderId="4" xfId="0" applyNumberFormat="1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left" vertical="center" wrapText="1"/>
    </xf>
    <xf numFmtId="2" fontId="9" fillId="2" borderId="3" xfId="0" applyNumberFormat="1" applyFont="1" applyFill="1" applyBorder="1" applyAlignment="1">
      <alignment horizontal="left" vertical="center" wrapText="1"/>
    </xf>
    <xf numFmtId="2" fontId="9" fillId="2" borderId="4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left" vertical="center" wrapText="1"/>
    </xf>
    <xf numFmtId="2" fontId="10" fillId="2" borderId="4" xfId="0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2" xfId="7" applyNumberFormat="1" applyFont="1" applyFill="1" applyBorder="1" applyAlignment="1">
      <alignment horizontal="left" vertical="center" wrapText="1"/>
    </xf>
    <xf numFmtId="4" fontId="9" fillId="2" borderId="3" xfId="7" applyNumberFormat="1" applyFont="1" applyFill="1" applyBorder="1" applyAlignment="1">
      <alignment horizontal="left" vertical="center" wrapText="1"/>
    </xf>
    <xf numFmtId="4" fontId="9" fillId="2" borderId="4" xfId="7" applyNumberFormat="1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4" fontId="9" fillId="2" borderId="8" xfId="0" applyNumberFormat="1" applyFont="1" applyFill="1" applyBorder="1" applyAlignment="1">
      <alignment horizontal="left" vertical="center" wrapText="1"/>
    </xf>
    <xf numFmtId="2" fontId="10" fillId="2" borderId="1" xfId="0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left" vertical="center" wrapText="1"/>
    </xf>
    <xf numFmtId="4" fontId="10" fillId="2" borderId="3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left" vertic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7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wrapText="1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textRotation="90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left" vertical="center"/>
    </xf>
    <xf numFmtId="4" fontId="9" fillId="2" borderId="3" xfId="0" applyNumberFormat="1" applyFont="1" applyFill="1" applyBorder="1" applyAlignment="1">
      <alignment horizontal="left" vertical="center"/>
    </xf>
    <xf numFmtId="4" fontId="9" fillId="2" borderId="4" xfId="0" applyNumberFormat="1" applyFont="1" applyFill="1" applyBorder="1" applyAlignment="1">
      <alignment horizontal="left" vertical="center"/>
    </xf>
    <xf numFmtId="4" fontId="10" fillId="2" borderId="2" xfId="0" applyNumberFormat="1" applyFont="1" applyFill="1" applyBorder="1" applyAlignment="1">
      <alignment horizontal="left" vertical="center"/>
    </xf>
    <xf numFmtId="4" fontId="10" fillId="2" borderId="4" xfId="0" applyNumberFormat="1" applyFont="1" applyFill="1" applyBorder="1" applyAlignment="1">
      <alignment horizontal="left" vertical="center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 vertical="center"/>
    </xf>
    <xf numFmtId="4" fontId="9" fillId="2" borderId="14" xfId="0" applyNumberFormat="1" applyFont="1" applyFill="1" applyBorder="1" applyAlignment="1">
      <alignment horizontal="center" vertical="center" wrapText="1"/>
    </xf>
    <xf numFmtId="4" fontId="9" fillId="2" borderId="15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center" vertical="center" wrapText="1"/>
    </xf>
    <xf numFmtId="0" fontId="10" fillId="2" borderId="9" xfId="0" applyNumberFormat="1" applyFont="1" applyFill="1" applyBorder="1" applyAlignment="1">
      <alignment horizontal="center"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center" vertical="center" wrapText="1"/>
    </xf>
    <xf numFmtId="0" fontId="10" fillId="2" borderId="12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4" fontId="9" fillId="2" borderId="2" xfId="7" applyNumberFormat="1" applyFont="1" applyFill="1" applyBorder="1" applyAlignment="1">
      <alignment horizontal="left" vertical="center"/>
    </xf>
    <xf numFmtId="4" fontId="9" fillId="2" borderId="3" xfId="7" applyNumberFormat="1" applyFont="1" applyFill="1" applyBorder="1" applyAlignment="1">
      <alignment horizontal="left" vertical="center"/>
    </xf>
    <xf numFmtId="4" fontId="9" fillId="2" borderId="4" xfId="7" applyNumberFormat="1" applyFont="1" applyFill="1" applyBorder="1" applyAlignment="1">
      <alignment horizontal="left" vertical="center"/>
    </xf>
    <xf numFmtId="4" fontId="9" fillId="2" borderId="2" xfId="10" applyNumberFormat="1" applyFont="1" applyFill="1" applyBorder="1" applyAlignment="1">
      <alignment horizontal="center" vertical="center"/>
    </xf>
    <xf numFmtId="4" fontId="9" fillId="2" borderId="3" xfId="10" applyNumberFormat="1" applyFont="1" applyFill="1" applyBorder="1" applyAlignment="1">
      <alignment horizontal="center" vertical="center"/>
    </xf>
    <xf numFmtId="4" fontId="9" fillId="2" borderId="4" xfId="10" applyNumberFormat="1" applyFont="1" applyFill="1" applyBorder="1" applyAlignment="1">
      <alignment horizontal="center" vertical="center"/>
    </xf>
    <xf numFmtId="4" fontId="9" fillId="2" borderId="2" xfId="10" applyNumberFormat="1" applyFont="1" applyFill="1" applyBorder="1" applyAlignment="1">
      <alignment horizontal="left" vertical="center"/>
    </xf>
    <xf numFmtId="4" fontId="9" fillId="2" borderId="4" xfId="10" applyNumberFormat="1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</cellXfs>
  <cellStyles count="58">
    <cellStyle name="Excel Built-in Normal" xfId="1"/>
    <cellStyle name="Excel Built-in Normal 2" xfId="2"/>
    <cellStyle name="Excel Built-in Normal 2 2" xfId="3"/>
    <cellStyle name="Excel Built-in Normal 3" xfId="4"/>
    <cellStyle name="TableStyleLight1" xfId="46"/>
    <cellStyle name="Обычный" xfId="0" builtinId="0"/>
    <cellStyle name="Обычный 10" xfId="5"/>
    <cellStyle name="Обычный 10 2" xfId="6"/>
    <cellStyle name="Обычный 11" xfId="24"/>
    <cellStyle name="Обычный 12" xfId="32"/>
    <cellStyle name="Обычный 13" xfId="40"/>
    <cellStyle name="Обычный 14" xfId="47"/>
    <cellStyle name="Обычный 15" xfId="48"/>
    <cellStyle name="Обычный 16" xfId="53"/>
    <cellStyle name="Обычный 2" xfId="7"/>
    <cellStyle name="Обычный 2 2" xfId="8"/>
    <cellStyle name="Обычный 2 2 2" xfId="34"/>
    <cellStyle name="Обычный 2 3" xfId="9"/>
    <cellStyle name="Обычный 2 4" xfId="33"/>
    <cellStyle name="Обычный 3" xfId="10"/>
    <cellStyle name="Обычный 3 2" xfId="11"/>
    <cellStyle name="Обычный 3 2 2" xfId="25"/>
    <cellStyle name="Обычный 3 3" xfId="12"/>
    <cellStyle name="Обычный 3 4" xfId="35"/>
    <cellStyle name="Обычный 3 5" xfId="41"/>
    <cellStyle name="Обычный 3 6" xfId="49"/>
    <cellStyle name="Обычный 3 7" xfId="54"/>
    <cellStyle name="Обычный 4" xfId="13"/>
    <cellStyle name="Обычный 4 2" xfId="14"/>
    <cellStyle name="Обычный 4 3" xfId="26"/>
    <cellStyle name="Обычный 4 4" xfId="36"/>
    <cellStyle name="Обычный 4 5" xfId="42"/>
    <cellStyle name="Обычный 4 6" xfId="50"/>
    <cellStyle name="Обычный 4 7" xfId="55"/>
    <cellStyle name="Обычный 5" xfId="15"/>
    <cellStyle name="Обычный 5 2" xfId="37"/>
    <cellStyle name="Обычный 6" xfId="16"/>
    <cellStyle name="Обычный 6 2" xfId="17"/>
    <cellStyle name="Обычный 6 3" xfId="27"/>
    <cellStyle name="Обычный 6 4" xfId="38"/>
    <cellStyle name="Обычный 6 5" xfId="43"/>
    <cellStyle name="Обычный 6 6" xfId="51"/>
    <cellStyle name="Обычный 6 7" xfId="56"/>
    <cellStyle name="Обычный 7" xfId="18"/>
    <cellStyle name="Обычный 7 2" xfId="19"/>
    <cellStyle name="Обычный 7 3" xfId="28"/>
    <cellStyle name="Обычный 7 4" xfId="39"/>
    <cellStyle name="Обычный 7 5" xfId="44"/>
    <cellStyle name="Обычный 7 6" xfId="52"/>
    <cellStyle name="Обычный 7 7" xfId="57"/>
    <cellStyle name="Обычный 8" xfId="20"/>
    <cellStyle name="Обычный 8 2" xfId="29"/>
    <cellStyle name="Обычный 9" xfId="21"/>
    <cellStyle name="Обычный 9 2" xfId="30"/>
    <cellStyle name="Обычный 9 3" xfId="31"/>
    <cellStyle name="Финансовый" xfId="22" builtinId="3"/>
    <cellStyle name="Финансовый 2" xfId="23"/>
    <cellStyle name="Финансовый 3" xfId="45"/>
  </cellStyles>
  <dxfs count="0"/>
  <tableStyles count="0" defaultTableStyle="TableStyleMedium2" defaultPivotStyle="PivotStyleMedium9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2"/>
  <sheetViews>
    <sheetView tabSelected="1" view="pageBreakPreview" topLeftCell="A172" zoomScale="80" zoomScaleNormal="100" zoomScaleSheetLayoutView="80" workbookViewId="0">
      <selection activeCell="U178" sqref="U1:V1048576"/>
    </sheetView>
  </sheetViews>
  <sheetFormatPr defaultRowHeight="15" x14ac:dyDescent="0.25"/>
  <cols>
    <col min="1" max="1" width="6.85546875" style="44" customWidth="1"/>
    <col min="2" max="2" width="46.7109375" style="45" customWidth="1"/>
    <col min="3" max="3" width="8.140625" style="44" customWidth="1"/>
    <col min="4" max="4" width="8.28515625" style="44" customWidth="1"/>
    <col min="5" max="5" width="9.28515625" style="44" bestFit="1" customWidth="1"/>
    <col min="6" max="6" width="9.42578125" style="44" bestFit="1" customWidth="1"/>
    <col min="7" max="7" width="8.28515625" style="44" customWidth="1"/>
    <col min="8" max="8" width="13.140625" style="44" bestFit="1" customWidth="1"/>
    <col min="9" max="9" width="11" style="44" customWidth="1"/>
    <col min="10" max="11" width="11.42578125" style="44" customWidth="1"/>
    <col min="12" max="12" width="15.85546875" style="44" customWidth="1"/>
    <col min="13" max="13" width="11.7109375" style="44" customWidth="1"/>
    <col min="14" max="14" width="16.5703125" style="44" customWidth="1"/>
    <col min="15" max="15" width="16.28515625" style="44" customWidth="1"/>
    <col min="16" max="16" width="16.7109375" style="44" customWidth="1"/>
    <col min="17" max="17" width="10.85546875" style="44" customWidth="1"/>
    <col min="18" max="18" width="11.140625" style="44" customWidth="1"/>
    <col min="19" max="19" width="11.42578125" style="44" customWidth="1"/>
    <col min="20" max="20" width="8.42578125" style="44" customWidth="1"/>
    <col min="21" max="21" width="15.140625" hidden="1" customWidth="1"/>
    <col min="22" max="22" width="15" hidden="1" customWidth="1"/>
  </cols>
  <sheetData>
    <row r="1" spans="1:22" s="2" customFormat="1" ht="40.5" customHeight="1" x14ac:dyDescent="0.2">
      <c r="A1" s="17"/>
      <c r="B1" s="42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42"/>
      <c r="R1" s="167" t="s">
        <v>254</v>
      </c>
      <c r="S1" s="167"/>
      <c r="T1" s="167"/>
    </row>
    <row r="2" spans="1:22" s="2" customFormat="1" ht="12.75" customHeight="1" x14ac:dyDescent="0.2">
      <c r="A2" s="17"/>
      <c r="B2" s="42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42"/>
      <c r="R2" s="167"/>
      <c r="S2" s="167"/>
      <c r="T2" s="167"/>
    </row>
    <row r="3" spans="1:22" s="2" customFormat="1" ht="15" customHeight="1" x14ac:dyDescent="0.2">
      <c r="A3" s="17"/>
      <c r="B3" s="42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42"/>
      <c r="R3" s="168"/>
      <c r="S3" s="168"/>
      <c r="T3" s="168"/>
    </row>
    <row r="4" spans="1:22" s="2" customFormat="1" ht="12.75" x14ac:dyDescent="0.2">
      <c r="A4" s="17"/>
      <c r="B4" s="42"/>
      <c r="C4" s="17"/>
      <c r="D4" s="169" t="s">
        <v>239</v>
      </c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"/>
      <c r="S4" s="17"/>
      <c r="T4" s="17"/>
    </row>
    <row r="5" spans="1:22" s="2" customFormat="1" ht="30" customHeight="1" x14ac:dyDescent="0.2">
      <c r="A5" s="163" t="s">
        <v>73</v>
      </c>
      <c r="B5" s="163" t="s">
        <v>1</v>
      </c>
      <c r="C5" s="170" t="s">
        <v>74</v>
      </c>
      <c r="D5" s="170"/>
      <c r="E5" s="171" t="s">
        <v>75</v>
      </c>
      <c r="F5" s="171" t="s">
        <v>76</v>
      </c>
      <c r="G5" s="171" t="s">
        <v>77</v>
      </c>
      <c r="H5" s="162" t="s">
        <v>78</v>
      </c>
      <c r="I5" s="163" t="s">
        <v>79</v>
      </c>
      <c r="J5" s="163"/>
      <c r="K5" s="162" t="s">
        <v>80</v>
      </c>
      <c r="L5" s="163" t="s">
        <v>81</v>
      </c>
      <c r="M5" s="163"/>
      <c r="N5" s="163"/>
      <c r="O5" s="163"/>
      <c r="P5" s="163"/>
      <c r="Q5" s="164" t="s">
        <v>82</v>
      </c>
      <c r="R5" s="164" t="s">
        <v>83</v>
      </c>
      <c r="S5" s="162" t="s">
        <v>84</v>
      </c>
      <c r="T5" s="162" t="s">
        <v>85</v>
      </c>
    </row>
    <row r="6" spans="1:22" s="2" customFormat="1" ht="15" customHeight="1" x14ac:dyDescent="0.2">
      <c r="A6" s="163"/>
      <c r="B6" s="163"/>
      <c r="C6" s="162" t="s">
        <v>86</v>
      </c>
      <c r="D6" s="162" t="s">
        <v>87</v>
      </c>
      <c r="E6" s="171"/>
      <c r="F6" s="171"/>
      <c r="G6" s="171"/>
      <c r="H6" s="162"/>
      <c r="I6" s="162" t="s">
        <v>88</v>
      </c>
      <c r="J6" s="162" t="s">
        <v>89</v>
      </c>
      <c r="K6" s="162"/>
      <c r="L6" s="162" t="s">
        <v>88</v>
      </c>
      <c r="M6" s="97"/>
      <c r="N6" s="97"/>
      <c r="O6" s="98"/>
      <c r="P6" s="98"/>
      <c r="Q6" s="164"/>
      <c r="R6" s="164"/>
      <c r="S6" s="162"/>
      <c r="T6" s="162"/>
    </row>
    <row r="7" spans="1:22" s="2" customFormat="1" ht="60" customHeight="1" x14ac:dyDescent="0.2">
      <c r="A7" s="163"/>
      <c r="B7" s="163"/>
      <c r="C7" s="162"/>
      <c r="D7" s="162"/>
      <c r="E7" s="171"/>
      <c r="F7" s="171"/>
      <c r="G7" s="171"/>
      <c r="H7" s="162"/>
      <c r="I7" s="162"/>
      <c r="J7" s="162"/>
      <c r="K7" s="162"/>
      <c r="L7" s="162"/>
      <c r="M7" s="97" t="s">
        <v>90</v>
      </c>
      <c r="N7" s="97" t="s">
        <v>91</v>
      </c>
      <c r="O7" s="97" t="s">
        <v>92</v>
      </c>
      <c r="P7" s="97" t="s">
        <v>93</v>
      </c>
      <c r="Q7" s="164"/>
      <c r="R7" s="164"/>
      <c r="S7" s="162"/>
      <c r="T7" s="162"/>
    </row>
    <row r="8" spans="1:22" s="2" customFormat="1" ht="13.5" customHeight="1" x14ac:dyDescent="0.2">
      <c r="A8" s="163"/>
      <c r="B8" s="163"/>
      <c r="C8" s="162"/>
      <c r="D8" s="162"/>
      <c r="E8" s="171"/>
      <c r="F8" s="171"/>
      <c r="G8" s="171"/>
      <c r="H8" s="98" t="s">
        <v>94</v>
      </c>
      <c r="I8" s="98" t="s">
        <v>94</v>
      </c>
      <c r="J8" s="98" t="s">
        <v>94</v>
      </c>
      <c r="K8" s="98" t="s">
        <v>95</v>
      </c>
      <c r="L8" s="98" t="s">
        <v>12</v>
      </c>
      <c r="M8" s="98"/>
      <c r="N8" s="98"/>
      <c r="O8" s="98" t="s">
        <v>12</v>
      </c>
      <c r="P8" s="98" t="s">
        <v>12</v>
      </c>
      <c r="Q8" s="43" t="s">
        <v>96</v>
      </c>
      <c r="R8" s="43" t="s">
        <v>96</v>
      </c>
      <c r="S8" s="162"/>
      <c r="T8" s="162"/>
    </row>
    <row r="9" spans="1:22" s="2" customFormat="1" ht="12.75" x14ac:dyDescent="0.2">
      <c r="A9" s="99">
        <v>1</v>
      </c>
      <c r="B9" s="99">
        <v>2</v>
      </c>
      <c r="C9" s="99">
        <v>3</v>
      </c>
      <c r="D9" s="99">
        <v>4</v>
      </c>
      <c r="E9" s="99">
        <v>5</v>
      </c>
      <c r="F9" s="99">
        <v>6</v>
      </c>
      <c r="G9" s="99">
        <v>7</v>
      </c>
      <c r="H9" s="99">
        <v>8</v>
      </c>
      <c r="I9" s="99">
        <v>9</v>
      </c>
      <c r="J9" s="99">
        <v>10</v>
      </c>
      <c r="K9" s="99">
        <v>11</v>
      </c>
      <c r="L9" s="99">
        <v>12</v>
      </c>
      <c r="M9" s="99">
        <v>13</v>
      </c>
      <c r="N9" s="99">
        <v>14</v>
      </c>
      <c r="O9" s="99">
        <v>15</v>
      </c>
      <c r="P9" s="99">
        <v>16</v>
      </c>
      <c r="Q9" s="99">
        <v>17</v>
      </c>
      <c r="R9" s="99">
        <v>18</v>
      </c>
      <c r="S9" s="99">
        <v>19</v>
      </c>
      <c r="T9" s="98">
        <v>20</v>
      </c>
    </row>
    <row r="10" spans="1:22" s="2" customFormat="1" ht="16.5" customHeight="1" x14ac:dyDescent="0.2">
      <c r="A10" s="141" t="s">
        <v>45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</row>
    <row r="11" spans="1:22" s="2" customFormat="1" ht="16.5" customHeight="1" x14ac:dyDescent="0.2">
      <c r="A11" s="151" t="s">
        <v>46</v>
      </c>
      <c r="B11" s="165"/>
      <c r="C11" s="165"/>
      <c r="D11" s="165"/>
      <c r="E11" s="166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</row>
    <row r="12" spans="1:22" s="2" customFormat="1" ht="16.5" customHeight="1" x14ac:dyDescent="0.2">
      <c r="A12" s="12">
        <v>1</v>
      </c>
      <c r="B12" s="4" t="s">
        <v>112</v>
      </c>
      <c r="C12" s="99">
        <v>1980</v>
      </c>
      <c r="D12" s="98"/>
      <c r="E12" s="98" t="s">
        <v>97</v>
      </c>
      <c r="F12" s="91">
        <v>3</v>
      </c>
      <c r="G12" s="91">
        <v>3</v>
      </c>
      <c r="H12" s="92">
        <v>1353.4</v>
      </c>
      <c r="I12" s="92">
        <v>771.3</v>
      </c>
      <c r="J12" s="92">
        <v>541.6</v>
      </c>
      <c r="K12" s="92">
        <v>73</v>
      </c>
      <c r="L12" s="92">
        <f>'виды работ '!C10</f>
        <v>714982</v>
      </c>
      <c r="M12" s="92">
        <v>0</v>
      </c>
      <c r="N12" s="68">
        <v>296003</v>
      </c>
      <c r="O12" s="68">
        <v>142996</v>
      </c>
      <c r="P12" s="92">
        <v>275983</v>
      </c>
      <c r="Q12" s="92">
        <f>L12/H12</f>
        <v>528.28579872912655</v>
      </c>
      <c r="R12" s="92">
        <v>14593.7</v>
      </c>
      <c r="S12" s="92" t="s">
        <v>107</v>
      </c>
      <c r="T12" s="95" t="s">
        <v>102</v>
      </c>
      <c r="U12" s="25">
        <f t="shared" ref="U12:U75" si="0">N12+O12+P12</f>
        <v>714982</v>
      </c>
      <c r="V12" s="25">
        <f t="shared" ref="V12:V75" si="1">U12-L12</f>
        <v>0</v>
      </c>
    </row>
    <row r="13" spans="1:22" s="2" customFormat="1" ht="16.5" customHeight="1" x14ac:dyDescent="0.2">
      <c r="A13" s="126" t="s">
        <v>17</v>
      </c>
      <c r="B13" s="129"/>
      <c r="C13" s="95" t="s">
        <v>98</v>
      </c>
      <c r="D13" s="95" t="s">
        <v>98</v>
      </c>
      <c r="E13" s="95" t="s">
        <v>98</v>
      </c>
      <c r="F13" s="95" t="s">
        <v>98</v>
      </c>
      <c r="G13" s="95" t="s">
        <v>98</v>
      </c>
      <c r="H13" s="92">
        <f t="shared" ref="H13:P13" si="2">SUM(H12:H12)</f>
        <v>1353.4</v>
      </c>
      <c r="I13" s="92">
        <f t="shared" si="2"/>
        <v>771.3</v>
      </c>
      <c r="J13" s="92">
        <f t="shared" si="2"/>
        <v>541.6</v>
      </c>
      <c r="K13" s="92">
        <f t="shared" si="2"/>
        <v>73</v>
      </c>
      <c r="L13" s="92">
        <f t="shared" si="2"/>
        <v>714982</v>
      </c>
      <c r="M13" s="92">
        <f t="shared" si="2"/>
        <v>0</v>
      </c>
      <c r="N13" s="92">
        <f t="shared" si="2"/>
        <v>296003</v>
      </c>
      <c r="O13" s="92">
        <f t="shared" si="2"/>
        <v>142996</v>
      </c>
      <c r="P13" s="92">
        <f t="shared" si="2"/>
        <v>275983</v>
      </c>
      <c r="Q13" s="92">
        <f>L13/H13</f>
        <v>528.28579872912655</v>
      </c>
      <c r="R13" s="95" t="s">
        <v>98</v>
      </c>
      <c r="S13" s="92" t="s">
        <v>98</v>
      </c>
      <c r="T13" s="95" t="s">
        <v>98</v>
      </c>
      <c r="U13" s="25">
        <f t="shared" si="0"/>
        <v>714982</v>
      </c>
      <c r="V13" s="25">
        <f t="shared" si="1"/>
        <v>0</v>
      </c>
    </row>
    <row r="14" spans="1:22" s="3" customFormat="1" ht="16.5" customHeight="1" x14ac:dyDescent="0.2">
      <c r="A14" s="118" t="s">
        <v>47</v>
      </c>
      <c r="B14" s="119"/>
      <c r="C14" s="120"/>
      <c r="D14" s="93" t="s">
        <v>98</v>
      </c>
      <c r="E14" s="93" t="s">
        <v>98</v>
      </c>
      <c r="F14" s="93" t="s">
        <v>98</v>
      </c>
      <c r="G14" s="93" t="s">
        <v>98</v>
      </c>
      <c r="H14" s="96">
        <f t="shared" ref="H14:P14" si="3">H13</f>
        <v>1353.4</v>
      </c>
      <c r="I14" s="96">
        <f t="shared" si="3"/>
        <v>771.3</v>
      </c>
      <c r="J14" s="96">
        <f t="shared" si="3"/>
        <v>541.6</v>
      </c>
      <c r="K14" s="96">
        <f t="shared" si="3"/>
        <v>73</v>
      </c>
      <c r="L14" s="96">
        <f t="shared" si="3"/>
        <v>714982</v>
      </c>
      <c r="M14" s="96">
        <f t="shared" si="3"/>
        <v>0</v>
      </c>
      <c r="N14" s="96">
        <f t="shared" si="3"/>
        <v>296003</v>
      </c>
      <c r="O14" s="96">
        <f t="shared" si="3"/>
        <v>142996</v>
      </c>
      <c r="P14" s="96">
        <f t="shared" si="3"/>
        <v>275983</v>
      </c>
      <c r="Q14" s="96">
        <f>L14/H14</f>
        <v>528.28579872912655</v>
      </c>
      <c r="R14" s="93" t="s">
        <v>98</v>
      </c>
      <c r="S14" s="96" t="s">
        <v>98</v>
      </c>
      <c r="T14" s="93" t="s">
        <v>98</v>
      </c>
      <c r="U14" s="25">
        <f t="shared" si="0"/>
        <v>714982</v>
      </c>
      <c r="V14" s="25">
        <f t="shared" si="1"/>
        <v>0</v>
      </c>
    </row>
    <row r="15" spans="1:22" s="2" customFormat="1" ht="16.5" customHeight="1" x14ac:dyDescent="0.2">
      <c r="A15" s="141" t="s">
        <v>48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25">
        <f t="shared" si="0"/>
        <v>0</v>
      </c>
      <c r="V15" s="25">
        <f t="shared" si="1"/>
        <v>0</v>
      </c>
    </row>
    <row r="16" spans="1:22" s="2" customFormat="1" ht="16.5" customHeight="1" x14ac:dyDescent="0.2">
      <c r="A16" s="118" t="s">
        <v>113</v>
      </c>
      <c r="B16" s="119"/>
      <c r="C16" s="119"/>
      <c r="D16" s="119"/>
      <c r="E16" s="120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25">
        <f t="shared" si="0"/>
        <v>0</v>
      </c>
      <c r="V16" s="25">
        <f t="shared" si="1"/>
        <v>0</v>
      </c>
    </row>
    <row r="17" spans="1:22" s="2" customFormat="1" ht="16.5" customHeight="1" x14ac:dyDescent="0.2">
      <c r="A17" s="13">
        <f>A12+1</f>
        <v>2</v>
      </c>
      <c r="B17" s="4" t="s">
        <v>114</v>
      </c>
      <c r="C17" s="98">
        <v>1961</v>
      </c>
      <c r="D17" s="99"/>
      <c r="E17" s="98" t="s">
        <v>97</v>
      </c>
      <c r="F17" s="91">
        <v>2</v>
      </c>
      <c r="G17" s="91">
        <v>2</v>
      </c>
      <c r="H17" s="92">
        <v>472.3</v>
      </c>
      <c r="I17" s="92">
        <v>455.7</v>
      </c>
      <c r="J17" s="92">
        <v>162</v>
      </c>
      <c r="K17" s="95">
        <v>33</v>
      </c>
      <c r="L17" s="95">
        <f>'виды работ '!C15</f>
        <v>1637280.68</v>
      </c>
      <c r="M17" s="92">
        <v>0</v>
      </c>
      <c r="N17" s="68">
        <v>677835</v>
      </c>
      <c r="O17" s="68">
        <v>327456</v>
      </c>
      <c r="P17" s="95">
        <f>631991-1.32</f>
        <v>631989.68000000005</v>
      </c>
      <c r="Q17" s="92">
        <f>L17/H17</f>
        <v>3466.6116451408002</v>
      </c>
      <c r="R17" s="92">
        <v>14593.7</v>
      </c>
      <c r="S17" s="92" t="s">
        <v>107</v>
      </c>
      <c r="T17" s="95" t="s">
        <v>102</v>
      </c>
      <c r="U17" s="25">
        <f t="shared" si="0"/>
        <v>1637280.6800000002</v>
      </c>
      <c r="V17" s="25">
        <f t="shared" si="1"/>
        <v>0</v>
      </c>
    </row>
    <row r="18" spans="1:22" s="2" customFormat="1" ht="16.5" customHeight="1" x14ac:dyDescent="0.2">
      <c r="A18" s="126" t="s">
        <v>17</v>
      </c>
      <c r="B18" s="129"/>
      <c r="C18" s="95" t="s">
        <v>98</v>
      </c>
      <c r="D18" s="95" t="s">
        <v>98</v>
      </c>
      <c r="E18" s="95" t="s">
        <v>98</v>
      </c>
      <c r="F18" s="95" t="s">
        <v>98</v>
      </c>
      <c r="G18" s="95" t="s">
        <v>98</v>
      </c>
      <c r="H18" s="92">
        <f t="shared" ref="H18:P18" si="4">SUM(H17:H17)</f>
        <v>472.3</v>
      </c>
      <c r="I18" s="92">
        <f t="shared" si="4"/>
        <v>455.7</v>
      </c>
      <c r="J18" s="92">
        <f t="shared" si="4"/>
        <v>162</v>
      </c>
      <c r="K18" s="92">
        <f t="shared" si="4"/>
        <v>33</v>
      </c>
      <c r="L18" s="92">
        <f t="shared" si="4"/>
        <v>1637280.68</v>
      </c>
      <c r="M18" s="92">
        <f t="shared" si="4"/>
        <v>0</v>
      </c>
      <c r="N18" s="92">
        <f t="shared" si="4"/>
        <v>677835</v>
      </c>
      <c r="O18" s="92">
        <f t="shared" si="4"/>
        <v>327456</v>
      </c>
      <c r="P18" s="92">
        <f t="shared" si="4"/>
        <v>631989.68000000005</v>
      </c>
      <c r="Q18" s="92">
        <f>L18/H18</f>
        <v>3466.6116451408002</v>
      </c>
      <c r="R18" s="95" t="s">
        <v>98</v>
      </c>
      <c r="S18" s="92" t="s">
        <v>98</v>
      </c>
      <c r="T18" s="95" t="s">
        <v>98</v>
      </c>
      <c r="U18" s="25">
        <f t="shared" si="0"/>
        <v>1637280.6800000002</v>
      </c>
      <c r="V18" s="25">
        <f t="shared" si="1"/>
        <v>0</v>
      </c>
    </row>
    <row r="19" spans="1:22" s="2" customFormat="1" ht="16.5" customHeight="1" x14ac:dyDescent="0.2">
      <c r="A19" s="161" t="s">
        <v>116</v>
      </c>
      <c r="B19" s="161"/>
      <c r="C19" s="161"/>
      <c r="D19" s="161"/>
      <c r="E19" s="161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25">
        <f t="shared" si="0"/>
        <v>0</v>
      </c>
      <c r="V19" s="25">
        <f t="shared" si="1"/>
        <v>0</v>
      </c>
    </row>
    <row r="20" spans="1:22" s="2" customFormat="1" ht="16.5" customHeight="1" x14ac:dyDescent="0.2">
      <c r="A20" s="15">
        <f>A17+1</f>
        <v>3</v>
      </c>
      <c r="B20" s="4" t="s">
        <v>117</v>
      </c>
      <c r="C20" s="98">
        <v>1963</v>
      </c>
      <c r="D20" s="99"/>
      <c r="E20" s="98" t="s">
        <v>97</v>
      </c>
      <c r="F20" s="91">
        <v>2</v>
      </c>
      <c r="G20" s="91">
        <v>2</v>
      </c>
      <c r="H20" s="92">
        <v>402.9</v>
      </c>
      <c r="I20" s="92">
        <v>273</v>
      </c>
      <c r="J20" s="92">
        <v>0</v>
      </c>
      <c r="K20" s="95">
        <v>28</v>
      </c>
      <c r="L20" s="92">
        <f>'виды работ '!C18</f>
        <v>1619538.2</v>
      </c>
      <c r="M20" s="92">
        <v>0</v>
      </c>
      <c r="N20" s="68">
        <v>670490</v>
      </c>
      <c r="O20" s="68">
        <v>323907</v>
      </c>
      <c r="P20" s="95">
        <f>625142-0.8</f>
        <v>625141.19999999995</v>
      </c>
      <c r="Q20" s="92">
        <f>L20/H20</f>
        <v>4019.7026557458425</v>
      </c>
      <c r="R20" s="92">
        <v>14593.7</v>
      </c>
      <c r="S20" s="92" t="s">
        <v>107</v>
      </c>
      <c r="T20" s="95" t="s">
        <v>102</v>
      </c>
      <c r="U20" s="25">
        <f t="shared" si="0"/>
        <v>1619538.2</v>
      </c>
      <c r="V20" s="25">
        <f t="shared" si="1"/>
        <v>0</v>
      </c>
    </row>
    <row r="21" spans="1:22" s="2" customFormat="1" ht="16.5" customHeight="1" x14ac:dyDescent="0.2">
      <c r="A21" s="126" t="s">
        <v>17</v>
      </c>
      <c r="B21" s="129"/>
      <c r="C21" s="95" t="s">
        <v>98</v>
      </c>
      <c r="D21" s="95" t="s">
        <v>98</v>
      </c>
      <c r="E21" s="95" t="s">
        <v>98</v>
      </c>
      <c r="F21" s="95" t="s">
        <v>98</v>
      </c>
      <c r="G21" s="95" t="s">
        <v>98</v>
      </c>
      <c r="H21" s="92">
        <f t="shared" ref="H21:P21" si="5">SUM(H20:H20)</f>
        <v>402.9</v>
      </c>
      <c r="I21" s="92">
        <f t="shared" si="5"/>
        <v>273</v>
      </c>
      <c r="J21" s="92">
        <f t="shared" si="5"/>
        <v>0</v>
      </c>
      <c r="K21" s="92">
        <f t="shared" si="5"/>
        <v>28</v>
      </c>
      <c r="L21" s="92">
        <f t="shared" si="5"/>
        <v>1619538.2</v>
      </c>
      <c r="M21" s="92">
        <f t="shared" si="5"/>
        <v>0</v>
      </c>
      <c r="N21" s="92">
        <f t="shared" si="5"/>
        <v>670490</v>
      </c>
      <c r="O21" s="92">
        <f t="shared" si="5"/>
        <v>323907</v>
      </c>
      <c r="P21" s="92">
        <f t="shared" si="5"/>
        <v>625141.19999999995</v>
      </c>
      <c r="Q21" s="92">
        <f>L21/H21</f>
        <v>4019.7026557458425</v>
      </c>
      <c r="R21" s="95" t="s">
        <v>98</v>
      </c>
      <c r="S21" s="92" t="s">
        <v>98</v>
      </c>
      <c r="T21" s="95" t="s">
        <v>98</v>
      </c>
      <c r="U21" s="25">
        <f t="shared" si="0"/>
        <v>1619538.2</v>
      </c>
      <c r="V21" s="25">
        <f t="shared" si="1"/>
        <v>0</v>
      </c>
    </row>
    <row r="22" spans="1:22" s="3" customFormat="1" ht="16.5" customHeight="1" x14ac:dyDescent="0.2">
      <c r="A22" s="118" t="s">
        <v>49</v>
      </c>
      <c r="B22" s="119"/>
      <c r="C22" s="120"/>
      <c r="D22" s="93" t="s">
        <v>98</v>
      </c>
      <c r="E22" s="93" t="s">
        <v>98</v>
      </c>
      <c r="F22" s="93" t="s">
        <v>98</v>
      </c>
      <c r="G22" s="93" t="s">
        <v>98</v>
      </c>
      <c r="H22" s="96">
        <f t="shared" ref="H22:P22" si="6">H18+H21</f>
        <v>875.2</v>
      </c>
      <c r="I22" s="108">
        <f t="shared" si="6"/>
        <v>728.7</v>
      </c>
      <c r="J22" s="108">
        <f t="shared" si="6"/>
        <v>162</v>
      </c>
      <c r="K22" s="108">
        <f t="shared" si="6"/>
        <v>61</v>
      </c>
      <c r="L22" s="108">
        <f t="shared" si="6"/>
        <v>3256818.88</v>
      </c>
      <c r="M22" s="108">
        <f t="shared" si="6"/>
        <v>0</v>
      </c>
      <c r="N22" s="108">
        <f t="shared" si="6"/>
        <v>1348325</v>
      </c>
      <c r="O22" s="108">
        <f t="shared" si="6"/>
        <v>651363</v>
      </c>
      <c r="P22" s="108">
        <f t="shared" si="6"/>
        <v>1257130.8799999999</v>
      </c>
      <c r="Q22" s="108">
        <f>L22/H22</f>
        <v>3721.228153564899</v>
      </c>
      <c r="R22" s="93" t="s">
        <v>98</v>
      </c>
      <c r="S22" s="96" t="s">
        <v>98</v>
      </c>
      <c r="T22" s="93" t="s">
        <v>98</v>
      </c>
      <c r="U22" s="25">
        <f t="shared" si="0"/>
        <v>3256818.88</v>
      </c>
      <c r="V22" s="25">
        <f t="shared" si="1"/>
        <v>0</v>
      </c>
    </row>
    <row r="23" spans="1:22" s="2" customFormat="1" ht="16.5" customHeight="1" x14ac:dyDescent="0.2">
      <c r="A23" s="158" t="s">
        <v>16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60"/>
      <c r="U23" s="25">
        <f t="shared" si="0"/>
        <v>0</v>
      </c>
      <c r="V23" s="25">
        <f t="shared" si="1"/>
        <v>0</v>
      </c>
    </row>
    <row r="24" spans="1:22" s="2" customFormat="1" ht="16.5" customHeight="1" x14ac:dyDescent="0.2">
      <c r="A24" s="155" t="s">
        <v>118</v>
      </c>
      <c r="B24" s="155"/>
      <c r="C24" s="155"/>
      <c r="D24" s="155"/>
      <c r="E24" s="155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25">
        <f t="shared" si="0"/>
        <v>0</v>
      </c>
      <c r="V24" s="25">
        <f t="shared" si="1"/>
        <v>0</v>
      </c>
    </row>
    <row r="25" spans="1:22" s="2" customFormat="1" ht="16.5" customHeight="1" x14ac:dyDescent="0.2">
      <c r="A25" s="26">
        <f>A20+1</f>
        <v>4</v>
      </c>
      <c r="B25" s="4" t="s">
        <v>119</v>
      </c>
      <c r="C25" s="10">
        <v>1978</v>
      </c>
      <c r="D25" s="10"/>
      <c r="E25" s="98" t="s">
        <v>97</v>
      </c>
      <c r="F25" s="58">
        <v>2</v>
      </c>
      <c r="G25" s="58">
        <v>4</v>
      </c>
      <c r="H25" s="68">
        <v>1029.29</v>
      </c>
      <c r="I25" s="68">
        <v>742.93</v>
      </c>
      <c r="J25" s="68">
        <v>428.68</v>
      </c>
      <c r="K25" s="58">
        <v>22</v>
      </c>
      <c r="L25" s="92">
        <f>'виды работ '!C23</f>
        <v>236881.46</v>
      </c>
      <c r="M25" s="95">
        <v>0</v>
      </c>
      <c r="N25" s="68">
        <v>98070</v>
      </c>
      <c r="O25" s="68">
        <v>47376</v>
      </c>
      <c r="P25" s="92">
        <f>91436-0.54</f>
        <v>91435.46</v>
      </c>
      <c r="Q25" s="95">
        <f>L25/H25</f>
        <v>230.14064063577806</v>
      </c>
      <c r="R25" s="92">
        <v>14593.7</v>
      </c>
      <c r="S25" s="92" t="s">
        <v>107</v>
      </c>
      <c r="T25" s="95" t="s">
        <v>102</v>
      </c>
      <c r="U25" s="25">
        <f t="shared" si="0"/>
        <v>236881.46000000002</v>
      </c>
      <c r="V25" s="25">
        <f t="shared" si="1"/>
        <v>0</v>
      </c>
    </row>
    <row r="26" spans="1:22" s="2" customFormat="1" ht="16.5" customHeight="1" x14ac:dyDescent="0.2">
      <c r="A26" s="149" t="s">
        <v>17</v>
      </c>
      <c r="B26" s="149"/>
      <c r="C26" s="95" t="s">
        <v>98</v>
      </c>
      <c r="D26" s="95" t="s">
        <v>98</v>
      </c>
      <c r="E26" s="95" t="s">
        <v>98</v>
      </c>
      <c r="F26" s="95" t="s">
        <v>98</v>
      </c>
      <c r="G26" s="95" t="s">
        <v>98</v>
      </c>
      <c r="H26" s="92">
        <f t="shared" ref="H26:P26" si="7">SUM(H25:H25)</f>
        <v>1029.29</v>
      </c>
      <c r="I26" s="92">
        <f t="shared" si="7"/>
        <v>742.93</v>
      </c>
      <c r="J26" s="92">
        <f t="shared" si="7"/>
        <v>428.68</v>
      </c>
      <c r="K26" s="91">
        <f t="shared" si="7"/>
        <v>22</v>
      </c>
      <c r="L26" s="92">
        <f t="shared" si="7"/>
        <v>236881.46</v>
      </c>
      <c r="M26" s="92">
        <f t="shared" si="7"/>
        <v>0</v>
      </c>
      <c r="N26" s="92">
        <f t="shared" si="7"/>
        <v>98070</v>
      </c>
      <c r="O26" s="92">
        <f t="shared" si="7"/>
        <v>47376</v>
      </c>
      <c r="P26" s="92">
        <f t="shared" si="7"/>
        <v>91435.46</v>
      </c>
      <c r="Q26" s="92">
        <f>L26/H26</f>
        <v>230.14064063577806</v>
      </c>
      <c r="R26" s="95" t="s">
        <v>98</v>
      </c>
      <c r="S26" s="92" t="s">
        <v>98</v>
      </c>
      <c r="T26" s="95" t="s">
        <v>98</v>
      </c>
      <c r="U26" s="25">
        <f t="shared" si="0"/>
        <v>236881.46000000002</v>
      </c>
      <c r="V26" s="25">
        <f t="shared" si="1"/>
        <v>0</v>
      </c>
    </row>
    <row r="27" spans="1:22" s="3" customFormat="1" ht="16.5" customHeight="1" x14ac:dyDescent="0.2">
      <c r="A27" s="122" t="s">
        <v>18</v>
      </c>
      <c r="B27" s="122"/>
      <c r="C27" s="122"/>
      <c r="D27" s="93" t="s">
        <v>98</v>
      </c>
      <c r="E27" s="93" t="s">
        <v>98</v>
      </c>
      <c r="F27" s="93" t="s">
        <v>98</v>
      </c>
      <c r="G27" s="93" t="s">
        <v>98</v>
      </c>
      <c r="H27" s="96">
        <f t="shared" ref="H27:P27" si="8">H26</f>
        <v>1029.29</v>
      </c>
      <c r="I27" s="96">
        <f t="shared" si="8"/>
        <v>742.93</v>
      </c>
      <c r="J27" s="96">
        <f t="shared" si="8"/>
        <v>428.68</v>
      </c>
      <c r="K27" s="8">
        <f t="shared" si="8"/>
        <v>22</v>
      </c>
      <c r="L27" s="96">
        <f t="shared" si="8"/>
        <v>236881.46</v>
      </c>
      <c r="M27" s="96">
        <f t="shared" si="8"/>
        <v>0</v>
      </c>
      <c r="N27" s="96">
        <f t="shared" si="8"/>
        <v>98070</v>
      </c>
      <c r="O27" s="96">
        <f t="shared" si="8"/>
        <v>47376</v>
      </c>
      <c r="P27" s="96">
        <f t="shared" si="8"/>
        <v>91435.46</v>
      </c>
      <c r="Q27" s="95">
        <f>L27/H27</f>
        <v>230.14064063577806</v>
      </c>
      <c r="R27" s="93" t="s">
        <v>98</v>
      </c>
      <c r="S27" s="96" t="s">
        <v>98</v>
      </c>
      <c r="T27" s="93" t="s">
        <v>98</v>
      </c>
      <c r="U27" s="25">
        <f t="shared" si="0"/>
        <v>236881.46000000002</v>
      </c>
      <c r="V27" s="25">
        <f t="shared" si="1"/>
        <v>0</v>
      </c>
    </row>
    <row r="28" spans="1:22" s="2" customFormat="1" ht="16.5" customHeight="1" x14ac:dyDescent="0.2">
      <c r="A28" s="157" t="s">
        <v>50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41"/>
      <c r="N28" s="141"/>
      <c r="O28" s="141"/>
      <c r="P28" s="141"/>
      <c r="Q28" s="141"/>
      <c r="R28" s="141"/>
      <c r="S28" s="141"/>
      <c r="T28" s="141"/>
      <c r="U28" s="25">
        <f t="shared" si="0"/>
        <v>0</v>
      </c>
      <c r="V28" s="25">
        <f t="shared" si="1"/>
        <v>0</v>
      </c>
    </row>
    <row r="29" spans="1:22" s="2" customFormat="1" ht="16.5" customHeight="1" x14ac:dyDescent="0.2">
      <c r="A29" s="134" t="s">
        <v>51</v>
      </c>
      <c r="B29" s="135"/>
      <c r="C29" s="135"/>
      <c r="D29" s="135"/>
      <c r="E29" s="136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25">
        <f t="shared" si="0"/>
        <v>0</v>
      </c>
      <c r="V29" s="25">
        <f t="shared" si="1"/>
        <v>0</v>
      </c>
    </row>
    <row r="30" spans="1:22" s="2" customFormat="1" ht="16.5" customHeight="1" x14ac:dyDescent="0.2">
      <c r="A30" s="15">
        <f>A25+1</f>
        <v>5</v>
      </c>
      <c r="B30" s="4" t="s">
        <v>124</v>
      </c>
      <c r="C30" s="20">
        <v>1987</v>
      </c>
      <c r="D30" s="10"/>
      <c r="E30" s="98" t="s">
        <v>99</v>
      </c>
      <c r="F30" s="58">
        <v>9</v>
      </c>
      <c r="G30" s="58">
        <v>5</v>
      </c>
      <c r="H30" s="82">
        <v>10591.9</v>
      </c>
      <c r="I30" s="82">
        <v>10591.9</v>
      </c>
      <c r="J30" s="68">
        <v>10337.299999999999</v>
      </c>
      <c r="K30" s="58">
        <v>590</v>
      </c>
      <c r="L30" s="95">
        <f>'виды работ '!C28</f>
        <v>7702413.5499999998</v>
      </c>
      <c r="M30" s="95">
        <v>0</v>
      </c>
      <c r="N30" s="68">
        <v>3080965.42</v>
      </c>
      <c r="O30" s="68">
        <v>1540482.71</v>
      </c>
      <c r="P30" s="68">
        <f t="shared" ref="P30:P37" si="9">L30-N30-O30</f>
        <v>3080965.42</v>
      </c>
      <c r="Q30" s="95">
        <f t="shared" ref="Q30:Q38" si="10">L30/H30</f>
        <v>727.19847713819047</v>
      </c>
      <c r="R30" s="92">
        <v>14593.7</v>
      </c>
      <c r="S30" s="92" t="s">
        <v>107</v>
      </c>
      <c r="T30" s="95" t="s">
        <v>102</v>
      </c>
      <c r="U30" s="25">
        <f t="shared" si="0"/>
        <v>7702413.5499999998</v>
      </c>
      <c r="V30" s="25">
        <f t="shared" si="1"/>
        <v>0</v>
      </c>
    </row>
    <row r="31" spans="1:22" s="2" customFormat="1" ht="16.5" customHeight="1" x14ac:dyDescent="0.2">
      <c r="A31" s="15">
        <f t="shared" ref="A31:A37" si="11">A30+1</f>
        <v>6</v>
      </c>
      <c r="B31" s="4" t="s">
        <v>125</v>
      </c>
      <c r="C31" s="20">
        <v>1988</v>
      </c>
      <c r="D31" s="10"/>
      <c r="E31" s="98" t="s">
        <v>99</v>
      </c>
      <c r="F31" s="58">
        <v>9</v>
      </c>
      <c r="G31" s="58">
        <v>8</v>
      </c>
      <c r="H31" s="70">
        <v>15552</v>
      </c>
      <c r="I31" s="70">
        <v>15552</v>
      </c>
      <c r="J31" s="68">
        <v>13920</v>
      </c>
      <c r="K31" s="58">
        <v>743</v>
      </c>
      <c r="L31" s="95">
        <f>'виды работ '!C29</f>
        <v>6438938.71</v>
      </c>
      <c r="M31" s="95">
        <v>0</v>
      </c>
      <c r="N31" s="68">
        <f t="shared" ref="N31:N37" si="12">L31*0.4</f>
        <v>2575575.4840000002</v>
      </c>
      <c r="O31" s="68">
        <f t="shared" ref="O31:O37" si="13">L31*0.2</f>
        <v>1287787.7420000001</v>
      </c>
      <c r="P31" s="68">
        <f t="shared" si="9"/>
        <v>2575575.4839999997</v>
      </c>
      <c r="Q31" s="95">
        <f t="shared" si="10"/>
        <v>414.02640882201644</v>
      </c>
      <c r="R31" s="92">
        <v>14593.7</v>
      </c>
      <c r="S31" s="92" t="s">
        <v>107</v>
      </c>
      <c r="T31" s="95" t="s">
        <v>102</v>
      </c>
      <c r="U31" s="25">
        <f t="shared" si="0"/>
        <v>6438938.71</v>
      </c>
      <c r="V31" s="25">
        <f t="shared" si="1"/>
        <v>0</v>
      </c>
    </row>
    <row r="32" spans="1:22" s="2" customFormat="1" ht="16.5" customHeight="1" x14ac:dyDescent="0.2">
      <c r="A32" s="15">
        <f t="shared" si="11"/>
        <v>7</v>
      </c>
      <c r="B32" s="4" t="s">
        <v>126</v>
      </c>
      <c r="C32" s="10">
        <v>1989</v>
      </c>
      <c r="D32" s="10"/>
      <c r="E32" s="98" t="s">
        <v>99</v>
      </c>
      <c r="F32" s="58">
        <v>9</v>
      </c>
      <c r="G32" s="58">
        <v>3</v>
      </c>
      <c r="H32" s="68">
        <v>6280.5</v>
      </c>
      <c r="I32" s="68">
        <v>6280.5</v>
      </c>
      <c r="J32" s="68">
        <v>5652.8</v>
      </c>
      <c r="K32" s="58">
        <v>317</v>
      </c>
      <c r="L32" s="95">
        <f>'виды работ '!C30</f>
        <v>4683717.2799999993</v>
      </c>
      <c r="M32" s="95">
        <v>0</v>
      </c>
      <c r="N32" s="68">
        <f t="shared" si="12"/>
        <v>1873486.9119999998</v>
      </c>
      <c r="O32" s="68">
        <f t="shared" si="13"/>
        <v>936743.45599999989</v>
      </c>
      <c r="P32" s="68">
        <f t="shared" si="9"/>
        <v>1873486.912</v>
      </c>
      <c r="Q32" s="95">
        <f t="shared" si="10"/>
        <v>745.75547806703275</v>
      </c>
      <c r="R32" s="92">
        <v>14593.7</v>
      </c>
      <c r="S32" s="92" t="s">
        <v>107</v>
      </c>
      <c r="T32" s="95" t="s">
        <v>102</v>
      </c>
      <c r="U32" s="25">
        <f t="shared" si="0"/>
        <v>4683717.2799999993</v>
      </c>
      <c r="V32" s="25">
        <f t="shared" si="1"/>
        <v>0</v>
      </c>
    </row>
    <row r="33" spans="1:22" s="2" customFormat="1" ht="16.5" customHeight="1" x14ac:dyDescent="0.2">
      <c r="A33" s="15">
        <f t="shared" si="11"/>
        <v>8</v>
      </c>
      <c r="B33" s="4" t="s">
        <v>121</v>
      </c>
      <c r="C33" s="20">
        <v>1988</v>
      </c>
      <c r="D33" s="10"/>
      <c r="E33" s="98" t="s">
        <v>99</v>
      </c>
      <c r="F33" s="58">
        <v>9</v>
      </c>
      <c r="G33" s="58">
        <v>2</v>
      </c>
      <c r="H33" s="68">
        <v>4770.3</v>
      </c>
      <c r="I33" s="68">
        <v>4770.3</v>
      </c>
      <c r="J33" s="68">
        <v>4074.2</v>
      </c>
      <c r="K33" s="58">
        <v>159</v>
      </c>
      <c r="L33" s="95">
        <f>'виды работ '!C31</f>
        <v>3160599.76</v>
      </c>
      <c r="M33" s="95">
        <v>0</v>
      </c>
      <c r="N33" s="68">
        <f t="shared" si="12"/>
        <v>1264239.9040000001</v>
      </c>
      <c r="O33" s="68">
        <f t="shared" si="13"/>
        <v>632119.95200000005</v>
      </c>
      <c r="P33" s="68">
        <f t="shared" si="9"/>
        <v>1264239.9039999996</v>
      </c>
      <c r="Q33" s="95">
        <f t="shared" si="10"/>
        <v>662.5578600926566</v>
      </c>
      <c r="R33" s="92">
        <v>14593.7</v>
      </c>
      <c r="S33" s="92" t="s">
        <v>107</v>
      </c>
      <c r="T33" s="95" t="s">
        <v>102</v>
      </c>
      <c r="U33" s="25">
        <f t="shared" si="0"/>
        <v>3160599.76</v>
      </c>
      <c r="V33" s="25">
        <f t="shared" si="1"/>
        <v>0</v>
      </c>
    </row>
    <row r="34" spans="1:22" s="2" customFormat="1" ht="16.5" customHeight="1" x14ac:dyDescent="0.2">
      <c r="A34" s="15">
        <f t="shared" si="11"/>
        <v>9</v>
      </c>
      <c r="B34" s="4" t="s">
        <v>122</v>
      </c>
      <c r="C34" s="20">
        <v>1988</v>
      </c>
      <c r="D34" s="10"/>
      <c r="E34" s="98" t="s">
        <v>99</v>
      </c>
      <c r="F34" s="58">
        <v>9</v>
      </c>
      <c r="G34" s="58">
        <v>2</v>
      </c>
      <c r="H34" s="68">
        <v>4770.3</v>
      </c>
      <c r="I34" s="68">
        <v>4770.3</v>
      </c>
      <c r="J34" s="68">
        <v>4023.2</v>
      </c>
      <c r="K34" s="58">
        <v>159</v>
      </c>
      <c r="L34" s="95">
        <f>'виды работ '!C32</f>
        <v>3160599.76</v>
      </c>
      <c r="M34" s="95">
        <v>0</v>
      </c>
      <c r="N34" s="68">
        <f t="shared" si="12"/>
        <v>1264239.9040000001</v>
      </c>
      <c r="O34" s="68">
        <f t="shared" si="13"/>
        <v>632119.95200000005</v>
      </c>
      <c r="P34" s="68">
        <f t="shared" si="9"/>
        <v>1264239.9039999996</v>
      </c>
      <c r="Q34" s="95">
        <f t="shared" si="10"/>
        <v>662.5578600926566</v>
      </c>
      <c r="R34" s="92">
        <v>14593.7</v>
      </c>
      <c r="S34" s="92" t="s">
        <v>107</v>
      </c>
      <c r="T34" s="95" t="s">
        <v>102</v>
      </c>
      <c r="U34" s="25">
        <f t="shared" si="0"/>
        <v>3160599.76</v>
      </c>
      <c r="V34" s="25">
        <f t="shared" si="1"/>
        <v>0</v>
      </c>
    </row>
    <row r="35" spans="1:22" s="2" customFormat="1" ht="16.5" customHeight="1" x14ac:dyDescent="0.2">
      <c r="A35" s="15">
        <f t="shared" si="11"/>
        <v>10</v>
      </c>
      <c r="B35" s="4" t="s">
        <v>123</v>
      </c>
      <c r="C35" s="20">
        <v>1988</v>
      </c>
      <c r="D35" s="10"/>
      <c r="E35" s="98" t="s">
        <v>97</v>
      </c>
      <c r="F35" s="58">
        <v>9</v>
      </c>
      <c r="G35" s="58">
        <v>1</v>
      </c>
      <c r="H35" s="68">
        <v>2221</v>
      </c>
      <c r="I35" s="68">
        <v>2221</v>
      </c>
      <c r="J35" s="68">
        <v>1941.4</v>
      </c>
      <c r="K35" s="58">
        <v>88</v>
      </c>
      <c r="L35" s="95">
        <f>'виды работ '!C33</f>
        <v>1850049.0299999998</v>
      </c>
      <c r="M35" s="95">
        <v>0</v>
      </c>
      <c r="N35" s="68">
        <f t="shared" si="12"/>
        <v>740019.61199999996</v>
      </c>
      <c r="O35" s="68">
        <f t="shared" si="13"/>
        <v>370009.80599999998</v>
      </c>
      <c r="P35" s="68">
        <f t="shared" si="9"/>
        <v>740019.61199999985</v>
      </c>
      <c r="Q35" s="95">
        <f t="shared" si="10"/>
        <v>832.9802026114362</v>
      </c>
      <c r="R35" s="92">
        <v>14593.7</v>
      </c>
      <c r="S35" s="92" t="s">
        <v>107</v>
      </c>
      <c r="T35" s="95" t="s">
        <v>102</v>
      </c>
      <c r="U35" s="25">
        <f t="shared" si="0"/>
        <v>1850049.0299999998</v>
      </c>
      <c r="V35" s="25">
        <f t="shared" si="1"/>
        <v>0</v>
      </c>
    </row>
    <row r="36" spans="1:22" s="2" customFormat="1" ht="16.5" customHeight="1" x14ac:dyDescent="0.2">
      <c r="A36" s="15">
        <f t="shared" si="11"/>
        <v>11</v>
      </c>
      <c r="B36" s="4" t="s">
        <v>127</v>
      </c>
      <c r="C36" s="10">
        <v>1990</v>
      </c>
      <c r="D36" s="10"/>
      <c r="E36" s="98" t="s">
        <v>97</v>
      </c>
      <c r="F36" s="58">
        <v>16</v>
      </c>
      <c r="G36" s="58">
        <v>1</v>
      </c>
      <c r="H36" s="68">
        <v>6603.9</v>
      </c>
      <c r="I36" s="68">
        <v>6603.9</v>
      </c>
      <c r="J36" s="68">
        <v>5597.3</v>
      </c>
      <c r="K36" s="58">
        <v>249</v>
      </c>
      <c r="L36" s="95">
        <f>'виды работ '!C34</f>
        <v>4140051.4099999997</v>
      </c>
      <c r="M36" s="95">
        <v>0</v>
      </c>
      <c r="N36" s="68">
        <f t="shared" si="12"/>
        <v>1656020.564</v>
      </c>
      <c r="O36" s="68">
        <f t="shared" si="13"/>
        <v>828010.28200000001</v>
      </c>
      <c r="P36" s="68">
        <f t="shared" si="9"/>
        <v>1656020.5639999998</v>
      </c>
      <c r="Q36" s="95">
        <f t="shared" si="10"/>
        <v>626.91006980723512</v>
      </c>
      <c r="R36" s="92">
        <v>14593.7</v>
      </c>
      <c r="S36" s="92" t="s">
        <v>107</v>
      </c>
      <c r="T36" s="95" t="s">
        <v>102</v>
      </c>
      <c r="U36" s="25">
        <f t="shared" si="0"/>
        <v>4140051.4099999997</v>
      </c>
      <c r="V36" s="25">
        <f t="shared" si="1"/>
        <v>0</v>
      </c>
    </row>
    <row r="37" spans="1:22" s="2" customFormat="1" ht="16.5" customHeight="1" x14ac:dyDescent="0.2">
      <c r="A37" s="15">
        <f t="shared" si="11"/>
        <v>12</v>
      </c>
      <c r="B37" s="4" t="s">
        <v>120</v>
      </c>
      <c r="C37" s="10">
        <v>1993</v>
      </c>
      <c r="D37" s="10"/>
      <c r="E37" s="98" t="s">
        <v>99</v>
      </c>
      <c r="F37" s="58">
        <v>9</v>
      </c>
      <c r="G37" s="58">
        <v>3</v>
      </c>
      <c r="H37" s="68">
        <v>7161.3</v>
      </c>
      <c r="I37" s="68">
        <v>7161.3</v>
      </c>
      <c r="J37" s="68">
        <v>6186.7</v>
      </c>
      <c r="K37" s="58">
        <v>274</v>
      </c>
      <c r="L37" s="95">
        <f>'виды работ '!C35</f>
        <v>4368089.8</v>
      </c>
      <c r="M37" s="95">
        <v>0</v>
      </c>
      <c r="N37" s="68">
        <f t="shared" si="12"/>
        <v>1747235.92</v>
      </c>
      <c r="O37" s="68">
        <f t="shared" si="13"/>
        <v>873617.96</v>
      </c>
      <c r="P37" s="68">
        <f t="shared" si="9"/>
        <v>1747235.92</v>
      </c>
      <c r="Q37" s="95">
        <f t="shared" si="10"/>
        <v>609.95766131847563</v>
      </c>
      <c r="R37" s="92">
        <v>14593.7</v>
      </c>
      <c r="S37" s="92" t="s">
        <v>107</v>
      </c>
      <c r="T37" s="95" t="s">
        <v>102</v>
      </c>
      <c r="U37" s="25">
        <f t="shared" si="0"/>
        <v>4368089.8</v>
      </c>
      <c r="V37" s="25">
        <f t="shared" si="1"/>
        <v>0</v>
      </c>
    </row>
    <row r="38" spans="1:22" s="2" customFormat="1" ht="16.5" customHeight="1" x14ac:dyDescent="0.2">
      <c r="A38" s="126" t="s">
        <v>17</v>
      </c>
      <c r="B38" s="129"/>
      <c r="C38" s="95" t="s">
        <v>98</v>
      </c>
      <c r="D38" s="95" t="s">
        <v>98</v>
      </c>
      <c r="E38" s="95" t="s">
        <v>98</v>
      </c>
      <c r="F38" s="95" t="s">
        <v>98</v>
      </c>
      <c r="G38" s="95" t="s">
        <v>98</v>
      </c>
      <c r="H38" s="18">
        <f t="shared" ref="H38:P38" si="14">SUM(H30:H37)</f>
        <v>57951.200000000012</v>
      </c>
      <c r="I38" s="18">
        <f t="shared" si="14"/>
        <v>57951.200000000012</v>
      </c>
      <c r="J38" s="18">
        <f t="shared" si="14"/>
        <v>51732.899999999994</v>
      </c>
      <c r="K38" s="19">
        <f t="shared" si="14"/>
        <v>2579</v>
      </c>
      <c r="L38" s="18">
        <f t="shared" si="14"/>
        <v>35504459.299999997</v>
      </c>
      <c r="M38" s="18">
        <f t="shared" si="14"/>
        <v>0</v>
      </c>
      <c r="N38" s="18">
        <f t="shared" si="14"/>
        <v>14201783.719999997</v>
      </c>
      <c r="O38" s="18">
        <f t="shared" si="14"/>
        <v>7100891.8599999985</v>
      </c>
      <c r="P38" s="18">
        <f t="shared" si="14"/>
        <v>14201783.719999997</v>
      </c>
      <c r="Q38" s="95">
        <f t="shared" si="10"/>
        <v>612.6613305677879</v>
      </c>
      <c r="R38" s="95" t="s">
        <v>98</v>
      </c>
      <c r="S38" s="18" t="s">
        <v>98</v>
      </c>
      <c r="T38" s="95" t="s">
        <v>98</v>
      </c>
      <c r="U38" s="25">
        <f t="shared" si="0"/>
        <v>35504459.29999999</v>
      </c>
      <c r="V38" s="25">
        <f t="shared" si="1"/>
        <v>0</v>
      </c>
    </row>
    <row r="39" spans="1:22" s="2" customFormat="1" ht="16.5" customHeight="1" x14ac:dyDescent="0.2">
      <c r="A39" s="134" t="s">
        <v>128</v>
      </c>
      <c r="B39" s="135"/>
      <c r="C39" s="135"/>
      <c r="D39" s="135"/>
      <c r="E39" s="136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25">
        <f t="shared" si="0"/>
        <v>0</v>
      </c>
      <c r="V39" s="25">
        <f t="shared" si="1"/>
        <v>0</v>
      </c>
    </row>
    <row r="40" spans="1:22" s="2" customFormat="1" ht="16.5" customHeight="1" x14ac:dyDescent="0.2">
      <c r="A40" s="26">
        <f>A37+1</f>
        <v>13</v>
      </c>
      <c r="B40" s="4" t="s">
        <v>130</v>
      </c>
      <c r="C40" s="10">
        <v>1978</v>
      </c>
      <c r="D40" s="99"/>
      <c r="E40" s="98" t="s">
        <v>99</v>
      </c>
      <c r="F40" s="58">
        <v>5</v>
      </c>
      <c r="G40" s="58">
        <v>3</v>
      </c>
      <c r="H40" s="68">
        <v>3115.7</v>
      </c>
      <c r="I40" s="68">
        <v>2874.7</v>
      </c>
      <c r="J40" s="68">
        <v>2444.5</v>
      </c>
      <c r="K40" s="58">
        <v>156</v>
      </c>
      <c r="L40" s="18">
        <f>'виды работ '!C38</f>
        <v>6736755.0500000007</v>
      </c>
      <c r="M40" s="95">
        <v>0</v>
      </c>
      <c r="N40" s="68">
        <v>2866602</v>
      </c>
      <c r="O40" s="68">
        <v>1384831</v>
      </c>
      <c r="P40" s="95">
        <f>2672726-187403.95</f>
        <v>2485322.0499999998</v>
      </c>
      <c r="Q40" s="95">
        <f>L40/H40</f>
        <v>2162.1963122251823</v>
      </c>
      <c r="R40" s="92">
        <v>14593.7</v>
      </c>
      <c r="S40" s="92" t="s">
        <v>107</v>
      </c>
      <c r="T40" s="95" t="s">
        <v>102</v>
      </c>
      <c r="U40" s="25">
        <f t="shared" si="0"/>
        <v>6736755.0499999998</v>
      </c>
      <c r="V40" s="25">
        <f t="shared" si="1"/>
        <v>0</v>
      </c>
    </row>
    <row r="41" spans="1:22" s="2" customFormat="1" ht="16.5" customHeight="1" x14ac:dyDescent="0.2">
      <c r="A41" s="26">
        <f>A40+1</f>
        <v>14</v>
      </c>
      <c r="B41" s="4" t="s">
        <v>129</v>
      </c>
      <c r="C41" s="10">
        <v>1936</v>
      </c>
      <c r="D41" s="99"/>
      <c r="E41" s="98" t="s">
        <v>97</v>
      </c>
      <c r="F41" s="58">
        <v>4</v>
      </c>
      <c r="G41" s="58">
        <v>3</v>
      </c>
      <c r="H41" s="68">
        <v>1784.2</v>
      </c>
      <c r="I41" s="68">
        <v>1664.8</v>
      </c>
      <c r="J41" s="68">
        <v>876.7</v>
      </c>
      <c r="K41" s="58">
        <v>79</v>
      </c>
      <c r="L41" s="18">
        <f>'виды работ '!C39</f>
        <v>2627522.4299999997</v>
      </c>
      <c r="M41" s="95">
        <v>0</v>
      </c>
      <c r="N41" s="68">
        <v>1113519</v>
      </c>
      <c r="O41" s="68">
        <v>537931</v>
      </c>
      <c r="P41" s="95">
        <f>1038208-62135.57</f>
        <v>976072.43</v>
      </c>
      <c r="Q41" s="95">
        <f>L41/H41</f>
        <v>1472.6613776482454</v>
      </c>
      <c r="R41" s="92">
        <v>14593.7</v>
      </c>
      <c r="S41" s="92" t="s">
        <v>107</v>
      </c>
      <c r="T41" s="95" t="s">
        <v>102</v>
      </c>
      <c r="U41" s="25">
        <f t="shared" si="0"/>
        <v>2627522.4300000002</v>
      </c>
      <c r="V41" s="25">
        <f t="shared" si="1"/>
        <v>0</v>
      </c>
    </row>
    <row r="42" spans="1:22" s="2" customFormat="1" ht="16.5" customHeight="1" x14ac:dyDescent="0.2">
      <c r="A42" s="126" t="s">
        <v>17</v>
      </c>
      <c r="B42" s="129"/>
      <c r="C42" s="95" t="s">
        <v>98</v>
      </c>
      <c r="D42" s="95" t="s">
        <v>98</v>
      </c>
      <c r="E42" s="95" t="s">
        <v>98</v>
      </c>
      <c r="F42" s="95" t="s">
        <v>98</v>
      </c>
      <c r="G42" s="95" t="s">
        <v>98</v>
      </c>
      <c r="H42" s="18">
        <f t="shared" ref="H42:P42" si="15">SUM(H40:H41)</f>
        <v>4899.8999999999996</v>
      </c>
      <c r="I42" s="18">
        <f t="shared" si="15"/>
        <v>4539.5</v>
      </c>
      <c r="J42" s="18">
        <f t="shared" si="15"/>
        <v>3321.2</v>
      </c>
      <c r="K42" s="19">
        <f t="shared" si="15"/>
        <v>235</v>
      </c>
      <c r="L42" s="18">
        <f t="shared" si="15"/>
        <v>9364277.4800000004</v>
      </c>
      <c r="M42" s="18">
        <f t="shared" si="15"/>
        <v>0</v>
      </c>
      <c r="N42" s="18">
        <f t="shared" si="15"/>
        <v>3980121</v>
      </c>
      <c r="O42" s="18">
        <f t="shared" si="15"/>
        <v>1922762</v>
      </c>
      <c r="P42" s="18">
        <f t="shared" si="15"/>
        <v>3461394.48</v>
      </c>
      <c r="Q42" s="95">
        <f>L42/H42</f>
        <v>1911.1160391028391</v>
      </c>
      <c r="R42" s="95" t="s">
        <v>98</v>
      </c>
      <c r="S42" s="18" t="s">
        <v>98</v>
      </c>
      <c r="T42" s="95" t="s">
        <v>98</v>
      </c>
      <c r="U42" s="25">
        <f t="shared" si="0"/>
        <v>9364277.4800000004</v>
      </c>
      <c r="V42" s="25">
        <f t="shared" si="1"/>
        <v>0</v>
      </c>
    </row>
    <row r="43" spans="1:22" s="2" customFormat="1" ht="16.5" customHeight="1" x14ac:dyDescent="0.2">
      <c r="A43" s="134" t="s">
        <v>131</v>
      </c>
      <c r="B43" s="145"/>
      <c r="C43" s="145"/>
      <c r="D43" s="145"/>
      <c r="E43" s="146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25">
        <f t="shared" si="0"/>
        <v>0</v>
      </c>
      <c r="V43" s="25">
        <f t="shared" si="1"/>
        <v>0</v>
      </c>
    </row>
    <row r="44" spans="1:22" s="2" customFormat="1" ht="16.5" customHeight="1" x14ac:dyDescent="0.2">
      <c r="A44" s="15">
        <f>A41+1</f>
        <v>15</v>
      </c>
      <c r="B44" s="4" t="s">
        <v>132</v>
      </c>
      <c r="C44" s="98">
        <v>1986</v>
      </c>
      <c r="D44" s="98"/>
      <c r="E44" s="98" t="s">
        <v>99</v>
      </c>
      <c r="F44" s="26">
        <v>12</v>
      </c>
      <c r="G44" s="26">
        <v>3</v>
      </c>
      <c r="H44" s="95">
        <v>12400.9</v>
      </c>
      <c r="I44" s="95">
        <v>10522.2</v>
      </c>
      <c r="J44" s="95">
        <v>10066.200000000001</v>
      </c>
      <c r="K44" s="26">
        <v>545</v>
      </c>
      <c r="L44" s="95">
        <f>'виды работ '!C42</f>
        <v>13976967.18</v>
      </c>
      <c r="M44" s="95">
        <v>0</v>
      </c>
      <c r="N44" s="68">
        <v>5965520</v>
      </c>
      <c r="O44" s="68">
        <v>2881893</v>
      </c>
      <c r="P44" s="95">
        <f>5562055-432500.82</f>
        <v>5129554.18</v>
      </c>
      <c r="Q44" s="95">
        <f>L44/H44</f>
        <v>1127.0929674459112</v>
      </c>
      <c r="R44" s="92">
        <v>14593.7</v>
      </c>
      <c r="S44" s="92" t="s">
        <v>107</v>
      </c>
      <c r="T44" s="95" t="s">
        <v>102</v>
      </c>
      <c r="U44" s="25">
        <f t="shared" si="0"/>
        <v>13976967.18</v>
      </c>
      <c r="V44" s="25">
        <f t="shared" si="1"/>
        <v>0</v>
      </c>
    </row>
    <row r="45" spans="1:22" s="2" customFormat="1" ht="16.5" customHeight="1" x14ac:dyDescent="0.2">
      <c r="A45" s="126" t="s">
        <v>17</v>
      </c>
      <c r="B45" s="129"/>
      <c r="C45" s="95" t="s">
        <v>98</v>
      </c>
      <c r="D45" s="95" t="s">
        <v>98</v>
      </c>
      <c r="E45" s="95" t="s">
        <v>98</v>
      </c>
      <c r="F45" s="95" t="s">
        <v>98</v>
      </c>
      <c r="G45" s="95" t="s">
        <v>98</v>
      </c>
      <c r="H45" s="18">
        <f t="shared" ref="H45:P45" si="16">SUM(H44:H44)</f>
        <v>12400.9</v>
      </c>
      <c r="I45" s="18">
        <f t="shared" si="16"/>
        <v>10522.2</v>
      </c>
      <c r="J45" s="18">
        <f t="shared" si="16"/>
        <v>10066.200000000001</v>
      </c>
      <c r="K45" s="19">
        <f t="shared" si="16"/>
        <v>545</v>
      </c>
      <c r="L45" s="18">
        <f t="shared" si="16"/>
        <v>13976967.18</v>
      </c>
      <c r="M45" s="18">
        <f t="shared" si="16"/>
        <v>0</v>
      </c>
      <c r="N45" s="18">
        <f t="shared" si="16"/>
        <v>5965520</v>
      </c>
      <c r="O45" s="18">
        <f t="shared" si="16"/>
        <v>2881893</v>
      </c>
      <c r="P45" s="18">
        <f t="shared" si="16"/>
        <v>5129554.18</v>
      </c>
      <c r="Q45" s="95">
        <f>L45/H45</f>
        <v>1127.0929674459112</v>
      </c>
      <c r="R45" s="95" t="s">
        <v>98</v>
      </c>
      <c r="S45" s="18" t="s">
        <v>98</v>
      </c>
      <c r="T45" s="95" t="s">
        <v>98</v>
      </c>
      <c r="U45" s="25">
        <f t="shared" si="0"/>
        <v>13976967.18</v>
      </c>
      <c r="V45" s="25">
        <f t="shared" si="1"/>
        <v>0</v>
      </c>
    </row>
    <row r="46" spans="1:22" s="2" customFormat="1" ht="16.5" customHeight="1" x14ac:dyDescent="0.2">
      <c r="A46" s="118" t="s">
        <v>52</v>
      </c>
      <c r="B46" s="123"/>
      <c r="C46" s="123"/>
      <c r="D46" s="123"/>
      <c r="E46" s="12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25">
        <f t="shared" si="0"/>
        <v>0</v>
      </c>
      <c r="V46" s="25">
        <f t="shared" si="1"/>
        <v>0</v>
      </c>
    </row>
    <row r="47" spans="1:22" s="2" customFormat="1" ht="16.5" customHeight="1" x14ac:dyDescent="0.2">
      <c r="A47" s="15">
        <f>A44+1</f>
        <v>16</v>
      </c>
      <c r="B47" s="63" t="s">
        <v>133</v>
      </c>
      <c r="C47" s="98">
        <v>1987</v>
      </c>
      <c r="D47" s="98"/>
      <c r="E47" s="98" t="s">
        <v>99</v>
      </c>
      <c r="F47" s="26">
        <v>5</v>
      </c>
      <c r="G47" s="26">
        <v>4</v>
      </c>
      <c r="H47" s="95">
        <v>5171.7</v>
      </c>
      <c r="I47" s="95">
        <v>4603.6899999999996</v>
      </c>
      <c r="J47" s="95">
        <v>4032.59</v>
      </c>
      <c r="K47" s="26">
        <v>269</v>
      </c>
      <c r="L47" s="95">
        <f>'виды работ '!C45</f>
        <v>433557.96</v>
      </c>
      <c r="M47" s="95">
        <v>0</v>
      </c>
      <c r="N47" s="68">
        <v>179493</v>
      </c>
      <c r="O47" s="68">
        <v>86711</v>
      </c>
      <c r="P47" s="95">
        <f>167354-0.04</f>
        <v>167353.96</v>
      </c>
      <c r="Q47" s="95">
        <f t="shared" ref="Q47:Q53" si="17">L47/H47</f>
        <v>83.832774522884165</v>
      </c>
      <c r="R47" s="92">
        <v>14593.7</v>
      </c>
      <c r="S47" s="92" t="s">
        <v>107</v>
      </c>
      <c r="T47" s="95" t="s">
        <v>102</v>
      </c>
      <c r="U47" s="25">
        <f t="shared" si="0"/>
        <v>433557.95999999996</v>
      </c>
      <c r="V47" s="25">
        <f t="shared" si="1"/>
        <v>0</v>
      </c>
    </row>
    <row r="48" spans="1:22" s="2" customFormat="1" ht="16.5" customHeight="1" x14ac:dyDescent="0.2">
      <c r="A48" s="15">
        <f>A47+1</f>
        <v>17</v>
      </c>
      <c r="B48" s="63" t="s">
        <v>136</v>
      </c>
      <c r="C48" s="98">
        <v>1968</v>
      </c>
      <c r="D48" s="98"/>
      <c r="E48" s="98" t="s">
        <v>99</v>
      </c>
      <c r="F48" s="26">
        <v>5</v>
      </c>
      <c r="G48" s="26">
        <v>7</v>
      </c>
      <c r="H48" s="95">
        <v>3570.7</v>
      </c>
      <c r="I48" s="95">
        <v>3175.31</v>
      </c>
      <c r="J48" s="95">
        <v>2573.98</v>
      </c>
      <c r="K48" s="26">
        <v>176</v>
      </c>
      <c r="L48" s="95">
        <f>'виды работ '!C46</f>
        <v>400201.72</v>
      </c>
      <c r="M48" s="95">
        <v>0</v>
      </c>
      <c r="N48" s="68">
        <v>165684</v>
      </c>
      <c r="O48" s="68">
        <v>80040</v>
      </c>
      <c r="P48" s="95">
        <f>154478-0.28</f>
        <v>154477.72</v>
      </c>
      <c r="Q48" s="95">
        <f t="shared" si="17"/>
        <v>112.07934578654046</v>
      </c>
      <c r="R48" s="92">
        <v>14593.7</v>
      </c>
      <c r="S48" s="92" t="s">
        <v>107</v>
      </c>
      <c r="T48" s="95" t="s">
        <v>102</v>
      </c>
      <c r="U48" s="25">
        <f t="shared" si="0"/>
        <v>400201.72</v>
      </c>
      <c r="V48" s="25">
        <f t="shared" si="1"/>
        <v>0</v>
      </c>
    </row>
    <row r="49" spans="1:22" s="2" customFormat="1" ht="16.5" customHeight="1" x14ac:dyDescent="0.2">
      <c r="A49" s="15">
        <f>A48+1</f>
        <v>18</v>
      </c>
      <c r="B49" s="63" t="s">
        <v>137</v>
      </c>
      <c r="C49" s="98">
        <v>1979</v>
      </c>
      <c r="D49" s="98"/>
      <c r="E49" s="98" t="s">
        <v>99</v>
      </c>
      <c r="F49" s="26">
        <v>5</v>
      </c>
      <c r="G49" s="26">
        <v>4</v>
      </c>
      <c r="H49" s="95">
        <v>3091</v>
      </c>
      <c r="I49" s="95">
        <v>2785.32</v>
      </c>
      <c r="J49" s="95">
        <v>2604.02</v>
      </c>
      <c r="K49" s="26">
        <v>126</v>
      </c>
      <c r="L49" s="95">
        <f>'виды работ '!C47</f>
        <v>347441.56</v>
      </c>
      <c r="M49" s="95">
        <v>0</v>
      </c>
      <c r="N49" s="68">
        <v>143841</v>
      </c>
      <c r="O49" s="68">
        <v>69488</v>
      </c>
      <c r="P49" s="95">
        <f>134113-0.44</f>
        <v>134112.56</v>
      </c>
      <c r="Q49" s="95">
        <f t="shared" si="17"/>
        <v>112.40425752183759</v>
      </c>
      <c r="R49" s="92">
        <v>14593.7</v>
      </c>
      <c r="S49" s="92" t="s">
        <v>107</v>
      </c>
      <c r="T49" s="95" t="s">
        <v>102</v>
      </c>
      <c r="U49" s="25">
        <f t="shared" si="0"/>
        <v>347441.56</v>
      </c>
      <c r="V49" s="25">
        <f t="shared" si="1"/>
        <v>0</v>
      </c>
    </row>
    <row r="50" spans="1:22" s="2" customFormat="1" ht="16.5" customHeight="1" x14ac:dyDescent="0.2">
      <c r="A50" s="15">
        <f>A49+1</f>
        <v>19</v>
      </c>
      <c r="B50" s="63" t="s">
        <v>134</v>
      </c>
      <c r="C50" s="98">
        <v>1986</v>
      </c>
      <c r="D50" s="98"/>
      <c r="E50" s="98" t="s">
        <v>99</v>
      </c>
      <c r="F50" s="26">
        <v>5</v>
      </c>
      <c r="G50" s="26">
        <v>4</v>
      </c>
      <c r="H50" s="95">
        <v>4489.1000000000004</v>
      </c>
      <c r="I50" s="95">
        <f>H50-G50</f>
        <v>4485.1000000000004</v>
      </c>
      <c r="J50" s="95">
        <v>3805.1</v>
      </c>
      <c r="K50" s="26">
        <v>248</v>
      </c>
      <c r="L50" s="95">
        <f>'виды работ '!C48</f>
        <v>433557.96</v>
      </c>
      <c r="M50" s="95">
        <v>0</v>
      </c>
      <c r="N50" s="68">
        <v>179493</v>
      </c>
      <c r="O50" s="68">
        <v>86711</v>
      </c>
      <c r="P50" s="95">
        <f>167354-0.04</f>
        <v>167353.96</v>
      </c>
      <c r="Q50" s="95">
        <f t="shared" si="17"/>
        <v>96.580151923548144</v>
      </c>
      <c r="R50" s="92">
        <v>14593.7</v>
      </c>
      <c r="S50" s="92" t="s">
        <v>107</v>
      </c>
      <c r="T50" s="95" t="s">
        <v>102</v>
      </c>
      <c r="U50" s="25">
        <f t="shared" si="0"/>
        <v>433557.95999999996</v>
      </c>
      <c r="V50" s="25">
        <f t="shared" si="1"/>
        <v>0</v>
      </c>
    </row>
    <row r="51" spans="1:22" s="2" customFormat="1" ht="16.5" customHeight="1" x14ac:dyDescent="0.2">
      <c r="A51" s="15">
        <f>A50+1</f>
        <v>20</v>
      </c>
      <c r="B51" s="63" t="s">
        <v>138</v>
      </c>
      <c r="C51" s="98">
        <v>1967</v>
      </c>
      <c r="D51" s="98"/>
      <c r="E51" s="98" t="s">
        <v>99</v>
      </c>
      <c r="F51" s="26">
        <v>4</v>
      </c>
      <c r="G51" s="26">
        <v>4</v>
      </c>
      <c r="H51" s="95">
        <v>2704</v>
      </c>
      <c r="I51" s="95">
        <v>2736.73</v>
      </c>
      <c r="J51" s="95">
        <v>2348.79</v>
      </c>
      <c r="K51" s="26">
        <v>135</v>
      </c>
      <c r="L51" s="95">
        <f>'виды работ '!C49</f>
        <v>335745.4</v>
      </c>
      <c r="M51" s="95">
        <v>0</v>
      </c>
      <c r="N51" s="68">
        <v>138999</v>
      </c>
      <c r="O51" s="68">
        <v>67149</v>
      </c>
      <c r="P51" s="95">
        <f>129598-0.6</f>
        <v>129597.4</v>
      </c>
      <c r="Q51" s="95">
        <f t="shared" si="17"/>
        <v>124.16619822485208</v>
      </c>
      <c r="R51" s="92">
        <v>14593.7</v>
      </c>
      <c r="S51" s="92" t="s">
        <v>107</v>
      </c>
      <c r="T51" s="95" t="s">
        <v>102</v>
      </c>
      <c r="U51" s="25">
        <f t="shared" si="0"/>
        <v>335745.4</v>
      </c>
      <c r="V51" s="25">
        <f t="shared" si="1"/>
        <v>0</v>
      </c>
    </row>
    <row r="52" spans="1:22" s="2" customFormat="1" ht="16.5" customHeight="1" x14ac:dyDescent="0.2">
      <c r="A52" s="15">
        <f>A51+1</f>
        <v>21</v>
      </c>
      <c r="B52" s="63" t="s">
        <v>135</v>
      </c>
      <c r="C52" s="98">
        <v>1983</v>
      </c>
      <c r="D52" s="98"/>
      <c r="E52" s="98" t="s">
        <v>99</v>
      </c>
      <c r="F52" s="26">
        <v>5</v>
      </c>
      <c r="G52" s="26">
        <v>5</v>
      </c>
      <c r="H52" s="95">
        <v>6300.6</v>
      </c>
      <c r="I52" s="95">
        <v>5728.12</v>
      </c>
      <c r="J52" s="95">
        <v>4299.5200000000004</v>
      </c>
      <c r="K52" s="26">
        <v>300</v>
      </c>
      <c r="L52" s="95">
        <f>'виды работ '!C50</f>
        <v>491200.96</v>
      </c>
      <c r="M52" s="95">
        <v>0</v>
      </c>
      <c r="N52" s="68">
        <v>203358</v>
      </c>
      <c r="O52" s="68">
        <v>98240</v>
      </c>
      <c r="P52" s="95">
        <f>189603-0.04</f>
        <v>189602.96</v>
      </c>
      <c r="Q52" s="95">
        <f t="shared" si="17"/>
        <v>77.960981493825983</v>
      </c>
      <c r="R52" s="92">
        <v>14593.7</v>
      </c>
      <c r="S52" s="92" t="s">
        <v>107</v>
      </c>
      <c r="T52" s="95" t="s">
        <v>102</v>
      </c>
      <c r="U52" s="25">
        <f t="shared" si="0"/>
        <v>491200.95999999996</v>
      </c>
      <c r="V52" s="25">
        <f t="shared" si="1"/>
        <v>0</v>
      </c>
    </row>
    <row r="53" spans="1:22" s="2" customFormat="1" ht="16.5" customHeight="1" x14ac:dyDescent="0.2">
      <c r="A53" s="126" t="s">
        <v>17</v>
      </c>
      <c r="B53" s="129"/>
      <c r="C53" s="57" t="s">
        <v>98</v>
      </c>
      <c r="D53" s="57" t="s">
        <v>98</v>
      </c>
      <c r="E53" s="57" t="s">
        <v>98</v>
      </c>
      <c r="F53" s="95" t="s">
        <v>98</v>
      </c>
      <c r="G53" s="95" t="s">
        <v>98</v>
      </c>
      <c r="H53" s="18">
        <f t="shared" ref="H53:P53" si="18">SUM(H47:H52)</f>
        <v>25327.1</v>
      </c>
      <c r="I53" s="18">
        <f t="shared" si="18"/>
        <v>23514.27</v>
      </c>
      <c r="J53" s="18">
        <f t="shared" si="18"/>
        <v>19664</v>
      </c>
      <c r="K53" s="19">
        <f t="shared" si="18"/>
        <v>1254</v>
      </c>
      <c r="L53" s="18">
        <f t="shared" si="18"/>
        <v>2441705.56</v>
      </c>
      <c r="M53" s="18">
        <f t="shared" si="18"/>
        <v>0</v>
      </c>
      <c r="N53" s="18">
        <f t="shared" si="18"/>
        <v>1010868</v>
      </c>
      <c r="O53" s="18">
        <f t="shared" si="18"/>
        <v>488339</v>
      </c>
      <c r="P53" s="18">
        <f t="shared" si="18"/>
        <v>942498.55999999994</v>
      </c>
      <c r="Q53" s="95">
        <f t="shared" si="17"/>
        <v>96.406835366070339</v>
      </c>
      <c r="R53" s="95" t="s">
        <v>98</v>
      </c>
      <c r="S53" s="18" t="s">
        <v>98</v>
      </c>
      <c r="T53" s="95" t="s">
        <v>98</v>
      </c>
      <c r="U53" s="25">
        <f t="shared" si="0"/>
        <v>2441705.56</v>
      </c>
      <c r="V53" s="25">
        <f t="shared" si="1"/>
        <v>0</v>
      </c>
    </row>
    <row r="54" spans="1:22" s="2" customFormat="1" ht="16.5" customHeight="1" x14ac:dyDescent="0.2">
      <c r="A54" s="134" t="s">
        <v>53</v>
      </c>
      <c r="B54" s="135"/>
      <c r="C54" s="135"/>
      <c r="D54" s="135"/>
      <c r="E54" s="136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25">
        <f t="shared" si="0"/>
        <v>0</v>
      </c>
      <c r="V54" s="25">
        <f t="shared" si="1"/>
        <v>0</v>
      </c>
    </row>
    <row r="55" spans="1:22" s="2" customFormat="1" ht="16.5" customHeight="1" x14ac:dyDescent="0.2">
      <c r="A55" s="26">
        <f>A52+1</f>
        <v>22</v>
      </c>
      <c r="B55" s="4" t="s">
        <v>143</v>
      </c>
      <c r="C55" s="99">
        <v>1961</v>
      </c>
      <c r="D55" s="99"/>
      <c r="E55" s="98" t="s">
        <v>97</v>
      </c>
      <c r="F55" s="91">
        <v>3</v>
      </c>
      <c r="G55" s="91">
        <v>3</v>
      </c>
      <c r="H55" s="92">
        <v>1656.1</v>
      </c>
      <c r="I55" s="92">
        <v>1513</v>
      </c>
      <c r="J55" s="92">
        <v>1377.5</v>
      </c>
      <c r="K55" s="91">
        <v>77</v>
      </c>
      <c r="L55" s="95">
        <f>'виды работ '!C53</f>
        <v>2106847.48</v>
      </c>
      <c r="M55" s="95">
        <v>0</v>
      </c>
      <c r="N55" s="68">
        <v>899228</v>
      </c>
      <c r="O55" s="68">
        <v>434409</v>
      </c>
      <c r="P55" s="95">
        <f>838410-65199.52</f>
        <v>773210.48</v>
      </c>
      <c r="Q55" s="95">
        <f t="shared" ref="Q55:Q60" si="19">L55/H55</f>
        <v>1272.174071614033</v>
      </c>
      <c r="R55" s="92">
        <v>14593.7</v>
      </c>
      <c r="S55" s="92" t="s">
        <v>107</v>
      </c>
      <c r="T55" s="95" t="s">
        <v>102</v>
      </c>
      <c r="U55" s="25">
        <f t="shared" si="0"/>
        <v>2106847.48</v>
      </c>
      <c r="V55" s="25">
        <f t="shared" si="1"/>
        <v>0</v>
      </c>
    </row>
    <row r="56" spans="1:22" s="2" customFormat="1" ht="16.5" customHeight="1" x14ac:dyDescent="0.2">
      <c r="A56" s="26">
        <f>A55+1</f>
        <v>23</v>
      </c>
      <c r="B56" s="4" t="s">
        <v>139</v>
      </c>
      <c r="C56" s="99">
        <v>1936</v>
      </c>
      <c r="D56" s="99"/>
      <c r="E56" s="98" t="s">
        <v>97</v>
      </c>
      <c r="F56" s="26">
        <v>4</v>
      </c>
      <c r="G56" s="26">
        <v>3</v>
      </c>
      <c r="H56" s="95">
        <v>2445.8000000000002</v>
      </c>
      <c r="I56" s="95">
        <v>2244.5</v>
      </c>
      <c r="J56" s="95">
        <v>1924.7</v>
      </c>
      <c r="K56" s="26">
        <v>101</v>
      </c>
      <c r="L56" s="95">
        <f>'виды работ '!C54</f>
        <v>275250.38</v>
      </c>
      <c r="M56" s="95">
        <v>0</v>
      </c>
      <c r="N56" s="68">
        <v>117481</v>
      </c>
      <c r="O56" s="68">
        <v>56753</v>
      </c>
      <c r="P56" s="95">
        <f>109535-8518.62</f>
        <v>101016.38</v>
      </c>
      <c r="Q56" s="95">
        <f t="shared" si="19"/>
        <v>112.54001962548041</v>
      </c>
      <c r="R56" s="92">
        <v>14593.7</v>
      </c>
      <c r="S56" s="92" t="s">
        <v>107</v>
      </c>
      <c r="T56" s="95" t="s">
        <v>102</v>
      </c>
      <c r="U56" s="25">
        <f t="shared" si="0"/>
        <v>275250.38</v>
      </c>
      <c r="V56" s="25">
        <f t="shared" si="1"/>
        <v>0</v>
      </c>
    </row>
    <row r="57" spans="1:22" s="2" customFormat="1" ht="16.5" customHeight="1" x14ac:dyDescent="0.2">
      <c r="A57" s="26">
        <f>A56+1</f>
        <v>24</v>
      </c>
      <c r="B57" s="4" t="s">
        <v>140</v>
      </c>
      <c r="C57" s="99">
        <v>1954</v>
      </c>
      <c r="D57" s="99"/>
      <c r="E57" s="98" t="s">
        <v>97</v>
      </c>
      <c r="F57" s="91">
        <v>4</v>
      </c>
      <c r="G57" s="91">
        <v>3</v>
      </c>
      <c r="H57" s="92">
        <v>1984.1</v>
      </c>
      <c r="I57" s="92">
        <v>1563.1</v>
      </c>
      <c r="J57" s="92">
        <v>1481.5</v>
      </c>
      <c r="K57" s="91">
        <v>79</v>
      </c>
      <c r="L57" s="95">
        <f>'виды работ '!C55</f>
        <v>6199784.04</v>
      </c>
      <c r="M57" s="95">
        <v>0</v>
      </c>
      <c r="N57" s="68">
        <v>2603461</v>
      </c>
      <c r="O57" s="68">
        <v>1257710</v>
      </c>
      <c r="P57" s="95">
        <f>2427380-88766.96</f>
        <v>2338613.04</v>
      </c>
      <c r="Q57" s="95">
        <f t="shared" si="19"/>
        <v>3124.7336525376745</v>
      </c>
      <c r="R57" s="92">
        <v>14593.7</v>
      </c>
      <c r="S57" s="92" t="s">
        <v>107</v>
      </c>
      <c r="T57" s="95" t="s">
        <v>102</v>
      </c>
      <c r="U57" s="25">
        <f t="shared" si="0"/>
        <v>6199784.04</v>
      </c>
      <c r="V57" s="25">
        <f t="shared" si="1"/>
        <v>0</v>
      </c>
    </row>
    <row r="58" spans="1:22" s="2" customFormat="1" ht="16.5" customHeight="1" x14ac:dyDescent="0.2">
      <c r="A58" s="26">
        <f>A57+1</f>
        <v>25</v>
      </c>
      <c r="B58" s="4" t="s">
        <v>141</v>
      </c>
      <c r="C58" s="99">
        <v>1988</v>
      </c>
      <c r="D58" s="99"/>
      <c r="E58" s="98" t="s">
        <v>97</v>
      </c>
      <c r="F58" s="91">
        <v>9</v>
      </c>
      <c r="G58" s="91">
        <v>1</v>
      </c>
      <c r="H58" s="92">
        <v>4604.2</v>
      </c>
      <c r="I58" s="92">
        <v>3023.5</v>
      </c>
      <c r="J58" s="92">
        <v>1580.7</v>
      </c>
      <c r="K58" s="91">
        <v>151</v>
      </c>
      <c r="L58" s="95">
        <f>'виды работ '!C56</f>
        <v>2527333.86</v>
      </c>
      <c r="M58" s="95">
        <v>0</v>
      </c>
      <c r="N58" s="68">
        <v>1078694</v>
      </c>
      <c r="O58" s="68">
        <v>521108</v>
      </c>
      <c r="P58" s="95">
        <f>1005738-78206.14</f>
        <v>927531.86</v>
      </c>
      <c r="Q58" s="95">
        <f t="shared" si="19"/>
        <v>548.91921723643634</v>
      </c>
      <c r="R58" s="92">
        <v>14593.7</v>
      </c>
      <c r="S58" s="92" t="s">
        <v>107</v>
      </c>
      <c r="T58" s="95" t="s">
        <v>102</v>
      </c>
      <c r="U58" s="25">
        <f t="shared" si="0"/>
        <v>2527333.86</v>
      </c>
      <c r="V58" s="25">
        <f t="shared" si="1"/>
        <v>0</v>
      </c>
    </row>
    <row r="59" spans="1:22" s="2" customFormat="1" ht="16.5" customHeight="1" x14ac:dyDescent="0.2">
      <c r="A59" s="26">
        <f>A58+1</f>
        <v>26</v>
      </c>
      <c r="B59" s="4" t="s">
        <v>142</v>
      </c>
      <c r="C59" s="99">
        <v>1993</v>
      </c>
      <c r="D59" s="99"/>
      <c r="E59" s="98" t="s">
        <v>99</v>
      </c>
      <c r="F59" s="91">
        <v>10</v>
      </c>
      <c r="G59" s="91">
        <v>3</v>
      </c>
      <c r="H59" s="92">
        <v>6819.7</v>
      </c>
      <c r="I59" s="92">
        <v>5918.8</v>
      </c>
      <c r="J59" s="92">
        <v>5286</v>
      </c>
      <c r="K59" s="91">
        <v>276</v>
      </c>
      <c r="L59" s="95">
        <f>'виды работ '!C57</f>
        <v>18290826.93</v>
      </c>
      <c r="M59" s="95">
        <v>0</v>
      </c>
      <c r="N59" s="68">
        <v>7806741</v>
      </c>
      <c r="O59" s="68">
        <v>3771372</v>
      </c>
      <c r="P59" s="95">
        <f>7278749-566035.07</f>
        <v>6712713.9299999997</v>
      </c>
      <c r="Q59" s="95">
        <f t="shared" si="19"/>
        <v>2682.0574116163466</v>
      </c>
      <c r="R59" s="92">
        <v>14593.7</v>
      </c>
      <c r="S59" s="92" t="s">
        <v>107</v>
      </c>
      <c r="T59" s="95" t="s">
        <v>102</v>
      </c>
      <c r="U59" s="25">
        <f t="shared" si="0"/>
        <v>18290826.93</v>
      </c>
      <c r="V59" s="25">
        <f t="shared" si="1"/>
        <v>0</v>
      </c>
    </row>
    <row r="60" spans="1:22" s="2" customFormat="1" ht="16.5" customHeight="1" x14ac:dyDescent="0.2">
      <c r="A60" s="126" t="s">
        <v>17</v>
      </c>
      <c r="B60" s="129"/>
      <c r="C60" s="95" t="s">
        <v>98</v>
      </c>
      <c r="D60" s="95" t="s">
        <v>98</v>
      </c>
      <c r="E60" s="95" t="s">
        <v>98</v>
      </c>
      <c r="F60" s="95" t="s">
        <v>98</v>
      </c>
      <c r="G60" s="95" t="s">
        <v>98</v>
      </c>
      <c r="H60" s="18">
        <f t="shared" ref="H60:P60" si="20">SUM(H55:H59)</f>
        <v>17509.900000000001</v>
      </c>
      <c r="I60" s="18">
        <f t="shared" si="20"/>
        <v>14262.900000000001</v>
      </c>
      <c r="J60" s="18">
        <f t="shared" si="20"/>
        <v>11650.4</v>
      </c>
      <c r="K60" s="19">
        <f t="shared" si="20"/>
        <v>684</v>
      </c>
      <c r="L60" s="18">
        <f t="shared" si="20"/>
        <v>29400042.689999998</v>
      </c>
      <c r="M60" s="18">
        <f t="shared" si="20"/>
        <v>0</v>
      </c>
      <c r="N60" s="18">
        <f t="shared" si="20"/>
        <v>12505605</v>
      </c>
      <c r="O60" s="18">
        <f t="shared" si="20"/>
        <v>6041352</v>
      </c>
      <c r="P60" s="18">
        <f t="shared" si="20"/>
        <v>10853085.689999999</v>
      </c>
      <c r="Q60" s="95">
        <f t="shared" si="19"/>
        <v>1679.0525754002019</v>
      </c>
      <c r="R60" s="95" t="s">
        <v>98</v>
      </c>
      <c r="S60" s="18" t="s">
        <v>98</v>
      </c>
      <c r="T60" s="95" t="s">
        <v>98</v>
      </c>
      <c r="U60" s="25">
        <f t="shared" si="0"/>
        <v>29400042.689999998</v>
      </c>
      <c r="V60" s="25">
        <f t="shared" si="1"/>
        <v>0</v>
      </c>
    </row>
    <row r="61" spans="1:22" s="2" customFormat="1" ht="16.5" customHeight="1" x14ac:dyDescent="0.2">
      <c r="A61" s="134" t="s">
        <v>54</v>
      </c>
      <c r="B61" s="135"/>
      <c r="C61" s="135"/>
      <c r="D61" s="135"/>
      <c r="E61" s="136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25">
        <f t="shared" si="0"/>
        <v>0</v>
      </c>
      <c r="V61" s="25">
        <f t="shared" si="1"/>
        <v>0</v>
      </c>
    </row>
    <row r="62" spans="1:22" s="2" customFormat="1" ht="16.5" customHeight="1" x14ac:dyDescent="0.2">
      <c r="A62" s="26">
        <f>A59+1</f>
        <v>27</v>
      </c>
      <c r="B62" s="1" t="s">
        <v>108</v>
      </c>
      <c r="C62" s="98">
        <v>1956</v>
      </c>
      <c r="D62" s="98"/>
      <c r="E62" s="98" t="s">
        <v>97</v>
      </c>
      <c r="F62" s="26">
        <v>2</v>
      </c>
      <c r="G62" s="26">
        <v>2</v>
      </c>
      <c r="H62" s="83">
        <v>880</v>
      </c>
      <c r="I62" s="95">
        <v>854.9</v>
      </c>
      <c r="J62" s="95">
        <v>820.2</v>
      </c>
      <c r="K62" s="26">
        <v>30</v>
      </c>
      <c r="L62" s="95">
        <f>'виды работ '!C60</f>
        <v>1243376.1100000001</v>
      </c>
      <c r="M62" s="95">
        <v>0</v>
      </c>
      <c r="N62" s="68">
        <v>530688</v>
      </c>
      <c r="O62" s="68">
        <v>256371</v>
      </c>
      <c r="P62" s="95">
        <f>494796-38478.89</f>
        <v>456317.11</v>
      </c>
      <c r="Q62" s="95">
        <f>L62/H62</f>
        <v>1412.9273977272728</v>
      </c>
      <c r="R62" s="92">
        <v>14593.7</v>
      </c>
      <c r="S62" s="92" t="s">
        <v>107</v>
      </c>
      <c r="T62" s="95" t="s">
        <v>102</v>
      </c>
      <c r="U62" s="25">
        <f t="shared" si="0"/>
        <v>1243376.1099999999</v>
      </c>
      <c r="V62" s="25">
        <f t="shared" si="1"/>
        <v>0</v>
      </c>
    </row>
    <row r="63" spans="1:22" s="2" customFormat="1" ht="16.5" customHeight="1" x14ac:dyDescent="0.2">
      <c r="A63" s="26">
        <f>A62+1</f>
        <v>28</v>
      </c>
      <c r="B63" s="1" t="s">
        <v>109</v>
      </c>
      <c r="C63" s="98">
        <v>1956</v>
      </c>
      <c r="D63" s="98"/>
      <c r="E63" s="98" t="s">
        <v>97</v>
      </c>
      <c r="F63" s="26">
        <v>2</v>
      </c>
      <c r="G63" s="26">
        <v>2</v>
      </c>
      <c r="H63" s="95">
        <v>887.3</v>
      </c>
      <c r="I63" s="83">
        <v>849.89</v>
      </c>
      <c r="J63" s="83">
        <v>849.89</v>
      </c>
      <c r="K63" s="26">
        <v>30</v>
      </c>
      <c r="L63" s="95">
        <f>'виды работ '!C61</f>
        <v>1459171.69</v>
      </c>
      <c r="M63" s="95">
        <v>0</v>
      </c>
      <c r="N63" s="68">
        <v>622792</v>
      </c>
      <c r="O63" s="68">
        <v>300865</v>
      </c>
      <c r="P63" s="95">
        <f>580671-45156.31</f>
        <v>535514.68999999994</v>
      </c>
      <c r="Q63" s="95">
        <f>L63/H63</f>
        <v>1644.5077087794432</v>
      </c>
      <c r="R63" s="92">
        <v>14593.7</v>
      </c>
      <c r="S63" s="92" t="s">
        <v>107</v>
      </c>
      <c r="T63" s="95" t="s">
        <v>102</v>
      </c>
      <c r="U63" s="25">
        <f t="shared" si="0"/>
        <v>1459171.69</v>
      </c>
      <c r="V63" s="25">
        <f t="shared" si="1"/>
        <v>0</v>
      </c>
    </row>
    <row r="64" spans="1:22" s="2" customFormat="1" ht="16.5" customHeight="1" x14ac:dyDescent="0.2">
      <c r="A64" s="126" t="s">
        <v>17</v>
      </c>
      <c r="B64" s="129"/>
      <c r="C64" s="95" t="s">
        <v>98</v>
      </c>
      <c r="D64" s="95" t="s">
        <v>98</v>
      </c>
      <c r="E64" s="95" t="s">
        <v>98</v>
      </c>
      <c r="F64" s="95" t="s">
        <v>98</v>
      </c>
      <c r="G64" s="95" t="s">
        <v>98</v>
      </c>
      <c r="H64" s="95">
        <f t="shared" ref="H64:P64" si="21">SUM(H62:H63)</f>
        <v>1767.3</v>
      </c>
      <c r="I64" s="95">
        <f t="shared" si="21"/>
        <v>1704.79</v>
      </c>
      <c r="J64" s="95">
        <f t="shared" si="21"/>
        <v>1670.0900000000001</v>
      </c>
      <c r="K64" s="26">
        <f t="shared" si="21"/>
        <v>60</v>
      </c>
      <c r="L64" s="95">
        <f t="shared" si="21"/>
        <v>2702547.8</v>
      </c>
      <c r="M64" s="95">
        <f t="shared" si="21"/>
        <v>0</v>
      </c>
      <c r="N64" s="95">
        <f t="shared" si="21"/>
        <v>1153480</v>
      </c>
      <c r="O64" s="95">
        <f t="shared" si="21"/>
        <v>557236</v>
      </c>
      <c r="P64" s="95">
        <f t="shared" si="21"/>
        <v>991831.79999999993</v>
      </c>
      <c r="Q64" s="95">
        <f>L64/H64</f>
        <v>1529.1958354552141</v>
      </c>
      <c r="R64" s="95" t="s">
        <v>98</v>
      </c>
      <c r="S64" s="95" t="s">
        <v>98</v>
      </c>
      <c r="T64" s="95" t="s">
        <v>98</v>
      </c>
      <c r="U64" s="25">
        <f t="shared" si="0"/>
        <v>2702547.8</v>
      </c>
      <c r="V64" s="25">
        <f t="shared" si="1"/>
        <v>0</v>
      </c>
    </row>
    <row r="65" spans="1:22" s="3" customFormat="1" ht="16.5" customHeight="1" x14ac:dyDescent="0.2">
      <c r="A65" s="118" t="s">
        <v>55</v>
      </c>
      <c r="B65" s="119"/>
      <c r="C65" s="120"/>
      <c r="D65" s="93" t="s">
        <v>98</v>
      </c>
      <c r="E65" s="93" t="s">
        <v>98</v>
      </c>
      <c r="F65" s="93" t="s">
        <v>98</v>
      </c>
      <c r="G65" s="93" t="s">
        <v>98</v>
      </c>
      <c r="H65" s="93">
        <f t="shared" ref="H65:P65" si="22">H38+H42+H45+H53+H60+H64</f>
        <v>119856.3</v>
      </c>
      <c r="I65" s="93">
        <f t="shared" si="22"/>
        <v>112494.86</v>
      </c>
      <c r="J65" s="93">
        <f t="shared" si="22"/>
        <v>98104.789999999979</v>
      </c>
      <c r="K65" s="48">
        <f t="shared" si="22"/>
        <v>5357</v>
      </c>
      <c r="L65" s="93">
        <f t="shared" si="22"/>
        <v>93390000.010000005</v>
      </c>
      <c r="M65" s="93">
        <f t="shared" si="22"/>
        <v>0</v>
      </c>
      <c r="N65" s="93">
        <f t="shared" si="22"/>
        <v>38817377.719999999</v>
      </c>
      <c r="O65" s="93">
        <f t="shared" si="22"/>
        <v>18992473.859999999</v>
      </c>
      <c r="P65" s="93">
        <f t="shared" si="22"/>
        <v>35580148.429999992</v>
      </c>
      <c r="Q65" s="93">
        <f>L65/H65</f>
        <v>779.18307181182797</v>
      </c>
      <c r="R65" s="93" t="s">
        <v>98</v>
      </c>
      <c r="S65" s="93" t="s">
        <v>98</v>
      </c>
      <c r="T65" s="93" t="s">
        <v>98</v>
      </c>
      <c r="U65" s="25">
        <f t="shared" si="0"/>
        <v>93390000.00999999</v>
      </c>
      <c r="V65" s="25">
        <f t="shared" si="1"/>
        <v>0</v>
      </c>
    </row>
    <row r="66" spans="1:22" s="2" customFormat="1" ht="16.5" customHeight="1" x14ac:dyDescent="0.2">
      <c r="A66" s="130" t="s">
        <v>19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25">
        <f t="shared" si="0"/>
        <v>0</v>
      </c>
      <c r="V66" s="25">
        <f t="shared" si="1"/>
        <v>0</v>
      </c>
    </row>
    <row r="67" spans="1:22" s="2" customFormat="1" ht="16.5" customHeight="1" x14ac:dyDescent="0.2">
      <c r="A67" s="151" t="s">
        <v>100</v>
      </c>
      <c r="B67" s="152"/>
      <c r="C67" s="152"/>
      <c r="D67" s="152"/>
      <c r="E67" s="153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25">
        <f t="shared" si="0"/>
        <v>0</v>
      </c>
      <c r="V67" s="25">
        <f t="shared" si="1"/>
        <v>0</v>
      </c>
    </row>
    <row r="68" spans="1:22" s="2" customFormat="1" ht="16.5" customHeight="1" x14ac:dyDescent="0.2">
      <c r="A68" s="15">
        <f>A63+1</f>
        <v>29</v>
      </c>
      <c r="B68" s="4" t="s">
        <v>147</v>
      </c>
      <c r="C68" s="53">
        <v>1977</v>
      </c>
      <c r="D68" s="53"/>
      <c r="E68" s="98" t="s">
        <v>97</v>
      </c>
      <c r="F68" s="87">
        <v>9</v>
      </c>
      <c r="G68" s="87">
        <v>2</v>
      </c>
      <c r="H68" s="81">
        <v>6439.5</v>
      </c>
      <c r="I68" s="81">
        <v>6253.8</v>
      </c>
      <c r="J68" s="81">
        <v>4254</v>
      </c>
      <c r="K68" s="87">
        <v>196</v>
      </c>
      <c r="L68" s="95">
        <f>'виды работ '!C66</f>
        <v>5701647.4500000002</v>
      </c>
      <c r="M68" s="95">
        <v>0</v>
      </c>
      <c r="N68" s="68">
        <v>2433525</v>
      </c>
      <c r="O68" s="68">
        <v>1175615</v>
      </c>
      <c r="P68" s="95">
        <f>2268938-176430.55</f>
        <v>2092507.45</v>
      </c>
      <c r="Q68" s="95">
        <f t="shared" ref="Q68:Q83" si="23">L68/H68</f>
        <v>885.41772653156306</v>
      </c>
      <c r="R68" s="92">
        <v>14593.7</v>
      </c>
      <c r="S68" s="92" t="s">
        <v>107</v>
      </c>
      <c r="T68" s="95" t="s">
        <v>102</v>
      </c>
      <c r="U68" s="25">
        <f t="shared" si="0"/>
        <v>5701647.4500000002</v>
      </c>
      <c r="V68" s="25">
        <f t="shared" si="1"/>
        <v>0</v>
      </c>
    </row>
    <row r="69" spans="1:22" s="2" customFormat="1" ht="16.5" customHeight="1" x14ac:dyDescent="0.2">
      <c r="A69" s="15">
        <f t="shared" ref="A69:A82" si="24">A68+1</f>
        <v>30</v>
      </c>
      <c r="B69" s="4" t="s">
        <v>151</v>
      </c>
      <c r="C69" s="53">
        <v>1940</v>
      </c>
      <c r="D69" s="53"/>
      <c r="E69" s="98" t="s">
        <v>97</v>
      </c>
      <c r="F69" s="87">
        <v>7</v>
      </c>
      <c r="G69" s="87">
        <v>3</v>
      </c>
      <c r="H69" s="81">
        <v>7056.04</v>
      </c>
      <c r="I69" s="81">
        <v>6290.88</v>
      </c>
      <c r="J69" s="81">
        <v>2632</v>
      </c>
      <c r="K69" s="87">
        <v>147</v>
      </c>
      <c r="L69" s="95">
        <f>'виды работ '!C67</f>
        <v>5487072.6100000003</v>
      </c>
      <c r="M69" s="95">
        <v>0</v>
      </c>
      <c r="N69" s="68">
        <v>2341942</v>
      </c>
      <c r="O69" s="68">
        <v>1131372</v>
      </c>
      <c r="P69" s="95">
        <f>2183550-169791.39</f>
        <v>2013758.6099999999</v>
      </c>
      <c r="Q69" s="95">
        <f t="shared" si="23"/>
        <v>777.64193655364772</v>
      </c>
      <c r="R69" s="92">
        <v>14593.7</v>
      </c>
      <c r="S69" s="92" t="s">
        <v>107</v>
      </c>
      <c r="T69" s="95" t="s">
        <v>102</v>
      </c>
      <c r="U69" s="25">
        <f t="shared" si="0"/>
        <v>5487072.6099999994</v>
      </c>
      <c r="V69" s="25">
        <f t="shared" si="1"/>
        <v>0</v>
      </c>
    </row>
    <row r="70" spans="1:22" s="2" customFormat="1" ht="16.5" customHeight="1" x14ac:dyDescent="0.2">
      <c r="A70" s="15">
        <f t="shared" si="24"/>
        <v>31</v>
      </c>
      <c r="B70" s="4" t="s">
        <v>150</v>
      </c>
      <c r="C70" s="53">
        <v>1940</v>
      </c>
      <c r="D70" s="53"/>
      <c r="E70" s="98" t="s">
        <v>97</v>
      </c>
      <c r="F70" s="87">
        <v>7</v>
      </c>
      <c r="G70" s="87">
        <v>2</v>
      </c>
      <c r="H70" s="81">
        <v>2161.86</v>
      </c>
      <c r="I70" s="81">
        <v>2123.92</v>
      </c>
      <c r="J70" s="81">
        <v>1729.27</v>
      </c>
      <c r="K70" s="87">
        <v>78</v>
      </c>
      <c r="L70" s="95">
        <f>'виды работ '!C68</f>
        <v>5351072.1900000004</v>
      </c>
      <c r="M70" s="95">
        <v>0</v>
      </c>
      <c r="N70" s="68">
        <v>2283896</v>
      </c>
      <c r="O70" s="68">
        <v>1103331</v>
      </c>
      <c r="P70" s="95">
        <f>2129428-165582.81</f>
        <v>1963845.19</v>
      </c>
      <c r="Q70" s="95">
        <f t="shared" si="23"/>
        <v>2475.2167994227193</v>
      </c>
      <c r="R70" s="92">
        <v>14593.7</v>
      </c>
      <c r="S70" s="92" t="s">
        <v>107</v>
      </c>
      <c r="T70" s="95" t="s">
        <v>102</v>
      </c>
      <c r="U70" s="25">
        <f t="shared" si="0"/>
        <v>5351072.1899999995</v>
      </c>
      <c r="V70" s="25">
        <f t="shared" si="1"/>
        <v>0</v>
      </c>
    </row>
    <row r="71" spans="1:22" s="2" customFormat="1" ht="16.5" customHeight="1" x14ac:dyDescent="0.2">
      <c r="A71" s="15">
        <f t="shared" si="24"/>
        <v>32</v>
      </c>
      <c r="B71" s="4" t="s">
        <v>252</v>
      </c>
      <c r="C71" s="53">
        <v>1976</v>
      </c>
      <c r="D71" s="53"/>
      <c r="E71" s="98" t="s">
        <v>99</v>
      </c>
      <c r="F71" s="87">
        <v>9</v>
      </c>
      <c r="G71" s="87">
        <v>6</v>
      </c>
      <c r="H71" s="81">
        <v>11630.77</v>
      </c>
      <c r="I71" s="81">
        <v>11630.77</v>
      </c>
      <c r="J71" s="81">
        <v>9406</v>
      </c>
      <c r="K71" s="87">
        <v>533</v>
      </c>
      <c r="L71" s="95">
        <f>'виды работ '!C69</f>
        <v>14243833.43</v>
      </c>
      <c r="M71" s="95">
        <v>0</v>
      </c>
      <c r="N71" s="68">
        <v>6267544</v>
      </c>
      <c r="O71" s="68">
        <v>3027799</v>
      </c>
      <c r="P71" s="95">
        <f>5843652-895161.57</f>
        <v>4948490.43</v>
      </c>
      <c r="Q71" s="95">
        <f t="shared" si="23"/>
        <v>1224.6681371912607</v>
      </c>
      <c r="R71" s="92">
        <v>14593.7</v>
      </c>
      <c r="S71" s="92" t="s">
        <v>107</v>
      </c>
      <c r="T71" s="95" t="s">
        <v>102</v>
      </c>
      <c r="U71" s="25">
        <f>N71+O71+P71</f>
        <v>14243833.43</v>
      </c>
      <c r="V71" s="25">
        <f t="shared" si="1"/>
        <v>0</v>
      </c>
    </row>
    <row r="72" spans="1:22" s="2" customFormat="1" ht="16.5" customHeight="1" x14ac:dyDescent="0.2">
      <c r="A72" s="15">
        <f t="shared" si="24"/>
        <v>33</v>
      </c>
      <c r="B72" s="4" t="s">
        <v>145</v>
      </c>
      <c r="C72" s="53">
        <v>1975</v>
      </c>
      <c r="D72" s="53"/>
      <c r="E72" s="98" t="s">
        <v>99</v>
      </c>
      <c r="F72" s="87">
        <v>9</v>
      </c>
      <c r="G72" s="87">
        <v>6</v>
      </c>
      <c r="H72" s="81">
        <v>11839.72</v>
      </c>
      <c r="I72" s="81">
        <v>11739.72</v>
      </c>
      <c r="J72" s="81">
        <v>7578.78</v>
      </c>
      <c r="K72" s="87">
        <v>532</v>
      </c>
      <c r="L72" s="95">
        <f>'виды работ '!C70</f>
        <v>12488474.52</v>
      </c>
      <c r="M72" s="95">
        <v>0</v>
      </c>
      <c r="N72" s="68">
        <v>5330216</v>
      </c>
      <c r="O72" s="68">
        <v>2574983</v>
      </c>
      <c r="P72" s="95">
        <f>4969717-386441.48</f>
        <v>4583275.5199999996</v>
      </c>
      <c r="Q72" s="95">
        <f t="shared" si="23"/>
        <v>1054.7947519029167</v>
      </c>
      <c r="R72" s="92">
        <v>14593.7</v>
      </c>
      <c r="S72" s="92" t="s">
        <v>107</v>
      </c>
      <c r="T72" s="95" t="s">
        <v>102</v>
      </c>
      <c r="U72" s="25">
        <f t="shared" si="0"/>
        <v>12488474.52</v>
      </c>
      <c r="V72" s="25">
        <f t="shared" si="1"/>
        <v>0</v>
      </c>
    </row>
    <row r="73" spans="1:22" s="2" customFormat="1" ht="16.5" customHeight="1" x14ac:dyDescent="0.2">
      <c r="A73" s="15">
        <f t="shared" si="24"/>
        <v>34</v>
      </c>
      <c r="B73" s="4" t="s">
        <v>153</v>
      </c>
      <c r="C73" s="53">
        <v>1976</v>
      </c>
      <c r="D73" s="53"/>
      <c r="E73" s="98" t="s">
        <v>110</v>
      </c>
      <c r="F73" s="87">
        <v>9</v>
      </c>
      <c r="G73" s="87">
        <v>2</v>
      </c>
      <c r="H73" s="81">
        <v>4211.16</v>
      </c>
      <c r="I73" s="81">
        <v>4211.16</v>
      </c>
      <c r="J73" s="81">
        <v>4211</v>
      </c>
      <c r="K73" s="87">
        <v>172</v>
      </c>
      <c r="L73" s="95">
        <f>'виды работ '!C71</f>
        <v>5115498.84</v>
      </c>
      <c r="M73" s="95">
        <v>0</v>
      </c>
      <c r="N73" s="68">
        <v>2183350</v>
      </c>
      <c r="O73" s="68">
        <v>1054758</v>
      </c>
      <c r="P73" s="95">
        <f>2035684-158293.16</f>
        <v>1877390.84</v>
      </c>
      <c r="Q73" s="95">
        <f t="shared" si="23"/>
        <v>1214.7481549026872</v>
      </c>
      <c r="R73" s="92">
        <v>14593.7</v>
      </c>
      <c r="S73" s="92" t="s">
        <v>107</v>
      </c>
      <c r="T73" s="95" t="s">
        <v>102</v>
      </c>
      <c r="U73" s="25">
        <f t="shared" si="0"/>
        <v>5115498.84</v>
      </c>
      <c r="V73" s="25">
        <f t="shared" si="1"/>
        <v>0</v>
      </c>
    </row>
    <row r="74" spans="1:22" s="2" customFormat="1" ht="16.5" customHeight="1" x14ac:dyDescent="0.2">
      <c r="A74" s="15">
        <f t="shared" si="24"/>
        <v>35</v>
      </c>
      <c r="B74" s="4" t="s">
        <v>146</v>
      </c>
      <c r="C74" s="53">
        <v>1940</v>
      </c>
      <c r="D74" s="53"/>
      <c r="E74" s="98" t="s">
        <v>97</v>
      </c>
      <c r="F74" s="87">
        <v>7</v>
      </c>
      <c r="G74" s="87">
        <v>1</v>
      </c>
      <c r="H74" s="81">
        <v>2041.63</v>
      </c>
      <c r="I74" s="81">
        <v>2041.63</v>
      </c>
      <c r="J74" s="81">
        <v>2041</v>
      </c>
      <c r="K74" s="87">
        <v>81</v>
      </c>
      <c r="L74" s="95">
        <f>'виды работ '!C72</f>
        <v>2729934.09</v>
      </c>
      <c r="M74" s="95">
        <v>0</v>
      </c>
      <c r="N74" s="68">
        <v>1165166</v>
      </c>
      <c r="O74" s="68">
        <v>562881</v>
      </c>
      <c r="P74" s="95">
        <f>1086362-84474.91</f>
        <v>1001887.09</v>
      </c>
      <c r="Q74" s="95">
        <f t="shared" si="23"/>
        <v>1337.1345885395492</v>
      </c>
      <c r="R74" s="92">
        <v>14593.7</v>
      </c>
      <c r="S74" s="92" t="s">
        <v>107</v>
      </c>
      <c r="T74" s="95" t="s">
        <v>102</v>
      </c>
      <c r="U74" s="25">
        <f t="shared" si="0"/>
        <v>2729934.09</v>
      </c>
      <c r="V74" s="25">
        <f t="shared" si="1"/>
        <v>0</v>
      </c>
    </row>
    <row r="75" spans="1:22" s="2" customFormat="1" ht="16.5" customHeight="1" x14ac:dyDescent="0.2">
      <c r="A75" s="15">
        <f t="shared" si="24"/>
        <v>36</v>
      </c>
      <c r="B75" s="4" t="s">
        <v>155</v>
      </c>
      <c r="C75" s="53">
        <v>1951</v>
      </c>
      <c r="D75" s="53"/>
      <c r="E75" s="98" t="s">
        <v>97</v>
      </c>
      <c r="F75" s="87">
        <v>6</v>
      </c>
      <c r="G75" s="87">
        <v>3</v>
      </c>
      <c r="H75" s="81">
        <v>4141.74</v>
      </c>
      <c r="I75" s="81">
        <v>3901.29</v>
      </c>
      <c r="J75" s="81">
        <v>2825.62</v>
      </c>
      <c r="K75" s="87">
        <v>127</v>
      </c>
      <c r="L75" s="95">
        <f>'виды работ '!C73</f>
        <v>5175109.83</v>
      </c>
      <c r="M75" s="95">
        <v>0</v>
      </c>
      <c r="N75" s="68">
        <v>2208793</v>
      </c>
      <c r="O75" s="68">
        <v>1067049</v>
      </c>
      <c r="P75" s="95">
        <f>2059406-160138.17</f>
        <v>1899267.83</v>
      </c>
      <c r="Q75" s="95">
        <f t="shared" si="23"/>
        <v>1249.5013762331776</v>
      </c>
      <c r="R75" s="92">
        <v>14593.7</v>
      </c>
      <c r="S75" s="92" t="s">
        <v>107</v>
      </c>
      <c r="T75" s="95" t="s">
        <v>102</v>
      </c>
      <c r="U75" s="25">
        <f t="shared" si="0"/>
        <v>5175109.83</v>
      </c>
      <c r="V75" s="25">
        <f t="shared" si="1"/>
        <v>0</v>
      </c>
    </row>
    <row r="76" spans="1:22" s="2" customFormat="1" ht="16.5" customHeight="1" x14ac:dyDescent="0.2">
      <c r="A76" s="15">
        <f t="shared" si="24"/>
        <v>37</v>
      </c>
      <c r="B76" s="4" t="s">
        <v>156</v>
      </c>
      <c r="C76" s="53">
        <v>1968</v>
      </c>
      <c r="D76" s="53"/>
      <c r="E76" s="98" t="s">
        <v>110</v>
      </c>
      <c r="F76" s="87">
        <v>5</v>
      </c>
      <c r="G76" s="87">
        <v>3</v>
      </c>
      <c r="H76" s="81">
        <v>2538.04</v>
      </c>
      <c r="I76" s="81">
        <v>2891.56</v>
      </c>
      <c r="J76" s="81">
        <v>2181.2199999999998</v>
      </c>
      <c r="K76" s="87">
        <v>118</v>
      </c>
      <c r="L76" s="95">
        <f>'виды работ '!C74</f>
        <v>5925772.6899999995</v>
      </c>
      <c r="M76" s="95">
        <v>0</v>
      </c>
      <c r="N76" s="68">
        <v>2529184</v>
      </c>
      <c r="O76" s="68">
        <v>1221828</v>
      </c>
      <c r="P76" s="95">
        <f>2358128-183367.31</f>
        <v>2174760.69</v>
      </c>
      <c r="Q76" s="95">
        <f t="shared" si="23"/>
        <v>2334.7830176041352</v>
      </c>
      <c r="R76" s="92">
        <v>14593.7</v>
      </c>
      <c r="S76" s="92" t="s">
        <v>107</v>
      </c>
      <c r="T76" s="95" t="s">
        <v>102</v>
      </c>
      <c r="U76" s="25">
        <f t="shared" ref="U76:U138" si="25">N76+O76+P76</f>
        <v>5925772.6899999995</v>
      </c>
      <c r="V76" s="25">
        <f t="shared" ref="V76:V137" si="26">U76-L76</f>
        <v>0</v>
      </c>
    </row>
    <row r="77" spans="1:22" s="2" customFormat="1" ht="16.5" customHeight="1" x14ac:dyDescent="0.2">
      <c r="A77" s="15">
        <f t="shared" si="24"/>
        <v>38</v>
      </c>
      <c r="B77" s="4" t="s">
        <v>148</v>
      </c>
      <c r="C77" s="53">
        <v>1940</v>
      </c>
      <c r="D77" s="53"/>
      <c r="E77" s="98" t="s">
        <v>97</v>
      </c>
      <c r="F77" s="87">
        <v>6</v>
      </c>
      <c r="G77" s="87">
        <v>1</v>
      </c>
      <c r="H77" s="81">
        <v>2709.57</v>
      </c>
      <c r="I77" s="81">
        <v>2709.57</v>
      </c>
      <c r="J77" s="81">
        <v>2337</v>
      </c>
      <c r="K77" s="87">
        <v>80</v>
      </c>
      <c r="L77" s="95">
        <f>'виды работ '!C75</f>
        <v>2507467.35</v>
      </c>
      <c r="M77" s="95">
        <v>0</v>
      </c>
      <c r="N77" s="68">
        <v>1070214</v>
      </c>
      <c r="O77" s="68">
        <v>517011</v>
      </c>
      <c r="P77" s="95">
        <f>997833-77590.65</f>
        <v>920242.35</v>
      </c>
      <c r="Q77" s="95">
        <f t="shared" si="23"/>
        <v>925.41154131467351</v>
      </c>
      <c r="R77" s="92">
        <v>14593.7</v>
      </c>
      <c r="S77" s="92" t="s">
        <v>107</v>
      </c>
      <c r="T77" s="95" t="s">
        <v>102</v>
      </c>
      <c r="U77" s="25">
        <f t="shared" si="25"/>
        <v>2507467.35</v>
      </c>
      <c r="V77" s="25">
        <f t="shared" si="26"/>
        <v>0</v>
      </c>
    </row>
    <row r="78" spans="1:22" s="2" customFormat="1" ht="16.5" customHeight="1" x14ac:dyDescent="0.2">
      <c r="A78" s="15">
        <f t="shared" si="24"/>
        <v>39</v>
      </c>
      <c r="B78" s="4" t="s">
        <v>144</v>
      </c>
      <c r="C78" s="53">
        <v>1955</v>
      </c>
      <c r="D78" s="53"/>
      <c r="E78" s="98" t="s">
        <v>97</v>
      </c>
      <c r="F78" s="87">
        <v>9</v>
      </c>
      <c r="G78" s="87">
        <v>1</v>
      </c>
      <c r="H78" s="81">
        <v>2940.2</v>
      </c>
      <c r="I78" s="81">
        <v>2007.33</v>
      </c>
      <c r="J78" s="81">
        <v>1266.29</v>
      </c>
      <c r="K78" s="87">
        <v>93</v>
      </c>
      <c r="L78" s="95">
        <f>'виды работ '!C76</f>
        <v>2928050.98</v>
      </c>
      <c r="M78" s="95">
        <v>0</v>
      </c>
      <c r="N78" s="68">
        <v>1249724</v>
      </c>
      <c r="O78" s="68">
        <v>603731</v>
      </c>
      <c r="P78" s="95">
        <f>1165201-90605.02</f>
        <v>1074595.98</v>
      </c>
      <c r="Q78" s="95">
        <f t="shared" si="23"/>
        <v>995.86796136317264</v>
      </c>
      <c r="R78" s="92">
        <v>14593.7</v>
      </c>
      <c r="S78" s="92" t="s">
        <v>107</v>
      </c>
      <c r="T78" s="95" t="s">
        <v>102</v>
      </c>
      <c r="U78" s="25">
        <f t="shared" si="25"/>
        <v>2928050.98</v>
      </c>
      <c r="V78" s="25">
        <f t="shared" si="26"/>
        <v>0</v>
      </c>
    </row>
    <row r="79" spans="1:22" s="2" customFormat="1" ht="16.5" customHeight="1" x14ac:dyDescent="0.2">
      <c r="A79" s="15">
        <f t="shared" si="24"/>
        <v>40</v>
      </c>
      <c r="B79" s="4" t="s">
        <v>152</v>
      </c>
      <c r="C79" s="53">
        <v>1977</v>
      </c>
      <c r="D79" s="53"/>
      <c r="E79" s="98" t="s">
        <v>110</v>
      </c>
      <c r="F79" s="87">
        <v>9</v>
      </c>
      <c r="G79" s="87">
        <v>4</v>
      </c>
      <c r="H79" s="81">
        <v>8305</v>
      </c>
      <c r="I79" s="81">
        <v>8305</v>
      </c>
      <c r="J79" s="81">
        <v>8278</v>
      </c>
      <c r="K79" s="87">
        <v>373</v>
      </c>
      <c r="L79" s="95">
        <f>'виды работ '!C77</f>
        <v>10099900.66</v>
      </c>
      <c r="M79" s="95">
        <v>0</v>
      </c>
      <c r="N79" s="68">
        <v>4310746</v>
      </c>
      <c r="O79" s="68">
        <v>2082486</v>
      </c>
      <c r="P79" s="95">
        <f>4019198-312529.34</f>
        <v>3706668.66</v>
      </c>
      <c r="Q79" s="95">
        <f t="shared" si="23"/>
        <v>1216.1228970499699</v>
      </c>
      <c r="R79" s="92">
        <v>14593.7</v>
      </c>
      <c r="S79" s="92" t="s">
        <v>107</v>
      </c>
      <c r="T79" s="95" t="s">
        <v>102</v>
      </c>
      <c r="U79" s="25">
        <f t="shared" si="25"/>
        <v>10099900.66</v>
      </c>
      <c r="V79" s="25">
        <f t="shared" si="26"/>
        <v>0</v>
      </c>
    </row>
    <row r="80" spans="1:22" s="2" customFormat="1" ht="16.5" customHeight="1" x14ac:dyDescent="0.2">
      <c r="A80" s="15">
        <f t="shared" si="24"/>
        <v>41</v>
      </c>
      <c r="B80" s="4" t="s">
        <v>157</v>
      </c>
      <c r="C80" s="53">
        <v>1978</v>
      </c>
      <c r="D80" s="53"/>
      <c r="E80" s="98" t="s">
        <v>110</v>
      </c>
      <c r="F80" s="87">
        <v>9</v>
      </c>
      <c r="G80" s="87">
        <v>4</v>
      </c>
      <c r="H80" s="81">
        <v>8438</v>
      </c>
      <c r="I80" s="81">
        <v>8485.83</v>
      </c>
      <c r="J80" s="81">
        <v>6297.14</v>
      </c>
      <c r="K80" s="87">
        <v>399</v>
      </c>
      <c r="L80" s="95">
        <f>'виды работ '!C78</f>
        <v>10864052.42</v>
      </c>
      <c r="M80" s="95">
        <v>0</v>
      </c>
      <c r="N80" s="68">
        <v>4636895</v>
      </c>
      <c r="O80" s="68">
        <v>2240045</v>
      </c>
      <c r="P80" s="95">
        <f>4323288-336175.58</f>
        <v>3987112.42</v>
      </c>
      <c r="Q80" s="95">
        <f t="shared" si="23"/>
        <v>1287.5151007347713</v>
      </c>
      <c r="R80" s="92">
        <v>14593.7</v>
      </c>
      <c r="S80" s="92" t="s">
        <v>107</v>
      </c>
      <c r="T80" s="95" t="s">
        <v>102</v>
      </c>
      <c r="U80" s="25">
        <f t="shared" si="25"/>
        <v>10864052.42</v>
      </c>
      <c r="V80" s="25">
        <f t="shared" si="26"/>
        <v>0</v>
      </c>
    </row>
    <row r="81" spans="1:22" s="2" customFormat="1" ht="16.5" customHeight="1" x14ac:dyDescent="0.2">
      <c r="A81" s="15">
        <f t="shared" si="24"/>
        <v>42</v>
      </c>
      <c r="B81" s="4" t="s">
        <v>154</v>
      </c>
      <c r="C81" s="53" t="s">
        <v>105</v>
      </c>
      <c r="D81" s="53"/>
      <c r="E81" s="98" t="s">
        <v>97</v>
      </c>
      <c r="F81" s="87">
        <v>6</v>
      </c>
      <c r="G81" s="87">
        <v>5</v>
      </c>
      <c r="H81" s="81">
        <v>7362.66</v>
      </c>
      <c r="I81" s="81">
        <v>6986.3</v>
      </c>
      <c r="J81" s="81">
        <v>5421.39</v>
      </c>
      <c r="K81" s="87">
        <v>216</v>
      </c>
      <c r="L81" s="95">
        <f>'виды работ '!C79</f>
        <v>7716745.25</v>
      </c>
      <c r="M81" s="95">
        <v>0</v>
      </c>
      <c r="N81" s="68">
        <v>3293590</v>
      </c>
      <c r="O81" s="68">
        <v>1591106</v>
      </c>
      <c r="P81" s="95">
        <f>3070835-238785.75</f>
        <v>2832049.25</v>
      </c>
      <c r="Q81" s="95">
        <f t="shared" si="23"/>
        <v>1048.0920278812278</v>
      </c>
      <c r="R81" s="92">
        <v>14593.7</v>
      </c>
      <c r="S81" s="92" t="s">
        <v>107</v>
      </c>
      <c r="T81" s="95" t="s">
        <v>102</v>
      </c>
      <c r="U81" s="25">
        <f t="shared" si="25"/>
        <v>7716745.25</v>
      </c>
      <c r="V81" s="25">
        <f t="shared" si="26"/>
        <v>0</v>
      </c>
    </row>
    <row r="82" spans="1:22" s="2" customFormat="1" ht="16.5" customHeight="1" x14ac:dyDescent="0.2">
      <c r="A82" s="15">
        <f t="shared" si="24"/>
        <v>43</v>
      </c>
      <c r="B82" s="4" t="s">
        <v>149</v>
      </c>
      <c r="C82" s="53">
        <v>1975</v>
      </c>
      <c r="D82" s="53"/>
      <c r="E82" s="98" t="s">
        <v>97</v>
      </c>
      <c r="F82" s="87">
        <v>10</v>
      </c>
      <c r="G82" s="87">
        <v>1</v>
      </c>
      <c r="H82" s="81">
        <v>6298.5</v>
      </c>
      <c r="I82" s="81">
        <v>6298.5</v>
      </c>
      <c r="J82" s="81">
        <v>4290</v>
      </c>
      <c r="K82" s="87">
        <v>270</v>
      </c>
      <c r="L82" s="95">
        <f>'виды работ '!C80</f>
        <v>2260151.73</v>
      </c>
      <c r="M82" s="95">
        <v>0</v>
      </c>
      <c r="N82" s="68">
        <v>964658</v>
      </c>
      <c r="O82" s="68">
        <v>466018</v>
      </c>
      <c r="P82" s="95">
        <f>899414-69938.27</f>
        <v>829475.73</v>
      </c>
      <c r="Q82" s="95">
        <f t="shared" si="23"/>
        <v>358.83968087639914</v>
      </c>
      <c r="R82" s="92">
        <v>14593.7</v>
      </c>
      <c r="S82" s="92" t="s">
        <v>107</v>
      </c>
      <c r="T82" s="95" t="s">
        <v>102</v>
      </c>
      <c r="U82" s="25">
        <f t="shared" si="25"/>
        <v>2260151.73</v>
      </c>
      <c r="V82" s="25">
        <f t="shared" si="26"/>
        <v>0</v>
      </c>
    </row>
    <row r="83" spans="1:22" s="2" customFormat="1" ht="16.5" customHeight="1" x14ac:dyDescent="0.2">
      <c r="A83" s="126" t="s">
        <v>17</v>
      </c>
      <c r="B83" s="150"/>
      <c r="C83" s="129"/>
      <c r="D83" s="95" t="s">
        <v>98</v>
      </c>
      <c r="E83" s="95" t="s">
        <v>98</v>
      </c>
      <c r="F83" s="95" t="s">
        <v>98</v>
      </c>
      <c r="G83" s="95" t="s">
        <v>98</v>
      </c>
      <c r="H83" s="95">
        <f t="shared" ref="H83:P83" si="27">SUM(H68:H82)</f>
        <v>88114.39</v>
      </c>
      <c r="I83" s="95">
        <f t="shared" si="27"/>
        <v>85877.26</v>
      </c>
      <c r="J83" s="95">
        <f t="shared" si="27"/>
        <v>64748.71</v>
      </c>
      <c r="K83" s="26">
        <f t="shared" si="27"/>
        <v>3415</v>
      </c>
      <c r="L83" s="95">
        <f t="shared" si="27"/>
        <v>98594784.040000007</v>
      </c>
      <c r="M83" s="95">
        <f t="shared" si="27"/>
        <v>0</v>
      </c>
      <c r="N83" s="95">
        <f t="shared" si="27"/>
        <v>42269443</v>
      </c>
      <c r="O83" s="95">
        <f t="shared" si="27"/>
        <v>20420013</v>
      </c>
      <c r="P83" s="95">
        <f t="shared" si="27"/>
        <v>35905328.039999999</v>
      </c>
      <c r="Q83" s="95">
        <f t="shared" si="23"/>
        <v>1118.9407773236585</v>
      </c>
      <c r="R83" s="95" t="s">
        <v>98</v>
      </c>
      <c r="S83" s="95" t="s">
        <v>98</v>
      </c>
      <c r="T83" s="95" t="s">
        <v>98</v>
      </c>
      <c r="U83" s="25">
        <f t="shared" si="25"/>
        <v>98594784.039999992</v>
      </c>
      <c r="V83" s="25">
        <f t="shared" si="26"/>
        <v>0</v>
      </c>
    </row>
    <row r="84" spans="1:22" s="2" customFormat="1" ht="16.5" customHeight="1" x14ac:dyDescent="0.2">
      <c r="A84" s="118" t="s">
        <v>21</v>
      </c>
      <c r="B84" s="119"/>
      <c r="C84" s="119"/>
      <c r="D84" s="119"/>
      <c r="E84" s="12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25">
        <f t="shared" si="25"/>
        <v>0</v>
      </c>
      <c r="V84" s="25">
        <f t="shared" si="26"/>
        <v>0</v>
      </c>
    </row>
    <row r="85" spans="1:22" s="2" customFormat="1" ht="16.5" customHeight="1" x14ac:dyDescent="0.2">
      <c r="A85" s="15">
        <f>A82+1</f>
        <v>44</v>
      </c>
      <c r="B85" s="4" t="s">
        <v>159</v>
      </c>
      <c r="C85" s="84">
        <v>1982</v>
      </c>
      <c r="D85" s="85"/>
      <c r="E85" s="98" t="s">
        <v>99</v>
      </c>
      <c r="F85" s="58">
        <v>12</v>
      </c>
      <c r="G85" s="58">
        <v>1</v>
      </c>
      <c r="H85" s="83">
        <v>3985.8</v>
      </c>
      <c r="I85" s="83">
        <v>2448.6999999999998</v>
      </c>
      <c r="J85" s="68">
        <v>1883.9</v>
      </c>
      <c r="K85" s="58">
        <v>110</v>
      </c>
      <c r="L85" s="92">
        <f>'виды работ '!C83</f>
        <v>5604607.4699999997</v>
      </c>
      <c r="M85" s="95">
        <v>0</v>
      </c>
      <c r="N85" s="68">
        <v>2392107</v>
      </c>
      <c r="O85" s="68">
        <v>1155607</v>
      </c>
      <c r="P85" s="95">
        <f>2230322-173428.53</f>
        <v>2056893.47</v>
      </c>
      <c r="Q85" s="95">
        <f>L85/H85</f>
        <v>1406.1436775553213</v>
      </c>
      <c r="R85" s="92">
        <v>14593.7</v>
      </c>
      <c r="S85" s="92" t="s">
        <v>107</v>
      </c>
      <c r="T85" s="95" t="s">
        <v>102</v>
      </c>
      <c r="U85" s="25">
        <f t="shared" si="25"/>
        <v>5604607.4699999997</v>
      </c>
      <c r="V85" s="25">
        <f t="shared" si="26"/>
        <v>0</v>
      </c>
    </row>
    <row r="86" spans="1:22" s="2" customFormat="1" ht="16.5" customHeight="1" x14ac:dyDescent="0.2">
      <c r="A86" s="15">
        <f>A85+1</f>
        <v>45</v>
      </c>
      <c r="B86" s="4" t="s">
        <v>158</v>
      </c>
      <c r="C86" s="98">
        <v>1983</v>
      </c>
      <c r="D86" s="80"/>
      <c r="E86" s="98" t="s">
        <v>99</v>
      </c>
      <c r="F86" s="88">
        <v>12</v>
      </c>
      <c r="G86" s="58">
        <v>1</v>
      </c>
      <c r="H86" s="83">
        <v>3786.6</v>
      </c>
      <c r="I86" s="83">
        <v>2463.3000000000002</v>
      </c>
      <c r="J86" s="83">
        <v>1735.5</v>
      </c>
      <c r="K86" s="88">
        <v>116</v>
      </c>
      <c r="L86" s="92">
        <f>'виды работ '!C84</f>
        <v>5600089.8099999996</v>
      </c>
      <c r="M86" s="95">
        <v>0</v>
      </c>
      <c r="N86" s="68">
        <v>2390179</v>
      </c>
      <c r="O86" s="68">
        <v>1154675</v>
      </c>
      <c r="P86" s="95">
        <f>2228524-173288.19</f>
        <v>2055235.81</v>
      </c>
      <c r="Q86" s="95">
        <f>L86/H86</f>
        <v>1478.9229942428562</v>
      </c>
      <c r="R86" s="92">
        <v>14593.7</v>
      </c>
      <c r="S86" s="92" t="s">
        <v>107</v>
      </c>
      <c r="T86" s="95" t="s">
        <v>102</v>
      </c>
      <c r="U86" s="25">
        <f t="shared" si="25"/>
        <v>5600089.8100000005</v>
      </c>
      <c r="V86" s="25">
        <f t="shared" si="26"/>
        <v>0</v>
      </c>
    </row>
    <row r="87" spans="1:22" s="2" customFormat="1" ht="16.5" customHeight="1" x14ac:dyDescent="0.2">
      <c r="A87" s="126" t="s">
        <v>17</v>
      </c>
      <c r="B87" s="150"/>
      <c r="C87" s="129"/>
      <c r="D87" s="95" t="s">
        <v>98</v>
      </c>
      <c r="E87" s="95" t="s">
        <v>98</v>
      </c>
      <c r="F87" s="95" t="s">
        <v>98</v>
      </c>
      <c r="G87" s="95" t="s">
        <v>98</v>
      </c>
      <c r="H87" s="92">
        <f t="shared" ref="H87:P87" si="28">SUM(H85:H86)</f>
        <v>7772.4</v>
      </c>
      <c r="I87" s="92">
        <f t="shared" si="28"/>
        <v>4912</v>
      </c>
      <c r="J87" s="92">
        <f t="shared" si="28"/>
        <v>3619.4</v>
      </c>
      <c r="K87" s="91">
        <f t="shared" si="28"/>
        <v>226</v>
      </c>
      <c r="L87" s="92">
        <f t="shared" si="28"/>
        <v>11204697.279999999</v>
      </c>
      <c r="M87" s="92">
        <f t="shared" si="28"/>
        <v>0</v>
      </c>
      <c r="N87" s="92">
        <f t="shared" si="28"/>
        <v>4782286</v>
      </c>
      <c r="O87" s="92">
        <f t="shared" si="28"/>
        <v>2310282</v>
      </c>
      <c r="P87" s="92">
        <f t="shared" si="28"/>
        <v>4112129.2800000003</v>
      </c>
      <c r="Q87" s="95">
        <f>L87/H87</f>
        <v>1441.6006999125109</v>
      </c>
      <c r="R87" s="95" t="s">
        <v>98</v>
      </c>
      <c r="S87" s="92" t="s">
        <v>98</v>
      </c>
      <c r="T87" s="95" t="s">
        <v>98</v>
      </c>
      <c r="U87" s="25">
        <f t="shared" si="25"/>
        <v>11204697.280000001</v>
      </c>
      <c r="V87" s="25">
        <f t="shared" si="26"/>
        <v>0</v>
      </c>
    </row>
    <row r="88" spans="1:22" s="3" customFormat="1" ht="16.5" customHeight="1" x14ac:dyDescent="0.2">
      <c r="A88" s="118" t="s">
        <v>22</v>
      </c>
      <c r="B88" s="119"/>
      <c r="C88" s="120"/>
      <c r="D88" s="93" t="s">
        <v>98</v>
      </c>
      <c r="E88" s="93" t="s">
        <v>98</v>
      </c>
      <c r="F88" s="93" t="s">
        <v>98</v>
      </c>
      <c r="G88" s="93" t="s">
        <v>98</v>
      </c>
      <c r="H88" s="96">
        <f t="shared" ref="H88:P88" si="29">H83+H87</f>
        <v>95886.79</v>
      </c>
      <c r="I88" s="96">
        <f t="shared" si="29"/>
        <v>90789.26</v>
      </c>
      <c r="J88" s="96">
        <f t="shared" si="29"/>
        <v>68368.11</v>
      </c>
      <c r="K88" s="8">
        <f t="shared" si="29"/>
        <v>3641</v>
      </c>
      <c r="L88" s="96">
        <f t="shared" si="29"/>
        <v>109799481.32000001</v>
      </c>
      <c r="M88" s="96">
        <f t="shared" si="29"/>
        <v>0</v>
      </c>
      <c r="N88" s="96">
        <f t="shared" si="29"/>
        <v>47051729</v>
      </c>
      <c r="O88" s="96">
        <f t="shared" si="29"/>
        <v>22730295</v>
      </c>
      <c r="P88" s="96">
        <f t="shared" si="29"/>
        <v>40017457.32</v>
      </c>
      <c r="Q88" s="93">
        <f>L88/H88</f>
        <v>1145.0949741877898</v>
      </c>
      <c r="R88" s="93" t="s">
        <v>98</v>
      </c>
      <c r="S88" s="96" t="s">
        <v>98</v>
      </c>
      <c r="T88" s="96" t="s">
        <v>98</v>
      </c>
      <c r="U88" s="25">
        <f t="shared" si="25"/>
        <v>109799481.31999999</v>
      </c>
      <c r="V88" s="25">
        <f t="shared" si="26"/>
        <v>0</v>
      </c>
    </row>
    <row r="89" spans="1:22" s="2" customFormat="1" ht="16.5" customHeight="1" x14ac:dyDescent="0.2">
      <c r="A89" s="137" t="s">
        <v>101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25">
        <f t="shared" si="25"/>
        <v>0</v>
      </c>
      <c r="V89" s="25">
        <f t="shared" si="26"/>
        <v>0</v>
      </c>
    </row>
    <row r="90" spans="1:22" s="2" customFormat="1" ht="16.5" customHeight="1" x14ac:dyDescent="0.2">
      <c r="A90" s="122" t="s">
        <v>178</v>
      </c>
      <c r="B90" s="122"/>
      <c r="C90" s="122"/>
      <c r="D90" s="122"/>
      <c r="E90" s="122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25">
        <f t="shared" si="25"/>
        <v>0</v>
      </c>
      <c r="V90" s="25">
        <f t="shared" si="26"/>
        <v>0</v>
      </c>
    </row>
    <row r="91" spans="1:22" s="2" customFormat="1" ht="16.5" customHeight="1" x14ac:dyDescent="0.2">
      <c r="A91" s="26">
        <f>A86+1</f>
        <v>46</v>
      </c>
      <c r="B91" s="4" t="s">
        <v>179</v>
      </c>
      <c r="C91" s="20">
        <v>1980</v>
      </c>
      <c r="D91" s="28"/>
      <c r="E91" s="98" t="s">
        <v>110</v>
      </c>
      <c r="F91" s="26">
        <v>5</v>
      </c>
      <c r="G91" s="26">
        <v>6</v>
      </c>
      <c r="H91" s="70">
        <v>6603</v>
      </c>
      <c r="I91" s="95">
        <v>4846.6000000000004</v>
      </c>
      <c r="J91" s="95">
        <v>4312.87</v>
      </c>
      <c r="K91" s="26">
        <v>249</v>
      </c>
      <c r="L91" s="92">
        <f>'виды работ '!C89</f>
        <v>1049421.2000000002</v>
      </c>
      <c r="M91" s="95">
        <v>0</v>
      </c>
      <c r="N91" s="68">
        <v>434461</v>
      </c>
      <c r="O91" s="68">
        <v>209884</v>
      </c>
      <c r="P91" s="95">
        <f>405077-0.8</f>
        <v>405076.2</v>
      </c>
      <c r="Q91" s="95">
        <f>L91/H91</f>
        <v>158.93097077086176</v>
      </c>
      <c r="R91" s="92">
        <v>14593.7</v>
      </c>
      <c r="S91" s="92" t="s">
        <v>107</v>
      </c>
      <c r="T91" s="95" t="s">
        <v>102</v>
      </c>
      <c r="U91" s="25">
        <f t="shared" si="25"/>
        <v>1049421.2</v>
      </c>
      <c r="V91" s="25">
        <f t="shared" si="26"/>
        <v>0</v>
      </c>
    </row>
    <row r="92" spans="1:22" s="2" customFormat="1" ht="16.5" customHeight="1" x14ac:dyDescent="0.2">
      <c r="A92" s="149" t="s">
        <v>17</v>
      </c>
      <c r="B92" s="149"/>
      <c r="C92" s="149"/>
      <c r="D92" s="95" t="s">
        <v>98</v>
      </c>
      <c r="E92" s="95" t="s">
        <v>98</v>
      </c>
      <c r="F92" s="95" t="s">
        <v>98</v>
      </c>
      <c r="G92" s="95" t="s">
        <v>98</v>
      </c>
      <c r="H92" s="92">
        <f t="shared" ref="H92:P92" si="30">SUM(H91)</f>
        <v>6603</v>
      </c>
      <c r="I92" s="92">
        <f t="shared" si="30"/>
        <v>4846.6000000000004</v>
      </c>
      <c r="J92" s="92">
        <f t="shared" si="30"/>
        <v>4312.87</v>
      </c>
      <c r="K92" s="91">
        <f t="shared" si="30"/>
        <v>249</v>
      </c>
      <c r="L92" s="92">
        <f t="shared" si="30"/>
        <v>1049421.2000000002</v>
      </c>
      <c r="M92" s="92">
        <f t="shared" si="30"/>
        <v>0</v>
      </c>
      <c r="N92" s="92">
        <f t="shared" si="30"/>
        <v>434461</v>
      </c>
      <c r="O92" s="92">
        <f t="shared" si="30"/>
        <v>209884</v>
      </c>
      <c r="P92" s="92">
        <f t="shared" si="30"/>
        <v>405076.2</v>
      </c>
      <c r="Q92" s="95">
        <f>L92/H92</f>
        <v>158.93097077086176</v>
      </c>
      <c r="R92" s="95" t="s">
        <v>98</v>
      </c>
      <c r="S92" s="92" t="s">
        <v>98</v>
      </c>
      <c r="T92" s="92" t="s">
        <v>98</v>
      </c>
      <c r="U92" s="25">
        <f t="shared" si="25"/>
        <v>1049421.2</v>
      </c>
      <c r="V92" s="25">
        <f t="shared" si="26"/>
        <v>0</v>
      </c>
    </row>
    <row r="93" spans="1:22" s="2" customFormat="1" ht="16.5" customHeight="1" x14ac:dyDescent="0.2">
      <c r="A93" s="118" t="s">
        <v>180</v>
      </c>
      <c r="B93" s="119"/>
      <c r="C93" s="119"/>
      <c r="D93" s="119"/>
      <c r="E93" s="12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25">
        <f t="shared" si="25"/>
        <v>0</v>
      </c>
      <c r="V93" s="25">
        <f t="shared" si="26"/>
        <v>0</v>
      </c>
    </row>
    <row r="94" spans="1:22" s="2" customFormat="1" ht="16.5" customHeight="1" x14ac:dyDescent="0.2">
      <c r="A94" s="26">
        <f>A91+1</f>
        <v>47</v>
      </c>
      <c r="B94" s="4" t="s">
        <v>181</v>
      </c>
      <c r="C94" s="99">
        <v>1967</v>
      </c>
      <c r="D94" s="99"/>
      <c r="E94" s="98" t="s">
        <v>97</v>
      </c>
      <c r="F94" s="91">
        <v>2</v>
      </c>
      <c r="G94" s="91">
        <v>1</v>
      </c>
      <c r="H94" s="92">
        <v>391.6</v>
      </c>
      <c r="I94" s="92">
        <v>391.6</v>
      </c>
      <c r="J94" s="92">
        <v>362.3</v>
      </c>
      <c r="K94" s="91">
        <v>20</v>
      </c>
      <c r="L94" s="92">
        <f>'виды работ '!C92</f>
        <v>900032.02</v>
      </c>
      <c r="M94" s="95">
        <v>0</v>
      </c>
      <c r="N94" s="68">
        <v>372614</v>
      </c>
      <c r="O94" s="68">
        <v>180006</v>
      </c>
      <c r="P94" s="95">
        <f>347413-0.98</f>
        <v>347412.02</v>
      </c>
      <c r="Q94" s="95">
        <f>L94/H94</f>
        <v>2298.3453013278854</v>
      </c>
      <c r="R94" s="92">
        <v>14593.7</v>
      </c>
      <c r="S94" s="92" t="s">
        <v>107</v>
      </c>
      <c r="T94" s="95" t="s">
        <v>102</v>
      </c>
      <c r="U94" s="25">
        <f t="shared" si="25"/>
        <v>900032.02</v>
      </c>
      <c r="V94" s="25">
        <f t="shared" si="26"/>
        <v>0</v>
      </c>
    </row>
    <row r="95" spans="1:22" s="2" customFormat="1" ht="16.5" customHeight="1" x14ac:dyDescent="0.2">
      <c r="A95" s="126" t="s">
        <v>17</v>
      </c>
      <c r="B95" s="150"/>
      <c r="C95" s="129"/>
      <c r="D95" s="95" t="s">
        <v>98</v>
      </c>
      <c r="E95" s="95" t="s">
        <v>98</v>
      </c>
      <c r="F95" s="95" t="s">
        <v>98</v>
      </c>
      <c r="G95" s="95" t="s">
        <v>98</v>
      </c>
      <c r="H95" s="92">
        <f t="shared" ref="H95:P95" si="31">SUM(H94)</f>
        <v>391.6</v>
      </c>
      <c r="I95" s="92">
        <f t="shared" si="31"/>
        <v>391.6</v>
      </c>
      <c r="J95" s="92">
        <f t="shared" si="31"/>
        <v>362.3</v>
      </c>
      <c r="K95" s="91">
        <f t="shared" si="31"/>
        <v>20</v>
      </c>
      <c r="L95" s="92">
        <f t="shared" si="31"/>
        <v>900032.02</v>
      </c>
      <c r="M95" s="92">
        <f t="shared" si="31"/>
        <v>0</v>
      </c>
      <c r="N95" s="92">
        <f t="shared" si="31"/>
        <v>372614</v>
      </c>
      <c r="O95" s="92">
        <f t="shared" si="31"/>
        <v>180006</v>
      </c>
      <c r="P95" s="92">
        <f t="shared" si="31"/>
        <v>347412.02</v>
      </c>
      <c r="Q95" s="95">
        <f>L95/H95</f>
        <v>2298.3453013278854</v>
      </c>
      <c r="R95" s="95" t="s">
        <v>98</v>
      </c>
      <c r="S95" s="92" t="s">
        <v>98</v>
      </c>
      <c r="T95" s="92" t="s">
        <v>98</v>
      </c>
      <c r="U95" s="25">
        <f t="shared" si="25"/>
        <v>900032.02</v>
      </c>
      <c r="V95" s="25">
        <f t="shared" si="26"/>
        <v>0</v>
      </c>
    </row>
    <row r="96" spans="1:22" s="2" customFormat="1" ht="16.5" customHeight="1" x14ac:dyDescent="0.2">
      <c r="A96" s="118" t="s">
        <v>57</v>
      </c>
      <c r="B96" s="119"/>
      <c r="C96" s="119"/>
      <c r="D96" s="119"/>
      <c r="E96" s="12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25">
        <f t="shared" si="25"/>
        <v>0</v>
      </c>
      <c r="V96" s="25">
        <f t="shared" si="26"/>
        <v>0</v>
      </c>
    </row>
    <row r="97" spans="1:22" s="2" customFormat="1" ht="16.5" customHeight="1" x14ac:dyDescent="0.2">
      <c r="A97" s="26">
        <f>A94+1</f>
        <v>48</v>
      </c>
      <c r="B97" s="4" t="s">
        <v>168</v>
      </c>
      <c r="C97" s="12">
        <v>1917</v>
      </c>
      <c r="D97" s="92"/>
      <c r="E97" s="98" t="s">
        <v>97</v>
      </c>
      <c r="F97" s="26">
        <v>2</v>
      </c>
      <c r="G97" s="26">
        <v>3</v>
      </c>
      <c r="H97" s="95">
        <v>1328.66</v>
      </c>
      <c r="I97" s="95">
        <v>1328.66</v>
      </c>
      <c r="J97" s="95">
        <v>1229.9000000000001</v>
      </c>
      <c r="K97" s="26">
        <v>31</v>
      </c>
      <c r="L97" s="95">
        <f>'виды работ '!C95</f>
        <v>4600050.92</v>
      </c>
      <c r="M97" s="95">
        <v>0</v>
      </c>
      <c r="N97" s="68">
        <v>653644</v>
      </c>
      <c r="O97" s="68">
        <v>315769</v>
      </c>
      <c r="P97" s="95">
        <f>L97-N97-O97</f>
        <v>3630637.92</v>
      </c>
      <c r="Q97" s="95">
        <f t="shared" ref="Q97:Q113" si="32">L97/H97</f>
        <v>3462.1731067391202</v>
      </c>
      <c r="R97" s="92">
        <v>14593.7</v>
      </c>
      <c r="S97" s="92" t="s">
        <v>107</v>
      </c>
      <c r="T97" s="95" t="s">
        <v>102</v>
      </c>
      <c r="U97" s="25">
        <f t="shared" si="25"/>
        <v>4600050.92</v>
      </c>
      <c r="V97" s="25">
        <f t="shared" si="26"/>
        <v>0</v>
      </c>
    </row>
    <row r="98" spans="1:22" s="2" customFormat="1" ht="16.5" customHeight="1" x14ac:dyDescent="0.2">
      <c r="A98" s="26">
        <f t="shared" ref="A98:A112" si="33">A97+1</f>
        <v>49</v>
      </c>
      <c r="B98" s="4" t="s">
        <v>169</v>
      </c>
      <c r="C98" s="12">
        <v>1917</v>
      </c>
      <c r="D98" s="92"/>
      <c r="E98" s="98" t="s">
        <v>97</v>
      </c>
      <c r="F98" s="26">
        <v>2</v>
      </c>
      <c r="G98" s="26">
        <v>1</v>
      </c>
      <c r="H98" s="95">
        <v>607.12</v>
      </c>
      <c r="I98" s="95">
        <v>533.72</v>
      </c>
      <c r="J98" s="95">
        <v>262.68</v>
      </c>
      <c r="K98" s="26">
        <v>11</v>
      </c>
      <c r="L98" s="95">
        <f>'виды работ '!C96</f>
        <v>1978302.47</v>
      </c>
      <c r="M98" s="95">
        <v>0</v>
      </c>
      <c r="N98" s="68">
        <v>414739</v>
      </c>
      <c r="O98" s="68">
        <v>200356</v>
      </c>
      <c r="P98" s="102">
        <f>L98-N98-O98</f>
        <v>1363207.47</v>
      </c>
      <c r="Q98" s="95">
        <f t="shared" si="32"/>
        <v>3258.5032118856238</v>
      </c>
      <c r="R98" s="92">
        <v>14593.7</v>
      </c>
      <c r="S98" s="92" t="s">
        <v>107</v>
      </c>
      <c r="T98" s="95" t="s">
        <v>102</v>
      </c>
      <c r="U98" s="25">
        <f t="shared" si="25"/>
        <v>1978302.47</v>
      </c>
      <c r="V98" s="25">
        <f t="shared" si="26"/>
        <v>0</v>
      </c>
    </row>
    <row r="99" spans="1:22" s="2" customFormat="1" ht="16.5" customHeight="1" x14ac:dyDescent="0.2">
      <c r="A99" s="26">
        <f t="shared" si="33"/>
        <v>50</v>
      </c>
      <c r="B99" s="4" t="s">
        <v>170</v>
      </c>
      <c r="C99" s="12">
        <v>1917</v>
      </c>
      <c r="D99" s="92"/>
      <c r="E99" s="98" t="s">
        <v>97</v>
      </c>
      <c r="F99" s="26">
        <v>2</v>
      </c>
      <c r="G99" s="26">
        <v>1</v>
      </c>
      <c r="H99" s="95">
        <v>303.7</v>
      </c>
      <c r="I99" s="95">
        <v>303.7</v>
      </c>
      <c r="J99" s="95">
        <v>154.80000000000001</v>
      </c>
      <c r="K99" s="26">
        <v>5</v>
      </c>
      <c r="L99" s="95">
        <f>'виды работ '!C97</f>
        <v>1001784.51</v>
      </c>
      <c r="M99" s="95">
        <v>0</v>
      </c>
      <c r="N99" s="68">
        <v>166288</v>
      </c>
      <c r="O99" s="68">
        <v>80332</v>
      </c>
      <c r="P99" s="102">
        <f>L99-N99-O99</f>
        <v>755164.51</v>
      </c>
      <c r="Q99" s="95">
        <f t="shared" si="32"/>
        <v>3298.5989792558448</v>
      </c>
      <c r="R99" s="92">
        <v>14593.7</v>
      </c>
      <c r="S99" s="92" t="s">
        <v>107</v>
      </c>
      <c r="T99" s="95" t="s">
        <v>102</v>
      </c>
      <c r="U99" s="25">
        <f t="shared" si="25"/>
        <v>1001784.51</v>
      </c>
      <c r="V99" s="25">
        <f t="shared" si="26"/>
        <v>0</v>
      </c>
    </row>
    <row r="100" spans="1:22" s="2" customFormat="1" ht="16.5" customHeight="1" x14ac:dyDescent="0.2">
      <c r="A100" s="26">
        <f t="shared" si="33"/>
        <v>51</v>
      </c>
      <c r="B100" s="4" t="s">
        <v>171</v>
      </c>
      <c r="C100" s="12">
        <v>1917</v>
      </c>
      <c r="D100" s="92"/>
      <c r="E100" s="98" t="s">
        <v>97</v>
      </c>
      <c r="F100" s="26">
        <v>2</v>
      </c>
      <c r="G100" s="26">
        <v>1</v>
      </c>
      <c r="H100" s="95">
        <v>493.5</v>
      </c>
      <c r="I100" s="95">
        <v>493.5</v>
      </c>
      <c r="J100" s="95">
        <v>440.5</v>
      </c>
      <c r="K100" s="26">
        <v>12</v>
      </c>
      <c r="L100" s="95">
        <f>'виды работ '!C98</f>
        <v>3687251.23</v>
      </c>
      <c r="M100" s="95">
        <v>0</v>
      </c>
      <c r="N100" s="68">
        <v>1121863</v>
      </c>
      <c r="O100" s="68">
        <v>541962</v>
      </c>
      <c r="P100" s="102">
        <f>L100-N100-O100</f>
        <v>2023426.23</v>
      </c>
      <c r="Q100" s="95">
        <f t="shared" si="32"/>
        <v>7471.6336980749747</v>
      </c>
      <c r="R100" s="92">
        <v>14593.7</v>
      </c>
      <c r="S100" s="92" t="s">
        <v>107</v>
      </c>
      <c r="T100" s="95" t="s">
        <v>102</v>
      </c>
      <c r="U100" s="25">
        <f t="shared" si="25"/>
        <v>3687251.23</v>
      </c>
      <c r="V100" s="25">
        <f t="shared" si="26"/>
        <v>0</v>
      </c>
    </row>
    <row r="101" spans="1:22" s="2" customFormat="1" ht="16.5" customHeight="1" x14ac:dyDescent="0.2">
      <c r="A101" s="26">
        <f t="shared" si="33"/>
        <v>52</v>
      </c>
      <c r="B101" s="4" t="s">
        <v>172</v>
      </c>
      <c r="C101" s="12">
        <v>1917</v>
      </c>
      <c r="D101" s="92"/>
      <c r="E101" s="98" t="s">
        <v>97</v>
      </c>
      <c r="F101" s="26">
        <v>3</v>
      </c>
      <c r="G101" s="26">
        <v>1</v>
      </c>
      <c r="H101" s="95">
        <v>989.55</v>
      </c>
      <c r="I101" s="95">
        <v>935.25</v>
      </c>
      <c r="J101" s="95">
        <v>643.29999999999995</v>
      </c>
      <c r="K101" s="26">
        <v>21</v>
      </c>
      <c r="L101" s="95">
        <f>'виды работ '!C99</f>
        <v>1000863.62</v>
      </c>
      <c r="M101" s="95">
        <v>0</v>
      </c>
      <c r="N101" s="68">
        <v>414358</v>
      </c>
      <c r="O101" s="68">
        <v>200172</v>
      </c>
      <c r="P101" s="95">
        <f>386334-0.38</f>
        <v>386333.62</v>
      </c>
      <c r="Q101" s="95">
        <f t="shared" si="32"/>
        <v>1011.4330958516498</v>
      </c>
      <c r="R101" s="92">
        <v>14593.7</v>
      </c>
      <c r="S101" s="92" t="s">
        <v>107</v>
      </c>
      <c r="T101" s="95" t="s">
        <v>102</v>
      </c>
      <c r="U101" s="25">
        <f t="shared" si="25"/>
        <v>1000863.62</v>
      </c>
      <c r="V101" s="25">
        <f t="shared" si="26"/>
        <v>0</v>
      </c>
    </row>
    <row r="102" spans="1:22" s="2" customFormat="1" ht="16.5" customHeight="1" x14ac:dyDescent="0.2">
      <c r="A102" s="26">
        <f t="shared" si="33"/>
        <v>53</v>
      </c>
      <c r="B102" s="4" t="s">
        <v>160</v>
      </c>
      <c r="C102" s="13">
        <v>1959</v>
      </c>
      <c r="D102" s="49"/>
      <c r="E102" s="98" t="s">
        <v>97</v>
      </c>
      <c r="F102" s="26">
        <v>3</v>
      </c>
      <c r="G102" s="26">
        <v>4</v>
      </c>
      <c r="H102" s="95">
        <v>1368.8</v>
      </c>
      <c r="I102" s="95">
        <v>1368.8</v>
      </c>
      <c r="J102" s="95">
        <v>925.2</v>
      </c>
      <c r="K102" s="26">
        <v>38</v>
      </c>
      <c r="L102" s="95">
        <f>'виды работ '!C100</f>
        <v>9186941.5500000007</v>
      </c>
      <c r="M102" s="95">
        <v>0</v>
      </c>
      <c r="N102" s="68">
        <v>2379260</v>
      </c>
      <c r="O102" s="68">
        <v>3261523</v>
      </c>
      <c r="P102" s="95">
        <f>3546160-1.45</f>
        <v>3546158.55</v>
      </c>
      <c r="Q102" s="95">
        <f t="shared" si="32"/>
        <v>6711.6755917592063</v>
      </c>
      <c r="R102" s="92">
        <v>14593.7</v>
      </c>
      <c r="S102" s="92" t="s">
        <v>107</v>
      </c>
      <c r="T102" s="95" t="s">
        <v>102</v>
      </c>
      <c r="U102" s="25">
        <f t="shared" si="25"/>
        <v>9186941.5500000007</v>
      </c>
      <c r="V102" s="25">
        <f t="shared" si="26"/>
        <v>0</v>
      </c>
    </row>
    <row r="103" spans="1:22" s="2" customFormat="1" ht="16.5" customHeight="1" x14ac:dyDescent="0.2">
      <c r="A103" s="26">
        <f t="shared" si="33"/>
        <v>54</v>
      </c>
      <c r="B103" s="4" t="s">
        <v>173</v>
      </c>
      <c r="C103" s="12">
        <v>1986</v>
      </c>
      <c r="D103" s="92"/>
      <c r="E103" s="98" t="s">
        <v>99</v>
      </c>
      <c r="F103" s="26">
        <v>9</v>
      </c>
      <c r="G103" s="26">
        <v>2</v>
      </c>
      <c r="H103" s="95">
        <v>4037.6</v>
      </c>
      <c r="I103" s="95">
        <v>4037.6</v>
      </c>
      <c r="J103" s="95">
        <v>3772.2</v>
      </c>
      <c r="K103" s="26">
        <v>175</v>
      </c>
      <c r="L103" s="95">
        <f>'виды работ '!C101</f>
        <v>1138586.72</v>
      </c>
      <c r="M103" s="95">
        <v>0</v>
      </c>
      <c r="N103" s="68">
        <v>471375</v>
      </c>
      <c r="O103" s="68">
        <v>227717</v>
      </c>
      <c r="P103" s="95">
        <f>439495-0.28</f>
        <v>439494.72</v>
      </c>
      <c r="Q103" s="95">
        <f t="shared" si="32"/>
        <v>281.99591836734692</v>
      </c>
      <c r="R103" s="92">
        <v>14593.7</v>
      </c>
      <c r="S103" s="92" t="s">
        <v>107</v>
      </c>
      <c r="T103" s="95" t="s">
        <v>102</v>
      </c>
      <c r="U103" s="25">
        <f t="shared" si="25"/>
        <v>1138586.72</v>
      </c>
      <c r="V103" s="25">
        <f t="shared" si="26"/>
        <v>0</v>
      </c>
    </row>
    <row r="104" spans="1:22" s="2" customFormat="1" ht="16.5" customHeight="1" x14ac:dyDescent="0.2">
      <c r="A104" s="26">
        <f t="shared" si="33"/>
        <v>55</v>
      </c>
      <c r="B104" s="4" t="s">
        <v>174</v>
      </c>
      <c r="C104" s="12">
        <v>1989</v>
      </c>
      <c r="D104" s="92"/>
      <c r="E104" s="98" t="s">
        <v>99</v>
      </c>
      <c r="F104" s="26">
        <v>9</v>
      </c>
      <c r="G104" s="26">
        <v>2</v>
      </c>
      <c r="H104" s="95">
        <v>4040.3</v>
      </c>
      <c r="I104" s="95">
        <v>4040.3</v>
      </c>
      <c r="J104" s="95">
        <v>3951.97</v>
      </c>
      <c r="K104" s="26">
        <v>185</v>
      </c>
      <c r="L104" s="95">
        <f>'виды работ '!C102</f>
        <v>1138586.72</v>
      </c>
      <c r="M104" s="95">
        <v>0</v>
      </c>
      <c r="N104" s="68">
        <v>471375</v>
      </c>
      <c r="O104" s="68">
        <v>227717</v>
      </c>
      <c r="P104" s="95">
        <f>439495-0.28</f>
        <v>439494.72</v>
      </c>
      <c r="Q104" s="95">
        <f t="shared" si="32"/>
        <v>281.80746974234586</v>
      </c>
      <c r="R104" s="92">
        <v>14593.7</v>
      </c>
      <c r="S104" s="92" t="s">
        <v>107</v>
      </c>
      <c r="T104" s="95" t="s">
        <v>102</v>
      </c>
      <c r="U104" s="25">
        <f t="shared" si="25"/>
        <v>1138586.72</v>
      </c>
      <c r="V104" s="25">
        <f t="shared" si="26"/>
        <v>0</v>
      </c>
    </row>
    <row r="105" spans="1:22" s="2" customFormat="1" ht="16.5" customHeight="1" x14ac:dyDescent="0.2">
      <c r="A105" s="26">
        <f t="shared" si="33"/>
        <v>56</v>
      </c>
      <c r="B105" s="4" t="s">
        <v>175</v>
      </c>
      <c r="C105" s="12">
        <v>1993</v>
      </c>
      <c r="D105" s="92"/>
      <c r="E105" s="98" t="s">
        <v>97</v>
      </c>
      <c r="F105" s="26">
        <v>6</v>
      </c>
      <c r="G105" s="26">
        <v>3</v>
      </c>
      <c r="H105" s="95">
        <v>8440.9</v>
      </c>
      <c r="I105" s="95">
        <v>8440.9</v>
      </c>
      <c r="J105" s="95">
        <v>6933.9</v>
      </c>
      <c r="K105" s="26">
        <v>225</v>
      </c>
      <c r="L105" s="95">
        <f>'виды работ '!C103</f>
        <v>1353533.16</v>
      </c>
      <c r="M105" s="95">
        <v>0</v>
      </c>
      <c r="N105" s="68">
        <v>560363</v>
      </c>
      <c r="O105" s="68">
        <v>270706</v>
      </c>
      <c r="P105" s="95">
        <f>522465-0.84</f>
        <v>522464.16</v>
      </c>
      <c r="Q105" s="95">
        <f t="shared" si="32"/>
        <v>160.35412811430061</v>
      </c>
      <c r="R105" s="92">
        <v>14593.7</v>
      </c>
      <c r="S105" s="92" t="s">
        <v>107</v>
      </c>
      <c r="T105" s="95" t="s">
        <v>102</v>
      </c>
      <c r="U105" s="25">
        <f t="shared" si="25"/>
        <v>1353533.16</v>
      </c>
      <c r="V105" s="25">
        <f t="shared" si="26"/>
        <v>0</v>
      </c>
    </row>
    <row r="106" spans="1:22" s="2" customFormat="1" ht="16.5" customHeight="1" x14ac:dyDescent="0.2">
      <c r="A106" s="26">
        <f t="shared" si="33"/>
        <v>57</v>
      </c>
      <c r="B106" s="4" t="s">
        <v>161</v>
      </c>
      <c r="C106" s="98">
        <v>1952</v>
      </c>
      <c r="D106" s="50"/>
      <c r="E106" s="98" t="s">
        <v>106</v>
      </c>
      <c r="F106" s="26">
        <v>2</v>
      </c>
      <c r="G106" s="26">
        <v>1</v>
      </c>
      <c r="H106" s="95">
        <v>349.95</v>
      </c>
      <c r="I106" s="95">
        <v>349.95</v>
      </c>
      <c r="J106" s="95">
        <v>222.2</v>
      </c>
      <c r="K106" s="26">
        <v>27</v>
      </c>
      <c r="L106" s="95">
        <f>'виды работ '!C104</f>
        <v>1056318.1200000001</v>
      </c>
      <c r="M106" s="95">
        <v>0</v>
      </c>
      <c r="N106" s="68">
        <v>437316</v>
      </c>
      <c r="O106" s="68">
        <v>211263</v>
      </c>
      <c r="P106" s="95">
        <f>407740-0.88</f>
        <v>407739.12</v>
      </c>
      <c r="Q106" s="95">
        <f t="shared" si="32"/>
        <v>3018.4829832833266</v>
      </c>
      <c r="R106" s="92">
        <v>14593.7</v>
      </c>
      <c r="S106" s="92" t="s">
        <v>107</v>
      </c>
      <c r="T106" s="95" t="s">
        <v>102</v>
      </c>
      <c r="U106" s="25">
        <f t="shared" si="25"/>
        <v>1056318.1200000001</v>
      </c>
      <c r="V106" s="25">
        <f t="shared" si="26"/>
        <v>0</v>
      </c>
    </row>
    <row r="107" spans="1:22" s="2" customFormat="1" ht="16.5" customHeight="1" x14ac:dyDescent="0.2">
      <c r="A107" s="26">
        <f t="shared" si="33"/>
        <v>58</v>
      </c>
      <c r="B107" s="4" t="s">
        <v>162</v>
      </c>
      <c r="C107" s="13">
        <v>1961</v>
      </c>
      <c r="D107" s="51"/>
      <c r="E107" s="98" t="s">
        <v>97</v>
      </c>
      <c r="F107" s="26">
        <v>4</v>
      </c>
      <c r="G107" s="26">
        <v>2</v>
      </c>
      <c r="H107" s="95">
        <v>1325.84</v>
      </c>
      <c r="I107" s="95">
        <v>1325.84</v>
      </c>
      <c r="J107" s="95">
        <v>1076.04</v>
      </c>
      <c r="K107" s="26">
        <v>56</v>
      </c>
      <c r="L107" s="92">
        <f>'виды работ '!C105</f>
        <v>5190974.2</v>
      </c>
      <c r="M107" s="95">
        <v>0</v>
      </c>
      <c r="N107" s="68">
        <v>2149064</v>
      </c>
      <c r="O107" s="68">
        <v>1038195</v>
      </c>
      <c r="P107" s="95">
        <v>2003715.2</v>
      </c>
      <c r="Q107" s="95">
        <f t="shared" si="32"/>
        <v>3915.2342665781698</v>
      </c>
      <c r="R107" s="92">
        <v>14593.7</v>
      </c>
      <c r="S107" s="92" t="s">
        <v>107</v>
      </c>
      <c r="T107" s="95" t="s">
        <v>102</v>
      </c>
      <c r="U107" s="25">
        <f t="shared" si="25"/>
        <v>5190974.2</v>
      </c>
      <c r="V107" s="25">
        <f t="shared" si="26"/>
        <v>0</v>
      </c>
    </row>
    <row r="108" spans="1:22" s="2" customFormat="1" ht="16.5" customHeight="1" x14ac:dyDescent="0.2">
      <c r="A108" s="26">
        <f t="shared" si="33"/>
        <v>59</v>
      </c>
      <c r="B108" s="4" t="s">
        <v>163</v>
      </c>
      <c r="C108" s="98">
        <v>1964</v>
      </c>
      <c r="D108" s="50"/>
      <c r="E108" s="98" t="s">
        <v>97</v>
      </c>
      <c r="F108" s="26">
        <v>7</v>
      </c>
      <c r="G108" s="26">
        <v>3</v>
      </c>
      <c r="H108" s="95">
        <v>3171.26</v>
      </c>
      <c r="I108" s="95">
        <v>3171.26</v>
      </c>
      <c r="J108" s="95">
        <v>2647.37</v>
      </c>
      <c r="K108" s="26">
        <v>118</v>
      </c>
      <c r="L108" s="95">
        <f>'виды работ '!C106</f>
        <v>6278335.7399999993</v>
      </c>
      <c r="M108" s="95">
        <v>0</v>
      </c>
      <c r="N108" s="68">
        <v>2599232</v>
      </c>
      <c r="O108" s="68">
        <v>1255667</v>
      </c>
      <c r="P108" s="95">
        <f>2423438-1.26</f>
        <v>2423436.7400000002</v>
      </c>
      <c r="Q108" s="95">
        <f t="shared" si="32"/>
        <v>1979.7606440342322</v>
      </c>
      <c r="R108" s="92">
        <v>14593.7</v>
      </c>
      <c r="S108" s="92" t="s">
        <v>107</v>
      </c>
      <c r="T108" s="95" t="s">
        <v>102</v>
      </c>
      <c r="U108" s="25">
        <f t="shared" si="25"/>
        <v>6278335.7400000002</v>
      </c>
      <c r="V108" s="25">
        <f t="shared" si="26"/>
        <v>0</v>
      </c>
    </row>
    <row r="109" spans="1:22" s="2" customFormat="1" ht="16.5" customHeight="1" x14ac:dyDescent="0.2">
      <c r="A109" s="26">
        <f t="shared" si="33"/>
        <v>60</v>
      </c>
      <c r="B109" s="4" t="s">
        <v>165</v>
      </c>
      <c r="C109" s="99">
        <v>1963</v>
      </c>
      <c r="D109" s="12"/>
      <c r="E109" s="98" t="s">
        <v>97</v>
      </c>
      <c r="F109" s="26">
        <v>4</v>
      </c>
      <c r="G109" s="26">
        <v>2</v>
      </c>
      <c r="H109" s="92">
        <v>1300.3900000000001</v>
      </c>
      <c r="I109" s="92">
        <v>1300.3900000000001</v>
      </c>
      <c r="J109" s="92">
        <v>1123.73</v>
      </c>
      <c r="K109" s="26">
        <v>50</v>
      </c>
      <c r="L109" s="95">
        <f>'виды работ '!C107</f>
        <v>5260115.42</v>
      </c>
      <c r="M109" s="95">
        <v>0</v>
      </c>
      <c r="N109" s="68">
        <v>2177689</v>
      </c>
      <c r="O109" s="68">
        <v>1052023</v>
      </c>
      <c r="P109" s="95">
        <f>2030405-1.58</f>
        <v>2030403.42</v>
      </c>
      <c r="Q109" s="95">
        <f t="shared" si="32"/>
        <v>4045.0291220326208</v>
      </c>
      <c r="R109" s="92">
        <v>14593.7</v>
      </c>
      <c r="S109" s="92" t="s">
        <v>107</v>
      </c>
      <c r="T109" s="95" t="s">
        <v>102</v>
      </c>
      <c r="U109" s="25">
        <f t="shared" si="25"/>
        <v>5260115.42</v>
      </c>
      <c r="V109" s="25">
        <f t="shared" si="26"/>
        <v>0</v>
      </c>
    </row>
    <row r="110" spans="1:22" s="2" customFormat="1" ht="16.5" customHeight="1" x14ac:dyDescent="0.2">
      <c r="A110" s="26">
        <f t="shared" si="33"/>
        <v>61</v>
      </c>
      <c r="B110" s="4" t="s">
        <v>166</v>
      </c>
      <c r="C110" s="98">
        <v>1963</v>
      </c>
      <c r="D110" s="52"/>
      <c r="E110" s="98" t="s">
        <v>97</v>
      </c>
      <c r="F110" s="26">
        <v>4</v>
      </c>
      <c r="G110" s="26">
        <v>3</v>
      </c>
      <c r="H110" s="95">
        <v>2002.37</v>
      </c>
      <c r="I110" s="95">
        <v>2002.37</v>
      </c>
      <c r="J110" s="95">
        <v>1915.49</v>
      </c>
      <c r="K110" s="26">
        <v>87</v>
      </c>
      <c r="L110" s="95">
        <f>'виды работ '!C108</f>
        <v>7140872.4800000004</v>
      </c>
      <c r="M110" s="95">
        <v>0</v>
      </c>
      <c r="N110" s="68">
        <v>2956322</v>
      </c>
      <c r="O110" s="68">
        <v>1428174</v>
      </c>
      <c r="P110" s="95">
        <f>2756378-1.52</f>
        <v>2756376.48</v>
      </c>
      <c r="Q110" s="95">
        <f t="shared" si="32"/>
        <v>3566.2102808172322</v>
      </c>
      <c r="R110" s="92">
        <v>14593.7</v>
      </c>
      <c r="S110" s="92" t="s">
        <v>107</v>
      </c>
      <c r="T110" s="95" t="s">
        <v>102</v>
      </c>
      <c r="U110" s="25">
        <f t="shared" si="25"/>
        <v>7140872.4800000004</v>
      </c>
      <c r="V110" s="25">
        <f t="shared" si="26"/>
        <v>0</v>
      </c>
    </row>
    <row r="111" spans="1:22" s="2" customFormat="1" ht="16.5" customHeight="1" x14ac:dyDescent="0.2">
      <c r="A111" s="26">
        <f t="shared" si="33"/>
        <v>62</v>
      </c>
      <c r="B111" s="4" t="s">
        <v>167</v>
      </c>
      <c r="C111" s="13">
        <v>1963</v>
      </c>
      <c r="D111" s="49"/>
      <c r="E111" s="98" t="s">
        <v>97</v>
      </c>
      <c r="F111" s="26">
        <v>4</v>
      </c>
      <c r="G111" s="26">
        <v>2</v>
      </c>
      <c r="H111" s="95">
        <v>1307.43</v>
      </c>
      <c r="I111" s="95">
        <v>1307.43</v>
      </c>
      <c r="J111" s="95">
        <v>1173.6300000000001</v>
      </c>
      <c r="K111" s="26">
        <v>64</v>
      </c>
      <c r="L111" s="95">
        <f>'виды работ '!C109</f>
        <v>5158725.0999999996</v>
      </c>
      <c r="M111" s="95">
        <v>0</v>
      </c>
      <c r="N111" s="68">
        <v>2135713</v>
      </c>
      <c r="O111" s="68">
        <v>1031745</v>
      </c>
      <c r="P111" s="95">
        <f>1991268-0.9</f>
        <v>1991267.1</v>
      </c>
      <c r="Q111" s="95">
        <f t="shared" si="32"/>
        <v>3945.6988901891491</v>
      </c>
      <c r="R111" s="92">
        <v>14593.7</v>
      </c>
      <c r="S111" s="92" t="s">
        <v>107</v>
      </c>
      <c r="T111" s="95" t="s">
        <v>102</v>
      </c>
      <c r="U111" s="25">
        <f t="shared" si="25"/>
        <v>5158725.0999999996</v>
      </c>
      <c r="V111" s="25">
        <f t="shared" si="26"/>
        <v>0</v>
      </c>
    </row>
    <row r="112" spans="1:22" s="2" customFormat="1" ht="16.5" customHeight="1" x14ac:dyDescent="0.2">
      <c r="A112" s="26">
        <f t="shared" si="33"/>
        <v>63</v>
      </c>
      <c r="B112" s="4" t="s">
        <v>164</v>
      </c>
      <c r="C112" s="13">
        <v>1957</v>
      </c>
      <c r="D112" s="51"/>
      <c r="E112" s="98" t="s">
        <v>97</v>
      </c>
      <c r="F112" s="26">
        <v>3</v>
      </c>
      <c r="G112" s="26">
        <v>3</v>
      </c>
      <c r="H112" s="95">
        <v>1548.6</v>
      </c>
      <c r="I112" s="95">
        <v>1548.6</v>
      </c>
      <c r="J112" s="95">
        <v>1179</v>
      </c>
      <c r="K112" s="26">
        <v>59</v>
      </c>
      <c r="L112" s="95">
        <f>'виды работ '!C110</f>
        <v>5119459.6500000004</v>
      </c>
      <c r="M112" s="95">
        <v>0</v>
      </c>
      <c r="N112" s="68">
        <v>2119457</v>
      </c>
      <c r="O112" s="68">
        <v>1023892</v>
      </c>
      <c r="P112" s="95">
        <f>1976112-1.35</f>
        <v>1976110.65</v>
      </c>
      <c r="Q112" s="95">
        <f t="shared" si="32"/>
        <v>3305.8631344440146</v>
      </c>
      <c r="R112" s="92">
        <v>14593.7</v>
      </c>
      <c r="S112" s="92" t="s">
        <v>107</v>
      </c>
      <c r="T112" s="95" t="s">
        <v>102</v>
      </c>
      <c r="U112" s="25">
        <f t="shared" si="25"/>
        <v>5119459.6500000004</v>
      </c>
      <c r="V112" s="25">
        <f t="shared" si="26"/>
        <v>0</v>
      </c>
    </row>
    <row r="113" spans="1:22" s="2" customFormat="1" ht="16.5" customHeight="1" x14ac:dyDescent="0.2">
      <c r="A113" s="126" t="s">
        <v>17</v>
      </c>
      <c r="B113" s="150"/>
      <c r="C113" s="129"/>
      <c r="D113" s="95" t="s">
        <v>98</v>
      </c>
      <c r="E113" s="95" t="s">
        <v>98</v>
      </c>
      <c r="F113" s="95" t="s">
        <v>98</v>
      </c>
      <c r="G113" s="95" t="s">
        <v>98</v>
      </c>
      <c r="H113" s="92">
        <f t="shared" ref="H113:P113" si="34">SUM(H97:H112)</f>
        <v>32615.969999999998</v>
      </c>
      <c r="I113" s="92">
        <f t="shared" si="34"/>
        <v>32488.27</v>
      </c>
      <c r="J113" s="92">
        <f t="shared" si="34"/>
        <v>27651.91</v>
      </c>
      <c r="K113" s="91">
        <f t="shared" si="34"/>
        <v>1164</v>
      </c>
      <c r="L113" s="92">
        <f t="shared" si="34"/>
        <v>60290701.609999999</v>
      </c>
      <c r="M113" s="92">
        <f t="shared" si="34"/>
        <v>0</v>
      </c>
      <c r="N113" s="92">
        <f t="shared" si="34"/>
        <v>21228058</v>
      </c>
      <c r="O113" s="92">
        <f t="shared" si="34"/>
        <v>12367213</v>
      </c>
      <c r="P113" s="92">
        <f t="shared" si="34"/>
        <v>26695430.610000003</v>
      </c>
      <c r="Q113" s="95">
        <f t="shared" si="32"/>
        <v>1848.5024854388816</v>
      </c>
      <c r="R113" s="95" t="s">
        <v>98</v>
      </c>
      <c r="S113" s="92" t="s">
        <v>98</v>
      </c>
      <c r="T113" s="92" t="s">
        <v>98</v>
      </c>
      <c r="U113" s="25">
        <f t="shared" si="25"/>
        <v>60290701.609999999</v>
      </c>
      <c r="V113" s="25">
        <f t="shared" si="26"/>
        <v>0</v>
      </c>
    </row>
    <row r="114" spans="1:22" s="2" customFormat="1" ht="16.5" customHeight="1" x14ac:dyDescent="0.2">
      <c r="A114" s="118" t="s">
        <v>58</v>
      </c>
      <c r="B114" s="119"/>
      <c r="C114" s="119"/>
      <c r="D114" s="119"/>
      <c r="E114" s="12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25">
        <f t="shared" si="25"/>
        <v>0</v>
      </c>
      <c r="V114" s="25">
        <f t="shared" si="26"/>
        <v>0</v>
      </c>
    </row>
    <row r="115" spans="1:22" s="2" customFormat="1" ht="16.5" customHeight="1" x14ac:dyDescent="0.2">
      <c r="A115" s="26">
        <f>A112+1</f>
        <v>64</v>
      </c>
      <c r="B115" s="4" t="s">
        <v>176</v>
      </c>
      <c r="C115" s="20">
        <v>1988</v>
      </c>
      <c r="D115" s="99"/>
      <c r="E115" s="98" t="s">
        <v>110</v>
      </c>
      <c r="F115" s="89">
        <v>9</v>
      </c>
      <c r="G115" s="89">
        <v>5</v>
      </c>
      <c r="H115" s="70">
        <v>12626.09</v>
      </c>
      <c r="I115" s="70">
        <v>9375.59</v>
      </c>
      <c r="J115" s="70">
        <v>8334.99</v>
      </c>
      <c r="K115" s="89">
        <v>559</v>
      </c>
      <c r="L115" s="92">
        <f>'виды работ '!C113</f>
        <v>12471073.439999999</v>
      </c>
      <c r="M115" s="95">
        <v>0</v>
      </c>
      <c r="N115" s="68">
        <v>5322788</v>
      </c>
      <c r="O115" s="68">
        <v>2571395</v>
      </c>
      <c r="P115" s="95">
        <f>4962793-385902.56</f>
        <v>4576890.4400000004</v>
      </c>
      <c r="Q115" s="95">
        <f>L115/H115</f>
        <v>987.72252059030143</v>
      </c>
      <c r="R115" s="92">
        <v>14593.7</v>
      </c>
      <c r="S115" s="92" t="s">
        <v>107</v>
      </c>
      <c r="T115" s="95" t="s">
        <v>102</v>
      </c>
      <c r="U115" s="25">
        <f t="shared" si="25"/>
        <v>12471073.440000001</v>
      </c>
      <c r="V115" s="25">
        <f t="shared" si="26"/>
        <v>0</v>
      </c>
    </row>
    <row r="116" spans="1:22" s="2" customFormat="1" ht="16.5" customHeight="1" x14ac:dyDescent="0.2">
      <c r="A116" s="26">
        <f>A115+1</f>
        <v>65</v>
      </c>
      <c r="B116" s="4" t="s">
        <v>177</v>
      </c>
      <c r="C116" s="20">
        <v>1984</v>
      </c>
      <c r="D116" s="99"/>
      <c r="E116" s="98" t="s">
        <v>97</v>
      </c>
      <c r="F116" s="89">
        <v>9</v>
      </c>
      <c r="G116" s="89">
        <v>2</v>
      </c>
      <c r="H116" s="70">
        <v>7530.7</v>
      </c>
      <c r="I116" s="70">
        <v>4942.2</v>
      </c>
      <c r="J116" s="70">
        <v>2967.95</v>
      </c>
      <c r="K116" s="89">
        <v>357</v>
      </c>
      <c r="L116" s="92">
        <f>'виды работ '!C114</f>
        <v>5033970.24</v>
      </c>
      <c r="M116" s="95">
        <v>0</v>
      </c>
      <c r="N116" s="68">
        <v>2148553</v>
      </c>
      <c r="O116" s="68">
        <v>1037948</v>
      </c>
      <c r="P116" s="95">
        <f>2003240-155770.76</f>
        <v>1847469.24</v>
      </c>
      <c r="Q116" s="95">
        <f>L116/H116</f>
        <v>668.45980320554531</v>
      </c>
      <c r="R116" s="92">
        <v>14593.7</v>
      </c>
      <c r="S116" s="92" t="s">
        <v>107</v>
      </c>
      <c r="T116" s="95" t="s">
        <v>102</v>
      </c>
      <c r="U116" s="25">
        <f t="shared" si="25"/>
        <v>5033970.24</v>
      </c>
      <c r="V116" s="25">
        <f t="shared" si="26"/>
        <v>0</v>
      </c>
    </row>
    <row r="117" spans="1:22" s="2" customFormat="1" ht="16.5" customHeight="1" x14ac:dyDescent="0.2">
      <c r="A117" s="126" t="s">
        <v>17</v>
      </c>
      <c r="B117" s="150"/>
      <c r="C117" s="129"/>
      <c r="D117" s="95" t="s">
        <v>98</v>
      </c>
      <c r="E117" s="95" t="s">
        <v>98</v>
      </c>
      <c r="F117" s="95" t="s">
        <v>98</v>
      </c>
      <c r="G117" s="95" t="s">
        <v>98</v>
      </c>
      <c r="H117" s="92">
        <f t="shared" ref="H117:P117" si="35">SUM(H115:H116)</f>
        <v>20156.79</v>
      </c>
      <c r="I117" s="92">
        <f t="shared" si="35"/>
        <v>14317.79</v>
      </c>
      <c r="J117" s="92">
        <f t="shared" si="35"/>
        <v>11302.939999999999</v>
      </c>
      <c r="K117" s="91">
        <f t="shared" si="35"/>
        <v>916</v>
      </c>
      <c r="L117" s="92">
        <f t="shared" si="35"/>
        <v>17505043.68</v>
      </c>
      <c r="M117" s="92">
        <f t="shared" si="35"/>
        <v>0</v>
      </c>
      <c r="N117" s="92">
        <f t="shared" si="35"/>
        <v>7471341</v>
      </c>
      <c r="O117" s="92">
        <f t="shared" si="35"/>
        <v>3609343</v>
      </c>
      <c r="P117" s="92">
        <f t="shared" si="35"/>
        <v>6424359.6800000006</v>
      </c>
      <c r="Q117" s="95">
        <f>L117/H117</f>
        <v>868.44401712772708</v>
      </c>
      <c r="R117" s="95" t="s">
        <v>98</v>
      </c>
      <c r="S117" s="92" t="s">
        <v>98</v>
      </c>
      <c r="T117" s="92" t="s">
        <v>98</v>
      </c>
      <c r="U117" s="25">
        <f t="shared" si="25"/>
        <v>17505043.68</v>
      </c>
      <c r="V117" s="25">
        <f t="shared" si="26"/>
        <v>0</v>
      </c>
    </row>
    <row r="118" spans="1:22" s="3" customFormat="1" ht="16.5" customHeight="1" x14ac:dyDescent="0.2">
      <c r="A118" s="131" t="s">
        <v>59</v>
      </c>
      <c r="B118" s="132"/>
      <c r="C118" s="133"/>
      <c r="D118" s="94" t="s">
        <v>98</v>
      </c>
      <c r="E118" s="94" t="s">
        <v>98</v>
      </c>
      <c r="F118" s="93" t="s">
        <v>98</v>
      </c>
      <c r="G118" s="93" t="s">
        <v>98</v>
      </c>
      <c r="H118" s="96">
        <f t="shared" ref="H118:P118" si="36">H92+H95+H113+H117</f>
        <v>59767.360000000001</v>
      </c>
      <c r="I118" s="96">
        <f t="shared" si="36"/>
        <v>52044.26</v>
      </c>
      <c r="J118" s="96">
        <f t="shared" si="36"/>
        <v>43630.020000000004</v>
      </c>
      <c r="K118" s="8">
        <f t="shared" si="36"/>
        <v>2349</v>
      </c>
      <c r="L118" s="96">
        <f t="shared" si="36"/>
        <v>79745198.50999999</v>
      </c>
      <c r="M118" s="96">
        <f t="shared" si="36"/>
        <v>0</v>
      </c>
      <c r="N118" s="96">
        <f t="shared" si="36"/>
        <v>29506474</v>
      </c>
      <c r="O118" s="96">
        <f t="shared" si="36"/>
        <v>16366446</v>
      </c>
      <c r="P118" s="96">
        <f t="shared" si="36"/>
        <v>33872278.510000005</v>
      </c>
      <c r="Q118" s="93">
        <f>L118/H118</f>
        <v>1334.260012655737</v>
      </c>
      <c r="R118" s="93" t="s">
        <v>98</v>
      </c>
      <c r="S118" s="96" t="s">
        <v>98</v>
      </c>
      <c r="T118" s="96" t="s">
        <v>98</v>
      </c>
      <c r="U118" s="25">
        <f t="shared" si="25"/>
        <v>79745198.510000005</v>
      </c>
      <c r="V118" s="25">
        <f t="shared" si="26"/>
        <v>0</v>
      </c>
    </row>
    <row r="119" spans="1:22" s="2" customFormat="1" ht="16.5" customHeight="1" x14ac:dyDescent="0.2">
      <c r="A119" s="141" t="s">
        <v>23</v>
      </c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25">
        <f t="shared" si="25"/>
        <v>0</v>
      </c>
      <c r="V119" s="25">
        <f t="shared" si="26"/>
        <v>0</v>
      </c>
    </row>
    <row r="120" spans="1:22" s="2" customFormat="1" ht="16.5" customHeight="1" x14ac:dyDescent="0.2">
      <c r="A120" s="134" t="s">
        <v>24</v>
      </c>
      <c r="B120" s="135"/>
      <c r="C120" s="135"/>
      <c r="D120" s="135"/>
      <c r="E120" s="136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25">
        <f t="shared" si="25"/>
        <v>0</v>
      </c>
      <c r="V120" s="25">
        <f t="shared" si="26"/>
        <v>0</v>
      </c>
    </row>
    <row r="121" spans="1:22" s="2" customFormat="1" ht="16.5" customHeight="1" x14ac:dyDescent="0.2">
      <c r="A121" s="12">
        <f>A116+1</f>
        <v>66</v>
      </c>
      <c r="B121" s="4" t="s">
        <v>182</v>
      </c>
      <c r="C121" s="99">
        <v>1976</v>
      </c>
      <c r="D121" s="99"/>
      <c r="E121" s="98" t="s">
        <v>99</v>
      </c>
      <c r="F121" s="91">
        <v>5</v>
      </c>
      <c r="G121" s="91">
        <v>7</v>
      </c>
      <c r="H121" s="92">
        <v>5797</v>
      </c>
      <c r="I121" s="92">
        <v>5210</v>
      </c>
      <c r="J121" s="92">
        <v>4790</v>
      </c>
      <c r="K121" s="91">
        <v>306</v>
      </c>
      <c r="L121" s="92">
        <f>'виды работ '!C119</f>
        <v>1046382.7</v>
      </c>
      <c r="M121" s="95">
        <v>0</v>
      </c>
      <c r="N121" s="68">
        <v>433203</v>
      </c>
      <c r="O121" s="68">
        <v>209276</v>
      </c>
      <c r="P121" s="95">
        <f>403904-0.3</f>
        <v>403903.7</v>
      </c>
      <c r="Q121" s="95">
        <f t="shared" ref="Q121:Q129" si="37">L121/H121</f>
        <v>180.50417457305502</v>
      </c>
      <c r="R121" s="92">
        <v>14593.7</v>
      </c>
      <c r="S121" s="92" t="s">
        <v>107</v>
      </c>
      <c r="T121" s="95" t="s">
        <v>102</v>
      </c>
      <c r="U121" s="25">
        <f t="shared" si="25"/>
        <v>1046382.7</v>
      </c>
      <c r="V121" s="25">
        <f t="shared" si="26"/>
        <v>0</v>
      </c>
    </row>
    <row r="122" spans="1:22" s="2" customFormat="1" ht="16.5" customHeight="1" x14ac:dyDescent="0.2">
      <c r="A122" s="12">
        <f t="shared" ref="A122:A127" si="38">A121+1</f>
        <v>67</v>
      </c>
      <c r="B122" s="4" t="s">
        <v>185</v>
      </c>
      <c r="C122" s="99">
        <v>1989</v>
      </c>
      <c r="D122" s="99"/>
      <c r="E122" s="98" t="s">
        <v>97</v>
      </c>
      <c r="F122" s="91">
        <v>5</v>
      </c>
      <c r="G122" s="91">
        <v>1</v>
      </c>
      <c r="H122" s="92">
        <v>3004</v>
      </c>
      <c r="I122" s="92">
        <v>2442</v>
      </c>
      <c r="J122" s="92">
        <v>2093</v>
      </c>
      <c r="K122" s="91">
        <v>205</v>
      </c>
      <c r="L122" s="92">
        <f>'виды работ '!C120</f>
        <v>4196150.8</v>
      </c>
      <c r="M122" s="95">
        <v>0</v>
      </c>
      <c r="N122" s="68">
        <v>1737207</v>
      </c>
      <c r="O122" s="68">
        <v>839230</v>
      </c>
      <c r="P122" s="95">
        <f>1619714-0.2</f>
        <v>1619713.8</v>
      </c>
      <c r="Q122" s="95">
        <f t="shared" si="37"/>
        <v>1396.8544607190413</v>
      </c>
      <c r="R122" s="92">
        <v>14593.7</v>
      </c>
      <c r="S122" s="92" t="s">
        <v>107</v>
      </c>
      <c r="T122" s="95" t="s">
        <v>102</v>
      </c>
      <c r="U122" s="25">
        <f t="shared" si="25"/>
        <v>4196150.8</v>
      </c>
      <c r="V122" s="25">
        <f t="shared" si="26"/>
        <v>0</v>
      </c>
    </row>
    <row r="123" spans="1:22" s="2" customFormat="1" ht="16.5" customHeight="1" x14ac:dyDescent="0.2">
      <c r="A123" s="12">
        <f t="shared" si="38"/>
        <v>68</v>
      </c>
      <c r="B123" s="4" t="s">
        <v>184</v>
      </c>
      <c r="C123" s="99">
        <v>1985</v>
      </c>
      <c r="D123" s="99"/>
      <c r="E123" s="98" t="s">
        <v>99</v>
      </c>
      <c r="F123" s="91">
        <v>5</v>
      </c>
      <c r="G123" s="91">
        <v>7</v>
      </c>
      <c r="H123" s="92">
        <v>5671</v>
      </c>
      <c r="I123" s="92">
        <v>5162</v>
      </c>
      <c r="J123" s="92">
        <v>4903</v>
      </c>
      <c r="K123" s="91">
        <v>312</v>
      </c>
      <c r="L123" s="92">
        <f>'виды работ '!C121</f>
        <v>1001448.3</v>
      </c>
      <c r="M123" s="95">
        <v>0</v>
      </c>
      <c r="N123" s="68">
        <v>414600</v>
      </c>
      <c r="O123" s="68">
        <v>200289</v>
      </c>
      <c r="P123" s="95">
        <f>386560-0.7</f>
        <v>386559.3</v>
      </c>
      <c r="Q123" s="95">
        <f t="shared" si="37"/>
        <v>176.59113031211427</v>
      </c>
      <c r="R123" s="92">
        <v>14593.7</v>
      </c>
      <c r="S123" s="92" t="s">
        <v>107</v>
      </c>
      <c r="T123" s="95" t="s">
        <v>102</v>
      </c>
      <c r="U123" s="25">
        <f t="shared" si="25"/>
        <v>1001448.3</v>
      </c>
      <c r="V123" s="25">
        <f t="shared" si="26"/>
        <v>0</v>
      </c>
    </row>
    <row r="124" spans="1:22" s="2" customFormat="1" ht="16.5" customHeight="1" x14ac:dyDescent="0.2">
      <c r="A124" s="12">
        <f t="shared" si="38"/>
        <v>69</v>
      </c>
      <c r="B124" s="4" t="s">
        <v>183</v>
      </c>
      <c r="C124" s="99">
        <v>1984</v>
      </c>
      <c r="D124" s="99"/>
      <c r="E124" s="98" t="s">
        <v>99</v>
      </c>
      <c r="F124" s="91">
        <v>5</v>
      </c>
      <c r="G124" s="91">
        <v>5</v>
      </c>
      <c r="H124" s="92">
        <v>4156</v>
      </c>
      <c r="I124" s="92">
        <v>3744</v>
      </c>
      <c r="J124" s="92">
        <v>3501</v>
      </c>
      <c r="K124" s="91">
        <v>183</v>
      </c>
      <c r="L124" s="92">
        <f>'виды работ '!C122</f>
        <v>2264199.34</v>
      </c>
      <c r="M124" s="95">
        <v>0</v>
      </c>
      <c r="N124" s="68">
        <v>937379</v>
      </c>
      <c r="O124" s="68">
        <v>452840</v>
      </c>
      <c r="P124" s="95">
        <f>873981-0.66</f>
        <v>873980.34</v>
      </c>
      <c r="Q124" s="95">
        <f t="shared" si="37"/>
        <v>544.80253609239651</v>
      </c>
      <c r="R124" s="92">
        <v>14593.7</v>
      </c>
      <c r="S124" s="92" t="s">
        <v>107</v>
      </c>
      <c r="T124" s="95" t="s">
        <v>102</v>
      </c>
      <c r="U124" s="25">
        <f t="shared" si="25"/>
        <v>2264199.34</v>
      </c>
      <c r="V124" s="25">
        <f t="shared" si="26"/>
        <v>0</v>
      </c>
    </row>
    <row r="125" spans="1:22" s="2" customFormat="1" ht="16.5" customHeight="1" x14ac:dyDescent="0.2">
      <c r="A125" s="12">
        <f t="shared" si="38"/>
        <v>70</v>
      </c>
      <c r="B125" s="4" t="s">
        <v>253</v>
      </c>
      <c r="C125" s="99">
        <v>1981</v>
      </c>
      <c r="D125" s="99"/>
      <c r="E125" s="98" t="s">
        <v>99</v>
      </c>
      <c r="F125" s="91">
        <v>5</v>
      </c>
      <c r="G125" s="91">
        <v>8</v>
      </c>
      <c r="H125" s="92">
        <v>6699</v>
      </c>
      <c r="I125" s="92">
        <v>6022</v>
      </c>
      <c r="J125" s="92">
        <v>5344</v>
      </c>
      <c r="K125" s="91">
        <v>321</v>
      </c>
      <c r="L125" s="92">
        <f>'виды работ '!C123</f>
        <v>1309077.8400000001</v>
      </c>
      <c r="M125" s="95">
        <v>0</v>
      </c>
      <c r="N125" s="68">
        <v>541959</v>
      </c>
      <c r="O125" s="68">
        <v>261815</v>
      </c>
      <c r="P125" s="95">
        <f>505304-0.16</f>
        <v>505303.84</v>
      </c>
      <c r="Q125" s="95">
        <f t="shared" si="37"/>
        <v>195.41391849529782</v>
      </c>
      <c r="R125" s="92">
        <v>14593.7</v>
      </c>
      <c r="S125" s="92" t="s">
        <v>107</v>
      </c>
      <c r="T125" s="95" t="s">
        <v>102</v>
      </c>
      <c r="U125" s="25">
        <f t="shared" si="25"/>
        <v>1309077.8400000001</v>
      </c>
      <c r="V125" s="25">
        <f t="shared" si="26"/>
        <v>0</v>
      </c>
    </row>
    <row r="126" spans="1:22" s="2" customFormat="1" ht="16.5" customHeight="1" x14ac:dyDescent="0.2">
      <c r="A126" s="12">
        <f t="shared" si="38"/>
        <v>71</v>
      </c>
      <c r="B126" s="4" t="s">
        <v>186</v>
      </c>
      <c r="C126" s="54">
        <v>1962</v>
      </c>
      <c r="D126" s="54"/>
      <c r="E126" s="98" t="s">
        <v>97</v>
      </c>
      <c r="F126" s="90">
        <v>4</v>
      </c>
      <c r="G126" s="90">
        <v>2</v>
      </c>
      <c r="H126" s="55">
        <v>1469</v>
      </c>
      <c r="I126" s="55">
        <v>1358</v>
      </c>
      <c r="J126" s="55">
        <v>1096</v>
      </c>
      <c r="K126" s="90">
        <v>76</v>
      </c>
      <c r="L126" s="92">
        <f>'виды работ '!C124</f>
        <v>2096450.54</v>
      </c>
      <c r="M126" s="95">
        <v>0</v>
      </c>
      <c r="N126" s="68">
        <v>867931</v>
      </c>
      <c r="O126" s="68">
        <v>419290</v>
      </c>
      <c r="P126" s="95">
        <f>809230-0.46</f>
        <v>809229.54</v>
      </c>
      <c r="Q126" s="95">
        <f t="shared" si="37"/>
        <v>1427.1276650782845</v>
      </c>
      <c r="R126" s="92">
        <v>14593.7</v>
      </c>
      <c r="S126" s="92" t="s">
        <v>107</v>
      </c>
      <c r="T126" s="95" t="s">
        <v>102</v>
      </c>
      <c r="U126" s="25">
        <f t="shared" si="25"/>
        <v>2096450.54</v>
      </c>
      <c r="V126" s="25">
        <f t="shared" si="26"/>
        <v>0</v>
      </c>
    </row>
    <row r="127" spans="1:22" s="2" customFormat="1" ht="16.5" customHeight="1" x14ac:dyDescent="0.2">
      <c r="A127" s="12">
        <f t="shared" si="38"/>
        <v>72</v>
      </c>
      <c r="B127" s="4" t="s">
        <v>187</v>
      </c>
      <c r="C127" s="54">
        <v>1962</v>
      </c>
      <c r="D127" s="54"/>
      <c r="E127" s="98" t="s">
        <v>97</v>
      </c>
      <c r="F127" s="90">
        <v>4</v>
      </c>
      <c r="G127" s="90">
        <v>3</v>
      </c>
      <c r="H127" s="55">
        <v>2212</v>
      </c>
      <c r="I127" s="55">
        <v>2019</v>
      </c>
      <c r="J127" s="55">
        <v>1841</v>
      </c>
      <c r="K127" s="90">
        <v>93</v>
      </c>
      <c r="L127" s="92">
        <f>'виды работ '!C125</f>
        <v>2832842.52</v>
      </c>
      <c r="M127" s="95">
        <v>0</v>
      </c>
      <c r="N127" s="68">
        <v>1172797</v>
      </c>
      <c r="O127" s="68">
        <v>566568</v>
      </c>
      <c r="P127" s="95">
        <f>1093478-0.48</f>
        <v>1093477.52</v>
      </c>
      <c r="Q127" s="95">
        <f t="shared" si="37"/>
        <v>1280.6702169981918</v>
      </c>
      <c r="R127" s="92">
        <v>14593.7</v>
      </c>
      <c r="S127" s="92" t="s">
        <v>107</v>
      </c>
      <c r="T127" s="95" t="s">
        <v>102</v>
      </c>
      <c r="U127" s="25">
        <f t="shared" si="25"/>
        <v>2832842.52</v>
      </c>
      <c r="V127" s="25">
        <f t="shared" si="26"/>
        <v>0</v>
      </c>
    </row>
    <row r="128" spans="1:22" s="2" customFormat="1" ht="16.5" customHeight="1" x14ac:dyDescent="0.2">
      <c r="A128" s="138" t="s">
        <v>17</v>
      </c>
      <c r="B128" s="139"/>
      <c r="C128" s="46" t="s">
        <v>98</v>
      </c>
      <c r="D128" s="46" t="s">
        <v>98</v>
      </c>
      <c r="E128" s="46" t="s">
        <v>98</v>
      </c>
      <c r="F128" s="95" t="s">
        <v>98</v>
      </c>
      <c r="G128" s="95" t="s">
        <v>98</v>
      </c>
      <c r="H128" s="92">
        <f t="shared" ref="H128:P128" si="39">SUM(H121:H127)</f>
        <v>29008</v>
      </c>
      <c r="I128" s="92">
        <f t="shared" si="39"/>
        <v>25957</v>
      </c>
      <c r="J128" s="92">
        <f t="shared" si="39"/>
        <v>23568</v>
      </c>
      <c r="K128" s="91">
        <f t="shared" si="39"/>
        <v>1496</v>
      </c>
      <c r="L128" s="92">
        <f t="shared" si="39"/>
        <v>14746552.039999999</v>
      </c>
      <c r="M128" s="92">
        <f t="shared" si="39"/>
        <v>0</v>
      </c>
      <c r="N128" s="92">
        <f t="shared" si="39"/>
        <v>6105076</v>
      </c>
      <c r="O128" s="92">
        <f t="shared" si="39"/>
        <v>2949308</v>
      </c>
      <c r="P128" s="92">
        <f t="shared" si="39"/>
        <v>5692168.0399999991</v>
      </c>
      <c r="Q128" s="95">
        <f t="shared" si="37"/>
        <v>508.36155681191394</v>
      </c>
      <c r="R128" s="95" t="s">
        <v>98</v>
      </c>
      <c r="S128" s="92" t="s">
        <v>98</v>
      </c>
      <c r="T128" s="92" t="s">
        <v>98</v>
      </c>
      <c r="U128" s="25">
        <f t="shared" si="25"/>
        <v>14746552.039999999</v>
      </c>
      <c r="V128" s="25">
        <f t="shared" si="26"/>
        <v>0</v>
      </c>
    </row>
    <row r="129" spans="1:22" s="3" customFormat="1" ht="16.5" customHeight="1" x14ac:dyDescent="0.2">
      <c r="A129" s="131" t="s">
        <v>25</v>
      </c>
      <c r="B129" s="132"/>
      <c r="C129" s="133"/>
      <c r="D129" s="94" t="s">
        <v>98</v>
      </c>
      <c r="E129" s="94" t="s">
        <v>98</v>
      </c>
      <c r="F129" s="93" t="s">
        <v>98</v>
      </c>
      <c r="G129" s="93" t="s">
        <v>98</v>
      </c>
      <c r="H129" s="96">
        <f t="shared" ref="H129:P129" si="40">H128</f>
        <v>29008</v>
      </c>
      <c r="I129" s="96">
        <f t="shared" si="40"/>
        <v>25957</v>
      </c>
      <c r="J129" s="96">
        <f t="shared" si="40"/>
        <v>23568</v>
      </c>
      <c r="K129" s="8">
        <f t="shared" si="40"/>
        <v>1496</v>
      </c>
      <c r="L129" s="96">
        <f t="shared" si="40"/>
        <v>14746552.039999999</v>
      </c>
      <c r="M129" s="96">
        <f t="shared" si="40"/>
        <v>0</v>
      </c>
      <c r="N129" s="96">
        <f t="shared" si="40"/>
        <v>6105076</v>
      </c>
      <c r="O129" s="96">
        <f t="shared" si="40"/>
        <v>2949308</v>
      </c>
      <c r="P129" s="96">
        <f t="shared" si="40"/>
        <v>5692168.0399999991</v>
      </c>
      <c r="Q129" s="93">
        <f t="shared" si="37"/>
        <v>508.36155681191394</v>
      </c>
      <c r="R129" s="93" t="s">
        <v>98</v>
      </c>
      <c r="S129" s="96" t="s">
        <v>98</v>
      </c>
      <c r="T129" s="96" t="s">
        <v>98</v>
      </c>
      <c r="U129" s="25">
        <f t="shared" si="25"/>
        <v>14746552.039999999</v>
      </c>
      <c r="V129" s="25">
        <f t="shared" si="26"/>
        <v>0</v>
      </c>
    </row>
    <row r="130" spans="1:22" s="2" customFormat="1" ht="16.5" customHeight="1" x14ac:dyDescent="0.2">
      <c r="A130" s="141" t="s">
        <v>60</v>
      </c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25">
        <f t="shared" si="25"/>
        <v>0</v>
      </c>
      <c r="V130" s="25">
        <f t="shared" si="26"/>
        <v>0</v>
      </c>
    </row>
    <row r="131" spans="1:22" s="2" customFormat="1" ht="16.5" customHeight="1" x14ac:dyDescent="0.2">
      <c r="A131" s="147" t="s">
        <v>61</v>
      </c>
      <c r="B131" s="123"/>
      <c r="C131" s="123"/>
      <c r="D131" s="123"/>
      <c r="E131" s="124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25">
        <f t="shared" si="25"/>
        <v>0</v>
      </c>
      <c r="V131" s="25">
        <f t="shared" si="26"/>
        <v>0</v>
      </c>
    </row>
    <row r="132" spans="1:22" s="2" customFormat="1" ht="16.5" customHeight="1" x14ac:dyDescent="0.2">
      <c r="A132" s="12">
        <f>A127+1</f>
        <v>73</v>
      </c>
      <c r="B132" s="4" t="s">
        <v>188</v>
      </c>
      <c r="C132" s="98">
        <v>1976</v>
      </c>
      <c r="D132" s="98"/>
      <c r="E132" s="98" t="s">
        <v>97</v>
      </c>
      <c r="F132" s="26">
        <v>4</v>
      </c>
      <c r="G132" s="26">
        <v>4</v>
      </c>
      <c r="H132" s="95">
        <v>3463.77</v>
      </c>
      <c r="I132" s="95">
        <v>2559.66</v>
      </c>
      <c r="J132" s="95">
        <v>2028.53</v>
      </c>
      <c r="K132" s="26">
        <v>175</v>
      </c>
      <c r="L132" s="92">
        <f>'виды работ '!C130</f>
        <v>3044209.73</v>
      </c>
      <c r="M132" s="95">
        <v>0</v>
      </c>
      <c r="N132" s="68">
        <f>L132*0.4</f>
        <v>1217683.892</v>
      </c>
      <c r="O132" s="68">
        <f>L132*0.2</f>
        <v>608841.946</v>
      </c>
      <c r="P132" s="68">
        <f>L132-N132-O132</f>
        <v>1217683.892</v>
      </c>
      <c r="Q132" s="95">
        <f>L132/H132</f>
        <v>878.87178709902798</v>
      </c>
      <c r="R132" s="92">
        <v>14593.7</v>
      </c>
      <c r="S132" s="92" t="s">
        <v>107</v>
      </c>
      <c r="T132" s="95" t="s">
        <v>102</v>
      </c>
      <c r="U132" s="25">
        <f t="shared" si="25"/>
        <v>3044209.73</v>
      </c>
      <c r="V132" s="25">
        <f t="shared" si="26"/>
        <v>0</v>
      </c>
    </row>
    <row r="133" spans="1:22" s="2" customFormat="1" ht="16.5" customHeight="1" x14ac:dyDescent="0.2">
      <c r="A133" s="148" t="s">
        <v>17</v>
      </c>
      <c r="B133" s="148"/>
      <c r="C133" s="46" t="s">
        <v>98</v>
      </c>
      <c r="D133" s="46" t="s">
        <v>98</v>
      </c>
      <c r="E133" s="46" t="s">
        <v>98</v>
      </c>
      <c r="F133" s="95" t="s">
        <v>98</v>
      </c>
      <c r="G133" s="95" t="s">
        <v>98</v>
      </c>
      <c r="H133" s="92">
        <f t="shared" ref="H133:P133" si="41">SUM(H132)</f>
        <v>3463.77</v>
      </c>
      <c r="I133" s="92">
        <f t="shared" si="41"/>
        <v>2559.66</v>
      </c>
      <c r="J133" s="92">
        <f t="shared" si="41"/>
        <v>2028.53</v>
      </c>
      <c r="K133" s="91">
        <f t="shared" si="41"/>
        <v>175</v>
      </c>
      <c r="L133" s="92">
        <f t="shared" si="41"/>
        <v>3044209.73</v>
      </c>
      <c r="M133" s="92">
        <f t="shared" si="41"/>
        <v>0</v>
      </c>
      <c r="N133" s="92">
        <f t="shared" si="41"/>
        <v>1217683.892</v>
      </c>
      <c r="O133" s="92">
        <f t="shared" si="41"/>
        <v>608841.946</v>
      </c>
      <c r="P133" s="92">
        <f t="shared" si="41"/>
        <v>1217683.892</v>
      </c>
      <c r="Q133" s="95">
        <f>L133/H133</f>
        <v>878.87178709902798</v>
      </c>
      <c r="R133" s="95" t="s">
        <v>98</v>
      </c>
      <c r="S133" s="92" t="s">
        <v>98</v>
      </c>
      <c r="T133" s="92" t="s">
        <v>98</v>
      </c>
      <c r="U133" s="25">
        <f t="shared" si="25"/>
        <v>3044209.73</v>
      </c>
      <c r="V133" s="25">
        <f t="shared" si="26"/>
        <v>0</v>
      </c>
    </row>
    <row r="134" spans="1:22" s="2" customFormat="1" ht="16.5" customHeight="1" x14ac:dyDescent="0.2">
      <c r="A134" s="134" t="s">
        <v>189</v>
      </c>
      <c r="B134" s="135"/>
      <c r="C134" s="135"/>
      <c r="D134" s="135"/>
      <c r="E134" s="136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25">
        <f t="shared" si="25"/>
        <v>0</v>
      </c>
      <c r="V134" s="25">
        <f t="shared" si="26"/>
        <v>0</v>
      </c>
    </row>
    <row r="135" spans="1:22" s="2" customFormat="1" ht="16.5" customHeight="1" x14ac:dyDescent="0.2">
      <c r="A135" s="12">
        <f>A132+1</f>
        <v>74</v>
      </c>
      <c r="B135" s="4" t="s">
        <v>190</v>
      </c>
      <c r="C135" s="56">
        <v>1991</v>
      </c>
      <c r="D135" s="57"/>
      <c r="E135" s="98" t="s">
        <v>99</v>
      </c>
      <c r="F135" s="26">
        <v>5</v>
      </c>
      <c r="G135" s="26">
        <v>7</v>
      </c>
      <c r="H135" s="95">
        <v>9059</v>
      </c>
      <c r="I135" s="95">
        <v>4632.8900000000003</v>
      </c>
      <c r="J135" s="95">
        <v>7155.02</v>
      </c>
      <c r="K135" s="26">
        <v>423</v>
      </c>
      <c r="L135" s="92">
        <f>'виды работ '!C133</f>
        <v>3871359.94</v>
      </c>
      <c r="M135" s="95">
        <v>0</v>
      </c>
      <c r="N135" s="68">
        <v>1652342</v>
      </c>
      <c r="O135" s="68">
        <v>798232</v>
      </c>
      <c r="P135" s="95">
        <f>1540589-119803.06</f>
        <v>1420785.94</v>
      </c>
      <c r="Q135" s="95">
        <f t="shared" ref="Q135:Q141" si="42">L135/H135</f>
        <v>427.34959046252345</v>
      </c>
      <c r="R135" s="92">
        <v>14593.7</v>
      </c>
      <c r="S135" s="92" t="s">
        <v>107</v>
      </c>
      <c r="T135" s="95" t="s">
        <v>102</v>
      </c>
      <c r="U135" s="25">
        <f t="shared" si="25"/>
        <v>3871359.94</v>
      </c>
      <c r="V135" s="25">
        <f t="shared" si="26"/>
        <v>0</v>
      </c>
    </row>
    <row r="136" spans="1:22" s="2" customFormat="1" ht="16.5" customHeight="1" x14ac:dyDescent="0.2">
      <c r="A136" s="12">
        <f t="shared" ref="A136:A139" si="43">A135+1</f>
        <v>75</v>
      </c>
      <c r="B136" s="4" t="s">
        <v>191</v>
      </c>
      <c r="C136" s="56">
        <v>1993</v>
      </c>
      <c r="D136" s="57"/>
      <c r="E136" s="98" t="s">
        <v>99</v>
      </c>
      <c r="F136" s="26">
        <v>5</v>
      </c>
      <c r="G136" s="26">
        <v>8</v>
      </c>
      <c r="H136" s="95">
        <v>8618</v>
      </c>
      <c r="I136" s="95">
        <v>4549.3500000000004</v>
      </c>
      <c r="J136" s="95">
        <v>7244.85</v>
      </c>
      <c r="K136" s="26">
        <v>402</v>
      </c>
      <c r="L136" s="92">
        <f>'виды работ '!C134</f>
        <v>3038404.42</v>
      </c>
      <c r="M136" s="95">
        <v>0</v>
      </c>
      <c r="N136" s="68">
        <v>1296827</v>
      </c>
      <c r="O136" s="68">
        <v>626486</v>
      </c>
      <c r="P136" s="95">
        <f>1209118-94026.58</f>
        <v>1115091.42</v>
      </c>
      <c r="Q136" s="95">
        <f t="shared" si="42"/>
        <v>352.56491297284754</v>
      </c>
      <c r="R136" s="92">
        <v>14593.7</v>
      </c>
      <c r="S136" s="92" t="s">
        <v>107</v>
      </c>
      <c r="T136" s="95" t="s">
        <v>102</v>
      </c>
      <c r="U136" s="25">
        <f t="shared" si="25"/>
        <v>3038404.42</v>
      </c>
      <c r="V136" s="25">
        <f t="shared" si="26"/>
        <v>0</v>
      </c>
    </row>
    <row r="137" spans="1:22" s="2" customFormat="1" ht="16.5" customHeight="1" x14ac:dyDescent="0.2">
      <c r="A137" s="12">
        <f t="shared" si="43"/>
        <v>76</v>
      </c>
      <c r="B137" s="4" t="s">
        <v>193</v>
      </c>
      <c r="C137" s="56">
        <v>1989</v>
      </c>
      <c r="D137" s="57"/>
      <c r="E137" s="98" t="s">
        <v>99</v>
      </c>
      <c r="F137" s="26">
        <v>5</v>
      </c>
      <c r="G137" s="26">
        <v>5</v>
      </c>
      <c r="H137" s="95">
        <v>5900</v>
      </c>
      <c r="I137" s="95">
        <v>3028.46</v>
      </c>
      <c r="J137" s="95">
        <v>4962.4799999999996</v>
      </c>
      <c r="K137" s="26">
        <v>271</v>
      </c>
      <c r="L137" s="92">
        <f>'виды работ '!C135</f>
        <v>3963304.05</v>
      </c>
      <c r="M137" s="95">
        <v>0</v>
      </c>
      <c r="N137" s="68">
        <v>1691585</v>
      </c>
      <c r="O137" s="68">
        <v>817190</v>
      </c>
      <c r="P137" s="95">
        <f>1577178-122648.95</f>
        <v>1454529.05</v>
      </c>
      <c r="Q137" s="95">
        <f t="shared" si="42"/>
        <v>671.74644915254237</v>
      </c>
      <c r="R137" s="92">
        <v>14593.7</v>
      </c>
      <c r="S137" s="92" t="s">
        <v>107</v>
      </c>
      <c r="T137" s="95" t="s">
        <v>102</v>
      </c>
      <c r="U137" s="25">
        <f t="shared" si="25"/>
        <v>3963304.05</v>
      </c>
      <c r="V137" s="25">
        <f t="shared" si="26"/>
        <v>0</v>
      </c>
    </row>
    <row r="138" spans="1:22" s="2" customFormat="1" ht="16.5" customHeight="1" x14ac:dyDescent="0.2">
      <c r="A138" s="12">
        <f t="shared" si="43"/>
        <v>77</v>
      </c>
      <c r="B138" s="4" t="s">
        <v>192</v>
      </c>
      <c r="C138" s="56">
        <v>1986</v>
      </c>
      <c r="D138" s="57"/>
      <c r="E138" s="98" t="s">
        <v>99</v>
      </c>
      <c r="F138" s="26">
        <v>5</v>
      </c>
      <c r="G138" s="26">
        <v>4</v>
      </c>
      <c r="H138" s="95">
        <v>3758</v>
      </c>
      <c r="I138" s="95">
        <v>2247.8000000000002</v>
      </c>
      <c r="J138" s="95">
        <v>3364.9</v>
      </c>
      <c r="K138" s="26">
        <v>215</v>
      </c>
      <c r="L138" s="117">
        <f>'виды работ '!C136</f>
        <v>1701085.1199999999</v>
      </c>
      <c r="M138" s="95">
        <v>0</v>
      </c>
      <c r="N138" s="68">
        <v>726044</v>
      </c>
      <c r="O138" s="68">
        <v>350745</v>
      </c>
      <c r="P138" s="95">
        <f>676939-52642.88</f>
        <v>624296.12</v>
      </c>
      <c r="Q138" s="95">
        <f t="shared" si="42"/>
        <v>452.65703033528467</v>
      </c>
      <c r="R138" s="92">
        <v>14593.7</v>
      </c>
      <c r="S138" s="92" t="s">
        <v>107</v>
      </c>
      <c r="T138" s="95" t="s">
        <v>102</v>
      </c>
      <c r="U138" s="25">
        <f t="shared" si="25"/>
        <v>1701085.12</v>
      </c>
      <c r="V138" s="25">
        <f>U138-L138</f>
        <v>0</v>
      </c>
    </row>
    <row r="139" spans="1:22" s="2" customFormat="1" ht="16.5" customHeight="1" x14ac:dyDescent="0.2">
      <c r="A139" s="12">
        <f t="shared" si="43"/>
        <v>78</v>
      </c>
      <c r="B139" s="4" t="s">
        <v>194</v>
      </c>
      <c r="C139" s="10">
        <v>1992</v>
      </c>
      <c r="D139" s="10"/>
      <c r="E139" s="98" t="s">
        <v>99</v>
      </c>
      <c r="F139" s="58">
        <v>5</v>
      </c>
      <c r="G139" s="58">
        <v>5</v>
      </c>
      <c r="H139" s="95">
        <v>5898</v>
      </c>
      <c r="I139" s="95">
        <v>3177.32</v>
      </c>
      <c r="J139" s="95">
        <v>5217.6099999999997</v>
      </c>
      <c r="K139" s="58">
        <v>297</v>
      </c>
      <c r="L139" s="117">
        <f>'виды работ '!C137</f>
        <v>6626020.6799999997</v>
      </c>
      <c r="M139" s="95">
        <v>0</v>
      </c>
      <c r="N139" s="68">
        <v>2828063</v>
      </c>
      <c r="O139" s="68">
        <v>1366213</v>
      </c>
      <c r="P139" s="95">
        <f>2636793-205048.32</f>
        <v>2431744.6800000002</v>
      </c>
      <c r="Q139" s="95">
        <f t="shared" si="42"/>
        <v>1123.4351780264496</v>
      </c>
      <c r="R139" s="92">
        <v>14593.7</v>
      </c>
      <c r="S139" s="92" t="s">
        <v>107</v>
      </c>
      <c r="T139" s="95" t="s">
        <v>102</v>
      </c>
      <c r="U139" s="25">
        <f>N139+O139+P139</f>
        <v>6626020.6799999997</v>
      </c>
      <c r="V139" s="25">
        <f>U139-L139</f>
        <v>0</v>
      </c>
    </row>
    <row r="140" spans="1:22" s="2" customFormat="1" ht="16.5" customHeight="1" x14ac:dyDescent="0.2">
      <c r="A140" s="138" t="s">
        <v>17</v>
      </c>
      <c r="B140" s="139"/>
      <c r="C140" s="46" t="s">
        <v>98</v>
      </c>
      <c r="D140" s="46" t="s">
        <v>98</v>
      </c>
      <c r="E140" s="46" t="s">
        <v>98</v>
      </c>
      <c r="F140" s="95" t="s">
        <v>98</v>
      </c>
      <c r="G140" s="95" t="s">
        <v>98</v>
      </c>
      <c r="H140" s="92">
        <f>SUM(H135:H139)</f>
        <v>33233</v>
      </c>
      <c r="I140" s="92">
        <f>SUM(I135:I139)</f>
        <v>17635.82</v>
      </c>
      <c r="J140" s="92">
        <f>SUM(J135:J139)</f>
        <v>27944.86</v>
      </c>
      <c r="K140" s="91">
        <f>SUM(K135:K139)</f>
        <v>1608</v>
      </c>
      <c r="L140" s="117">
        <f>SUM(L135:L139)</f>
        <v>19200174.210000001</v>
      </c>
      <c r="M140" s="117">
        <f t="shared" ref="M140:P140" si="44">SUM(M135:M139)</f>
        <v>0</v>
      </c>
      <c r="N140" s="117">
        <f t="shared" si="44"/>
        <v>8194861</v>
      </c>
      <c r="O140" s="117">
        <f t="shared" si="44"/>
        <v>3958866</v>
      </c>
      <c r="P140" s="117">
        <f t="shared" si="44"/>
        <v>7046447.2100000009</v>
      </c>
      <c r="Q140" s="95">
        <f t="shared" si="42"/>
        <v>577.74423645171976</v>
      </c>
      <c r="R140" s="95" t="s">
        <v>98</v>
      </c>
      <c r="S140" s="92" t="s">
        <v>98</v>
      </c>
      <c r="T140" s="92" t="s">
        <v>98</v>
      </c>
      <c r="U140" s="25">
        <f t="shared" ref="U140:U200" si="45">N140+O140+P140</f>
        <v>19200174.210000001</v>
      </c>
      <c r="V140" s="25">
        <f t="shared" ref="V140:V200" si="46">U140-L140</f>
        <v>0</v>
      </c>
    </row>
    <row r="141" spans="1:22" s="3" customFormat="1" ht="16.5" customHeight="1" x14ac:dyDescent="0.2">
      <c r="A141" s="131" t="s">
        <v>62</v>
      </c>
      <c r="B141" s="132"/>
      <c r="C141" s="133"/>
      <c r="D141" s="94" t="s">
        <v>98</v>
      </c>
      <c r="E141" s="94" t="s">
        <v>98</v>
      </c>
      <c r="F141" s="93" t="s">
        <v>98</v>
      </c>
      <c r="G141" s="93" t="s">
        <v>98</v>
      </c>
      <c r="H141" s="96">
        <f t="shared" ref="H141:P141" si="47">H133+H140</f>
        <v>36696.769999999997</v>
      </c>
      <c r="I141" s="96">
        <f t="shared" si="47"/>
        <v>20195.48</v>
      </c>
      <c r="J141" s="96">
        <f t="shared" si="47"/>
        <v>29973.39</v>
      </c>
      <c r="K141" s="8">
        <f t="shared" si="47"/>
        <v>1783</v>
      </c>
      <c r="L141" s="96">
        <f t="shared" si="47"/>
        <v>22244383.940000001</v>
      </c>
      <c r="M141" s="96">
        <f t="shared" si="47"/>
        <v>0</v>
      </c>
      <c r="N141" s="96">
        <f t="shared" si="47"/>
        <v>9412544.8920000009</v>
      </c>
      <c r="O141" s="96">
        <f t="shared" si="47"/>
        <v>4567707.9460000005</v>
      </c>
      <c r="P141" s="96">
        <f t="shared" si="47"/>
        <v>8264131.1020000009</v>
      </c>
      <c r="Q141" s="93">
        <f t="shared" si="42"/>
        <v>606.16735314851974</v>
      </c>
      <c r="R141" s="93" t="s">
        <v>98</v>
      </c>
      <c r="S141" s="96" t="s">
        <v>98</v>
      </c>
      <c r="T141" s="96" t="s">
        <v>98</v>
      </c>
      <c r="U141" s="25">
        <f t="shared" si="45"/>
        <v>22244383.940000001</v>
      </c>
      <c r="V141" s="25">
        <f t="shared" si="46"/>
        <v>0</v>
      </c>
    </row>
    <row r="142" spans="1:22" s="2" customFormat="1" ht="16.5" customHeight="1" x14ac:dyDescent="0.2">
      <c r="A142" s="141" t="s">
        <v>26</v>
      </c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25">
        <f t="shared" si="45"/>
        <v>0</v>
      </c>
      <c r="V142" s="25">
        <f t="shared" si="46"/>
        <v>0</v>
      </c>
    </row>
    <row r="143" spans="1:22" s="2" customFormat="1" ht="16.5" customHeight="1" x14ac:dyDescent="0.2">
      <c r="A143" s="134" t="s">
        <v>27</v>
      </c>
      <c r="B143" s="135"/>
      <c r="C143" s="135"/>
      <c r="D143" s="135"/>
      <c r="E143" s="136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25">
        <f t="shared" si="45"/>
        <v>0</v>
      </c>
      <c r="V143" s="25">
        <f t="shared" si="46"/>
        <v>0</v>
      </c>
    </row>
    <row r="144" spans="1:22" s="2" customFormat="1" ht="16.5" customHeight="1" x14ac:dyDescent="0.2">
      <c r="A144" s="31">
        <f>A139+1</f>
        <v>79</v>
      </c>
      <c r="B144" s="29" t="s">
        <v>198</v>
      </c>
      <c r="C144" s="99">
        <v>1965</v>
      </c>
      <c r="D144" s="99"/>
      <c r="E144" s="98" t="s">
        <v>97</v>
      </c>
      <c r="F144" s="91">
        <v>4</v>
      </c>
      <c r="G144" s="91">
        <v>3</v>
      </c>
      <c r="H144" s="92">
        <v>1994.3</v>
      </c>
      <c r="I144" s="92">
        <v>1994.3</v>
      </c>
      <c r="J144" s="92">
        <v>1734.6</v>
      </c>
      <c r="K144" s="91">
        <v>32</v>
      </c>
      <c r="L144" s="92">
        <f>'виды работ '!C142</f>
        <v>13316671.630000001</v>
      </c>
      <c r="M144" s="95">
        <v>0</v>
      </c>
      <c r="N144" s="68">
        <v>6036517</v>
      </c>
      <c r="O144" s="68">
        <v>2916191</v>
      </c>
      <c r="P144" s="95">
        <f>L144-N144-O144</f>
        <v>4363963.6300000008</v>
      </c>
      <c r="Q144" s="95">
        <f>L144/H144</f>
        <v>6677.366308980595</v>
      </c>
      <c r="R144" s="92">
        <v>14593.7</v>
      </c>
      <c r="S144" s="92" t="s">
        <v>107</v>
      </c>
      <c r="T144" s="95" t="s">
        <v>102</v>
      </c>
      <c r="U144" s="25">
        <f t="shared" si="45"/>
        <v>13316671.630000001</v>
      </c>
      <c r="V144" s="25">
        <f t="shared" si="46"/>
        <v>0</v>
      </c>
    </row>
    <row r="145" spans="1:22" s="2" customFormat="1" ht="16.5" customHeight="1" x14ac:dyDescent="0.2">
      <c r="A145" s="12">
        <f>A144+1</f>
        <v>80</v>
      </c>
      <c r="B145" s="29" t="s">
        <v>195</v>
      </c>
      <c r="C145" s="99">
        <v>1996</v>
      </c>
      <c r="D145" s="99"/>
      <c r="E145" s="98" t="s">
        <v>97</v>
      </c>
      <c r="F145" s="91">
        <v>2</v>
      </c>
      <c r="G145" s="91">
        <v>3</v>
      </c>
      <c r="H145" s="92">
        <v>328.8</v>
      </c>
      <c r="I145" s="92">
        <v>328.8</v>
      </c>
      <c r="J145" s="92">
        <v>175.6</v>
      </c>
      <c r="K145" s="91">
        <v>5</v>
      </c>
      <c r="L145" s="92">
        <f>'виды работ '!C143</f>
        <v>6227929.21</v>
      </c>
      <c r="M145" s="95">
        <v>0</v>
      </c>
      <c r="N145" s="68">
        <v>2653942</v>
      </c>
      <c r="O145" s="68">
        <v>1282097</v>
      </c>
      <c r="P145" s="95">
        <f>2474448-182557.79</f>
        <v>2291890.21</v>
      </c>
      <c r="Q145" s="95">
        <f>L145/H145</f>
        <v>18941.390541362529</v>
      </c>
      <c r="R145" s="92">
        <v>14593.7</v>
      </c>
      <c r="S145" s="92" t="s">
        <v>107</v>
      </c>
      <c r="T145" s="95" t="s">
        <v>102</v>
      </c>
      <c r="U145" s="25">
        <f t="shared" si="45"/>
        <v>6227929.21</v>
      </c>
      <c r="V145" s="25">
        <f t="shared" si="46"/>
        <v>0</v>
      </c>
    </row>
    <row r="146" spans="1:22" s="2" customFormat="1" ht="16.5" customHeight="1" x14ac:dyDescent="0.2">
      <c r="A146" s="31">
        <f>A145+1</f>
        <v>81</v>
      </c>
      <c r="B146" s="29" t="s">
        <v>196</v>
      </c>
      <c r="C146" s="99">
        <v>1996</v>
      </c>
      <c r="D146" s="99"/>
      <c r="E146" s="98" t="s">
        <v>97</v>
      </c>
      <c r="F146" s="91">
        <v>2</v>
      </c>
      <c r="G146" s="91">
        <v>3</v>
      </c>
      <c r="H146" s="92">
        <v>322.8</v>
      </c>
      <c r="I146" s="92">
        <v>322.8</v>
      </c>
      <c r="J146" s="92">
        <v>221.5</v>
      </c>
      <c r="K146" s="91">
        <v>16</v>
      </c>
      <c r="L146" s="92">
        <f>'виды работ '!C144</f>
        <v>6576611.2199999997</v>
      </c>
      <c r="M146" s="95">
        <v>0</v>
      </c>
      <c r="N146" s="68">
        <v>2802763</v>
      </c>
      <c r="O146" s="68">
        <v>1353991</v>
      </c>
      <c r="P146" s="95">
        <f>2613203-212180.82+18835.04</f>
        <v>2419857.2200000002</v>
      </c>
      <c r="Q146" s="95">
        <f>L146/H146</f>
        <v>20373.6407063197</v>
      </c>
      <c r="R146" s="92">
        <v>14593.7</v>
      </c>
      <c r="S146" s="92" t="s">
        <v>107</v>
      </c>
      <c r="T146" s="95" t="s">
        <v>102</v>
      </c>
      <c r="U146" s="25">
        <f t="shared" si="45"/>
        <v>6576611.2200000007</v>
      </c>
      <c r="V146" s="25">
        <f t="shared" si="46"/>
        <v>0</v>
      </c>
    </row>
    <row r="147" spans="1:22" s="2" customFormat="1" ht="16.5" customHeight="1" x14ac:dyDescent="0.2">
      <c r="A147" s="31">
        <f>A146+1</f>
        <v>82</v>
      </c>
      <c r="B147" s="29" t="s">
        <v>197</v>
      </c>
      <c r="C147" s="99">
        <v>1999</v>
      </c>
      <c r="D147" s="99"/>
      <c r="E147" s="98" t="s">
        <v>97</v>
      </c>
      <c r="F147" s="91">
        <v>2</v>
      </c>
      <c r="G147" s="91">
        <v>3</v>
      </c>
      <c r="H147" s="92">
        <v>328.6</v>
      </c>
      <c r="I147" s="92">
        <v>328.6</v>
      </c>
      <c r="J147" s="92">
        <v>120.5</v>
      </c>
      <c r="K147" s="91">
        <v>6</v>
      </c>
      <c r="L147" s="92">
        <f>'виды работ '!C145</f>
        <v>7185129.1800000006</v>
      </c>
      <c r="M147" s="95">
        <v>0</v>
      </c>
      <c r="N147" s="68">
        <v>3062487</v>
      </c>
      <c r="O147" s="68">
        <v>1479462</v>
      </c>
      <c r="P147" s="95">
        <f>-212180.82+2855361</f>
        <v>2643180.1800000002</v>
      </c>
      <c r="Q147" s="95">
        <f>L147/H147</f>
        <v>21865.883079732197</v>
      </c>
      <c r="R147" s="92">
        <v>14593.7</v>
      </c>
      <c r="S147" s="92" t="s">
        <v>107</v>
      </c>
      <c r="T147" s="95" t="s">
        <v>102</v>
      </c>
      <c r="U147" s="25">
        <f t="shared" si="45"/>
        <v>7185129.1799999997</v>
      </c>
      <c r="V147" s="25">
        <f t="shared" si="46"/>
        <v>0</v>
      </c>
    </row>
    <row r="148" spans="1:22" s="2" customFormat="1" ht="16.5" customHeight="1" x14ac:dyDescent="0.2">
      <c r="A148" s="138" t="s">
        <v>17</v>
      </c>
      <c r="B148" s="139"/>
      <c r="C148" s="46" t="s">
        <v>98</v>
      </c>
      <c r="D148" s="46" t="s">
        <v>98</v>
      </c>
      <c r="E148" s="46" t="s">
        <v>98</v>
      </c>
      <c r="F148" s="95" t="s">
        <v>98</v>
      </c>
      <c r="G148" s="95" t="s">
        <v>98</v>
      </c>
      <c r="H148" s="92">
        <f t="shared" ref="H148:P148" si="48">SUM(H144:H147)</f>
        <v>2974.5</v>
      </c>
      <c r="I148" s="92">
        <f t="shared" si="48"/>
        <v>2974.5</v>
      </c>
      <c r="J148" s="92">
        <f t="shared" si="48"/>
        <v>2252.1999999999998</v>
      </c>
      <c r="K148" s="91">
        <f t="shared" si="48"/>
        <v>59</v>
      </c>
      <c r="L148" s="92">
        <f t="shared" si="48"/>
        <v>33306341.239999998</v>
      </c>
      <c r="M148" s="92">
        <f t="shared" si="48"/>
        <v>0</v>
      </c>
      <c r="N148" s="92">
        <f t="shared" si="48"/>
        <v>14555709</v>
      </c>
      <c r="O148" s="92">
        <f t="shared" si="48"/>
        <v>7031741</v>
      </c>
      <c r="P148" s="92">
        <f t="shared" si="48"/>
        <v>11718891.24</v>
      </c>
      <c r="Q148" s="95">
        <f>L148/H148</f>
        <v>11197.290717767692</v>
      </c>
      <c r="R148" s="95" t="s">
        <v>98</v>
      </c>
      <c r="S148" s="92" t="s">
        <v>98</v>
      </c>
      <c r="T148" s="92" t="s">
        <v>98</v>
      </c>
      <c r="U148" s="25">
        <f t="shared" si="45"/>
        <v>33306341.240000002</v>
      </c>
      <c r="V148" s="25">
        <f t="shared" si="46"/>
        <v>0</v>
      </c>
    </row>
    <row r="149" spans="1:22" s="2" customFormat="1" ht="16.5" customHeight="1" x14ac:dyDescent="0.2">
      <c r="A149" s="32" t="s">
        <v>199</v>
      </c>
      <c r="B149" s="33"/>
      <c r="C149" s="34"/>
      <c r="D149" s="34"/>
      <c r="E149" s="35"/>
      <c r="F149" s="95"/>
      <c r="G149" s="95"/>
      <c r="H149" s="92"/>
      <c r="I149" s="92"/>
      <c r="J149" s="92"/>
      <c r="K149" s="92"/>
      <c r="L149" s="92"/>
      <c r="M149" s="92"/>
      <c r="N149" s="92"/>
      <c r="O149" s="92"/>
      <c r="P149" s="92"/>
      <c r="Q149" s="95"/>
      <c r="R149" s="92"/>
      <c r="S149" s="92"/>
      <c r="T149" s="95"/>
      <c r="U149" s="25">
        <f t="shared" si="45"/>
        <v>0</v>
      </c>
      <c r="V149" s="25">
        <f t="shared" si="46"/>
        <v>0</v>
      </c>
    </row>
    <row r="150" spans="1:22" s="2" customFormat="1" ht="16.5" customHeight="1" x14ac:dyDescent="0.2">
      <c r="A150" s="36">
        <f>A147+1</f>
        <v>83</v>
      </c>
      <c r="B150" s="4" t="s">
        <v>251</v>
      </c>
      <c r="C150" s="100">
        <v>1988</v>
      </c>
      <c r="D150" s="100"/>
      <c r="E150" s="98" t="s">
        <v>99</v>
      </c>
      <c r="F150" s="100">
        <v>4</v>
      </c>
      <c r="G150" s="100">
        <v>4</v>
      </c>
      <c r="H150" s="100">
        <v>4172.8</v>
      </c>
      <c r="I150" s="100">
        <v>3689.6</v>
      </c>
      <c r="J150" s="100">
        <v>3424.7</v>
      </c>
      <c r="K150" s="100">
        <v>171</v>
      </c>
      <c r="L150" s="92">
        <f>'виды работ '!C148</f>
        <v>13438307.529999999</v>
      </c>
      <c r="M150" s="95">
        <v>0</v>
      </c>
      <c r="N150" s="68">
        <v>3489015</v>
      </c>
      <c r="O150" s="68">
        <v>1685514</v>
      </c>
      <c r="P150" s="107">
        <f>L150-N150-O150</f>
        <v>8263778.5299999993</v>
      </c>
      <c r="Q150" s="95">
        <f>L150/H150</f>
        <v>3220.4532999424841</v>
      </c>
      <c r="R150" s="92">
        <v>14593.7</v>
      </c>
      <c r="S150" s="92" t="s">
        <v>107</v>
      </c>
      <c r="T150" s="95" t="s">
        <v>102</v>
      </c>
      <c r="U150" s="25">
        <f t="shared" si="45"/>
        <v>13438307.529999999</v>
      </c>
      <c r="V150" s="25">
        <f t="shared" si="46"/>
        <v>0</v>
      </c>
    </row>
    <row r="151" spans="1:22" s="2" customFormat="1" ht="16.5" customHeight="1" x14ac:dyDescent="0.2">
      <c r="A151" s="36">
        <f>A150+1</f>
        <v>84</v>
      </c>
      <c r="B151" s="4" t="s">
        <v>200</v>
      </c>
      <c r="C151" s="100">
        <v>1960</v>
      </c>
      <c r="D151" s="100"/>
      <c r="E151" s="98" t="s">
        <v>97</v>
      </c>
      <c r="F151" s="100">
        <v>3</v>
      </c>
      <c r="G151" s="100">
        <v>2</v>
      </c>
      <c r="H151" s="100">
        <v>1047.4000000000001</v>
      </c>
      <c r="I151" s="100">
        <v>966.8</v>
      </c>
      <c r="J151" s="100">
        <v>900.2</v>
      </c>
      <c r="K151" s="100">
        <v>55</v>
      </c>
      <c r="L151" s="92">
        <f>'виды работ '!C149</f>
        <v>4178454.6599999997</v>
      </c>
      <c r="M151" s="95">
        <v>0</v>
      </c>
      <c r="N151" s="68">
        <v>1783416</v>
      </c>
      <c r="O151" s="68">
        <v>861553</v>
      </c>
      <c r="P151" s="95">
        <f>-129312.34+1662798</f>
        <v>1533485.66</v>
      </c>
      <c r="Q151" s="95">
        <f>L151/H151</f>
        <v>3989.359041435936</v>
      </c>
      <c r="R151" s="92">
        <v>14593.7</v>
      </c>
      <c r="S151" s="92" t="s">
        <v>107</v>
      </c>
      <c r="T151" s="95" t="s">
        <v>102</v>
      </c>
      <c r="U151" s="25">
        <f t="shared" si="45"/>
        <v>4178454.66</v>
      </c>
      <c r="V151" s="25">
        <f t="shared" si="46"/>
        <v>0</v>
      </c>
    </row>
    <row r="152" spans="1:22" s="2" customFormat="1" ht="16.5" customHeight="1" x14ac:dyDescent="0.2">
      <c r="A152" s="36">
        <f>A151+1</f>
        <v>85</v>
      </c>
      <c r="B152" s="4" t="s">
        <v>201</v>
      </c>
      <c r="C152" s="100">
        <v>1968</v>
      </c>
      <c r="D152" s="100"/>
      <c r="E152" s="98" t="s">
        <v>97</v>
      </c>
      <c r="F152" s="100">
        <v>2</v>
      </c>
      <c r="G152" s="100">
        <v>2</v>
      </c>
      <c r="H152" s="100">
        <v>771.8</v>
      </c>
      <c r="I152" s="100">
        <v>740.7</v>
      </c>
      <c r="J152" s="100">
        <v>616.70000000000005</v>
      </c>
      <c r="K152" s="100">
        <v>34</v>
      </c>
      <c r="L152" s="92">
        <f>'виды работ '!C150</f>
        <v>2706862.48</v>
      </c>
      <c r="M152" s="95">
        <v>0</v>
      </c>
      <c r="N152" s="68">
        <v>1155323</v>
      </c>
      <c r="O152" s="68">
        <v>558126</v>
      </c>
      <c r="P152" s="95">
        <f>-83771.52+1077185</f>
        <v>993413.48</v>
      </c>
      <c r="Q152" s="95">
        <f>L152/H152</f>
        <v>3507.2071521119465</v>
      </c>
      <c r="R152" s="92">
        <v>14593.7</v>
      </c>
      <c r="S152" s="92" t="s">
        <v>107</v>
      </c>
      <c r="T152" s="95" t="s">
        <v>102</v>
      </c>
      <c r="U152" s="25">
        <f t="shared" si="45"/>
        <v>2706862.48</v>
      </c>
      <c r="V152" s="25">
        <f t="shared" si="46"/>
        <v>0</v>
      </c>
    </row>
    <row r="153" spans="1:22" s="2" customFormat="1" ht="16.5" customHeight="1" x14ac:dyDescent="0.2">
      <c r="A153" s="138" t="s">
        <v>17</v>
      </c>
      <c r="B153" s="139"/>
      <c r="C153" s="46" t="s">
        <v>98</v>
      </c>
      <c r="D153" s="46" t="s">
        <v>98</v>
      </c>
      <c r="E153" s="46" t="s">
        <v>98</v>
      </c>
      <c r="F153" s="95" t="s">
        <v>98</v>
      </c>
      <c r="G153" s="95" t="s">
        <v>98</v>
      </c>
      <c r="H153" s="92">
        <f t="shared" ref="H153:P153" si="49">SUM(H150:H152)</f>
        <v>5992.0000000000009</v>
      </c>
      <c r="I153" s="92">
        <f t="shared" si="49"/>
        <v>5397.0999999999995</v>
      </c>
      <c r="J153" s="92">
        <f t="shared" si="49"/>
        <v>4941.5999999999995</v>
      </c>
      <c r="K153" s="91">
        <f t="shared" si="49"/>
        <v>260</v>
      </c>
      <c r="L153" s="92">
        <f t="shared" si="49"/>
        <v>20323624.669999998</v>
      </c>
      <c r="M153" s="92">
        <f t="shared" si="49"/>
        <v>0</v>
      </c>
      <c r="N153" s="92">
        <f t="shared" si="49"/>
        <v>6427754</v>
      </c>
      <c r="O153" s="92">
        <f t="shared" si="49"/>
        <v>3105193</v>
      </c>
      <c r="P153" s="92">
        <f t="shared" si="49"/>
        <v>10790677.67</v>
      </c>
      <c r="Q153" s="95">
        <f>L153/H153</f>
        <v>3391.7931692256334</v>
      </c>
      <c r="R153" s="95" t="s">
        <v>98</v>
      </c>
      <c r="S153" s="92" t="s">
        <v>98</v>
      </c>
      <c r="T153" s="92" t="s">
        <v>98</v>
      </c>
      <c r="U153" s="25">
        <f t="shared" si="45"/>
        <v>20323624.670000002</v>
      </c>
      <c r="V153" s="25">
        <f t="shared" si="46"/>
        <v>0</v>
      </c>
    </row>
    <row r="154" spans="1:22" s="2" customFormat="1" ht="16.5" customHeight="1" x14ac:dyDescent="0.2">
      <c r="A154" s="121" t="s">
        <v>202</v>
      </c>
      <c r="B154" s="121"/>
      <c r="C154" s="121"/>
      <c r="D154" s="121"/>
      <c r="E154" s="121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25">
        <f t="shared" si="45"/>
        <v>0</v>
      </c>
      <c r="V154" s="25">
        <f t="shared" si="46"/>
        <v>0</v>
      </c>
    </row>
    <row r="155" spans="1:22" s="2" customFormat="1" ht="16.5" customHeight="1" x14ac:dyDescent="0.2">
      <c r="A155" s="13">
        <f>A152+1</f>
        <v>86</v>
      </c>
      <c r="B155" s="4" t="s">
        <v>204</v>
      </c>
      <c r="C155" s="98">
        <v>1962</v>
      </c>
      <c r="D155" s="98"/>
      <c r="E155" s="98" t="s">
        <v>97</v>
      </c>
      <c r="F155" s="26">
        <v>2</v>
      </c>
      <c r="G155" s="26">
        <v>2</v>
      </c>
      <c r="H155" s="70">
        <v>622.6</v>
      </c>
      <c r="I155" s="95">
        <v>622.6</v>
      </c>
      <c r="J155" s="95">
        <v>0</v>
      </c>
      <c r="K155" s="91">
        <v>38</v>
      </c>
      <c r="L155" s="92">
        <f>'виды работ '!C153</f>
        <v>3304702.07</v>
      </c>
      <c r="M155" s="95">
        <v>0</v>
      </c>
      <c r="N155" s="68">
        <v>1410488</v>
      </c>
      <c r="O155" s="68">
        <v>681394</v>
      </c>
      <c r="P155" s="95">
        <f>-102271.93+1315092</f>
        <v>1212820.07</v>
      </c>
      <c r="Q155" s="95">
        <f>L155/H155</f>
        <v>5307.9056697719234</v>
      </c>
      <c r="R155" s="92">
        <v>14593.7</v>
      </c>
      <c r="S155" s="92" t="s">
        <v>107</v>
      </c>
      <c r="T155" s="95" t="s">
        <v>102</v>
      </c>
      <c r="U155" s="25">
        <f t="shared" si="45"/>
        <v>3304702.0700000003</v>
      </c>
      <c r="V155" s="25">
        <f t="shared" si="46"/>
        <v>0</v>
      </c>
    </row>
    <row r="156" spans="1:22" s="2" customFormat="1" ht="16.5" customHeight="1" x14ac:dyDescent="0.2">
      <c r="A156" s="13">
        <f>A155+1</f>
        <v>87</v>
      </c>
      <c r="B156" s="4" t="s">
        <v>205</v>
      </c>
      <c r="C156" s="98">
        <v>1964</v>
      </c>
      <c r="D156" s="98"/>
      <c r="E156" s="98" t="s">
        <v>97</v>
      </c>
      <c r="F156" s="26">
        <v>2</v>
      </c>
      <c r="G156" s="26">
        <v>2</v>
      </c>
      <c r="H156" s="70">
        <v>622.6</v>
      </c>
      <c r="I156" s="95">
        <v>622.6</v>
      </c>
      <c r="J156" s="95">
        <v>0</v>
      </c>
      <c r="K156" s="91">
        <v>31</v>
      </c>
      <c r="L156" s="92">
        <f>'виды работ '!C154</f>
        <v>4870226.54</v>
      </c>
      <c r="M156" s="95">
        <v>0</v>
      </c>
      <c r="N156" s="68">
        <v>2078673</v>
      </c>
      <c r="O156" s="68">
        <v>1004189</v>
      </c>
      <c r="P156" s="95">
        <f>-150721.46+1938086</f>
        <v>1787364.54</v>
      </c>
      <c r="Q156" s="95">
        <f>L156/H156</f>
        <v>7822.4004818503054</v>
      </c>
      <c r="R156" s="92">
        <v>14593.7</v>
      </c>
      <c r="S156" s="92" t="s">
        <v>107</v>
      </c>
      <c r="T156" s="95" t="s">
        <v>102</v>
      </c>
      <c r="U156" s="25">
        <f t="shared" si="45"/>
        <v>4870226.54</v>
      </c>
      <c r="V156" s="25">
        <f t="shared" si="46"/>
        <v>0</v>
      </c>
    </row>
    <row r="157" spans="1:22" s="2" customFormat="1" ht="16.5" customHeight="1" x14ac:dyDescent="0.2">
      <c r="A157" s="13">
        <f>A156+1</f>
        <v>88</v>
      </c>
      <c r="B157" s="4" t="s">
        <v>203</v>
      </c>
      <c r="C157" s="98">
        <v>1962</v>
      </c>
      <c r="D157" s="98"/>
      <c r="E157" s="98" t="s">
        <v>97</v>
      </c>
      <c r="F157" s="26">
        <v>2</v>
      </c>
      <c r="G157" s="26">
        <v>2</v>
      </c>
      <c r="H157" s="70">
        <v>622.6</v>
      </c>
      <c r="I157" s="95">
        <v>622.6</v>
      </c>
      <c r="J157" s="95">
        <v>0</v>
      </c>
      <c r="K157" s="91">
        <v>32</v>
      </c>
      <c r="L157" s="92">
        <f>'виды работ '!C155</f>
        <v>3839405.57</v>
      </c>
      <c r="M157" s="95">
        <v>0</v>
      </c>
      <c r="N157" s="68">
        <v>1638706</v>
      </c>
      <c r="O157" s="68">
        <v>791645</v>
      </c>
      <c r="P157" s="95">
        <f>-118820.43+1527875</f>
        <v>1409054.57</v>
      </c>
      <c r="Q157" s="95">
        <f>L157/H157</f>
        <v>6166.7291519434621</v>
      </c>
      <c r="R157" s="92">
        <v>14593.7</v>
      </c>
      <c r="S157" s="92" t="s">
        <v>107</v>
      </c>
      <c r="T157" s="95" t="s">
        <v>102</v>
      </c>
      <c r="U157" s="25">
        <f t="shared" si="45"/>
        <v>3839405.5700000003</v>
      </c>
      <c r="V157" s="25">
        <f t="shared" si="46"/>
        <v>0</v>
      </c>
    </row>
    <row r="158" spans="1:22" s="2" customFormat="1" ht="16.5" customHeight="1" x14ac:dyDescent="0.2">
      <c r="A158" s="138" t="s">
        <v>17</v>
      </c>
      <c r="B158" s="139"/>
      <c r="C158" s="46" t="s">
        <v>98</v>
      </c>
      <c r="D158" s="46" t="s">
        <v>98</v>
      </c>
      <c r="E158" s="46" t="s">
        <v>98</v>
      </c>
      <c r="F158" s="95" t="s">
        <v>98</v>
      </c>
      <c r="G158" s="95" t="s">
        <v>98</v>
      </c>
      <c r="H158" s="92">
        <f t="shared" ref="H158:P158" si="50">SUM(H155:H157)</f>
        <v>1867.8000000000002</v>
      </c>
      <c r="I158" s="92">
        <f t="shared" si="50"/>
        <v>1867.8000000000002</v>
      </c>
      <c r="J158" s="92">
        <f t="shared" si="50"/>
        <v>0</v>
      </c>
      <c r="K158" s="91">
        <f t="shared" si="50"/>
        <v>101</v>
      </c>
      <c r="L158" s="92">
        <f t="shared" si="50"/>
        <v>12014334.18</v>
      </c>
      <c r="M158" s="92">
        <f t="shared" si="50"/>
        <v>0</v>
      </c>
      <c r="N158" s="92">
        <f t="shared" si="50"/>
        <v>5127867</v>
      </c>
      <c r="O158" s="92">
        <f t="shared" si="50"/>
        <v>2477228</v>
      </c>
      <c r="P158" s="92">
        <f t="shared" si="50"/>
        <v>4409239.1800000006</v>
      </c>
      <c r="Q158" s="95">
        <f>L158/H158</f>
        <v>6432.3451011885636</v>
      </c>
      <c r="R158" s="95" t="s">
        <v>98</v>
      </c>
      <c r="S158" s="92" t="s">
        <v>98</v>
      </c>
      <c r="T158" s="92" t="s">
        <v>98</v>
      </c>
      <c r="U158" s="25">
        <f t="shared" si="45"/>
        <v>12014334.18</v>
      </c>
      <c r="V158" s="25">
        <f t="shared" si="46"/>
        <v>0</v>
      </c>
    </row>
    <row r="159" spans="1:22" s="3" customFormat="1" ht="16.5" customHeight="1" x14ac:dyDescent="0.2">
      <c r="A159" s="131" t="s">
        <v>28</v>
      </c>
      <c r="B159" s="132"/>
      <c r="C159" s="133"/>
      <c r="D159" s="94" t="s">
        <v>98</v>
      </c>
      <c r="E159" s="94" t="s">
        <v>98</v>
      </c>
      <c r="F159" s="93" t="s">
        <v>98</v>
      </c>
      <c r="G159" s="93" t="s">
        <v>98</v>
      </c>
      <c r="H159" s="96">
        <f t="shared" ref="H159:P159" si="51">H148+H153+H158</f>
        <v>10834.3</v>
      </c>
      <c r="I159" s="96">
        <f t="shared" si="51"/>
        <v>10239.399999999998</v>
      </c>
      <c r="J159" s="96">
        <f t="shared" si="51"/>
        <v>7193.7999999999993</v>
      </c>
      <c r="K159" s="8">
        <f t="shared" si="51"/>
        <v>420</v>
      </c>
      <c r="L159" s="96">
        <f t="shared" si="51"/>
        <v>65644300.089999996</v>
      </c>
      <c r="M159" s="96">
        <f t="shared" si="51"/>
        <v>0</v>
      </c>
      <c r="N159" s="96">
        <f t="shared" si="51"/>
        <v>26111330</v>
      </c>
      <c r="O159" s="96">
        <f t="shared" si="51"/>
        <v>12614162</v>
      </c>
      <c r="P159" s="96">
        <f t="shared" si="51"/>
        <v>26918808.09</v>
      </c>
      <c r="Q159" s="93">
        <f>L159/H159</f>
        <v>6058.9332111903859</v>
      </c>
      <c r="R159" s="93" t="s">
        <v>98</v>
      </c>
      <c r="S159" s="96" t="s">
        <v>98</v>
      </c>
      <c r="T159" s="96" t="s">
        <v>98</v>
      </c>
      <c r="U159" s="25">
        <f t="shared" si="45"/>
        <v>65644300.090000004</v>
      </c>
      <c r="V159" s="25">
        <f t="shared" si="46"/>
        <v>0</v>
      </c>
    </row>
    <row r="160" spans="1:22" s="2" customFormat="1" ht="16.5" customHeight="1" x14ac:dyDescent="0.2">
      <c r="A160" s="141" t="s">
        <v>29</v>
      </c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25">
        <f t="shared" si="45"/>
        <v>0</v>
      </c>
      <c r="V160" s="25">
        <f t="shared" si="46"/>
        <v>0</v>
      </c>
    </row>
    <row r="161" spans="1:22" s="2" customFormat="1" ht="16.5" customHeight="1" x14ac:dyDescent="0.2">
      <c r="A161" s="134" t="s">
        <v>30</v>
      </c>
      <c r="B161" s="135"/>
      <c r="C161" s="145"/>
      <c r="D161" s="145"/>
      <c r="E161" s="146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25">
        <f t="shared" si="45"/>
        <v>0</v>
      </c>
      <c r="V161" s="25">
        <f t="shared" si="46"/>
        <v>0</v>
      </c>
    </row>
    <row r="162" spans="1:22" s="2" customFormat="1" ht="16.5" customHeight="1" x14ac:dyDescent="0.2">
      <c r="A162" s="13">
        <f>A157+1</f>
        <v>89</v>
      </c>
      <c r="B162" s="63" t="s">
        <v>206</v>
      </c>
      <c r="C162" s="99">
        <v>1991</v>
      </c>
      <c r="D162" s="99"/>
      <c r="E162" s="98" t="s">
        <v>99</v>
      </c>
      <c r="F162" s="26">
        <v>3</v>
      </c>
      <c r="G162" s="26">
        <v>2</v>
      </c>
      <c r="H162" s="92">
        <v>2208.9</v>
      </c>
      <c r="I162" s="92">
        <v>781.5</v>
      </c>
      <c r="J162" s="92">
        <v>544</v>
      </c>
      <c r="K162" s="91">
        <v>74</v>
      </c>
      <c r="L162" s="92">
        <f>'виды работ '!C160</f>
        <v>1101641.5</v>
      </c>
      <c r="M162" s="95">
        <v>0</v>
      </c>
      <c r="N162" s="68">
        <v>456080</v>
      </c>
      <c r="O162" s="68">
        <v>220328</v>
      </c>
      <c r="P162" s="95">
        <f>-0.5+425234</f>
        <v>425233.5</v>
      </c>
      <c r="Q162" s="95">
        <f>L162/H162</f>
        <v>498.72855267327628</v>
      </c>
      <c r="R162" s="92">
        <v>14593.7</v>
      </c>
      <c r="S162" s="92" t="s">
        <v>107</v>
      </c>
      <c r="T162" s="95" t="s">
        <v>102</v>
      </c>
      <c r="U162" s="25">
        <f t="shared" si="45"/>
        <v>1101641.5</v>
      </c>
      <c r="V162" s="25">
        <f t="shared" si="46"/>
        <v>0</v>
      </c>
    </row>
    <row r="163" spans="1:22" s="2" customFormat="1" ht="16.5" customHeight="1" x14ac:dyDescent="0.2">
      <c r="A163" s="138" t="s">
        <v>17</v>
      </c>
      <c r="B163" s="139"/>
      <c r="C163" s="46" t="s">
        <v>98</v>
      </c>
      <c r="D163" s="46" t="s">
        <v>98</v>
      </c>
      <c r="E163" s="46" t="s">
        <v>98</v>
      </c>
      <c r="F163" s="95" t="s">
        <v>98</v>
      </c>
      <c r="G163" s="95" t="s">
        <v>98</v>
      </c>
      <c r="H163" s="95">
        <f t="shared" ref="H163:P163" si="52">SUM(H162:H162)</f>
        <v>2208.9</v>
      </c>
      <c r="I163" s="95">
        <f t="shared" si="52"/>
        <v>781.5</v>
      </c>
      <c r="J163" s="95">
        <f t="shared" si="52"/>
        <v>544</v>
      </c>
      <c r="K163" s="26">
        <f t="shared" si="52"/>
        <v>74</v>
      </c>
      <c r="L163" s="95">
        <f t="shared" si="52"/>
        <v>1101641.5</v>
      </c>
      <c r="M163" s="95">
        <f t="shared" si="52"/>
        <v>0</v>
      </c>
      <c r="N163" s="95">
        <f t="shared" si="52"/>
        <v>456080</v>
      </c>
      <c r="O163" s="95">
        <f t="shared" si="52"/>
        <v>220328</v>
      </c>
      <c r="P163" s="95">
        <f t="shared" si="52"/>
        <v>425233.5</v>
      </c>
      <c r="Q163" s="95">
        <f>L163/H163</f>
        <v>498.72855267327628</v>
      </c>
      <c r="R163" s="95" t="s">
        <v>98</v>
      </c>
      <c r="S163" s="92" t="s">
        <v>98</v>
      </c>
      <c r="T163" s="92" t="s">
        <v>98</v>
      </c>
      <c r="U163" s="25">
        <f t="shared" si="45"/>
        <v>1101641.5</v>
      </c>
      <c r="V163" s="25">
        <f t="shared" si="46"/>
        <v>0</v>
      </c>
    </row>
    <row r="164" spans="1:22" s="2" customFormat="1" ht="16.5" customHeight="1" x14ac:dyDescent="0.2">
      <c r="A164" s="134" t="s">
        <v>209</v>
      </c>
      <c r="B164" s="135"/>
      <c r="C164" s="135"/>
      <c r="D164" s="135"/>
      <c r="E164" s="136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25">
        <f t="shared" si="45"/>
        <v>0</v>
      </c>
      <c r="V164" s="25">
        <f t="shared" si="46"/>
        <v>0</v>
      </c>
    </row>
    <row r="165" spans="1:22" s="2" customFormat="1" ht="16.5" customHeight="1" x14ac:dyDescent="0.2">
      <c r="A165" s="13">
        <f>A162+1</f>
        <v>90</v>
      </c>
      <c r="B165" s="4" t="s">
        <v>211</v>
      </c>
      <c r="C165" s="99">
        <v>1979</v>
      </c>
      <c r="D165" s="99"/>
      <c r="E165" s="98" t="s">
        <v>99</v>
      </c>
      <c r="F165" s="91">
        <v>5</v>
      </c>
      <c r="G165" s="91">
        <v>4</v>
      </c>
      <c r="H165" s="92">
        <v>4306.3999999999996</v>
      </c>
      <c r="I165" s="92">
        <v>3249.7</v>
      </c>
      <c r="J165" s="92">
        <v>2846.2</v>
      </c>
      <c r="K165" s="91">
        <v>130</v>
      </c>
      <c r="L165" s="92">
        <f>'виды работ '!C163</f>
        <v>1702375.51</v>
      </c>
      <c r="M165" s="95">
        <v>0</v>
      </c>
      <c r="N165" s="68">
        <v>704784</v>
      </c>
      <c r="O165" s="68">
        <v>340475</v>
      </c>
      <c r="P165" s="95">
        <f>-0.49+657117</f>
        <v>657116.51</v>
      </c>
      <c r="Q165" s="95">
        <f>L165/H165</f>
        <v>395.31290869403682</v>
      </c>
      <c r="R165" s="92">
        <v>14593.7</v>
      </c>
      <c r="S165" s="92" t="s">
        <v>107</v>
      </c>
      <c r="T165" s="95" t="s">
        <v>102</v>
      </c>
      <c r="U165" s="25">
        <f t="shared" si="45"/>
        <v>1702375.51</v>
      </c>
      <c r="V165" s="25">
        <f t="shared" si="46"/>
        <v>0</v>
      </c>
    </row>
    <row r="166" spans="1:22" s="2" customFormat="1" ht="16.5" customHeight="1" x14ac:dyDescent="0.2">
      <c r="A166" s="13">
        <f>A165+1</f>
        <v>91</v>
      </c>
      <c r="B166" s="4" t="s">
        <v>210</v>
      </c>
      <c r="C166" s="99">
        <v>1961</v>
      </c>
      <c r="D166" s="99"/>
      <c r="E166" s="98" t="s">
        <v>97</v>
      </c>
      <c r="F166" s="91">
        <v>2</v>
      </c>
      <c r="G166" s="91">
        <v>2</v>
      </c>
      <c r="H166" s="92">
        <v>511</v>
      </c>
      <c r="I166" s="92">
        <v>450.6</v>
      </c>
      <c r="J166" s="92">
        <v>184.2</v>
      </c>
      <c r="K166" s="91">
        <v>41</v>
      </c>
      <c r="L166" s="92">
        <f>'виды работ '!C164</f>
        <v>119235.46</v>
      </c>
      <c r="M166" s="95">
        <v>0</v>
      </c>
      <c r="N166" s="68">
        <v>49364</v>
      </c>
      <c r="O166" s="68">
        <v>23847</v>
      </c>
      <c r="P166" s="95">
        <f>-0.54+46025</f>
        <v>46024.46</v>
      </c>
      <c r="Q166" s="95">
        <f>L166/H166</f>
        <v>233.33749510763209</v>
      </c>
      <c r="R166" s="92">
        <v>14593.7</v>
      </c>
      <c r="S166" s="92" t="s">
        <v>107</v>
      </c>
      <c r="T166" s="95" t="s">
        <v>102</v>
      </c>
      <c r="U166" s="25">
        <f t="shared" si="45"/>
        <v>119235.45999999999</v>
      </c>
      <c r="V166" s="25">
        <f t="shared" si="46"/>
        <v>0</v>
      </c>
    </row>
    <row r="167" spans="1:22" s="2" customFormat="1" ht="16.5" customHeight="1" x14ac:dyDescent="0.2">
      <c r="A167" s="138" t="s">
        <v>17</v>
      </c>
      <c r="B167" s="139"/>
      <c r="C167" s="46" t="s">
        <v>98</v>
      </c>
      <c r="D167" s="46" t="s">
        <v>98</v>
      </c>
      <c r="E167" s="46" t="s">
        <v>98</v>
      </c>
      <c r="F167" s="95" t="s">
        <v>98</v>
      </c>
      <c r="G167" s="95" t="s">
        <v>98</v>
      </c>
      <c r="H167" s="92">
        <f t="shared" ref="H167:P167" si="53">SUM(H165:H166)</f>
        <v>4817.3999999999996</v>
      </c>
      <c r="I167" s="92">
        <f t="shared" si="53"/>
        <v>3700.2999999999997</v>
      </c>
      <c r="J167" s="92">
        <f t="shared" si="53"/>
        <v>3030.3999999999996</v>
      </c>
      <c r="K167" s="91">
        <f t="shared" si="53"/>
        <v>171</v>
      </c>
      <c r="L167" s="92">
        <f t="shared" si="53"/>
        <v>1821610.97</v>
      </c>
      <c r="M167" s="92">
        <f t="shared" si="53"/>
        <v>0</v>
      </c>
      <c r="N167" s="92">
        <f t="shared" si="53"/>
        <v>754148</v>
      </c>
      <c r="O167" s="92">
        <f t="shared" si="53"/>
        <v>364322</v>
      </c>
      <c r="P167" s="92">
        <f t="shared" si="53"/>
        <v>703140.97</v>
      </c>
      <c r="Q167" s="95">
        <f>L167/H167</f>
        <v>378.13155851704244</v>
      </c>
      <c r="R167" s="95" t="s">
        <v>98</v>
      </c>
      <c r="S167" s="92" t="s">
        <v>98</v>
      </c>
      <c r="T167" s="92" t="s">
        <v>98</v>
      </c>
      <c r="U167" s="25">
        <f t="shared" si="45"/>
        <v>1821610.97</v>
      </c>
      <c r="V167" s="25">
        <f t="shared" si="46"/>
        <v>0</v>
      </c>
    </row>
    <row r="168" spans="1:22" s="2" customFormat="1" ht="16.5" customHeight="1" x14ac:dyDescent="0.2">
      <c r="A168" s="134" t="s">
        <v>212</v>
      </c>
      <c r="B168" s="135"/>
      <c r="C168" s="135"/>
      <c r="D168" s="135"/>
      <c r="E168" s="136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25">
        <f t="shared" si="45"/>
        <v>0</v>
      </c>
      <c r="V168" s="25">
        <f t="shared" si="46"/>
        <v>0</v>
      </c>
    </row>
    <row r="169" spans="1:22" s="2" customFormat="1" ht="16.5" customHeight="1" x14ac:dyDescent="0.2">
      <c r="A169" s="31">
        <f>A166+1</f>
        <v>92</v>
      </c>
      <c r="B169" s="4" t="s">
        <v>214</v>
      </c>
      <c r="C169" s="98">
        <v>1965</v>
      </c>
      <c r="D169" s="98"/>
      <c r="E169" s="98" t="s">
        <v>97</v>
      </c>
      <c r="F169" s="26">
        <v>2</v>
      </c>
      <c r="G169" s="26">
        <v>2</v>
      </c>
      <c r="H169" s="101">
        <v>673.8</v>
      </c>
      <c r="I169" s="95">
        <v>569.29999999999995</v>
      </c>
      <c r="J169" s="95">
        <v>96.31</v>
      </c>
      <c r="K169" s="26">
        <v>29</v>
      </c>
      <c r="L169" s="92">
        <f>'виды работ '!C167</f>
        <v>906812.65</v>
      </c>
      <c r="M169" s="95">
        <v>0</v>
      </c>
      <c r="N169" s="68">
        <v>375421</v>
      </c>
      <c r="O169" s="68">
        <v>181362</v>
      </c>
      <c r="P169" s="95">
        <f>-1.35+350031</f>
        <v>350029.65</v>
      </c>
      <c r="Q169" s="95">
        <f>L169/H169</f>
        <v>1345.8187147521521</v>
      </c>
      <c r="R169" s="92">
        <v>14593.7</v>
      </c>
      <c r="S169" s="92" t="s">
        <v>107</v>
      </c>
      <c r="T169" s="95" t="s">
        <v>102</v>
      </c>
      <c r="U169" s="25">
        <f t="shared" si="45"/>
        <v>906812.65</v>
      </c>
      <c r="V169" s="25">
        <f t="shared" si="46"/>
        <v>0</v>
      </c>
    </row>
    <row r="170" spans="1:22" s="2" customFormat="1" ht="16.5" customHeight="1" x14ac:dyDescent="0.2">
      <c r="A170" s="31">
        <f>A169+1</f>
        <v>93</v>
      </c>
      <c r="B170" s="4" t="s">
        <v>215</v>
      </c>
      <c r="C170" s="98">
        <v>1965</v>
      </c>
      <c r="D170" s="98"/>
      <c r="E170" s="98" t="s">
        <v>97</v>
      </c>
      <c r="F170" s="26">
        <v>2</v>
      </c>
      <c r="G170" s="26">
        <v>2</v>
      </c>
      <c r="H170" s="101">
        <v>659.8</v>
      </c>
      <c r="I170" s="95">
        <v>635.4</v>
      </c>
      <c r="J170" s="95">
        <v>205.98</v>
      </c>
      <c r="K170" s="26">
        <v>20</v>
      </c>
      <c r="L170" s="92">
        <f>'виды работ '!C168</f>
        <v>906812.65</v>
      </c>
      <c r="M170" s="95">
        <v>0</v>
      </c>
      <c r="N170" s="68">
        <v>375421</v>
      </c>
      <c r="O170" s="68">
        <v>181362</v>
      </c>
      <c r="P170" s="95">
        <f>-1.35+350031</f>
        <v>350029.65</v>
      </c>
      <c r="Q170" s="95">
        <f>L170/H170</f>
        <v>1374.3750378902698</v>
      </c>
      <c r="R170" s="92">
        <v>14593.7</v>
      </c>
      <c r="S170" s="92" t="s">
        <v>107</v>
      </c>
      <c r="T170" s="95" t="s">
        <v>102</v>
      </c>
      <c r="U170" s="25">
        <f t="shared" si="45"/>
        <v>906812.65</v>
      </c>
      <c r="V170" s="25">
        <f t="shared" si="46"/>
        <v>0</v>
      </c>
    </row>
    <row r="171" spans="1:22" s="2" customFormat="1" ht="16.5" customHeight="1" x14ac:dyDescent="0.2">
      <c r="A171" s="31">
        <f>A170+1</f>
        <v>94</v>
      </c>
      <c r="B171" s="4" t="s">
        <v>213</v>
      </c>
      <c r="C171" s="99">
        <v>1957</v>
      </c>
      <c r="D171" s="99"/>
      <c r="E171" s="98" t="s">
        <v>110</v>
      </c>
      <c r="F171" s="91">
        <v>2</v>
      </c>
      <c r="G171" s="91">
        <v>2</v>
      </c>
      <c r="H171" s="92">
        <v>737.2</v>
      </c>
      <c r="I171" s="92">
        <v>652.9</v>
      </c>
      <c r="J171" s="92">
        <v>515.9</v>
      </c>
      <c r="K171" s="91">
        <v>20</v>
      </c>
      <c r="L171" s="92">
        <f>'виды работ '!C169</f>
        <v>132961.22</v>
      </c>
      <c r="M171" s="95">
        <v>0</v>
      </c>
      <c r="N171" s="68">
        <v>55047</v>
      </c>
      <c r="O171" s="68">
        <v>26592</v>
      </c>
      <c r="P171" s="95">
        <f>-0.78+51323</f>
        <v>51322.22</v>
      </c>
      <c r="Q171" s="95">
        <f>L171/H171</f>
        <v>180.35976668475311</v>
      </c>
      <c r="R171" s="92">
        <v>14593.7</v>
      </c>
      <c r="S171" s="92" t="s">
        <v>107</v>
      </c>
      <c r="T171" s="95" t="s">
        <v>102</v>
      </c>
      <c r="U171" s="25">
        <f t="shared" si="45"/>
        <v>132961.22</v>
      </c>
      <c r="V171" s="25">
        <f t="shared" si="46"/>
        <v>0</v>
      </c>
    </row>
    <row r="172" spans="1:22" s="2" customFormat="1" ht="16.5" customHeight="1" x14ac:dyDescent="0.2">
      <c r="A172" s="138" t="s">
        <v>17</v>
      </c>
      <c r="B172" s="139"/>
      <c r="C172" s="46" t="s">
        <v>98</v>
      </c>
      <c r="D172" s="46" t="s">
        <v>98</v>
      </c>
      <c r="E172" s="46" t="s">
        <v>98</v>
      </c>
      <c r="F172" s="95" t="s">
        <v>98</v>
      </c>
      <c r="G172" s="95" t="s">
        <v>98</v>
      </c>
      <c r="H172" s="92">
        <f t="shared" ref="H172:P172" si="54">SUM(H169:H171)</f>
        <v>2070.8000000000002</v>
      </c>
      <c r="I172" s="92">
        <f t="shared" si="54"/>
        <v>1857.6</v>
      </c>
      <c r="J172" s="92">
        <f t="shared" si="54"/>
        <v>818.18999999999994</v>
      </c>
      <c r="K172" s="91">
        <f t="shared" si="54"/>
        <v>69</v>
      </c>
      <c r="L172" s="92">
        <f t="shared" si="54"/>
        <v>1946586.52</v>
      </c>
      <c r="M172" s="92">
        <f t="shared" si="54"/>
        <v>0</v>
      </c>
      <c r="N172" s="92">
        <f t="shared" si="54"/>
        <v>805889</v>
      </c>
      <c r="O172" s="92">
        <f t="shared" si="54"/>
        <v>389316</v>
      </c>
      <c r="P172" s="92">
        <f t="shared" si="54"/>
        <v>751381.52</v>
      </c>
      <c r="Q172" s="95">
        <f>L172/H172</f>
        <v>940.01666988603426</v>
      </c>
      <c r="R172" s="95" t="s">
        <v>98</v>
      </c>
      <c r="S172" s="92" t="s">
        <v>98</v>
      </c>
      <c r="T172" s="92" t="s">
        <v>98</v>
      </c>
      <c r="U172" s="25">
        <f t="shared" si="45"/>
        <v>1946586.52</v>
      </c>
      <c r="V172" s="25">
        <f t="shared" si="46"/>
        <v>0</v>
      </c>
    </row>
    <row r="173" spans="1:22" s="2" customFormat="1" ht="16.5" customHeight="1" x14ac:dyDescent="0.2">
      <c r="A173" s="134" t="s">
        <v>31</v>
      </c>
      <c r="B173" s="135"/>
      <c r="C173" s="145"/>
      <c r="D173" s="145"/>
      <c r="E173" s="146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25">
        <f t="shared" si="45"/>
        <v>0</v>
      </c>
      <c r="V173" s="25">
        <f t="shared" si="46"/>
        <v>0</v>
      </c>
    </row>
    <row r="174" spans="1:22" s="2" customFormat="1" ht="16.5" customHeight="1" x14ac:dyDescent="0.2">
      <c r="A174" s="12">
        <f>A171+1</f>
        <v>95</v>
      </c>
      <c r="B174" s="63" t="s">
        <v>207</v>
      </c>
      <c r="C174" s="99">
        <v>1971</v>
      </c>
      <c r="D174" s="99"/>
      <c r="E174" s="98" t="s">
        <v>99</v>
      </c>
      <c r="F174" s="26">
        <v>5</v>
      </c>
      <c r="G174" s="26">
        <v>4</v>
      </c>
      <c r="H174" s="92">
        <v>4263</v>
      </c>
      <c r="I174" s="92">
        <v>3503.8</v>
      </c>
      <c r="J174" s="92">
        <v>2047.8</v>
      </c>
      <c r="K174" s="91">
        <v>205</v>
      </c>
      <c r="L174" s="95">
        <f>'виды работ '!C172</f>
        <v>1522528</v>
      </c>
      <c r="M174" s="95">
        <v>0</v>
      </c>
      <c r="N174" s="68">
        <v>630327</v>
      </c>
      <c r="O174" s="68">
        <v>304505</v>
      </c>
      <c r="P174" s="95">
        <v>587696</v>
      </c>
      <c r="Q174" s="95">
        <f>L174/H174</f>
        <v>357.14942528735634</v>
      </c>
      <c r="R174" s="92">
        <v>14593.7</v>
      </c>
      <c r="S174" s="92" t="s">
        <v>107</v>
      </c>
      <c r="T174" s="95" t="s">
        <v>102</v>
      </c>
      <c r="U174" s="25">
        <f t="shared" si="45"/>
        <v>1522528</v>
      </c>
      <c r="V174" s="25">
        <f t="shared" si="46"/>
        <v>0</v>
      </c>
    </row>
    <row r="175" spans="1:22" s="2" customFormat="1" ht="16.5" customHeight="1" x14ac:dyDescent="0.2">
      <c r="A175" s="12">
        <f>A174+1</f>
        <v>96</v>
      </c>
      <c r="B175" s="63" t="s">
        <v>208</v>
      </c>
      <c r="C175" s="99">
        <v>1978</v>
      </c>
      <c r="D175" s="99"/>
      <c r="E175" s="98" t="s">
        <v>99</v>
      </c>
      <c r="F175" s="26">
        <v>5</v>
      </c>
      <c r="G175" s="26">
        <v>4</v>
      </c>
      <c r="H175" s="92">
        <v>3969.6</v>
      </c>
      <c r="I175" s="92">
        <v>3251.4</v>
      </c>
      <c r="J175" s="92">
        <v>2422.6</v>
      </c>
      <c r="K175" s="91">
        <v>136</v>
      </c>
      <c r="L175" s="95">
        <f>'виды работ '!C173</f>
        <v>1461549</v>
      </c>
      <c r="M175" s="95">
        <v>0</v>
      </c>
      <c r="N175" s="68">
        <v>605082</v>
      </c>
      <c r="O175" s="68">
        <v>292309</v>
      </c>
      <c r="P175" s="95">
        <v>564158</v>
      </c>
      <c r="Q175" s="95">
        <f>L175/H175</f>
        <v>368.1854594921403</v>
      </c>
      <c r="R175" s="92">
        <v>14593.7</v>
      </c>
      <c r="S175" s="92" t="s">
        <v>107</v>
      </c>
      <c r="T175" s="95" t="s">
        <v>102</v>
      </c>
      <c r="U175" s="25">
        <f t="shared" si="45"/>
        <v>1461549</v>
      </c>
      <c r="V175" s="25">
        <f t="shared" si="46"/>
        <v>0</v>
      </c>
    </row>
    <row r="176" spans="1:22" s="3" customFormat="1" ht="16.5" customHeight="1" x14ac:dyDescent="0.2">
      <c r="A176" s="138" t="s">
        <v>17</v>
      </c>
      <c r="B176" s="139"/>
      <c r="C176" s="37" t="s">
        <v>98</v>
      </c>
      <c r="D176" s="37" t="s">
        <v>98</v>
      </c>
      <c r="E176" s="37" t="s">
        <v>98</v>
      </c>
      <c r="F176" s="95" t="s">
        <v>98</v>
      </c>
      <c r="G176" s="95" t="s">
        <v>98</v>
      </c>
      <c r="H176" s="95">
        <f t="shared" ref="H176:P176" si="55">SUM(H174:H175)</f>
        <v>8232.6</v>
      </c>
      <c r="I176" s="95">
        <f t="shared" si="55"/>
        <v>6755.2000000000007</v>
      </c>
      <c r="J176" s="95">
        <f t="shared" si="55"/>
        <v>4470.3999999999996</v>
      </c>
      <c r="K176" s="26">
        <f t="shared" si="55"/>
        <v>341</v>
      </c>
      <c r="L176" s="95">
        <f t="shared" si="55"/>
        <v>2984077</v>
      </c>
      <c r="M176" s="95">
        <f t="shared" si="55"/>
        <v>0</v>
      </c>
      <c r="N176" s="95">
        <f t="shared" si="55"/>
        <v>1235409</v>
      </c>
      <c r="O176" s="95">
        <f t="shared" si="55"/>
        <v>596814</v>
      </c>
      <c r="P176" s="95">
        <f t="shared" si="55"/>
        <v>1151854</v>
      </c>
      <c r="Q176" s="95">
        <f>L176/H176</f>
        <v>362.47078687170517</v>
      </c>
      <c r="R176" s="95" t="s">
        <v>98</v>
      </c>
      <c r="S176" s="92" t="s">
        <v>98</v>
      </c>
      <c r="T176" s="92" t="s">
        <v>98</v>
      </c>
      <c r="U176" s="25">
        <f t="shared" si="45"/>
        <v>2984077</v>
      </c>
      <c r="V176" s="25">
        <f t="shared" si="46"/>
        <v>0</v>
      </c>
    </row>
    <row r="177" spans="1:22" s="3" customFormat="1" ht="16.5" customHeight="1" x14ac:dyDescent="0.2">
      <c r="A177" s="131" t="s">
        <v>32</v>
      </c>
      <c r="B177" s="132"/>
      <c r="C177" s="133"/>
      <c r="D177" s="94" t="s">
        <v>98</v>
      </c>
      <c r="E177" s="94" t="s">
        <v>98</v>
      </c>
      <c r="F177" s="93" t="s">
        <v>98</v>
      </c>
      <c r="G177" s="93" t="s">
        <v>98</v>
      </c>
      <c r="H177" s="96">
        <f t="shared" ref="H177:P177" si="56">H163+H167+H172+H176</f>
        <v>17329.699999999997</v>
      </c>
      <c r="I177" s="96">
        <f t="shared" si="56"/>
        <v>13094.6</v>
      </c>
      <c r="J177" s="96">
        <f t="shared" si="56"/>
        <v>8862.989999999998</v>
      </c>
      <c r="K177" s="8">
        <f t="shared" si="56"/>
        <v>655</v>
      </c>
      <c r="L177" s="96">
        <f t="shared" si="56"/>
        <v>7853915.9900000002</v>
      </c>
      <c r="M177" s="96">
        <f t="shared" si="56"/>
        <v>0</v>
      </c>
      <c r="N177" s="96">
        <f t="shared" si="56"/>
        <v>3251526</v>
      </c>
      <c r="O177" s="96">
        <f t="shared" si="56"/>
        <v>1570780</v>
      </c>
      <c r="P177" s="96">
        <f t="shared" si="56"/>
        <v>3031609.99</v>
      </c>
      <c r="Q177" s="95">
        <f>L177/H177</f>
        <v>453.20553673750851</v>
      </c>
      <c r="R177" s="93" t="s">
        <v>98</v>
      </c>
      <c r="S177" s="96" t="s">
        <v>98</v>
      </c>
      <c r="T177" s="96" t="s">
        <v>98</v>
      </c>
      <c r="U177" s="25">
        <f t="shared" si="45"/>
        <v>7853915.9900000002</v>
      </c>
      <c r="V177" s="25">
        <f t="shared" si="46"/>
        <v>0</v>
      </c>
    </row>
    <row r="178" spans="1:22" s="2" customFormat="1" ht="16.5" customHeight="1" x14ac:dyDescent="0.2">
      <c r="A178" s="130" t="s">
        <v>33</v>
      </c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25">
        <f t="shared" si="45"/>
        <v>0</v>
      </c>
      <c r="V178" s="25">
        <f t="shared" si="46"/>
        <v>0</v>
      </c>
    </row>
    <row r="179" spans="1:22" s="2" customFormat="1" ht="16.5" customHeight="1" x14ac:dyDescent="0.2">
      <c r="A179" s="142" t="s">
        <v>216</v>
      </c>
      <c r="B179" s="143"/>
      <c r="C179" s="143"/>
      <c r="D179" s="143"/>
      <c r="E179" s="144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25">
        <f t="shared" si="45"/>
        <v>0</v>
      </c>
      <c r="V179" s="25">
        <f t="shared" si="46"/>
        <v>0</v>
      </c>
    </row>
    <row r="180" spans="1:22" s="2" customFormat="1" ht="16.5" customHeight="1" x14ac:dyDescent="0.2">
      <c r="A180" s="12">
        <f>A175+1</f>
        <v>97</v>
      </c>
      <c r="B180" s="4" t="s">
        <v>217</v>
      </c>
      <c r="C180" s="98">
        <v>1984</v>
      </c>
      <c r="D180" s="98"/>
      <c r="E180" s="98" t="s">
        <v>97</v>
      </c>
      <c r="F180" s="91">
        <v>2</v>
      </c>
      <c r="G180" s="91">
        <v>2</v>
      </c>
      <c r="H180" s="92">
        <v>1064.7</v>
      </c>
      <c r="I180" s="92">
        <v>623.79999999999995</v>
      </c>
      <c r="J180" s="92">
        <v>561.79999999999995</v>
      </c>
      <c r="K180" s="26">
        <v>24</v>
      </c>
      <c r="L180" s="92">
        <f>'виды работ '!C178</f>
        <v>1255699.3600000001</v>
      </c>
      <c r="M180" s="95">
        <v>0</v>
      </c>
      <c r="N180" s="68">
        <v>519860</v>
      </c>
      <c r="O180" s="68">
        <v>251140</v>
      </c>
      <c r="P180" s="95">
        <f>-0.64+484700</f>
        <v>484699.36</v>
      </c>
      <c r="Q180" s="95">
        <f>L180/H180</f>
        <v>1179.39265520804</v>
      </c>
      <c r="R180" s="92">
        <v>14593.7</v>
      </c>
      <c r="S180" s="92" t="s">
        <v>107</v>
      </c>
      <c r="T180" s="95" t="s">
        <v>102</v>
      </c>
      <c r="U180" s="25">
        <f t="shared" si="45"/>
        <v>1255699.3599999999</v>
      </c>
      <c r="V180" s="25">
        <f t="shared" si="46"/>
        <v>0</v>
      </c>
    </row>
    <row r="181" spans="1:22" s="2" customFormat="1" ht="16.5" customHeight="1" x14ac:dyDescent="0.2">
      <c r="A181" s="138" t="s">
        <v>17</v>
      </c>
      <c r="B181" s="139"/>
      <c r="C181" s="46" t="s">
        <v>98</v>
      </c>
      <c r="D181" s="46" t="s">
        <v>98</v>
      </c>
      <c r="E181" s="46" t="s">
        <v>98</v>
      </c>
      <c r="F181" s="95" t="s">
        <v>98</v>
      </c>
      <c r="G181" s="95" t="s">
        <v>98</v>
      </c>
      <c r="H181" s="92">
        <f t="shared" ref="H181:P181" si="57">SUM(H180:H180)</f>
        <v>1064.7</v>
      </c>
      <c r="I181" s="92">
        <f t="shared" si="57"/>
        <v>623.79999999999995</v>
      </c>
      <c r="J181" s="92">
        <f t="shared" si="57"/>
        <v>561.79999999999995</v>
      </c>
      <c r="K181" s="91">
        <f t="shared" si="57"/>
        <v>24</v>
      </c>
      <c r="L181" s="92">
        <f t="shared" si="57"/>
        <v>1255699.3600000001</v>
      </c>
      <c r="M181" s="92">
        <f t="shared" si="57"/>
        <v>0</v>
      </c>
      <c r="N181" s="92">
        <f t="shared" si="57"/>
        <v>519860</v>
      </c>
      <c r="O181" s="92">
        <f t="shared" si="57"/>
        <v>251140</v>
      </c>
      <c r="P181" s="92">
        <f t="shared" si="57"/>
        <v>484699.36</v>
      </c>
      <c r="Q181" s="95">
        <f>L181/H181</f>
        <v>1179.39265520804</v>
      </c>
      <c r="R181" s="95" t="s">
        <v>98</v>
      </c>
      <c r="S181" s="92" t="s">
        <v>98</v>
      </c>
      <c r="T181" s="92" t="s">
        <v>98</v>
      </c>
      <c r="U181" s="25">
        <f t="shared" si="45"/>
        <v>1255699.3599999999</v>
      </c>
      <c r="V181" s="25">
        <f t="shared" si="46"/>
        <v>0</v>
      </c>
    </row>
    <row r="182" spans="1:22" s="2" customFormat="1" ht="16.5" customHeight="1" x14ac:dyDescent="0.2">
      <c r="A182" s="118" t="s">
        <v>34</v>
      </c>
      <c r="B182" s="123"/>
      <c r="C182" s="123"/>
      <c r="D182" s="123"/>
      <c r="E182" s="123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25">
        <f t="shared" si="45"/>
        <v>0</v>
      </c>
      <c r="V182" s="25">
        <f t="shared" si="46"/>
        <v>0</v>
      </c>
    </row>
    <row r="183" spans="1:22" s="2" customFormat="1" ht="16.5" customHeight="1" x14ac:dyDescent="0.2">
      <c r="A183" s="36">
        <f>A180+1</f>
        <v>98</v>
      </c>
      <c r="B183" s="4" t="s">
        <v>218</v>
      </c>
      <c r="C183" s="98">
        <v>1982</v>
      </c>
      <c r="D183" s="98"/>
      <c r="E183" s="98" t="s">
        <v>99</v>
      </c>
      <c r="F183" s="26">
        <v>5</v>
      </c>
      <c r="G183" s="26">
        <v>6</v>
      </c>
      <c r="H183" s="95">
        <v>6080.8</v>
      </c>
      <c r="I183" s="95">
        <v>5028.21</v>
      </c>
      <c r="J183" s="95">
        <v>5028.21</v>
      </c>
      <c r="K183" s="26">
        <v>181</v>
      </c>
      <c r="L183" s="92">
        <f>'виды работ '!C181</f>
        <v>3648680.36</v>
      </c>
      <c r="M183" s="95">
        <v>0</v>
      </c>
      <c r="N183" s="68">
        <v>1510554</v>
      </c>
      <c r="O183" s="68">
        <v>729736</v>
      </c>
      <c r="P183" s="95">
        <f>-0.64+1408391</f>
        <v>1408390.36</v>
      </c>
      <c r="Q183" s="95">
        <f>L183/H183</f>
        <v>600.03294961189317</v>
      </c>
      <c r="R183" s="92">
        <v>14593.7</v>
      </c>
      <c r="S183" s="92" t="s">
        <v>107</v>
      </c>
      <c r="T183" s="95" t="s">
        <v>102</v>
      </c>
      <c r="U183" s="25">
        <f t="shared" si="45"/>
        <v>3648680.3600000003</v>
      </c>
      <c r="V183" s="25">
        <f t="shared" si="46"/>
        <v>0</v>
      </c>
    </row>
    <row r="184" spans="1:22" s="2" customFormat="1" ht="16.5" customHeight="1" x14ac:dyDescent="0.2">
      <c r="A184" s="138" t="s">
        <v>17</v>
      </c>
      <c r="B184" s="139"/>
      <c r="C184" s="46" t="s">
        <v>98</v>
      </c>
      <c r="D184" s="46" t="s">
        <v>98</v>
      </c>
      <c r="E184" s="46" t="s">
        <v>98</v>
      </c>
      <c r="F184" s="95" t="s">
        <v>98</v>
      </c>
      <c r="G184" s="95" t="s">
        <v>98</v>
      </c>
      <c r="H184" s="92">
        <f t="shared" ref="H184:P184" si="58">SUM(H183:H183)</f>
        <v>6080.8</v>
      </c>
      <c r="I184" s="92">
        <f t="shared" si="58"/>
        <v>5028.21</v>
      </c>
      <c r="J184" s="92">
        <f t="shared" si="58"/>
        <v>5028.21</v>
      </c>
      <c r="K184" s="91">
        <f t="shared" si="58"/>
        <v>181</v>
      </c>
      <c r="L184" s="92">
        <f t="shared" si="58"/>
        <v>3648680.36</v>
      </c>
      <c r="M184" s="92">
        <f t="shared" si="58"/>
        <v>0</v>
      </c>
      <c r="N184" s="92">
        <f t="shared" si="58"/>
        <v>1510554</v>
      </c>
      <c r="O184" s="92">
        <f t="shared" si="58"/>
        <v>729736</v>
      </c>
      <c r="P184" s="92">
        <f t="shared" si="58"/>
        <v>1408390.36</v>
      </c>
      <c r="Q184" s="95">
        <f>L184/H184</f>
        <v>600.03294961189317</v>
      </c>
      <c r="R184" s="95" t="s">
        <v>98</v>
      </c>
      <c r="S184" s="92" t="s">
        <v>98</v>
      </c>
      <c r="T184" s="92" t="s">
        <v>98</v>
      </c>
      <c r="U184" s="25">
        <f t="shared" si="45"/>
        <v>3648680.3600000003</v>
      </c>
      <c r="V184" s="25">
        <f t="shared" si="46"/>
        <v>0</v>
      </c>
    </row>
    <row r="185" spans="1:22" s="2" customFormat="1" ht="16.5" customHeight="1" x14ac:dyDescent="0.2">
      <c r="A185" s="134" t="s">
        <v>35</v>
      </c>
      <c r="B185" s="135"/>
      <c r="C185" s="135"/>
      <c r="D185" s="135"/>
      <c r="E185" s="136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25">
        <f t="shared" si="45"/>
        <v>0</v>
      </c>
      <c r="V185" s="25">
        <f t="shared" si="46"/>
        <v>0</v>
      </c>
    </row>
    <row r="186" spans="1:22" s="2" customFormat="1" ht="16.5" customHeight="1" x14ac:dyDescent="0.2">
      <c r="A186" s="13">
        <f>A183+1</f>
        <v>99</v>
      </c>
      <c r="B186" s="4" t="s">
        <v>221</v>
      </c>
      <c r="C186" s="98">
        <v>1989</v>
      </c>
      <c r="D186" s="98"/>
      <c r="E186" s="98" t="s">
        <v>97</v>
      </c>
      <c r="F186" s="91">
        <v>5</v>
      </c>
      <c r="G186" s="91">
        <v>9</v>
      </c>
      <c r="H186" s="70">
        <v>9177</v>
      </c>
      <c r="I186" s="95">
        <v>5483.1</v>
      </c>
      <c r="J186" s="95">
        <v>4792.3</v>
      </c>
      <c r="K186" s="26">
        <v>310</v>
      </c>
      <c r="L186" s="92">
        <f>'виды работ '!C184</f>
        <v>5305013.92</v>
      </c>
      <c r="M186" s="95">
        <v>0</v>
      </c>
      <c r="N186" s="68">
        <v>2196276</v>
      </c>
      <c r="O186" s="68">
        <v>1061002</v>
      </c>
      <c r="P186" s="95">
        <f>-0.08+2047736</f>
        <v>2047735.92</v>
      </c>
      <c r="Q186" s="95">
        <f t="shared" ref="Q186:Q191" si="59">L186/H186</f>
        <v>578.07714067778136</v>
      </c>
      <c r="R186" s="92">
        <v>14593.7</v>
      </c>
      <c r="S186" s="92" t="s">
        <v>107</v>
      </c>
      <c r="T186" s="95" t="s">
        <v>102</v>
      </c>
      <c r="U186" s="25">
        <f t="shared" si="45"/>
        <v>5305013.92</v>
      </c>
      <c r="V186" s="25">
        <f t="shared" si="46"/>
        <v>0</v>
      </c>
    </row>
    <row r="187" spans="1:22" s="2" customFormat="1" ht="16.5" customHeight="1" x14ac:dyDescent="0.2">
      <c r="A187" s="13">
        <f>A186+1</f>
        <v>100</v>
      </c>
      <c r="B187" s="4" t="s">
        <v>220</v>
      </c>
      <c r="C187" s="98">
        <v>1966</v>
      </c>
      <c r="D187" s="98"/>
      <c r="E187" s="98" t="s">
        <v>97</v>
      </c>
      <c r="F187" s="91">
        <v>4</v>
      </c>
      <c r="G187" s="91">
        <v>3</v>
      </c>
      <c r="H187" s="70">
        <v>2207.3000000000002</v>
      </c>
      <c r="I187" s="95">
        <v>2041.2</v>
      </c>
      <c r="J187" s="95">
        <v>1795.9</v>
      </c>
      <c r="K187" s="26">
        <v>103</v>
      </c>
      <c r="L187" s="92">
        <f>'виды работ '!C185</f>
        <v>4031251.7</v>
      </c>
      <c r="M187" s="95">
        <v>0</v>
      </c>
      <c r="N187" s="68">
        <v>1668939</v>
      </c>
      <c r="O187" s="68">
        <v>806250</v>
      </c>
      <c r="P187" s="95">
        <f>-0.3+1556063</f>
        <v>1556062.7</v>
      </c>
      <c r="Q187" s="95">
        <f t="shared" si="59"/>
        <v>1826.3270511484618</v>
      </c>
      <c r="R187" s="92">
        <v>14593.7</v>
      </c>
      <c r="S187" s="92" t="s">
        <v>107</v>
      </c>
      <c r="T187" s="95" t="s">
        <v>102</v>
      </c>
      <c r="U187" s="25">
        <f t="shared" si="45"/>
        <v>4031251.7</v>
      </c>
      <c r="V187" s="25">
        <f t="shared" si="46"/>
        <v>0</v>
      </c>
    </row>
    <row r="188" spans="1:22" s="2" customFormat="1" ht="16.5" customHeight="1" x14ac:dyDescent="0.2">
      <c r="A188" s="13">
        <f>A187+1</f>
        <v>101</v>
      </c>
      <c r="B188" s="4" t="s">
        <v>222</v>
      </c>
      <c r="C188" s="98">
        <v>1961</v>
      </c>
      <c r="D188" s="98"/>
      <c r="E188" s="98" t="s">
        <v>97</v>
      </c>
      <c r="F188" s="91">
        <v>3</v>
      </c>
      <c r="G188" s="91">
        <v>2</v>
      </c>
      <c r="H188" s="70">
        <v>1034</v>
      </c>
      <c r="I188" s="95">
        <v>955.1</v>
      </c>
      <c r="J188" s="95">
        <v>824.6</v>
      </c>
      <c r="K188" s="26">
        <v>43</v>
      </c>
      <c r="L188" s="92">
        <f>'виды работ '!C186</f>
        <v>2843631.35</v>
      </c>
      <c r="M188" s="95">
        <v>0</v>
      </c>
      <c r="N188" s="68">
        <v>1177264</v>
      </c>
      <c r="O188" s="68">
        <v>568726</v>
      </c>
      <c r="P188" s="95">
        <f>-0.65+1097642</f>
        <v>1097641.3500000001</v>
      </c>
      <c r="Q188" s="95">
        <f t="shared" si="59"/>
        <v>2750.1270309477759</v>
      </c>
      <c r="R188" s="92">
        <v>14593.7</v>
      </c>
      <c r="S188" s="92" t="s">
        <v>107</v>
      </c>
      <c r="T188" s="95" t="s">
        <v>102</v>
      </c>
      <c r="U188" s="25">
        <f t="shared" si="45"/>
        <v>2843631.35</v>
      </c>
      <c r="V188" s="25">
        <f t="shared" si="46"/>
        <v>0</v>
      </c>
    </row>
    <row r="189" spans="1:22" s="2" customFormat="1" ht="16.5" customHeight="1" x14ac:dyDescent="0.2">
      <c r="A189" s="13">
        <f>A188+1</f>
        <v>102</v>
      </c>
      <c r="B189" s="4" t="s">
        <v>219</v>
      </c>
      <c r="C189" s="98">
        <v>1973</v>
      </c>
      <c r="D189" s="98"/>
      <c r="E189" s="98" t="s">
        <v>97</v>
      </c>
      <c r="F189" s="91">
        <v>5</v>
      </c>
      <c r="G189" s="91">
        <v>1</v>
      </c>
      <c r="H189" s="95">
        <v>4039.1</v>
      </c>
      <c r="I189" s="95">
        <v>1201.3</v>
      </c>
      <c r="J189" s="95">
        <v>600.6</v>
      </c>
      <c r="K189" s="26">
        <v>71</v>
      </c>
      <c r="L189" s="92">
        <f>'виды работ '!C187</f>
        <v>987541.3</v>
      </c>
      <c r="M189" s="95">
        <v>0</v>
      </c>
      <c r="N189" s="68">
        <v>408843</v>
      </c>
      <c r="O189" s="68">
        <v>197508</v>
      </c>
      <c r="P189" s="95">
        <f>-0.7+381191</f>
        <v>381190.3</v>
      </c>
      <c r="Q189" s="95">
        <f t="shared" si="59"/>
        <v>244.49538263474537</v>
      </c>
      <c r="R189" s="92">
        <v>14593.7</v>
      </c>
      <c r="S189" s="92" t="s">
        <v>107</v>
      </c>
      <c r="T189" s="95" t="s">
        <v>102</v>
      </c>
      <c r="U189" s="25">
        <f t="shared" si="45"/>
        <v>987541.3</v>
      </c>
      <c r="V189" s="25">
        <f t="shared" si="46"/>
        <v>0</v>
      </c>
    </row>
    <row r="190" spans="1:22" s="2" customFormat="1" ht="16.5" customHeight="1" x14ac:dyDescent="0.2">
      <c r="A190" s="138" t="s">
        <v>17</v>
      </c>
      <c r="B190" s="139"/>
      <c r="C190" s="46" t="s">
        <v>98</v>
      </c>
      <c r="D190" s="46" t="s">
        <v>98</v>
      </c>
      <c r="E190" s="46" t="s">
        <v>98</v>
      </c>
      <c r="F190" s="95" t="s">
        <v>98</v>
      </c>
      <c r="G190" s="95" t="s">
        <v>98</v>
      </c>
      <c r="H190" s="92">
        <f t="shared" ref="H190:P190" si="60">SUM(H186:H189)</f>
        <v>16457.399999999998</v>
      </c>
      <c r="I190" s="92">
        <f t="shared" si="60"/>
        <v>9680.6999999999989</v>
      </c>
      <c r="J190" s="92">
        <f t="shared" si="60"/>
        <v>8013.4000000000015</v>
      </c>
      <c r="K190" s="91">
        <f t="shared" si="60"/>
        <v>527</v>
      </c>
      <c r="L190" s="92">
        <f t="shared" si="60"/>
        <v>13167438.270000001</v>
      </c>
      <c r="M190" s="92">
        <f t="shared" si="60"/>
        <v>0</v>
      </c>
      <c r="N190" s="92">
        <f t="shared" si="60"/>
        <v>5451322</v>
      </c>
      <c r="O190" s="92">
        <f t="shared" si="60"/>
        <v>2633486</v>
      </c>
      <c r="P190" s="92">
        <f t="shared" si="60"/>
        <v>5082630.2700000005</v>
      </c>
      <c r="Q190" s="95">
        <f t="shared" si="59"/>
        <v>800.09225454810621</v>
      </c>
      <c r="R190" s="95" t="s">
        <v>98</v>
      </c>
      <c r="S190" s="92" t="s">
        <v>98</v>
      </c>
      <c r="T190" s="92" t="s">
        <v>98</v>
      </c>
      <c r="U190" s="25">
        <f t="shared" si="45"/>
        <v>13167438.27</v>
      </c>
      <c r="V190" s="25">
        <f t="shared" si="46"/>
        <v>0</v>
      </c>
    </row>
    <row r="191" spans="1:22" s="3" customFormat="1" ht="16.5" customHeight="1" x14ac:dyDescent="0.2">
      <c r="A191" s="131" t="s">
        <v>36</v>
      </c>
      <c r="B191" s="132"/>
      <c r="C191" s="133"/>
      <c r="D191" s="94" t="s">
        <v>98</v>
      </c>
      <c r="E191" s="94" t="s">
        <v>98</v>
      </c>
      <c r="F191" s="93" t="s">
        <v>98</v>
      </c>
      <c r="G191" s="93" t="s">
        <v>98</v>
      </c>
      <c r="H191" s="96">
        <f t="shared" ref="H191:P191" si="61">H181+H184+H190</f>
        <v>23602.899999999998</v>
      </c>
      <c r="I191" s="96">
        <f t="shared" si="61"/>
        <v>15332.71</v>
      </c>
      <c r="J191" s="96">
        <f t="shared" si="61"/>
        <v>13603.410000000002</v>
      </c>
      <c r="K191" s="8">
        <f t="shared" si="61"/>
        <v>732</v>
      </c>
      <c r="L191" s="96">
        <f t="shared" si="61"/>
        <v>18071817.990000002</v>
      </c>
      <c r="M191" s="96">
        <f t="shared" si="61"/>
        <v>0</v>
      </c>
      <c r="N191" s="96">
        <f t="shared" si="61"/>
        <v>7481736</v>
      </c>
      <c r="O191" s="96">
        <f t="shared" si="61"/>
        <v>3614362</v>
      </c>
      <c r="P191" s="96">
        <f t="shared" si="61"/>
        <v>6975719.9900000002</v>
      </c>
      <c r="Q191" s="93">
        <f t="shared" si="59"/>
        <v>765.66091412495939</v>
      </c>
      <c r="R191" s="93" t="s">
        <v>98</v>
      </c>
      <c r="S191" s="96" t="s">
        <v>98</v>
      </c>
      <c r="T191" s="96" t="s">
        <v>98</v>
      </c>
      <c r="U191" s="25">
        <f t="shared" si="45"/>
        <v>18071817.990000002</v>
      </c>
      <c r="V191" s="25">
        <f t="shared" si="46"/>
        <v>0</v>
      </c>
    </row>
    <row r="192" spans="1:22" s="2" customFormat="1" ht="16.5" customHeight="1" x14ac:dyDescent="0.2">
      <c r="A192" s="141" t="s">
        <v>37</v>
      </c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25">
        <f t="shared" si="45"/>
        <v>0</v>
      </c>
      <c r="V192" s="25">
        <f t="shared" si="46"/>
        <v>0</v>
      </c>
    </row>
    <row r="193" spans="1:22" s="2" customFormat="1" ht="16.5" customHeight="1" x14ac:dyDescent="0.2">
      <c r="A193" s="134" t="s">
        <v>38</v>
      </c>
      <c r="B193" s="135"/>
      <c r="C193" s="135"/>
      <c r="D193" s="135"/>
      <c r="E193" s="136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25">
        <f t="shared" si="45"/>
        <v>0</v>
      </c>
      <c r="V193" s="25">
        <f t="shared" si="46"/>
        <v>0</v>
      </c>
    </row>
    <row r="194" spans="1:22" s="2" customFormat="1" ht="16.5" customHeight="1" x14ac:dyDescent="0.2">
      <c r="A194" s="13">
        <f>A189+1</f>
        <v>103</v>
      </c>
      <c r="B194" s="4" t="s">
        <v>223</v>
      </c>
      <c r="C194" s="38">
        <v>1983</v>
      </c>
      <c r="D194" s="91"/>
      <c r="E194" s="98" t="s">
        <v>106</v>
      </c>
      <c r="F194" s="38">
        <v>2</v>
      </c>
      <c r="G194" s="38">
        <v>1</v>
      </c>
      <c r="H194" s="92">
        <v>374.6</v>
      </c>
      <c r="I194" s="92">
        <v>368.3</v>
      </c>
      <c r="J194" s="92">
        <v>278.60000000000002</v>
      </c>
      <c r="K194" s="92">
        <v>22</v>
      </c>
      <c r="L194" s="95">
        <f>'виды работ '!C192</f>
        <v>1132858.3400000001</v>
      </c>
      <c r="M194" s="95">
        <v>0</v>
      </c>
      <c r="N194" s="68">
        <v>483517</v>
      </c>
      <c r="O194" s="68">
        <v>233582</v>
      </c>
      <c r="P194" s="95">
        <f>-35055.66+450815</f>
        <v>415759.33999999997</v>
      </c>
      <c r="Q194" s="95">
        <f>L194/H194</f>
        <v>3024.1813667912438</v>
      </c>
      <c r="R194" s="92">
        <v>14593.7</v>
      </c>
      <c r="S194" s="92" t="s">
        <v>107</v>
      </c>
      <c r="T194" s="95" t="s">
        <v>102</v>
      </c>
      <c r="U194" s="25">
        <f t="shared" si="45"/>
        <v>1132858.3399999999</v>
      </c>
      <c r="V194" s="25">
        <f t="shared" si="46"/>
        <v>0</v>
      </c>
    </row>
    <row r="195" spans="1:22" s="2" customFormat="1" ht="16.5" customHeight="1" x14ac:dyDescent="0.2">
      <c r="A195" s="13">
        <f>A194+1</f>
        <v>104</v>
      </c>
      <c r="B195" s="4" t="s">
        <v>224</v>
      </c>
      <c r="C195" s="38">
        <v>1989</v>
      </c>
      <c r="D195" s="92"/>
      <c r="E195" s="98" t="s">
        <v>97</v>
      </c>
      <c r="F195" s="38">
        <v>2</v>
      </c>
      <c r="G195" s="38">
        <v>1</v>
      </c>
      <c r="H195" s="92">
        <v>459</v>
      </c>
      <c r="I195" s="92">
        <v>451.7</v>
      </c>
      <c r="J195" s="92">
        <v>397.3</v>
      </c>
      <c r="K195" s="92">
        <v>29</v>
      </c>
      <c r="L195" s="95">
        <f>'виды работ '!C193</f>
        <v>1535982.52</v>
      </c>
      <c r="M195" s="95">
        <v>0</v>
      </c>
      <c r="N195" s="68">
        <v>655574</v>
      </c>
      <c r="O195" s="68">
        <v>316702</v>
      </c>
      <c r="P195" s="95">
        <f>-47529.48+611236</f>
        <v>563706.52</v>
      </c>
      <c r="Q195" s="95">
        <f>L195/H195</f>
        <v>3346.3671459694988</v>
      </c>
      <c r="R195" s="92">
        <v>14593.7</v>
      </c>
      <c r="S195" s="92" t="s">
        <v>107</v>
      </c>
      <c r="T195" s="95" t="s">
        <v>102</v>
      </c>
      <c r="U195" s="25">
        <f t="shared" si="45"/>
        <v>1535982.52</v>
      </c>
      <c r="V195" s="25">
        <f t="shared" si="46"/>
        <v>0</v>
      </c>
    </row>
    <row r="196" spans="1:22" s="2" customFormat="1" ht="16.5" customHeight="1" x14ac:dyDescent="0.2">
      <c r="A196" s="138" t="s">
        <v>17</v>
      </c>
      <c r="B196" s="139"/>
      <c r="C196" s="46" t="s">
        <v>98</v>
      </c>
      <c r="D196" s="46" t="s">
        <v>98</v>
      </c>
      <c r="E196" s="46" t="s">
        <v>98</v>
      </c>
      <c r="F196" s="46" t="s">
        <v>98</v>
      </c>
      <c r="G196" s="46" t="s">
        <v>98</v>
      </c>
      <c r="H196" s="95">
        <f t="shared" ref="H196:P196" si="62">SUM(H194:H195)</f>
        <v>833.6</v>
      </c>
      <c r="I196" s="95">
        <f t="shared" si="62"/>
        <v>820</v>
      </c>
      <c r="J196" s="95">
        <f t="shared" si="62"/>
        <v>675.90000000000009</v>
      </c>
      <c r="K196" s="95">
        <f t="shared" si="62"/>
        <v>51</v>
      </c>
      <c r="L196" s="95">
        <f t="shared" si="62"/>
        <v>2668840.8600000003</v>
      </c>
      <c r="M196" s="95">
        <f t="shared" si="62"/>
        <v>0</v>
      </c>
      <c r="N196" s="95">
        <f t="shared" si="62"/>
        <v>1139091</v>
      </c>
      <c r="O196" s="95">
        <f t="shared" si="62"/>
        <v>550284</v>
      </c>
      <c r="P196" s="95">
        <f t="shared" si="62"/>
        <v>979465.86</v>
      </c>
      <c r="Q196" s="95">
        <f>L196/H196</f>
        <v>3201.5845249520157</v>
      </c>
      <c r="R196" s="95" t="s">
        <v>98</v>
      </c>
      <c r="S196" s="92" t="s">
        <v>98</v>
      </c>
      <c r="T196" s="92" t="s">
        <v>98</v>
      </c>
      <c r="U196" s="25">
        <f t="shared" si="45"/>
        <v>2668840.86</v>
      </c>
      <c r="V196" s="25">
        <f t="shared" si="46"/>
        <v>0</v>
      </c>
    </row>
    <row r="197" spans="1:22" s="3" customFormat="1" ht="16.5" customHeight="1" x14ac:dyDescent="0.2">
      <c r="A197" s="131" t="s">
        <v>39</v>
      </c>
      <c r="B197" s="132"/>
      <c r="C197" s="133"/>
      <c r="D197" s="94" t="s">
        <v>98</v>
      </c>
      <c r="E197" s="94" t="s">
        <v>98</v>
      </c>
      <c r="F197" s="94" t="s">
        <v>98</v>
      </c>
      <c r="G197" s="94" t="s">
        <v>98</v>
      </c>
      <c r="H197" s="93">
        <f t="shared" ref="H197:P197" si="63">H196</f>
        <v>833.6</v>
      </c>
      <c r="I197" s="93">
        <f t="shared" si="63"/>
        <v>820</v>
      </c>
      <c r="J197" s="93">
        <f t="shared" si="63"/>
        <v>675.90000000000009</v>
      </c>
      <c r="K197" s="93">
        <f t="shared" si="63"/>
        <v>51</v>
      </c>
      <c r="L197" s="93">
        <f t="shared" si="63"/>
        <v>2668840.8600000003</v>
      </c>
      <c r="M197" s="93">
        <f t="shared" si="63"/>
        <v>0</v>
      </c>
      <c r="N197" s="93">
        <f t="shared" si="63"/>
        <v>1139091</v>
      </c>
      <c r="O197" s="93">
        <f t="shared" si="63"/>
        <v>550284</v>
      </c>
      <c r="P197" s="93">
        <f t="shared" si="63"/>
        <v>979465.86</v>
      </c>
      <c r="Q197" s="93">
        <f>L197/H197</f>
        <v>3201.5845249520157</v>
      </c>
      <c r="R197" s="93" t="s">
        <v>98</v>
      </c>
      <c r="S197" s="93" t="s">
        <v>98</v>
      </c>
      <c r="T197" s="96" t="s">
        <v>98</v>
      </c>
      <c r="U197" s="25">
        <f t="shared" si="45"/>
        <v>2668840.86</v>
      </c>
      <c r="V197" s="25">
        <f t="shared" si="46"/>
        <v>0</v>
      </c>
    </row>
    <row r="198" spans="1:22" s="2" customFormat="1" ht="16.5" customHeight="1" x14ac:dyDescent="0.2">
      <c r="A198" s="130" t="s">
        <v>40</v>
      </c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25">
        <f t="shared" si="45"/>
        <v>0</v>
      </c>
      <c r="V198" s="25">
        <f t="shared" si="46"/>
        <v>0</v>
      </c>
    </row>
    <row r="199" spans="1:22" s="2" customFormat="1" ht="16.5" customHeight="1" x14ac:dyDescent="0.2">
      <c r="A199" s="91">
        <f>A195+1</f>
        <v>105</v>
      </c>
      <c r="B199" s="4" t="s">
        <v>225</v>
      </c>
      <c r="C199" s="10">
        <v>1969</v>
      </c>
      <c r="D199" s="10"/>
      <c r="E199" s="98" t="s">
        <v>97</v>
      </c>
      <c r="F199" s="58">
        <v>9</v>
      </c>
      <c r="G199" s="58">
        <v>1</v>
      </c>
      <c r="H199" s="68">
        <v>2272.4</v>
      </c>
      <c r="I199" s="68">
        <v>1988.5</v>
      </c>
      <c r="J199" s="68">
        <v>1939.3</v>
      </c>
      <c r="K199" s="68">
        <v>70</v>
      </c>
      <c r="L199" s="92">
        <f>'виды работ '!C197</f>
        <v>2583501.9500000002</v>
      </c>
      <c r="M199" s="95">
        <v>0</v>
      </c>
      <c r="N199" s="68">
        <v>1102667</v>
      </c>
      <c r="O199" s="68">
        <v>532689</v>
      </c>
      <c r="P199" s="95">
        <f>-79944.05+1028090</f>
        <v>948145.95</v>
      </c>
      <c r="Q199" s="95">
        <f>L199/H199</f>
        <v>1136.9045722584053</v>
      </c>
      <c r="R199" s="92">
        <v>14593.7</v>
      </c>
      <c r="S199" s="92" t="s">
        <v>107</v>
      </c>
      <c r="T199" s="95" t="s">
        <v>102</v>
      </c>
      <c r="U199" s="25">
        <f t="shared" si="45"/>
        <v>2583501.9500000002</v>
      </c>
      <c r="V199" s="25">
        <f t="shared" si="46"/>
        <v>0</v>
      </c>
    </row>
    <row r="200" spans="1:22" s="2" customFormat="1" ht="16.5" customHeight="1" x14ac:dyDescent="0.2">
      <c r="A200" s="91">
        <f>A199+1</f>
        <v>106</v>
      </c>
      <c r="B200" s="4" t="s">
        <v>226</v>
      </c>
      <c r="C200" s="10">
        <v>1977</v>
      </c>
      <c r="D200" s="10"/>
      <c r="E200" s="98" t="s">
        <v>97</v>
      </c>
      <c r="F200" s="58">
        <v>12</v>
      </c>
      <c r="G200" s="58">
        <v>2</v>
      </c>
      <c r="H200" s="68">
        <v>4459.6000000000004</v>
      </c>
      <c r="I200" s="68">
        <v>3902.4</v>
      </c>
      <c r="J200" s="68">
        <v>3870.3</v>
      </c>
      <c r="K200" s="68">
        <v>188</v>
      </c>
      <c r="L200" s="92">
        <f>'виды работ '!C198</f>
        <v>5837512.7999999998</v>
      </c>
      <c r="M200" s="95">
        <v>0</v>
      </c>
      <c r="N200" s="68">
        <v>2491514</v>
      </c>
      <c r="O200" s="68">
        <v>1203629</v>
      </c>
      <c r="P200" s="95">
        <f>-180635.2+2323005</f>
        <v>2142369.7999999998</v>
      </c>
      <c r="Q200" s="95">
        <f>L200/H200</f>
        <v>1308.9767692169701</v>
      </c>
      <c r="R200" s="92">
        <v>14593.7</v>
      </c>
      <c r="S200" s="92" t="s">
        <v>107</v>
      </c>
      <c r="T200" s="95" t="s">
        <v>102</v>
      </c>
      <c r="U200" s="25">
        <f t="shared" si="45"/>
        <v>5837512.7999999998</v>
      </c>
      <c r="V200" s="25">
        <f t="shared" si="46"/>
        <v>0</v>
      </c>
    </row>
    <row r="201" spans="1:22" s="3" customFormat="1" ht="16.5" customHeight="1" x14ac:dyDescent="0.2">
      <c r="A201" s="118" t="s">
        <v>103</v>
      </c>
      <c r="B201" s="120"/>
      <c r="C201" s="93" t="s">
        <v>98</v>
      </c>
      <c r="D201" s="93" t="s">
        <v>98</v>
      </c>
      <c r="E201" s="93" t="s">
        <v>98</v>
      </c>
      <c r="F201" s="93" t="s">
        <v>98</v>
      </c>
      <c r="G201" s="93" t="s">
        <v>98</v>
      </c>
      <c r="H201" s="96">
        <f t="shared" ref="H201:P201" si="64">SUM(H199:H200)</f>
        <v>6732</v>
      </c>
      <c r="I201" s="96">
        <f t="shared" si="64"/>
        <v>5890.9</v>
      </c>
      <c r="J201" s="96">
        <f t="shared" si="64"/>
        <v>5809.6</v>
      </c>
      <c r="K201" s="96">
        <f t="shared" si="64"/>
        <v>258</v>
      </c>
      <c r="L201" s="96">
        <f t="shared" si="64"/>
        <v>8421014.75</v>
      </c>
      <c r="M201" s="96">
        <f t="shared" si="64"/>
        <v>0</v>
      </c>
      <c r="N201" s="96">
        <f t="shared" si="64"/>
        <v>3594181</v>
      </c>
      <c r="O201" s="96">
        <f t="shared" si="64"/>
        <v>1736318</v>
      </c>
      <c r="P201" s="96">
        <f t="shared" si="64"/>
        <v>3090515.75</v>
      </c>
      <c r="Q201" s="93">
        <f>L201/H201</f>
        <v>1250.8934566250744</v>
      </c>
      <c r="R201" s="93" t="s">
        <v>98</v>
      </c>
      <c r="S201" s="93" t="s">
        <v>98</v>
      </c>
      <c r="T201" s="93" t="s">
        <v>98</v>
      </c>
      <c r="U201" s="25">
        <f t="shared" ref="U201:U220" si="65">N201+O201+P201</f>
        <v>8421014.75</v>
      </c>
      <c r="V201" s="25">
        <f t="shared" ref="V201:V220" si="66">U201-L201</f>
        <v>0</v>
      </c>
    </row>
    <row r="202" spans="1:22" s="2" customFormat="1" ht="16.5" customHeight="1" x14ac:dyDescent="0.2">
      <c r="A202" s="130" t="s">
        <v>41</v>
      </c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25">
        <f t="shared" si="65"/>
        <v>0</v>
      </c>
      <c r="V202" s="25">
        <f t="shared" si="66"/>
        <v>0</v>
      </c>
    </row>
    <row r="203" spans="1:22" s="2" customFormat="1" ht="16.5" customHeight="1" x14ac:dyDescent="0.2">
      <c r="A203" s="118" t="s">
        <v>227</v>
      </c>
      <c r="B203" s="119"/>
      <c r="C203" s="119"/>
      <c r="D203" s="119"/>
      <c r="E203" s="120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25">
        <f t="shared" si="65"/>
        <v>0</v>
      </c>
      <c r="V203" s="25">
        <f t="shared" si="66"/>
        <v>0</v>
      </c>
    </row>
    <row r="204" spans="1:22" s="2" customFormat="1" ht="16.5" customHeight="1" x14ac:dyDescent="0.2">
      <c r="A204" s="91">
        <f>A200+1</f>
        <v>107</v>
      </c>
      <c r="B204" s="4" t="s">
        <v>228</v>
      </c>
      <c r="C204" s="84">
        <v>1956</v>
      </c>
      <c r="D204" s="84"/>
      <c r="E204" s="98" t="s">
        <v>110</v>
      </c>
      <c r="F204" s="98">
        <v>2</v>
      </c>
      <c r="G204" s="98">
        <v>2</v>
      </c>
      <c r="H204" s="98">
        <v>786.2</v>
      </c>
      <c r="I204" s="98">
        <v>720.8</v>
      </c>
      <c r="J204" s="98">
        <v>577.20000000000005</v>
      </c>
      <c r="K204" s="98">
        <v>27</v>
      </c>
      <c r="L204" s="92">
        <f>'виды работ '!C202</f>
        <v>348004.42</v>
      </c>
      <c r="M204" s="95">
        <v>0</v>
      </c>
      <c r="N204" s="68">
        <v>144074</v>
      </c>
      <c r="O204" s="68">
        <v>69601</v>
      </c>
      <c r="P204" s="92">
        <f>-0.58+134330</f>
        <v>134329.42000000001</v>
      </c>
      <c r="Q204" s="95">
        <f>L204/H204</f>
        <v>442.64108369371655</v>
      </c>
      <c r="R204" s="92">
        <v>14593.7</v>
      </c>
      <c r="S204" s="9" t="s">
        <v>107</v>
      </c>
      <c r="T204" s="98" t="s">
        <v>102</v>
      </c>
      <c r="U204" s="25">
        <f t="shared" si="65"/>
        <v>348004.42000000004</v>
      </c>
      <c r="V204" s="25">
        <f t="shared" si="66"/>
        <v>0</v>
      </c>
    </row>
    <row r="205" spans="1:22" s="2" customFormat="1" ht="16.5" customHeight="1" x14ac:dyDescent="0.2">
      <c r="A205" s="126" t="s">
        <v>17</v>
      </c>
      <c r="B205" s="129"/>
      <c r="C205" s="95" t="s">
        <v>98</v>
      </c>
      <c r="D205" s="95" t="s">
        <v>98</v>
      </c>
      <c r="E205" s="95" t="s">
        <v>98</v>
      </c>
      <c r="F205" s="95" t="s">
        <v>98</v>
      </c>
      <c r="G205" s="95" t="s">
        <v>98</v>
      </c>
      <c r="H205" s="92">
        <f t="shared" ref="H205:P205" si="67">SUM(H204:H204)</f>
        <v>786.2</v>
      </c>
      <c r="I205" s="92">
        <f t="shared" si="67"/>
        <v>720.8</v>
      </c>
      <c r="J205" s="92">
        <f t="shared" si="67"/>
        <v>577.20000000000005</v>
      </c>
      <c r="K205" s="91">
        <f t="shared" si="67"/>
        <v>27</v>
      </c>
      <c r="L205" s="92">
        <f t="shared" si="67"/>
        <v>348004.42</v>
      </c>
      <c r="M205" s="92">
        <f t="shared" si="67"/>
        <v>0</v>
      </c>
      <c r="N205" s="92">
        <f t="shared" si="67"/>
        <v>144074</v>
      </c>
      <c r="O205" s="92">
        <f t="shared" si="67"/>
        <v>69601</v>
      </c>
      <c r="P205" s="92">
        <f t="shared" si="67"/>
        <v>134329.42000000001</v>
      </c>
      <c r="Q205" s="95">
        <f>L205/H205</f>
        <v>442.64108369371655</v>
      </c>
      <c r="R205" s="11" t="s">
        <v>98</v>
      </c>
      <c r="S205" s="11" t="s">
        <v>98</v>
      </c>
      <c r="T205" s="11" t="s">
        <v>98</v>
      </c>
      <c r="U205" s="25">
        <f t="shared" si="65"/>
        <v>348004.42000000004</v>
      </c>
      <c r="V205" s="25">
        <f t="shared" si="66"/>
        <v>0</v>
      </c>
    </row>
    <row r="206" spans="1:22" s="2" customFormat="1" ht="16.5" customHeight="1" x14ac:dyDescent="0.2">
      <c r="A206" s="118" t="s">
        <v>42</v>
      </c>
      <c r="B206" s="123"/>
      <c r="C206" s="123"/>
      <c r="D206" s="123"/>
      <c r="E206" s="124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25">
        <f t="shared" si="65"/>
        <v>0</v>
      </c>
      <c r="V206" s="25">
        <f t="shared" si="66"/>
        <v>0</v>
      </c>
    </row>
    <row r="207" spans="1:22" s="2" customFormat="1" ht="16.5" customHeight="1" x14ac:dyDescent="0.2">
      <c r="A207" s="86">
        <f>A204+1</f>
        <v>108</v>
      </c>
      <c r="B207" s="4" t="s">
        <v>229</v>
      </c>
      <c r="C207" s="98">
        <v>1979</v>
      </c>
      <c r="D207" s="98"/>
      <c r="E207" s="98" t="s">
        <v>97</v>
      </c>
      <c r="F207" s="98">
        <v>3</v>
      </c>
      <c r="G207" s="98">
        <v>2</v>
      </c>
      <c r="H207" s="98">
        <v>1303.8800000000001</v>
      </c>
      <c r="I207" s="98">
        <v>1297.8</v>
      </c>
      <c r="J207" s="98">
        <v>956.1</v>
      </c>
      <c r="K207" s="98">
        <v>56</v>
      </c>
      <c r="L207" s="92">
        <f>'виды работ '!C205</f>
        <v>491503.02</v>
      </c>
      <c r="M207" s="95">
        <v>0</v>
      </c>
      <c r="N207" s="68">
        <v>209779</v>
      </c>
      <c r="O207" s="68">
        <v>101342</v>
      </c>
      <c r="P207" s="92">
        <f>-15208.98+195591</f>
        <v>180382.02</v>
      </c>
      <c r="Q207" s="95">
        <f t="shared" ref="Q207:Q219" si="68">L207/H207</f>
        <v>376.95418290026686</v>
      </c>
      <c r="R207" s="92">
        <v>14593.7</v>
      </c>
      <c r="S207" s="9" t="s">
        <v>107</v>
      </c>
      <c r="T207" s="98" t="s">
        <v>102</v>
      </c>
      <c r="U207" s="25">
        <f t="shared" si="65"/>
        <v>491503.02</v>
      </c>
      <c r="V207" s="25">
        <f t="shared" si="66"/>
        <v>0</v>
      </c>
    </row>
    <row r="208" spans="1:22" s="2" customFormat="1" ht="16.5" customHeight="1" x14ac:dyDescent="0.2">
      <c r="A208" s="86">
        <f t="shared" ref="A208:A216" si="69">A207+1</f>
        <v>109</v>
      </c>
      <c r="B208" s="4" t="s">
        <v>230</v>
      </c>
      <c r="C208" s="98">
        <v>1977</v>
      </c>
      <c r="D208" s="98"/>
      <c r="E208" s="98" t="s">
        <v>97</v>
      </c>
      <c r="F208" s="98">
        <v>3</v>
      </c>
      <c r="G208" s="98">
        <v>2</v>
      </c>
      <c r="H208" s="98">
        <v>1303.82</v>
      </c>
      <c r="I208" s="98">
        <v>1283.7</v>
      </c>
      <c r="J208" s="98">
        <v>1173.03</v>
      </c>
      <c r="K208" s="98">
        <v>62</v>
      </c>
      <c r="L208" s="92">
        <f>'виды работ '!C206</f>
        <v>491503.02</v>
      </c>
      <c r="M208" s="95">
        <v>0</v>
      </c>
      <c r="N208" s="68">
        <v>209779</v>
      </c>
      <c r="O208" s="68">
        <v>101342</v>
      </c>
      <c r="P208" s="92">
        <f>-15208.98+195591</f>
        <v>180382.02</v>
      </c>
      <c r="Q208" s="95">
        <f t="shared" si="68"/>
        <v>376.97152981239748</v>
      </c>
      <c r="R208" s="92">
        <v>14593.7</v>
      </c>
      <c r="S208" s="9" t="s">
        <v>107</v>
      </c>
      <c r="T208" s="98" t="s">
        <v>102</v>
      </c>
      <c r="U208" s="25">
        <f t="shared" si="65"/>
        <v>491503.02</v>
      </c>
      <c r="V208" s="25">
        <f t="shared" si="66"/>
        <v>0</v>
      </c>
    </row>
    <row r="209" spans="1:22" s="2" customFormat="1" ht="16.5" customHeight="1" x14ac:dyDescent="0.2">
      <c r="A209" s="86">
        <f t="shared" si="69"/>
        <v>110</v>
      </c>
      <c r="B209" s="4" t="s">
        <v>231</v>
      </c>
      <c r="C209" s="98">
        <v>1980</v>
      </c>
      <c r="D209" s="98"/>
      <c r="E209" s="98" t="s">
        <v>97</v>
      </c>
      <c r="F209" s="98">
        <v>5</v>
      </c>
      <c r="G209" s="98">
        <v>1</v>
      </c>
      <c r="H209" s="98">
        <v>1070.5</v>
      </c>
      <c r="I209" s="98">
        <v>997.8</v>
      </c>
      <c r="J209" s="98">
        <v>849.15</v>
      </c>
      <c r="K209" s="98">
        <v>59</v>
      </c>
      <c r="L209" s="92">
        <f>'виды работ '!C207</f>
        <v>672005.19</v>
      </c>
      <c r="M209" s="95">
        <v>0</v>
      </c>
      <c r="N209" s="68">
        <v>286819</v>
      </c>
      <c r="O209" s="68">
        <v>138559</v>
      </c>
      <c r="P209" s="92">
        <f>-20793.81+267421</f>
        <v>246627.19</v>
      </c>
      <c r="Q209" s="95">
        <f t="shared" si="68"/>
        <v>627.74889304063515</v>
      </c>
      <c r="R209" s="92">
        <v>14593.7</v>
      </c>
      <c r="S209" s="9" t="s">
        <v>107</v>
      </c>
      <c r="T209" s="98" t="s">
        <v>102</v>
      </c>
      <c r="U209" s="25">
        <f t="shared" si="65"/>
        <v>672005.19</v>
      </c>
      <c r="V209" s="25">
        <f t="shared" si="66"/>
        <v>0</v>
      </c>
    </row>
    <row r="210" spans="1:22" s="2" customFormat="1" ht="16.5" customHeight="1" x14ac:dyDescent="0.2">
      <c r="A210" s="86">
        <f t="shared" si="69"/>
        <v>111</v>
      </c>
      <c r="B210" s="4" t="s">
        <v>232</v>
      </c>
      <c r="C210" s="98">
        <v>1974</v>
      </c>
      <c r="D210" s="98"/>
      <c r="E210" s="98" t="s">
        <v>99</v>
      </c>
      <c r="F210" s="98">
        <v>5</v>
      </c>
      <c r="G210" s="98">
        <v>6</v>
      </c>
      <c r="H210" s="98">
        <v>4400.7</v>
      </c>
      <c r="I210" s="98">
        <v>3067.3</v>
      </c>
      <c r="J210" s="98">
        <v>2531.5</v>
      </c>
      <c r="K210" s="98">
        <v>229</v>
      </c>
      <c r="L210" s="92">
        <f>'виды работ '!C208</f>
        <v>1328552.76</v>
      </c>
      <c r="M210" s="95">
        <v>0</v>
      </c>
      <c r="N210" s="68">
        <v>567040</v>
      </c>
      <c r="O210" s="68">
        <v>273932</v>
      </c>
      <c r="P210" s="92">
        <f>-41108.24+528689</f>
        <v>487580.76</v>
      </c>
      <c r="Q210" s="95">
        <f t="shared" si="68"/>
        <v>301.89578021678369</v>
      </c>
      <c r="R210" s="92">
        <v>14593.7</v>
      </c>
      <c r="S210" s="9" t="s">
        <v>107</v>
      </c>
      <c r="T210" s="98" t="s">
        <v>102</v>
      </c>
      <c r="U210" s="25">
        <f t="shared" si="65"/>
        <v>1328552.76</v>
      </c>
      <c r="V210" s="25">
        <f t="shared" si="66"/>
        <v>0</v>
      </c>
    </row>
    <row r="211" spans="1:22" s="2" customFormat="1" ht="16.5" customHeight="1" x14ac:dyDescent="0.2">
      <c r="A211" s="86">
        <f t="shared" si="69"/>
        <v>112</v>
      </c>
      <c r="B211" s="4" t="s">
        <v>233</v>
      </c>
      <c r="C211" s="98">
        <v>1979</v>
      </c>
      <c r="D211" s="98"/>
      <c r="E211" s="98" t="s">
        <v>99</v>
      </c>
      <c r="F211" s="98">
        <v>5</v>
      </c>
      <c r="G211" s="98">
        <v>8</v>
      </c>
      <c r="H211" s="98">
        <v>6436.34</v>
      </c>
      <c r="I211" s="98">
        <v>5413.79</v>
      </c>
      <c r="J211" s="98">
        <v>4789.21</v>
      </c>
      <c r="K211" s="98">
        <v>307</v>
      </c>
      <c r="L211" s="92">
        <f>'виды работ '!C209</f>
        <v>3276099.25</v>
      </c>
      <c r="M211" s="95">
        <v>0</v>
      </c>
      <c r="N211" s="68">
        <v>1398272</v>
      </c>
      <c r="O211" s="68">
        <v>675493</v>
      </c>
      <c r="P211" s="92">
        <f>-101367.75+1303702</f>
        <v>1202334.25</v>
      </c>
      <c r="Q211" s="95">
        <f t="shared" si="68"/>
        <v>509.00034025548678</v>
      </c>
      <c r="R211" s="92">
        <v>14593.7</v>
      </c>
      <c r="S211" s="9" t="s">
        <v>107</v>
      </c>
      <c r="T211" s="98" t="s">
        <v>102</v>
      </c>
      <c r="U211" s="25">
        <f t="shared" si="65"/>
        <v>3276099.25</v>
      </c>
      <c r="V211" s="25">
        <f t="shared" si="66"/>
        <v>0</v>
      </c>
    </row>
    <row r="212" spans="1:22" s="2" customFormat="1" ht="16.5" customHeight="1" x14ac:dyDescent="0.2">
      <c r="A212" s="86">
        <f t="shared" si="69"/>
        <v>113</v>
      </c>
      <c r="B212" s="4" t="s">
        <v>234</v>
      </c>
      <c r="C212" s="10">
        <v>1982</v>
      </c>
      <c r="D212" s="98"/>
      <c r="E212" s="98" t="s">
        <v>97</v>
      </c>
      <c r="F212" s="10">
        <v>4</v>
      </c>
      <c r="G212" s="10">
        <v>1</v>
      </c>
      <c r="H212" s="10">
        <v>703.6</v>
      </c>
      <c r="I212" s="10">
        <v>595.29999999999995</v>
      </c>
      <c r="J212" s="10">
        <v>415.1</v>
      </c>
      <c r="K212" s="10">
        <v>31</v>
      </c>
      <c r="L212" s="92">
        <f>'виды работ '!C210</f>
        <v>368067.56</v>
      </c>
      <c r="M212" s="95">
        <v>0</v>
      </c>
      <c r="N212" s="68">
        <v>157096</v>
      </c>
      <c r="O212" s="68">
        <v>75891</v>
      </c>
      <c r="P212" s="92">
        <f>-11389.44+146470</f>
        <v>135080.56</v>
      </c>
      <c r="Q212" s="95">
        <f t="shared" si="68"/>
        <v>523.12046617396243</v>
      </c>
      <c r="R212" s="92">
        <v>14593.7</v>
      </c>
      <c r="S212" s="9" t="s">
        <v>107</v>
      </c>
      <c r="T212" s="98" t="s">
        <v>102</v>
      </c>
      <c r="U212" s="25">
        <f t="shared" si="65"/>
        <v>368067.56</v>
      </c>
      <c r="V212" s="25">
        <f t="shared" si="66"/>
        <v>0</v>
      </c>
    </row>
    <row r="213" spans="1:22" s="2" customFormat="1" ht="16.5" customHeight="1" x14ac:dyDescent="0.2">
      <c r="A213" s="86">
        <f t="shared" si="69"/>
        <v>114</v>
      </c>
      <c r="B213" s="4" t="s">
        <v>235</v>
      </c>
      <c r="C213" s="10">
        <v>1991</v>
      </c>
      <c r="D213" s="98"/>
      <c r="E213" s="98" t="s">
        <v>97</v>
      </c>
      <c r="F213" s="10">
        <v>4</v>
      </c>
      <c r="G213" s="10">
        <v>2</v>
      </c>
      <c r="H213" s="10">
        <v>2321.1</v>
      </c>
      <c r="I213" s="10">
        <v>1339.3</v>
      </c>
      <c r="J213" s="10">
        <v>908.75</v>
      </c>
      <c r="K213" s="10">
        <v>112</v>
      </c>
      <c r="L213" s="92">
        <f>'виды работ '!C211</f>
        <v>1496319.13</v>
      </c>
      <c r="M213" s="95">
        <v>0</v>
      </c>
      <c r="N213" s="68">
        <v>638645</v>
      </c>
      <c r="O213" s="68">
        <v>308523</v>
      </c>
      <c r="P213" s="92">
        <f>-46299.87+595451</f>
        <v>549151.13</v>
      </c>
      <c r="Q213" s="95">
        <f t="shared" si="68"/>
        <v>644.65948472706907</v>
      </c>
      <c r="R213" s="92">
        <v>14593.7</v>
      </c>
      <c r="S213" s="9" t="s">
        <v>107</v>
      </c>
      <c r="T213" s="98" t="s">
        <v>102</v>
      </c>
      <c r="U213" s="25">
        <f t="shared" si="65"/>
        <v>1496319.13</v>
      </c>
      <c r="V213" s="25">
        <f t="shared" si="66"/>
        <v>0</v>
      </c>
    </row>
    <row r="214" spans="1:22" s="2" customFormat="1" ht="16.5" customHeight="1" x14ac:dyDescent="0.2">
      <c r="A214" s="86">
        <f t="shared" si="69"/>
        <v>115</v>
      </c>
      <c r="B214" s="4" t="s">
        <v>236</v>
      </c>
      <c r="C214" s="10">
        <v>1993</v>
      </c>
      <c r="D214" s="98"/>
      <c r="E214" s="98" t="s">
        <v>97</v>
      </c>
      <c r="F214" s="10">
        <v>4</v>
      </c>
      <c r="G214" s="10">
        <v>1</v>
      </c>
      <c r="H214" s="10">
        <v>798.7</v>
      </c>
      <c r="I214" s="10">
        <v>490.3</v>
      </c>
      <c r="J214" s="10">
        <v>461.5</v>
      </c>
      <c r="K214" s="10">
        <v>46</v>
      </c>
      <c r="L214" s="92">
        <f>'виды работ '!C212</f>
        <v>570645.34</v>
      </c>
      <c r="M214" s="95">
        <v>0</v>
      </c>
      <c r="N214" s="68">
        <v>243557</v>
      </c>
      <c r="O214" s="68">
        <v>117660</v>
      </c>
      <c r="P214" s="92">
        <f>-17656.66+227085</f>
        <v>209428.34</v>
      </c>
      <c r="Q214" s="95">
        <f t="shared" si="68"/>
        <v>714.46768498810559</v>
      </c>
      <c r="R214" s="92">
        <v>14593.7</v>
      </c>
      <c r="S214" s="9" t="s">
        <v>107</v>
      </c>
      <c r="T214" s="98" t="s">
        <v>102</v>
      </c>
      <c r="U214" s="25">
        <f t="shared" si="65"/>
        <v>570645.34</v>
      </c>
      <c r="V214" s="25">
        <f t="shared" si="66"/>
        <v>0</v>
      </c>
    </row>
    <row r="215" spans="1:22" s="2" customFormat="1" ht="16.5" customHeight="1" x14ac:dyDescent="0.2">
      <c r="A215" s="86">
        <f t="shared" si="69"/>
        <v>116</v>
      </c>
      <c r="B215" s="4" t="s">
        <v>237</v>
      </c>
      <c r="C215" s="10">
        <v>1988</v>
      </c>
      <c r="D215" s="98"/>
      <c r="E215" s="98" t="s">
        <v>97</v>
      </c>
      <c r="F215" s="10">
        <v>4</v>
      </c>
      <c r="G215" s="10">
        <v>2</v>
      </c>
      <c r="H215" s="10">
        <v>2099.4</v>
      </c>
      <c r="I215" s="10">
        <v>1205.4000000000001</v>
      </c>
      <c r="J215" s="10">
        <v>890.8</v>
      </c>
      <c r="K215" s="10">
        <v>116</v>
      </c>
      <c r="L215" s="92">
        <f>'виды работ '!C213</f>
        <v>1769412.48</v>
      </c>
      <c r="M215" s="95">
        <v>0</v>
      </c>
      <c r="N215" s="68">
        <v>755203</v>
      </c>
      <c r="O215" s="68">
        <v>364832</v>
      </c>
      <c r="P215" s="92">
        <f>-54748.52+704126</f>
        <v>649377.48</v>
      </c>
      <c r="Q215" s="95">
        <f t="shared" si="68"/>
        <v>842.81817662189189</v>
      </c>
      <c r="R215" s="92">
        <v>14593.7</v>
      </c>
      <c r="S215" s="9" t="s">
        <v>107</v>
      </c>
      <c r="T215" s="98" t="s">
        <v>102</v>
      </c>
      <c r="U215" s="25">
        <f t="shared" si="65"/>
        <v>1769412.48</v>
      </c>
      <c r="V215" s="25">
        <f t="shared" si="66"/>
        <v>0</v>
      </c>
    </row>
    <row r="216" spans="1:22" s="2" customFormat="1" ht="16.5" customHeight="1" x14ac:dyDescent="0.2">
      <c r="A216" s="86">
        <f t="shared" si="69"/>
        <v>117</v>
      </c>
      <c r="B216" s="4" t="s">
        <v>238</v>
      </c>
      <c r="C216" s="10">
        <v>2004</v>
      </c>
      <c r="D216" s="98"/>
      <c r="E216" s="98" t="s">
        <v>97</v>
      </c>
      <c r="F216" s="10">
        <v>6</v>
      </c>
      <c r="G216" s="10">
        <v>10</v>
      </c>
      <c r="H216" s="10">
        <v>9026</v>
      </c>
      <c r="I216" s="10">
        <v>8690.6</v>
      </c>
      <c r="J216" s="10">
        <v>8282.5</v>
      </c>
      <c r="K216" s="10">
        <v>400</v>
      </c>
      <c r="L216" s="92">
        <f>'виды работ '!C214</f>
        <v>3280457.82</v>
      </c>
      <c r="M216" s="95">
        <v>0</v>
      </c>
      <c r="N216" s="68">
        <v>1358110</v>
      </c>
      <c r="O216" s="68">
        <v>656091</v>
      </c>
      <c r="P216" s="92">
        <f>-0.18+1266257</f>
        <v>1266256.82</v>
      </c>
      <c r="Q216" s="95">
        <f t="shared" si="68"/>
        <v>363.44536007090625</v>
      </c>
      <c r="R216" s="92">
        <v>14593.7</v>
      </c>
      <c r="S216" s="9" t="s">
        <v>107</v>
      </c>
      <c r="T216" s="98" t="s">
        <v>250</v>
      </c>
      <c r="U216" s="25">
        <f t="shared" si="65"/>
        <v>3280457.8200000003</v>
      </c>
      <c r="V216" s="25">
        <f t="shared" si="66"/>
        <v>0</v>
      </c>
    </row>
    <row r="217" spans="1:22" s="2" customFormat="1" ht="16.5" customHeight="1" x14ac:dyDescent="0.2">
      <c r="A217" s="126" t="s">
        <v>17</v>
      </c>
      <c r="B217" s="127"/>
      <c r="C217" s="57" t="s">
        <v>98</v>
      </c>
      <c r="D217" s="57" t="s">
        <v>98</v>
      </c>
      <c r="E217" s="57" t="s">
        <v>98</v>
      </c>
      <c r="F217" s="95" t="s">
        <v>98</v>
      </c>
      <c r="G217" s="95" t="s">
        <v>98</v>
      </c>
      <c r="H217" s="92">
        <f t="shared" ref="H217:P217" si="70">SUM(H207:H216)</f>
        <v>29464.04</v>
      </c>
      <c r="I217" s="92">
        <f t="shared" si="70"/>
        <v>24381.289999999997</v>
      </c>
      <c r="J217" s="92">
        <f t="shared" si="70"/>
        <v>21257.64</v>
      </c>
      <c r="K217" s="91">
        <f t="shared" si="70"/>
        <v>1418</v>
      </c>
      <c r="L217" s="92">
        <f t="shared" si="70"/>
        <v>13744565.57</v>
      </c>
      <c r="M217" s="92">
        <f t="shared" si="70"/>
        <v>0</v>
      </c>
      <c r="N217" s="92">
        <f t="shared" si="70"/>
        <v>5824300</v>
      </c>
      <c r="O217" s="92">
        <f t="shared" si="70"/>
        <v>2813665</v>
      </c>
      <c r="P217" s="92">
        <f t="shared" si="70"/>
        <v>5106600.57</v>
      </c>
      <c r="Q217" s="95">
        <f t="shared" si="68"/>
        <v>466.48611561754598</v>
      </c>
      <c r="R217" s="11" t="s">
        <v>98</v>
      </c>
      <c r="S217" s="11" t="s">
        <v>98</v>
      </c>
      <c r="T217" s="11" t="s">
        <v>98</v>
      </c>
      <c r="U217" s="25">
        <f t="shared" si="65"/>
        <v>13744565.57</v>
      </c>
      <c r="V217" s="25">
        <f t="shared" si="66"/>
        <v>0</v>
      </c>
    </row>
    <row r="218" spans="1:22" s="3" customFormat="1" ht="16.5" customHeight="1" x14ac:dyDescent="0.2">
      <c r="A218" s="118" t="s">
        <v>43</v>
      </c>
      <c r="B218" s="119"/>
      <c r="C218" s="120"/>
      <c r="D218" s="93" t="s">
        <v>98</v>
      </c>
      <c r="E218" s="93" t="s">
        <v>98</v>
      </c>
      <c r="F218" s="93" t="s">
        <v>98</v>
      </c>
      <c r="G218" s="93" t="s">
        <v>98</v>
      </c>
      <c r="H218" s="96">
        <f t="shared" ref="H218:P218" si="71">H205+H217</f>
        <v>30250.240000000002</v>
      </c>
      <c r="I218" s="96">
        <f t="shared" si="71"/>
        <v>25102.089999999997</v>
      </c>
      <c r="J218" s="96">
        <f t="shared" si="71"/>
        <v>21834.84</v>
      </c>
      <c r="K218" s="96">
        <f t="shared" si="71"/>
        <v>1445</v>
      </c>
      <c r="L218" s="96">
        <f t="shared" si="71"/>
        <v>14092569.99</v>
      </c>
      <c r="M218" s="96">
        <f t="shared" si="71"/>
        <v>0</v>
      </c>
      <c r="N218" s="96">
        <f t="shared" si="71"/>
        <v>5968374</v>
      </c>
      <c r="O218" s="96">
        <f t="shared" si="71"/>
        <v>2883266</v>
      </c>
      <c r="P218" s="96">
        <f t="shared" si="71"/>
        <v>5240929.99</v>
      </c>
      <c r="Q218" s="93">
        <f t="shared" si="68"/>
        <v>465.86638618404351</v>
      </c>
      <c r="R218" s="16" t="s">
        <v>98</v>
      </c>
      <c r="S218" s="16" t="s">
        <v>98</v>
      </c>
      <c r="T218" s="16" t="s">
        <v>98</v>
      </c>
      <c r="U218" s="25">
        <f t="shared" si="65"/>
        <v>14092569.99</v>
      </c>
      <c r="V218" s="25">
        <f t="shared" si="66"/>
        <v>0</v>
      </c>
    </row>
    <row r="219" spans="1:22" s="2" customFormat="1" ht="16.5" customHeight="1" x14ac:dyDescent="0.2">
      <c r="A219" s="121" t="s">
        <v>104</v>
      </c>
      <c r="B219" s="121"/>
      <c r="C219" s="121"/>
      <c r="D219" s="93" t="s">
        <v>98</v>
      </c>
      <c r="E219" s="93" t="s">
        <v>98</v>
      </c>
      <c r="F219" s="93" t="s">
        <v>98</v>
      </c>
      <c r="G219" s="93" t="s">
        <v>98</v>
      </c>
      <c r="H219" s="96">
        <f t="shared" ref="H219:P219" si="72">H14+H22+H27+H65+H88+H118+H129+H141+H159+H177+H191+H197+H201+H218</f>
        <v>434055.85</v>
      </c>
      <c r="I219" s="96">
        <f t="shared" si="72"/>
        <v>374203.49</v>
      </c>
      <c r="J219" s="96">
        <f t="shared" si="72"/>
        <v>322757.13</v>
      </c>
      <c r="K219" s="96">
        <f t="shared" si="72"/>
        <v>18343</v>
      </c>
      <c r="L219" s="96">
        <f t="shared" si="72"/>
        <v>440886757.83000004</v>
      </c>
      <c r="M219" s="96">
        <f t="shared" si="72"/>
        <v>0</v>
      </c>
      <c r="N219" s="96">
        <f t="shared" si="72"/>
        <v>180181837.61199999</v>
      </c>
      <c r="O219" s="96">
        <f t="shared" si="72"/>
        <v>89417137.805999994</v>
      </c>
      <c r="P219" s="96">
        <f t="shared" si="72"/>
        <v>171287782.41200006</v>
      </c>
      <c r="Q219" s="93">
        <f t="shared" si="68"/>
        <v>1015.7373937708709</v>
      </c>
      <c r="R219" s="16" t="s">
        <v>98</v>
      </c>
      <c r="S219" s="16" t="s">
        <v>98</v>
      </c>
      <c r="T219" s="16" t="s">
        <v>98</v>
      </c>
      <c r="U219" s="25">
        <f t="shared" si="65"/>
        <v>440886757.83000004</v>
      </c>
      <c r="V219" s="25">
        <f t="shared" si="66"/>
        <v>0</v>
      </c>
    </row>
    <row r="220" spans="1:22" s="3" customFormat="1" ht="16.5" customHeight="1" x14ac:dyDescent="0.2">
      <c r="A220" s="122" t="s">
        <v>63</v>
      </c>
      <c r="B220" s="122"/>
      <c r="C220" s="122"/>
      <c r="D220" s="93" t="s">
        <v>98</v>
      </c>
      <c r="E220" s="93" t="s">
        <v>98</v>
      </c>
      <c r="F220" s="93" t="s">
        <v>98</v>
      </c>
      <c r="G220" s="93" t="s">
        <v>98</v>
      </c>
      <c r="H220" s="93" t="s">
        <v>98</v>
      </c>
      <c r="I220" s="93" t="s">
        <v>98</v>
      </c>
      <c r="J220" s="93" t="s">
        <v>98</v>
      </c>
      <c r="K220" s="93" t="s">
        <v>98</v>
      </c>
      <c r="L220" s="96">
        <f>'виды работ '!C219</f>
        <v>449949048.28545403</v>
      </c>
      <c r="M220" s="96">
        <f>M219</f>
        <v>0</v>
      </c>
      <c r="N220" s="96">
        <f>N219</f>
        <v>180181837.61199999</v>
      </c>
      <c r="O220" s="96">
        <f>O219</f>
        <v>89417137.805999994</v>
      </c>
      <c r="P220" s="96">
        <f>P219+'виды работ '!C218</f>
        <v>180350072.86745405</v>
      </c>
      <c r="Q220" s="16" t="s">
        <v>98</v>
      </c>
      <c r="R220" s="16" t="s">
        <v>98</v>
      </c>
      <c r="S220" s="16" t="s">
        <v>98</v>
      </c>
      <c r="T220" s="16" t="s">
        <v>98</v>
      </c>
      <c r="U220" s="25">
        <f t="shared" si="65"/>
        <v>449949048.28545403</v>
      </c>
      <c r="V220" s="25">
        <f t="shared" si="66"/>
        <v>0</v>
      </c>
    </row>
    <row r="222" spans="1:22" x14ac:dyDescent="0.25">
      <c r="T222" s="44">
        <f>41.4/100</f>
        <v>0.41399999999999998</v>
      </c>
    </row>
  </sheetData>
  <mergeCells count="147">
    <mergeCell ref="R1:T1"/>
    <mergeCell ref="R3:T3"/>
    <mergeCell ref="D4:Q4"/>
    <mergeCell ref="A5:A8"/>
    <mergeCell ref="B5:B8"/>
    <mergeCell ref="C5:D5"/>
    <mergeCell ref="E5:E8"/>
    <mergeCell ref="F5:F8"/>
    <mergeCell ref="G5:G8"/>
    <mergeCell ref="H5:H7"/>
    <mergeCell ref="I5:J5"/>
    <mergeCell ref="C6:C8"/>
    <mergeCell ref="D6:D8"/>
    <mergeCell ref="I6:I7"/>
    <mergeCell ref="J6:J7"/>
    <mergeCell ref="L6:L7"/>
    <mergeCell ref="R2:T2"/>
    <mergeCell ref="A10:T10"/>
    <mergeCell ref="K5:K7"/>
    <mergeCell ref="L5:P5"/>
    <mergeCell ref="Q5:Q7"/>
    <mergeCell ref="R5:R7"/>
    <mergeCell ref="S5:S8"/>
    <mergeCell ref="T5:T8"/>
    <mergeCell ref="A11:E11"/>
    <mergeCell ref="F11:T11"/>
    <mergeCell ref="A13:B13"/>
    <mergeCell ref="A14:C14"/>
    <mergeCell ref="A15:T15"/>
    <mergeCell ref="A22:C22"/>
    <mergeCell ref="A23:T23"/>
    <mergeCell ref="A16:E16"/>
    <mergeCell ref="F16:T16"/>
    <mergeCell ref="A18:B18"/>
    <mergeCell ref="A19:E19"/>
    <mergeCell ref="A21:B21"/>
    <mergeCell ref="F19:T19"/>
    <mergeCell ref="A42:B42"/>
    <mergeCell ref="A43:E43"/>
    <mergeCell ref="F43:T43"/>
    <mergeCell ref="A45:B45"/>
    <mergeCell ref="A24:E24"/>
    <mergeCell ref="F24:T24"/>
    <mergeCell ref="A26:B26"/>
    <mergeCell ref="A29:E29"/>
    <mergeCell ref="F29:T29"/>
    <mergeCell ref="A38:B38"/>
    <mergeCell ref="A39:E39"/>
    <mergeCell ref="F39:T39"/>
    <mergeCell ref="A27:C27"/>
    <mergeCell ref="A28:T28"/>
    <mergeCell ref="A60:B60"/>
    <mergeCell ref="A61:E61"/>
    <mergeCell ref="F61:T61"/>
    <mergeCell ref="A64:B64"/>
    <mergeCell ref="A65:C65"/>
    <mergeCell ref="A66:T66"/>
    <mergeCell ref="A46:E46"/>
    <mergeCell ref="F46:T46"/>
    <mergeCell ref="A53:B53"/>
    <mergeCell ref="A54:E54"/>
    <mergeCell ref="F54:T54"/>
    <mergeCell ref="A88:C88"/>
    <mergeCell ref="A89:T89"/>
    <mergeCell ref="A84:E84"/>
    <mergeCell ref="A87:C87"/>
    <mergeCell ref="A114:E114"/>
    <mergeCell ref="F114:T114"/>
    <mergeCell ref="A67:E67"/>
    <mergeCell ref="F67:T67"/>
    <mergeCell ref="A83:C83"/>
    <mergeCell ref="F84:T84"/>
    <mergeCell ref="A120:E120"/>
    <mergeCell ref="F120:T120"/>
    <mergeCell ref="A128:B128"/>
    <mergeCell ref="A119:T119"/>
    <mergeCell ref="A90:E90"/>
    <mergeCell ref="F90:T90"/>
    <mergeCell ref="A92:C92"/>
    <mergeCell ref="A93:E93"/>
    <mergeCell ref="F93:T93"/>
    <mergeCell ref="A95:C95"/>
    <mergeCell ref="A117:C117"/>
    <mergeCell ref="A96:E96"/>
    <mergeCell ref="F96:T96"/>
    <mergeCell ref="A113:C113"/>
    <mergeCell ref="A118:C118"/>
    <mergeCell ref="A141:C141"/>
    <mergeCell ref="A134:E134"/>
    <mergeCell ref="F134:T134"/>
    <mergeCell ref="A140:B140"/>
    <mergeCell ref="A131:E131"/>
    <mergeCell ref="F131:T131"/>
    <mergeCell ref="A133:B133"/>
    <mergeCell ref="A129:C129"/>
    <mergeCell ref="A130:T130"/>
    <mergeCell ref="A158:B158"/>
    <mergeCell ref="A159:C159"/>
    <mergeCell ref="A160:T160"/>
    <mergeCell ref="A154:E154"/>
    <mergeCell ref="F154:T154"/>
    <mergeCell ref="A153:B153"/>
    <mergeCell ref="A142:T142"/>
    <mergeCell ref="A143:E143"/>
    <mergeCell ref="F143:T143"/>
    <mergeCell ref="A148:B148"/>
    <mergeCell ref="A168:E168"/>
    <mergeCell ref="F168:T168"/>
    <mergeCell ref="A172:B172"/>
    <mergeCell ref="A164:E164"/>
    <mergeCell ref="F164:T164"/>
    <mergeCell ref="A167:B167"/>
    <mergeCell ref="A161:E161"/>
    <mergeCell ref="F161:T161"/>
    <mergeCell ref="A163:B163"/>
    <mergeCell ref="A179:E179"/>
    <mergeCell ref="F179:T179"/>
    <mergeCell ref="A181:B181"/>
    <mergeCell ref="A182:E182"/>
    <mergeCell ref="F182:T182"/>
    <mergeCell ref="A184:B184"/>
    <mergeCell ref="A173:E173"/>
    <mergeCell ref="F173:T173"/>
    <mergeCell ref="A176:B176"/>
    <mergeCell ref="A177:C177"/>
    <mergeCell ref="A178:T178"/>
    <mergeCell ref="A202:T202"/>
    <mergeCell ref="A198:T198"/>
    <mergeCell ref="A201:B201"/>
    <mergeCell ref="A197:C197"/>
    <mergeCell ref="A193:E193"/>
    <mergeCell ref="F193:T193"/>
    <mergeCell ref="A196:B196"/>
    <mergeCell ref="A185:E185"/>
    <mergeCell ref="F185:T185"/>
    <mergeCell ref="A190:B190"/>
    <mergeCell ref="A191:C191"/>
    <mergeCell ref="A192:T192"/>
    <mergeCell ref="A218:C218"/>
    <mergeCell ref="A219:C219"/>
    <mergeCell ref="A220:C220"/>
    <mergeCell ref="A206:E206"/>
    <mergeCell ref="F206:T206"/>
    <mergeCell ref="A217:B217"/>
    <mergeCell ref="A203:E203"/>
    <mergeCell ref="F203:T203"/>
    <mergeCell ref="A205:B205"/>
  </mergeCells>
  <pageMargins left="0.23622047244094491" right="0.15748031496062992" top="0.43307086614173229" bottom="0.23622047244094491" header="0.31496062992125984" footer="0.15748031496062992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1"/>
  <sheetViews>
    <sheetView view="pageBreakPreview" zoomScale="70" zoomScaleNormal="100" zoomScaleSheetLayoutView="70" workbookViewId="0">
      <pane xSplit="3" ySplit="5" topLeftCell="D189" activePane="bottomRight" state="frozen"/>
      <selection pane="topRight" activeCell="D1" sqref="D1"/>
      <selection pane="bottomLeft" activeCell="A7" sqref="A7"/>
      <selection pane="bottomRight" activeCell="A221" sqref="A221:XFD221"/>
    </sheetView>
  </sheetViews>
  <sheetFormatPr defaultColWidth="9.140625" defaultRowHeight="12.75" x14ac:dyDescent="0.25"/>
  <cols>
    <col min="1" max="1" width="5.28515625" style="5" customWidth="1"/>
    <col min="2" max="2" width="50" style="5" customWidth="1"/>
    <col min="3" max="3" width="17.28515625" style="39" customWidth="1"/>
    <col min="4" max="4" width="15.85546875" style="39" customWidth="1"/>
    <col min="5" max="5" width="16.42578125" style="39" customWidth="1"/>
    <col min="6" max="6" width="15.140625" style="39" customWidth="1"/>
    <col min="7" max="9" width="14.28515625" style="39" customWidth="1"/>
    <col min="10" max="10" width="10" style="39" customWidth="1"/>
    <col min="11" max="11" width="16.7109375" style="39" customWidth="1"/>
    <col min="12" max="12" width="11.7109375" style="39" bestFit="1" customWidth="1"/>
    <col min="13" max="13" width="15.85546875" style="39" customWidth="1"/>
    <col min="14" max="14" width="10" style="39" customWidth="1"/>
    <col min="15" max="15" width="15.5703125" style="39" bestFit="1" customWidth="1"/>
    <col min="16" max="16" width="11.7109375" style="39" bestFit="1" customWidth="1"/>
    <col min="17" max="17" width="16.85546875" style="39" bestFit="1" customWidth="1"/>
    <col min="18" max="18" width="10" style="39" customWidth="1"/>
    <col min="19" max="19" width="14.28515625" style="39" customWidth="1"/>
    <col min="20" max="20" width="12.140625" style="39" customWidth="1"/>
    <col min="21" max="21" width="15.28515625" style="39" bestFit="1" customWidth="1"/>
    <col min="22" max="24" width="15.7109375" style="39" customWidth="1"/>
    <col min="25" max="25" width="27.42578125" style="23" hidden="1" customWidth="1"/>
    <col min="26" max="26" width="15.28515625" style="5" hidden="1" customWidth="1"/>
    <col min="27" max="27" width="15.42578125" style="5" hidden="1" customWidth="1"/>
    <col min="28" max="28" width="18.7109375" style="5" hidden="1" customWidth="1"/>
    <col min="29" max="16384" width="9.140625" style="5"/>
  </cols>
  <sheetData>
    <row r="1" spans="1:28" x14ac:dyDescent="0.25">
      <c r="A1" s="185" t="s">
        <v>240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</row>
    <row r="2" spans="1:28" ht="12.75" customHeight="1" x14ac:dyDescent="0.25">
      <c r="A2" s="186" t="s">
        <v>0</v>
      </c>
      <c r="B2" s="186" t="s">
        <v>1</v>
      </c>
      <c r="C2" s="186" t="s">
        <v>2</v>
      </c>
      <c r="D2" s="189" t="s">
        <v>71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1"/>
    </row>
    <row r="3" spans="1:28" ht="12.75" customHeight="1" x14ac:dyDescent="0.25">
      <c r="A3" s="187"/>
      <c r="B3" s="187"/>
      <c r="C3" s="187"/>
      <c r="D3" s="192" t="s">
        <v>72</v>
      </c>
      <c r="E3" s="193"/>
      <c r="F3" s="193"/>
      <c r="G3" s="193"/>
      <c r="H3" s="193"/>
      <c r="I3" s="194"/>
      <c r="J3" s="195" t="s">
        <v>65</v>
      </c>
      <c r="K3" s="196"/>
      <c r="L3" s="195" t="s">
        <v>66</v>
      </c>
      <c r="M3" s="196"/>
      <c r="N3" s="195" t="s">
        <v>67</v>
      </c>
      <c r="O3" s="196"/>
      <c r="P3" s="195" t="s">
        <v>68</v>
      </c>
      <c r="Q3" s="196"/>
      <c r="R3" s="195" t="s">
        <v>69</v>
      </c>
      <c r="S3" s="196"/>
      <c r="T3" s="195" t="s">
        <v>70</v>
      </c>
      <c r="U3" s="196"/>
      <c r="V3" s="186" t="s">
        <v>3</v>
      </c>
      <c r="W3" s="186" t="s">
        <v>4</v>
      </c>
      <c r="X3" s="186" t="s">
        <v>111</v>
      </c>
    </row>
    <row r="4" spans="1:28" ht="12.75" customHeight="1" x14ac:dyDescent="0.25">
      <c r="A4" s="187"/>
      <c r="B4" s="187"/>
      <c r="C4" s="187"/>
      <c r="D4" s="186" t="s">
        <v>5</v>
      </c>
      <c r="E4" s="192" t="s">
        <v>6</v>
      </c>
      <c r="F4" s="193"/>
      <c r="G4" s="193"/>
      <c r="H4" s="193"/>
      <c r="I4" s="194"/>
      <c r="J4" s="197"/>
      <c r="K4" s="198"/>
      <c r="L4" s="197"/>
      <c r="M4" s="198"/>
      <c r="N4" s="197"/>
      <c r="O4" s="198"/>
      <c r="P4" s="197"/>
      <c r="Q4" s="198"/>
      <c r="R4" s="197"/>
      <c r="S4" s="198"/>
      <c r="T4" s="197"/>
      <c r="U4" s="198"/>
      <c r="V4" s="187"/>
      <c r="W4" s="187"/>
      <c r="X4" s="187"/>
    </row>
    <row r="5" spans="1:28" ht="60" customHeight="1" x14ac:dyDescent="0.25">
      <c r="A5" s="187"/>
      <c r="B5" s="187"/>
      <c r="C5" s="188"/>
      <c r="D5" s="188"/>
      <c r="E5" s="40" t="s">
        <v>7</v>
      </c>
      <c r="F5" s="40" t="s">
        <v>8</v>
      </c>
      <c r="G5" s="40" t="s">
        <v>9</v>
      </c>
      <c r="H5" s="40" t="s">
        <v>10</v>
      </c>
      <c r="I5" s="40" t="s">
        <v>11</v>
      </c>
      <c r="J5" s="199"/>
      <c r="K5" s="200"/>
      <c r="L5" s="199"/>
      <c r="M5" s="200"/>
      <c r="N5" s="199"/>
      <c r="O5" s="200"/>
      <c r="P5" s="199"/>
      <c r="Q5" s="200"/>
      <c r="R5" s="199"/>
      <c r="S5" s="200"/>
      <c r="T5" s="199"/>
      <c r="U5" s="200"/>
      <c r="V5" s="188"/>
      <c r="W5" s="188"/>
      <c r="X5" s="188"/>
    </row>
    <row r="6" spans="1:28" s="17" customFormat="1" x14ac:dyDescent="0.25">
      <c r="A6" s="188"/>
      <c r="B6" s="188"/>
      <c r="C6" s="40" t="s">
        <v>12</v>
      </c>
      <c r="D6" s="40" t="s">
        <v>12</v>
      </c>
      <c r="E6" s="40" t="s">
        <v>12</v>
      </c>
      <c r="F6" s="40" t="s">
        <v>12</v>
      </c>
      <c r="G6" s="40" t="s">
        <v>12</v>
      </c>
      <c r="H6" s="40" t="s">
        <v>12</v>
      </c>
      <c r="I6" s="40" t="s">
        <v>12</v>
      </c>
      <c r="J6" s="40" t="s">
        <v>13</v>
      </c>
      <c r="K6" s="40" t="s">
        <v>12</v>
      </c>
      <c r="L6" s="40" t="s">
        <v>14</v>
      </c>
      <c r="M6" s="40" t="s">
        <v>12</v>
      </c>
      <c r="N6" s="40" t="s">
        <v>14</v>
      </c>
      <c r="O6" s="40" t="s">
        <v>12</v>
      </c>
      <c r="P6" s="40" t="s">
        <v>14</v>
      </c>
      <c r="Q6" s="40" t="s">
        <v>12</v>
      </c>
      <c r="R6" s="40" t="s">
        <v>15</v>
      </c>
      <c r="S6" s="40" t="s">
        <v>12</v>
      </c>
      <c r="T6" s="40" t="s">
        <v>14</v>
      </c>
      <c r="U6" s="40" t="s">
        <v>12</v>
      </c>
      <c r="V6" s="40" t="s">
        <v>12</v>
      </c>
      <c r="W6" s="40" t="s">
        <v>12</v>
      </c>
      <c r="X6" s="40" t="s">
        <v>12</v>
      </c>
      <c r="Y6" s="24"/>
    </row>
    <row r="7" spans="1:28" s="17" customFormat="1" x14ac:dyDescent="0.25">
      <c r="A7" s="115">
        <v>1</v>
      </c>
      <c r="B7" s="115">
        <v>2</v>
      </c>
      <c r="C7" s="115">
        <v>3</v>
      </c>
      <c r="D7" s="115">
        <v>4</v>
      </c>
      <c r="E7" s="115">
        <v>5</v>
      </c>
      <c r="F7" s="115">
        <v>6</v>
      </c>
      <c r="G7" s="115">
        <v>7</v>
      </c>
      <c r="H7" s="115">
        <v>8</v>
      </c>
      <c r="I7" s="115">
        <v>9</v>
      </c>
      <c r="J7" s="115">
        <v>10</v>
      </c>
      <c r="K7" s="115">
        <v>11</v>
      </c>
      <c r="L7" s="115">
        <v>12</v>
      </c>
      <c r="M7" s="115">
        <v>13</v>
      </c>
      <c r="N7" s="115">
        <v>14</v>
      </c>
      <c r="O7" s="115">
        <v>15</v>
      </c>
      <c r="P7" s="115">
        <v>16</v>
      </c>
      <c r="Q7" s="115">
        <v>17</v>
      </c>
      <c r="R7" s="115">
        <v>18</v>
      </c>
      <c r="S7" s="115">
        <v>19</v>
      </c>
      <c r="T7" s="115">
        <v>20</v>
      </c>
      <c r="U7" s="115">
        <v>21</v>
      </c>
      <c r="V7" s="115">
        <v>22</v>
      </c>
      <c r="W7" s="26">
        <v>23</v>
      </c>
      <c r="X7" s="26">
        <v>24</v>
      </c>
      <c r="Y7" s="24"/>
    </row>
    <row r="8" spans="1:28" ht="21" customHeight="1" x14ac:dyDescent="0.25">
      <c r="A8" s="180" t="s">
        <v>45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2"/>
      <c r="Y8" s="59"/>
    </row>
    <row r="9" spans="1:28" ht="21" customHeight="1" x14ac:dyDescent="0.25">
      <c r="A9" s="175" t="s">
        <v>46</v>
      </c>
      <c r="B9" s="176"/>
      <c r="C9" s="177"/>
      <c r="D9" s="17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4"/>
      <c r="Y9" s="7"/>
      <c r="Z9" s="6"/>
      <c r="AA9" s="6"/>
    </row>
    <row r="10" spans="1:28" ht="21" customHeight="1" x14ac:dyDescent="0.25">
      <c r="A10" s="115">
        <v>1</v>
      </c>
      <c r="B10" s="4" t="s">
        <v>112</v>
      </c>
      <c r="C10" s="111">
        <f>D10+K10+M10+O10+Q10+S10+U10+V10+W10+X10</f>
        <v>714982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1">
        <v>1093</v>
      </c>
      <c r="Q10" s="111">
        <v>714982</v>
      </c>
      <c r="R10" s="114"/>
      <c r="S10" s="114"/>
      <c r="T10" s="114"/>
      <c r="U10" s="114"/>
      <c r="V10" s="114"/>
      <c r="W10" s="114"/>
      <c r="X10" s="114"/>
      <c r="Y10" s="7"/>
      <c r="Z10" s="6">
        <f t="shared" ref="Z10:Z41" si="0">E10+F10+G10+H10+I10+K10+M10+O10+Q10+S10+U10+V10+W10+X10</f>
        <v>714982</v>
      </c>
      <c r="AA10" s="6">
        <f t="shared" ref="AA10:AA41" si="1">Z10-C10</f>
        <v>0</v>
      </c>
      <c r="AB10" s="6"/>
    </row>
    <row r="11" spans="1:28" ht="21" customHeight="1" x14ac:dyDescent="0.25">
      <c r="A11" s="178" t="s">
        <v>17</v>
      </c>
      <c r="B11" s="179"/>
      <c r="C11" s="111">
        <f>SUM(C10:C10)</f>
        <v>714982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>
        <f>SUM(P10:P10)</f>
        <v>1093</v>
      </c>
      <c r="Q11" s="111">
        <f>SUM(Q10:Q10)</f>
        <v>714982</v>
      </c>
      <c r="R11" s="111"/>
      <c r="S11" s="111"/>
      <c r="T11" s="111"/>
      <c r="U11" s="111"/>
      <c r="V11" s="111"/>
      <c r="W11" s="111"/>
      <c r="X11" s="111"/>
      <c r="Y11" s="7"/>
      <c r="Z11" s="6">
        <f t="shared" si="0"/>
        <v>714982</v>
      </c>
      <c r="AA11" s="6">
        <f t="shared" si="1"/>
        <v>0</v>
      </c>
      <c r="AB11" s="6"/>
    </row>
    <row r="12" spans="1:28" ht="21" customHeight="1" x14ac:dyDescent="0.25">
      <c r="A12" s="175" t="s">
        <v>47</v>
      </c>
      <c r="B12" s="177"/>
      <c r="C12" s="112">
        <f>C11</f>
        <v>714982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>
        <f>P11</f>
        <v>1093</v>
      </c>
      <c r="Q12" s="112">
        <f>Q11</f>
        <v>714982</v>
      </c>
      <c r="R12" s="112"/>
      <c r="S12" s="112"/>
      <c r="T12" s="112"/>
      <c r="U12" s="112"/>
      <c r="V12" s="112"/>
      <c r="W12" s="112"/>
      <c r="X12" s="112"/>
      <c r="Y12" s="7"/>
      <c r="Z12" s="6">
        <f t="shared" si="0"/>
        <v>714982</v>
      </c>
      <c r="AA12" s="6">
        <f t="shared" si="1"/>
        <v>0</v>
      </c>
      <c r="AB12" s="6"/>
    </row>
    <row r="13" spans="1:28" ht="21" customHeight="1" x14ac:dyDescent="0.25">
      <c r="A13" s="180" t="s">
        <v>48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2"/>
      <c r="Y13" s="7"/>
      <c r="Z13" s="6">
        <f t="shared" si="0"/>
        <v>0</v>
      </c>
      <c r="AA13" s="6">
        <f t="shared" si="1"/>
        <v>0</v>
      </c>
    </row>
    <row r="14" spans="1:28" ht="21" customHeight="1" x14ac:dyDescent="0.25">
      <c r="A14" s="175" t="s">
        <v>115</v>
      </c>
      <c r="B14" s="176"/>
      <c r="C14" s="177"/>
      <c r="D14" s="180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2"/>
      <c r="Y14" s="7"/>
      <c r="Z14" s="6">
        <f t="shared" si="0"/>
        <v>0</v>
      </c>
      <c r="AA14" s="6">
        <f t="shared" si="1"/>
        <v>0</v>
      </c>
    </row>
    <row r="15" spans="1:28" ht="21" customHeight="1" x14ac:dyDescent="0.25">
      <c r="A15" s="115">
        <f>A10+1</f>
        <v>2</v>
      </c>
      <c r="B15" s="4" t="s">
        <v>114</v>
      </c>
      <c r="C15" s="111">
        <f>D15+K15+M15+O15+Q15+S15+U15+V15+W15+X15</f>
        <v>1637280.68</v>
      </c>
      <c r="D15" s="111"/>
      <c r="E15" s="111"/>
      <c r="F15" s="111"/>
      <c r="G15" s="111"/>
      <c r="H15" s="111"/>
      <c r="I15" s="111"/>
      <c r="J15" s="111"/>
      <c r="K15" s="111"/>
      <c r="L15" s="111">
        <v>430</v>
      </c>
      <c r="M15" s="111">
        <v>1637280.68</v>
      </c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7"/>
      <c r="Z15" s="6">
        <f t="shared" si="0"/>
        <v>1637280.68</v>
      </c>
      <c r="AA15" s="6">
        <f t="shared" si="1"/>
        <v>0</v>
      </c>
    </row>
    <row r="16" spans="1:28" ht="21" customHeight="1" x14ac:dyDescent="0.25">
      <c r="A16" s="178" t="s">
        <v>17</v>
      </c>
      <c r="B16" s="179"/>
      <c r="C16" s="111">
        <f>SUM(C15:C15)</f>
        <v>1637280.68</v>
      </c>
      <c r="D16" s="111"/>
      <c r="E16" s="111"/>
      <c r="F16" s="111"/>
      <c r="G16" s="111"/>
      <c r="H16" s="111"/>
      <c r="I16" s="111"/>
      <c r="J16" s="111"/>
      <c r="K16" s="111"/>
      <c r="L16" s="111">
        <f>SUM(L15:L15)</f>
        <v>430</v>
      </c>
      <c r="M16" s="111">
        <f>SUM(M15:M15)</f>
        <v>1637280.68</v>
      </c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7"/>
      <c r="Z16" s="6">
        <f t="shared" si="0"/>
        <v>1637280.68</v>
      </c>
      <c r="AA16" s="6">
        <f t="shared" si="1"/>
        <v>0</v>
      </c>
      <c r="AB16" s="6"/>
    </row>
    <row r="17" spans="1:28" ht="21" customHeight="1" x14ac:dyDescent="0.25">
      <c r="A17" s="151" t="s">
        <v>116</v>
      </c>
      <c r="B17" s="165"/>
      <c r="C17" s="166"/>
      <c r="D17" s="158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60"/>
      <c r="Y17" s="7"/>
      <c r="Z17" s="6">
        <f t="shared" si="0"/>
        <v>0</v>
      </c>
      <c r="AA17" s="6">
        <f t="shared" si="1"/>
        <v>0</v>
      </c>
    </row>
    <row r="18" spans="1:28" ht="21" customHeight="1" x14ac:dyDescent="0.25">
      <c r="A18" s="26">
        <f>A15+1</f>
        <v>3</v>
      </c>
      <c r="B18" s="4" t="s">
        <v>117</v>
      </c>
      <c r="C18" s="111">
        <f>D18+K18+M18+O18+Q18+S18+U18+V18+W18+X18</f>
        <v>1619538.2</v>
      </c>
      <c r="D18" s="111"/>
      <c r="E18" s="111"/>
      <c r="F18" s="111"/>
      <c r="G18" s="111"/>
      <c r="H18" s="111"/>
      <c r="I18" s="111"/>
      <c r="J18" s="111"/>
      <c r="K18" s="111"/>
      <c r="L18" s="111">
        <v>407</v>
      </c>
      <c r="M18" s="111">
        <v>1619538.2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7"/>
      <c r="Z18" s="6">
        <f t="shared" si="0"/>
        <v>1619538.2</v>
      </c>
      <c r="AA18" s="6">
        <f t="shared" si="1"/>
        <v>0</v>
      </c>
    </row>
    <row r="19" spans="1:28" ht="21" customHeight="1" x14ac:dyDescent="0.25">
      <c r="A19" s="178" t="s">
        <v>17</v>
      </c>
      <c r="B19" s="179"/>
      <c r="C19" s="111">
        <f>SUM(C18:C18)</f>
        <v>1619538.2</v>
      </c>
      <c r="D19" s="111"/>
      <c r="E19" s="111"/>
      <c r="F19" s="111"/>
      <c r="G19" s="111"/>
      <c r="H19" s="111"/>
      <c r="I19" s="111"/>
      <c r="J19" s="111"/>
      <c r="K19" s="111"/>
      <c r="L19" s="111">
        <f>SUM(L18:L18)</f>
        <v>407</v>
      </c>
      <c r="M19" s="111">
        <f>SUM(M18:M18)</f>
        <v>1619538.2</v>
      </c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7"/>
      <c r="Z19" s="6">
        <f t="shared" si="0"/>
        <v>1619538.2</v>
      </c>
      <c r="AA19" s="6">
        <f t="shared" si="1"/>
        <v>0</v>
      </c>
      <c r="AB19" s="6"/>
    </row>
    <row r="20" spans="1:28" ht="21" customHeight="1" x14ac:dyDescent="0.25">
      <c r="A20" s="175" t="s">
        <v>49</v>
      </c>
      <c r="B20" s="177"/>
      <c r="C20" s="112">
        <f t="shared" ref="C20:W20" si="2">C16+C19</f>
        <v>3256818.88</v>
      </c>
      <c r="D20" s="112">
        <f t="shared" si="2"/>
        <v>0</v>
      </c>
      <c r="E20" s="112">
        <f t="shared" si="2"/>
        <v>0</v>
      </c>
      <c r="F20" s="112">
        <f t="shared" si="2"/>
        <v>0</v>
      </c>
      <c r="G20" s="112">
        <f t="shared" si="2"/>
        <v>0</v>
      </c>
      <c r="H20" s="112">
        <f t="shared" si="2"/>
        <v>0</v>
      </c>
      <c r="I20" s="112">
        <f t="shared" si="2"/>
        <v>0</v>
      </c>
      <c r="J20" s="112">
        <f t="shared" si="2"/>
        <v>0</v>
      </c>
      <c r="K20" s="112">
        <f t="shared" si="2"/>
        <v>0</v>
      </c>
      <c r="L20" s="112">
        <f t="shared" si="2"/>
        <v>837</v>
      </c>
      <c r="M20" s="112">
        <f t="shared" si="2"/>
        <v>3256818.88</v>
      </c>
      <c r="N20" s="112">
        <f t="shared" si="2"/>
        <v>0</v>
      </c>
      <c r="O20" s="112">
        <f t="shared" si="2"/>
        <v>0</v>
      </c>
      <c r="P20" s="112">
        <f t="shared" si="2"/>
        <v>0</v>
      </c>
      <c r="Q20" s="112">
        <f t="shared" si="2"/>
        <v>0</v>
      </c>
      <c r="R20" s="112">
        <f t="shared" si="2"/>
        <v>0</v>
      </c>
      <c r="S20" s="112">
        <f t="shared" si="2"/>
        <v>0</v>
      </c>
      <c r="T20" s="112">
        <f t="shared" si="2"/>
        <v>0</v>
      </c>
      <c r="U20" s="112">
        <f t="shared" si="2"/>
        <v>0</v>
      </c>
      <c r="V20" s="112">
        <f t="shared" si="2"/>
        <v>0</v>
      </c>
      <c r="W20" s="112">
        <f t="shared" si="2"/>
        <v>0</v>
      </c>
      <c r="X20" s="112"/>
      <c r="Y20" s="7"/>
      <c r="Z20" s="6">
        <f t="shared" si="0"/>
        <v>3256818.88</v>
      </c>
      <c r="AA20" s="6">
        <f t="shared" si="1"/>
        <v>0</v>
      </c>
      <c r="AB20" s="6"/>
    </row>
    <row r="21" spans="1:28" ht="21" customHeight="1" x14ac:dyDescent="0.25">
      <c r="A21" s="180" t="s">
        <v>16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2"/>
      <c r="Y21" s="7"/>
      <c r="Z21" s="6">
        <f t="shared" si="0"/>
        <v>0</v>
      </c>
      <c r="AA21" s="6">
        <f t="shared" si="1"/>
        <v>0</v>
      </c>
    </row>
    <row r="22" spans="1:28" ht="21" customHeight="1" x14ac:dyDescent="0.25">
      <c r="A22" s="175" t="s">
        <v>118</v>
      </c>
      <c r="B22" s="176"/>
      <c r="C22" s="177"/>
      <c r="D22" s="172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4"/>
      <c r="Y22" s="7"/>
      <c r="Z22" s="6">
        <f t="shared" si="0"/>
        <v>0</v>
      </c>
      <c r="AA22" s="6">
        <f t="shared" si="1"/>
        <v>0</v>
      </c>
    </row>
    <row r="23" spans="1:28" ht="21" customHeight="1" x14ac:dyDescent="0.25">
      <c r="A23" s="115">
        <f>A18+1</f>
        <v>4</v>
      </c>
      <c r="B23" s="4" t="s">
        <v>119</v>
      </c>
      <c r="C23" s="111">
        <f>D23+K23+M23+O23+Q23+S23+U23+V23+W23+X23</f>
        <v>236881.46</v>
      </c>
      <c r="D23" s="111"/>
      <c r="E23" s="111"/>
      <c r="F23" s="111"/>
      <c r="G23" s="111"/>
      <c r="H23" s="111"/>
      <c r="I23" s="111"/>
      <c r="J23" s="111"/>
      <c r="K23" s="111"/>
      <c r="L23" s="60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>
        <v>236881.46</v>
      </c>
      <c r="X23" s="111"/>
      <c r="Y23" s="7"/>
      <c r="Z23" s="6">
        <f t="shared" si="0"/>
        <v>236881.46</v>
      </c>
      <c r="AA23" s="6">
        <f t="shared" si="1"/>
        <v>0</v>
      </c>
    </row>
    <row r="24" spans="1:28" ht="21" customHeight="1" x14ac:dyDescent="0.25">
      <c r="A24" s="178" t="s">
        <v>17</v>
      </c>
      <c r="B24" s="179"/>
      <c r="C24" s="111">
        <f>SUM(C23:C23)</f>
        <v>236881.46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>
        <f>SUM(W23:W23)</f>
        <v>236881.46</v>
      </c>
      <c r="X24" s="111"/>
      <c r="Y24" s="7"/>
      <c r="Z24" s="6">
        <f t="shared" si="0"/>
        <v>236881.46</v>
      </c>
      <c r="AA24" s="6">
        <f t="shared" si="1"/>
        <v>0</v>
      </c>
    </row>
    <row r="25" spans="1:28" ht="21" customHeight="1" x14ac:dyDescent="0.25">
      <c r="A25" s="175" t="s">
        <v>18</v>
      </c>
      <c r="B25" s="177"/>
      <c r="C25" s="112">
        <f>C24</f>
        <v>236881.46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>
        <f>W24</f>
        <v>236881.46</v>
      </c>
      <c r="X25" s="112"/>
      <c r="Y25" s="7"/>
      <c r="Z25" s="6">
        <f t="shared" si="0"/>
        <v>236881.46</v>
      </c>
      <c r="AA25" s="6">
        <f t="shared" si="1"/>
        <v>0</v>
      </c>
      <c r="AB25" s="6"/>
    </row>
    <row r="26" spans="1:28" ht="21" customHeight="1" x14ac:dyDescent="0.25">
      <c r="A26" s="180" t="s">
        <v>50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2"/>
      <c r="Y26" s="7"/>
      <c r="Z26" s="6">
        <f t="shared" si="0"/>
        <v>0</v>
      </c>
      <c r="AA26" s="6">
        <f t="shared" si="1"/>
        <v>0</v>
      </c>
      <c r="AB26" s="59"/>
    </row>
    <row r="27" spans="1:28" ht="21" customHeight="1" x14ac:dyDescent="0.25">
      <c r="A27" s="151" t="s">
        <v>51</v>
      </c>
      <c r="B27" s="165"/>
      <c r="C27" s="166"/>
      <c r="D27" s="172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4"/>
      <c r="Y27" s="7"/>
      <c r="Z27" s="6">
        <f t="shared" si="0"/>
        <v>0</v>
      </c>
      <c r="AA27" s="6">
        <f t="shared" si="1"/>
        <v>0</v>
      </c>
      <c r="AB27" s="59"/>
    </row>
    <row r="28" spans="1:28" ht="21" customHeight="1" x14ac:dyDescent="0.25">
      <c r="A28" s="26">
        <f>A23+1</f>
        <v>5</v>
      </c>
      <c r="B28" s="4" t="s">
        <v>124</v>
      </c>
      <c r="C28" s="111">
        <f t="shared" ref="C28:C35" si="3">D28+K28+M28+O28+Q28+S28+U28+V28+W28+X28</f>
        <v>7702413.5499999998</v>
      </c>
      <c r="D28" s="111"/>
      <c r="E28" s="114"/>
      <c r="F28" s="114"/>
      <c r="G28" s="114"/>
      <c r="H28" s="114"/>
      <c r="I28" s="114"/>
      <c r="J28" s="26">
        <v>5</v>
      </c>
      <c r="K28" s="114">
        <v>6981050.0499999998</v>
      </c>
      <c r="L28" s="114"/>
      <c r="M28" s="111"/>
      <c r="N28" s="114"/>
      <c r="O28" s="114"/>
      <c r="P28" s="114"/>
      <c r="Q28" s="114"/>
      <c r="R28" s="114"/>
      <c r="S28" s="114"/>
      <c r="T28" s="114"/>
      <c r="U28" s="114"/>
      <c r="V28" s="114"/>
      <c r="W28" s="114">
        <v>721363.5</v>
      </c>
      <c r="X28" s="114"/>
      <c r="Y28" s="7"/>
      <c r="Z28" s="6">
        <f t="shared" si="0"/>
        <v>7702413.5499999998</v>
      </c>
      <c r="AA28" s="6">
        <f t="shared" si="1"/>
        <v>0</v>
      </c>
      <c r="AB28" s="59"/>
    </row>
    <row r="29" spans="1:28" ht="21" customHeight="1" x14ac:dyDescent="0.25">
      <c r="A29" s="26">
        <f t="shared" ref="A29:A35" si="4">A28+1</f>
        <v>6</v>
      </c>
      <c r="B29" s="4" t="s">
        <v>125</v>
      </c>
      <c r="C29" s="111">
        <f t="shared" si="3"/>
        <v>6438938.71</v>
      </c>
      <c r="D29" s="111"/>
      <c r="E29" s="114"/>
      <c r="F29" s="114"/>
      <c r="G29" s="114"/>
      <c r="H29" s="114"/>
      <c r="I29" s="114"/>
      <c r="J29" s="26">
        <v>4</v>
      </c>
      <c r="K29" s="114">
        <v>5592383.1100000003</v>
      </c>
      <c r="L29" s="114"/>
      <c r="M29" s="111"/>
      <c r="N29" s="114"/>
      <c r="O29" s="114"/>
      <c r="P29" s="114"/>
      <c r="Q29" s="114"/>
      <c r="R29" s="114"/>
      <c r="S29" s="114"/>
      <c r="T29" s="114"/>
      <c r="U29" s="114"/>
      <c r="V29" s="114"/>
      <c r="W29" s="114">
        <v>846555.6</v>
      </c>
      <c r="X29" s="114"/>
      <c r="Y29" s="7"/>
      <c r="Z29" s="6">
        <f t="shared" si="0"/>
        <v>6438938.71</v>
      </c>
      <c r="AA29" s="6">
        <f t="shared" si="1"/>
        <v>0</v>
      </c>
      <c r="AB29" s="59"/>
    </row>
    <row r="30" spans="1:28" ht="21" customHeight="1" x14ac:dyDescent="0.25">
      <c r="A30" s="26">
        <f t="shared" si="4"/>
        <v>7</v>
      </c>
      <c r="B30" s="4" t="s">
        <v>126</v>
      </c>
      <c r="C30" s="111">
        <f t="shared" si="3"/>
        <v>4683717.2799999993</v>
      </c>
      <c r="D30" s="111"/>
      <c r="E30" s="114"/>
      <c r="F30" s="114"/>
      <c r="G30" s="114"/>
      <c r="H30" s="114"/>
      <c r="I30" s="114"/>
      <c r="J30" s="26">
        <v>3</v>
      </c>
      <c r="K30" s="114">
        <v>4203728.68</v>
      </c>
      <c r="L30" s="114"/>
      <c r="M30" s="111"/>
      <c r="N30" s="114"/>
      <c r="O30" s="114"/>
      <c r="P30" s="114"/>
      <c r="Q30" s="114"/>
      <c r="R30" s="114"/>
      <c r="S30" s="114"/>
      <c r="T30" s="114"/>
      <c r="U30" s="114"/>
      <c r="V30" s="114"/>
      <c r="W30" s="114">
        <v>479988.6</v>
      </c>
      <c r="X30" s="114"/>
      <c r="Y30" s="7"/>
      <c r="Z30" s="6">
        <f t="shared" si="0"/>
        <v>4683717.2799999993</v>
      </c>
      <c r="AA30" s="6">
        <f t="shared" si="1"/>
        <v>0</v>
      </c>
      <c r="AB30" s="59"/>
    </row>
    <row r="31" spans="1:28" ht="21" customHeight="1" x14ac:dyDescent="0.25">
      <c r="A31" s="26">
        <f t="shared" si="4"/>
        <v>8</v>
      </c>
      <c r="B31" s="4" t="s">
        <v>121</v>
      </c>
      <c r="C31" s="111">
        <f t="shared" si="3"/>
        <v>3160599.76</v>
      </c>
      <c r="D31" s="111"/>
      <c r="E31" s="114"/>
      <c r="F31" s="114"/>
      <c r="G31" s="114"/>
      <c r="H31" s="114"/>
      <c r="I31" s="114"/>
      <c r="J31" s="26">
        <v>2</v>
      </c>
      <c r="K31" s="114">
        <v>2738258.88</v>
      </c>
      <c r="L31" s="114"/>
      <c r="M31" s="111"/>
      <c r="N31" s="114"/>
      <c r="O31" s="114"/>
      <c r="P31" s="114"/>
      <c r="Q31" s="114"/>
      <c r="R31" s="114"/>
      <c r="S31" s="114"/>
      <c r="T31" s="114"/>
      <c r="U31" s="114"/>
      <c r="V31" s="114"/>
      <c r="W31" s="114">
        <v>422340.88</v>
      </c>
      <c r="X31" s="114"/>
      <c r="Y31" s="7"/>
      <c r="Z31" s="6">
        <f t="shared" si="0"/>
        <v>3160599.76</v>
      </c>
      <c r="AA31" s="6">
        <f t="shared" si="1"/>
        <v>0</v>
      </c>
      <c r="AB31" s="59"/>
    </row>
    <row r="32" spans="1:28" ht="21" customHeight="1" x14ac:dyDescent="0.25">
      <c r="A32" s="26">
        <f t="shared" si="4"/>
        <v>9</v>
      </c>
      <c r="B32" s="4" t="s">
        <v>122</v>
      </c>
      <c r="C32" s="111">
        <f t="shared" si="3"/>
        <v>3160599.76</v>
      </c>
      <c r="D32" s="111"/>
      <c r="E32" s="114"/>
      <c r="F32" s="114"/>
      <c r="G32" s="114"/>
      <c r="H32" s="114"/>
      <c r="I32" s="114"/>
      <c r="J32" s="26">
        <v>2</v>
      </c>
      <c r="K32" s="114">
        <v>2738258.88</v>
      </c>
      <c r="L32" s="114"/>
      <c r="M32" s="111"/>
      <c r="N32" s="114"/>
      <c r="O32" s="114"/>
      <c r="P32" s="114"/>
      <c r="Q32" s="114"/>
      <c r="R32" s="114"/>
      <c r="S32" s="114"/>
      <c r="T32" s="114"/>
      <c r="U32" s="114"/>
      <c r="V32" s="114"/>
      <c r="W32" s="114">
        <v>422340.88</v>
      </c>
      <c r="X32" s="114"/>
      <c r="Y32" s="7"/>
      <c r="Z32" s="6">
        <f t="shared" si="0"/>
        <v>3160599.76</v>
      </c>
      <c r="AA32" s="6">
        <f t="shared" si="1"/>
        <v>0</v>
      </c>
      <c r="AB32" s="59"/>
    </row>
    <row r="33" spans="1:28" ht="21" customHeight="1" x14ac:dyDescent="0.25">
      <c r="A33" s="26">
        <f t="shared" si="4"/>
        <v>10</v>
      </c>
      <c r="B33" s="4" t="s">
        <v>123</v>
      </c>
      <c r="C33" s="111">
        <f t="shared" si="3"/>
        <v>1850049.0299999998</v>
      </c>
      <c r="D33" s="111"/>
      <c r="E33" s="114"/>
      <c r="F33" s="114"/>
      <c r="G33" s="114"/>
      <c r="H33" s="114"/>
      <c r="I33" s="114"/>
      <c r="J33" s="26">
        <v>1</v>
      </c>
      <c r="K33" s="114">
        <v>1427708.15</v>
      </c>
      <c r="L33" s="114"/>
      <c r="M33" s="111"/>
      <c r="N33" s="114"/>
      <c r="O33" s="114"/>
      <c r="P33" s="114"/>
      <c r="Q33" s="114"/>
      <c r="R33" s="114"/>
      <c r="S33" s="114"/>
      <c r="T33" s="114"/>
      <c r="U33" s="114"/>
      <c r="V33" s="114"/>
      <c r="W33" s="114">
        <v>422340.88</v>
      </c>
      <c r="X33" s="114"/>
      <c r="Y33" s="7"/>
      <c r="Z33" s="6">
        <f t="shared" si="0"/>
        <v>1850049.0299999998</v>
      </c>
      <c r="AA33" s="6">
        <f t="shared" si="1"/>
        <v>0</v>
      </c>
      <c r="AB33" s="59"/>
    </row>
    <row r="34" spans="1:28" ht="21" customHeight="1" x14ac:dyDescent="0.25">
      <c r="A34" s="26">
        <f t="shared" si="4"/>
        <v>11</v>
      </c>
      <c r="B34" s="4" t="s">
        <v>127</v>
      </c>
      <c r="C34" s="111">
        <f t="shared" si="3"/>
        <v>4140051.4099999997</v>
      </c>
      <c r="D34" s="111"/>
      <c r="E34" s="114"/>
      <c r="F34" s="114"/>
      <c r="G34" s="114"/>
      <c r="H34" s="114"/>
      <c r="I34" s="114"/>
      <c r="J34" s="26">
        <v>2</v>
      </c>
      <c r="K34" s="114">
        <v>3346528.55</v>
      </c>
      <c r="L34" s="114"/>
      <c r="M34" s="111"/>
      <c r="N34" s="114"/>
      <c r="O34" s="114"/>
      <c r="P34" s="114"/>
      <c r="Q34" s="114"/>
      <c r="R34" s="114"/>
      <c r="S34" s="114"/>
      <c r="T34" s="114"/>
      <c r="U34" s="114"/>
      <c r="V34" s="114"/>
      <c r="W34" s="114">
        <v>793522.86</v>
      </c>
      <c r="X34" s="114"/>
      <c r="Y34" s="7"/>
      <c r="Z34" s="6">
        <f t="shared" si="0"/>
        <v>4140051.4099999997</v>
      </c>
      <c r="AA34" s="6">
        <f t="shared" si="1"/>
        <v>0</v>
      </c>
      <c r="AB34" s="59"/>
    </row>
    <row r="35" spans="1:28" ht="21" customHeight="1" x14ac:dyDescent="0.25">
      <c r="A35" s="26">
        <f t="shared" si="4"/>
        <v>12</v>
      </c>
      <c r="B35" s="4" t="s">
        <v>120</v>
      </c>
      <c r="C35" s="111">
        <f t="shared" si="3"/>
        <v>4368089.8</v>
      </c>
      <c r="D35" s="111">
        <f>E35+F35+G35+H35+I35</f>
        <v>3969638.02</v>
      </c>
      <c r="E35" s="114"/>
      <c r="F35" s="114"/>
      <c r="G35" s="114">
        <v>1462883.48</v>
      </c>
      <c r="H35" s="114">
        <v>2506754.54</v>
      </c>
      <c r="I35" s="114"/>
      <c r="J35" s="114"/>
      <c r="K35" s="114"/>
      <c r="L35" s="114"/>
      <c r="M35" s="111"/>
      <c r="N35" s="114"/>
      <c r="O35" s="114"/>
      <c r="P35" s="114"/>
      <c r="Q35" s="114"/>
      <c r="R35" s="114"/>
      <c r="S35" s="114"/>
      <c r="T35" s="114"/>
      <c r="U35" s="114"/>
      <c r="V35" s="114"/>
      <c r="W35" s="114">
        <v>398451.78</v>
      </c>
      <c r="X35" s="114"/>
      <c r="Y35" s="7"/>
      <c r="Z35" s="6">
        <f t="shared" si="0"/>
        <v>4368089.8</v>
      </c>
      <c r="AA35" s="6">
        <f t="shared" si="1"/>
        <v>0</v>
      </c>
      <c r="AB35" s="59"/>
    </row>
    <row r="36" spans="1:28" ht="21" customHeight="1" x14ac:dyDescent="0.25">
      <c r="A36" s="178" t="s">
        <v>17</v>
      </c>
      <c r="B36" s="179"/>
      <c r="C36" s="114">
        <f>SUM(C28:C35)</f>
        <v>35504459.299999997</v>
      </c>
      <c r="D36" s="114">
        <f>SUM(D28:D35)</f>
        <v>3969638.02</v>
      </c>
      <c r="E36" s="114"/>
      <c r="F36" s="114"/>
      <c r="G36" s="114">
        <f>SUM(G28:G35)</f>
        <v>1462883.48</v>
      </c>
      <c r="H36" s="114">
        <f>SUM(H28:H35)</f>
        <v>2506754.54</v>
      </c>
      <c r="I36" s="114"/>
      <c r="J36" s="114">
        <f>SUM(J28:J35)</f>
        <v>19</v>
      </c>
      <c r="K36" s="114">
        <f>SUM(K28:K35)</f>
        <v>27027916.299999997</v>
      </c>
      <c r="L36" s="114"/>
      <c r="M36" s="114"/>
      <c r="N36" s="114"/>
      <c r="O36" s="114"/>
      <c r="P36" s="114">
        <f>SUM(P28:P35)</f>
        <v>0</v>
      </c>
      <c r="Q36" s="114">
        <f>SUM(Q28:Q35)</f>
        <v>0</v>
      </c>
      <c r="R36" s="114"/>
      <c r="S36" s="114"/>
      <c r="T36" s="114"/>
      <c r="U36" s="114"/>
      <c r="V36" s="114"/>
      <c r="W36" s="114">
        <f>SUM(W28:W35)</f>
        <v>4506904.9799999995</v>
      </c>
      <c r="X36" s="114"/>
      <c r="Y36" s="7"/>
      <c r="Z36" s="6">
        <f t="shared" si="0"/>
        <v>35504459.299999997</v>
      </c>
      <c r="AA36" s="6">
        <f t="shared" si="1"/>
        <v>0</v>
      </c>
      <c r="AB36" s="6"/>
    </row>
    <row r="37" spans="1:28" ht="21" customHeight="1" x14ac:dyDescent="0.25">
      <c r="A37" s="175" t="s">
        <v>128</v>
      </c>
      <c r="B37" s="176"/>
      <c r="C37" s="177"/>
      <c r="D37" s="172"/>
      <c r="E37" s="173"/>
      <c r="F37" s="173"/>
      <c r="G37" s="173"/>
      <c r="H37" s="173"/>
      <c r="I37" s="173"/>
      <c r="J37" s="173"/>
      <c r="K37" s="173"/>
      <c r="L37" s="184"/>
      <c r="M37" s="184"/>
      <c r="N37" s="184"/>
      <c r="O37" s="184"/>
      <c r="P37" s="184"/>
      <c r="Q37" s="184"/>
      <c r="R37" s="184"/>
      <c r="S37" s="184"/>
      <c r="T37" s="173"/>
      <c r="U37" s="173"/>
      <c r="V37" s="173"/>
      <c r="W37" s="173"/>
      <c r="X37" s="174"/>
      <c r="Y37" s="7"/>
      <c r="Z37" s="6">
        <f t="shared" si="0"/>
        <v>0</v>
      </c>
      <c r="AA37" s="6">
        <f t="shared" si="1"/>
        <v>0</v>
      </c>
      <c r="AB37" s="59"/>
    </row>
    <row r="38" spans="1:28" ht="21" customHeight="1" x14ac:dyDescent="0.25">
      <c r="A38" s="26">
        <f>A35+1</f>
        <v>13</v>
      </c>
      <c r="B38" s="4" t="s">
        <v>130</v>
      </c>
      <c r="C38" s="111">
        <f>D38+K38+M38+O38+Q38+S38+U38+V38+W38+X38</f>
        <v>6736755.0500000007</v>
      </c>
      <c r="D38" s="111">
        <f>E38+F38+G38+H38+I38</f>
        <v>3240580.2800000003</v>
      </c>
      <c r="E38" s="18"/>
      <c r="F38" s="18"/>
      <c r="G38" s="18">
        <v>892555.66</v>
      </c>
      <c r="H38" s="18">
        <v>936070.27</v>
      </c>
      <c r="I38" s="18">
        <v>1411954.35</v>
      </c>
      <c r="J38" s="18"/>
      <c r="K38" s="61"/>
      <c r="L38" s="21">
        <v>671</v>
      </c>
      <c r="M38" s="111">
        <v>2815137.77</v>
      </c>
      <c r="N38" s="18"/>
      <c r="O38" s="18"/>
      <c r="P38" s="111"/>
      <c r="Q38" s="111"/>
      <c r="R38" s="18"/>
      <c r="S38" s="18"/>
      <c r="T38" s="22"/>
      <c r="U38" s="111"/>
      <c r="V38" s="18"/>
      <c r="W38" s="111">
        <f>356531.1+324505.9</f>
        <v>681037</v>
      </c>
      <c r="X38" s="111"/>
      <c r="Y38" s="7" t="s">
        <v>241</v>
      </c>
      <c r="Z38" s="6">
        <f t="shared" si="0"/>
        <v>6736755.0500000007</v>
      </c>
      <c r="AA38" s="6">
        <f t="shared" si="1"/>
        <v>0</v>
      </c>
      <c r="AB38" s="59"/>
    </row>
    <row r="39" spans="1:28" ht="21" customHeight="1" x14ac:dyDescent="0.25">
      <c r="A39" s="26">
        <f>A38+1</f>
        <v>14</v>
      </c>
      <c r="B39" s="4" t="s">
        <v>129</v>
      </c>
      <c r="C39" s="111">
        <f>D39+K39+M39+O39+Q39+S39+U39+V39+W39+X39</f>
        <v>2627522.4299999997</v>
      </c>
      <c r="D39" s="111">
        <f>E39+F39+G39+H39+I39</f>
        <v>2007765.19</v>
      </c>
      <c r="E39" s="18"/>
      <c r="F39" s="18"/>
      <c r="G39" s="18">
        <v>666701.51</v>
      </c>
      <c r="H39" s="18"/>
      <c r="I39" s="18">
        <v>1341063.6799999999</v>
      </c>
      <c r="J39" s="18"/>
      <c r="K39" s="61"/>
      <c r="L39" s="111"/>
      <c r="M39" s="111"/>
      <c r="N39" s="20"/>
      <c r="O39" s="18"/>
      <c r="P39" s="111"/>
      <c r="Q39" s="111"/>
      <c r="R39" s="20"/>
      <c r="S39" s="18"/>
      <c r="T39" s="22"/>
      <c r="U39" s="111"/>
      <c r="V39" s="18"/>
      <c r="W39" s="111">
        <f>322127.02+297630.22</f>
        <v>619757.24</v>
      </c>
      <c r="X39" s="111"/>
      <c r="Y39" s="7" t="s">
        <v>241</v>
      </c>
      <c r="Z39" s="6">
        <f t="shared" si="0"/>
        <v>2627522.4299999997</v>
      </c>
      <c r="AA39" s="6">
        <f t="shared" si="1"/>
        <v>0</v>
      </c>
      <c r="AB39" s="59"/>
    </row>
    <row r="40" spans="1:28" ht="21" customHeight="1" x14ac:dyDescent="0.25">
      <c r="A40" s="178" t="s">
        <v>17</v>
      </c>
      <c r="B40" s="179"/>
      <c r="C40" s="114">
        <f>SUM(C38:C39)</f>
        <v>9364277.4800000004</v>
      </c>
      <c r="D40" s="114">
        <f>SUM(D38:D39)</f>
        <v>5248345.4700000007</v>
      </c>
      <c r="E40" s="114"/>
      <c r="F40" s="114"/>
      <c r="G40" s="114">
        <f>SUM(G38:G39)</f>
        <v>1559257.17</v>
      </c>
      <c r="H40" s="114">
        <f>SUM(H38:H39)</f>
        <v>936070.27</v>
      </c>
      <c r="I40" s="114">
        <f>SUM(I38:I39)</f>
        <v>2753018.0300000003</v>
      </c>
      <c r="J40" s="114"/>
      <c r="K40" s="114"/>
      <c r="L40" s="114">
        <f>SUM(L38:L39)</f>
        <v>671</v>
      </c>
      <c r="M40" s="114">
        <f>SUM(M38:M39)</f>
        <v>2815137.77</v>
      </c>
      <c r="N40" s="114"/>
      <c r="O40" s="114"/>
      <c r="P40" s="114"/>
      <c r="Q40" s="114"/>
      <c r="R40" s="114"/>
      <c r="S40" s="114"/>
      <c r="T40" s="114"/>
      <c r="U40" s="114"/>
      <c r="V40" s="114"/>
      <c r="W40" s="114">
        <f>SUM(W38:W39)</f>
        <v>1300794.24</v>
      </c>
      <c r="X40" s="114"/>
      <c r="Y40" s="7"/>
      <c r="Z40" s="6">
        <f t="shared" si="0"/>
        <v>9364277.4800000004</v>
      </c>
      <c r="AA40" s="6">
        <f t="shared" si="1"/>
        <v>0</v>
      </c>
      <c r="AB40" s="6"/>
    </row>
    <row r="41" spans="1:28" ht="21" customHeight="1" x14ac:dyDescent="0.25">
      <c r="A41" s="175" t="s">
        <v>131</v>
      </c>
      <c r="B41" s="176"/>
      <c r="C41" s="177"/>
      <c r="D41" s="172"/>
      <c r="E41" s="173"/>
      <c r="F41" s="173"/>
      <c r="G41" s="173"/>
      <c r="H41" s="173"/>
      <c r="I41" s="173"/>
      <c r="J41" s="184"/>
      <c r="K41" s="184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4"/>
      <c r="Y41" s="7"/>
      <c r="Z41" s="6">
        <f t="shared" si="0"/>
        <v>0</v>
      </c>
      <c r="AA41" s="6">
        <f t="shared" si="1"/>
        <v>0</v>
      </c>
      <c r="AB41" s="59"/>
    </row>
    <row r="42" spans="1:28" ht="21" customHeight="1" x14ac:dyDescent="0.25">
      <c r="A42" s="26">
        <f>A39+1</f>
        <v>15</v>
      </c>
      <c r="B42" s="4" t="s">
        <v>132</v>
      </c>
      <c r="C42" s="111">
        <f>D42+K42+M42+O42+Q42+S42+U42+V42+W42+X42</f>
        <v>13976967.18</v>
      </c>
      <c r="D42" s="111"/>
      <c r="E42" s="114"/>
      <c r="F42" s="114"/>
      <c r="G42" s="114"/>
      <c r="H42" s="114"/>
      <c r="I42" s="62"/>
      <c r="J42" s="26">
        <v>5</v>
      </c>
      <c r="K42" s="114">
        <v>13976967.18</v>
      </c>
      <c r="L42" s="27"/>
      <c r="M42" s="114"/>
      <c r="N42" s="114"/>
      <c r="O42" s="114"/>
      <c r="P42" s="114"/>
      <c r="Q42" s="111"/>
      <c r="R42" s="114"/>
      <c r="S42" s="114"/>
      <c r="T42" s="114"/>
      <c r="U42" s="114"/>
      <c r="V42" s="114"/>
      <c r="W42" s="111"/>
      <c r="X42" s="111"/>
      <c r="Y42" s="7"/>
      <c r="Z42" s="6">
        <f t="shared" ref="Z42:Z73" si="5">E42+F42+G42+H42+I42+K42+M42+O42+Q42+S42+U42+V42+W42+X42</f>
        <v>13976967.18</v>
      </c>
      <c r="AA42" s="6">
        <f t="shared" ref="AA42:AA73" si="6">Z42-C42</f>
        <v>0</v>
      </c>
      <c r="AB42" s="6"/>
    </row>
    <row r="43" spans="1:28" ht="21" customHeight="1" x14ac:dyDescent="0.25">
      <c r="A43" s="178" t="s">
        <v>17</v>
      </c>
      <c r="B43" s="179"/>
      <c r="C43" s="114">
        <f>SUM(C42:C42)</f>
        <v>13976967.18</v>
      </c>
      <c r="D43" s="114"/>
      <c r="E43" s="114"/>
      <c r="F43" s="114"/>
      <c r="G43" s="114"/>
      <c r="H43" s="114"/>
      <c r="I43" s="114"/>
      <c r="J43" s="26">
        <f>SUM(J42:J42)</f>
        <v>5</v>
      </c>
      <c r="K43" s="114">
        <f>SUM(K42:K42)</f>
        <v>13976967.18</v>
      </c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7"/>
      <c r="Z43" s="6">
        <f t="shared" si="5"/>
        <v>13976967.18</v>
      </c>
      <c r="AA43" s="6">
        <f t="shared" si="6"/>
        <v>0</v>
      </c>
      <c r="AB43" s="6"/>
    </row>
    <row r="44" spans="1:28" ht="21" customHeight="1" x14ac:dyDescent="0.25">
      <c r="A44" s="175" t="s">
        <v>52</v>
      </c>
      <c r="B44" s="176"/>
      <c r="C44" s="177"/>
      <c r="D44" s="172"/>
      <c r="E44" s="173"/>
      <c r="F44" s="173"/>
      <c r="G44" s="173"/>
      <c r="H44" s="173"/>
      <c r="I44" s="173"/>
      <c r="J44" s="183"/>
      <c r="K44" s="18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4"/>
      <c r="Y44" s="7"/>
      <c r="Z44" s="6">
        <f t="shared" si="5"/>
        <v>0</v>
      </c>
      <c r="AA44" s="6">
        <f t="shared" si="6"/>
        <v>0</v>
      </c>
      <c r="AB44" s="59"/>
    </row>
    <row r="45" spans="1:28" ht="21" customHeight="1" x14ac:dyDescent="0.25">
      <c r="A45" s="26">
        <f>A42+1</f>
        <v>16</v>
      </c>
      <c r="B45" s="63" t="s">
        <v>133</v>
      </c>
      <c r="C45" s="111">
        <f t="shared" ref="C45:C50" si="7">D45+K45+M45+O45+Q45+S45+U45+V45+W45+X45</f>
        <v>433557.96</v>
      </c>
      <c r="D45" s="111"/>
      <c r="E45" s="114"/>
      <c r="F45" s="114"/>
      <c r="G45" s="114"/>
      <c r="H45" s="114"/>
      <c r="I45" s="114"/>
      <c r="J45" s="26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>
        <v>433557.96</v>
      </c>
      <c r="X45" s="114"/>
      <c r="Y45" s="7" t="s">
        <v>243</v>
      </c>
      <c r="Z45" s="6">
        <f t="shared" si="5"/>
        <v>433557.96</v>
      </c>
      <c r="AA45" s="6">
        <f t="shared" si="6"/>
        <v>0</v>
      </c>
      <c r="AB45" s="59"/>
    </row>
    <row r="46" spans="1:28" ht="21" customHeight="1" x14ac:dyDescent="0.25">
      <c r="A46" s="15">
        <f>A45+1</f>
        <v>17</v>
      </c>
      <c r="B46" s="63" t="s">
        <v>136</v>
      </c>
      <c r="C46" s="111">
        <f t="shared" si="7"/>
        <v>400201.72</v>
      </c>
      <c r="D46" s="111"/>
      <c r="E46" s="114"/>
      <c r="F46" s="114"/>
      <c r="G46" s="114"/>
      <c r="H46" s="114"/>
      <c r="I46" s="114"/>
      <c r="J46" s="26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>
        <v>400201.72</v>
      </c>
      <c r="X46" s="114"/>
      <c r="Y46" s="7" t="s">
        <v>244</v>
      </c>
      <c r="Z46" s="6">
        <f t="shared" si="5"/>
        <v>400201.72</v>
      </c>
      <c r="AA46" s="6">
        <f t="shared" si="6"/>
        <v>0</v>
      </c>
      <c r="AB46" s="59"/>
    </row>
    <row r="47" spans="1:28" ht="21" customHeight="1" x14ac:dyDescent="0.25">
      <c r="A47" s="15">
        <f>A46+1</f>
        <v>18</v>
      </c>
      <c r="B47" s="63" t="s">
        <v>137</v>
      </c>
      <c r="C47" s="111">
        <f t="shared" si="7"/>
        <v>347441.56</v>
      </c>
      <c r="D47" s="111"/>
      <c r="E47" s="114"/>
      <c r="F47" s="114"/>
      <c r="G47" s="114"/>
      <c r="H47" s="114"/>
      <c r="I47" s="114"/>
      <c r="J47" s="26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>
        <v>347441.56</v>
      </c>
      <c r="X47" s="114"/>
      <c r="Y47" s="7" t="s">
        <v>243</v>
      </c>
      <c r="Z47" s="6">
        <f t="shared" si="5"/>
        <v>347441.56</v>
      </c>
      <c r="AA47" s="6">
        <f t="shared" si="6"/>
        <v>0</v>
      </c>
      <c r="AB47" s="59"/>
    </row>
    <row r="48" spans="1:28" ht="21" customHeight="1" x14ac:dyDescent="0.25">
      <c r="A48" s="15">
        <f>A47+1</f>
        <v>19</v>
      </c>
      <c r="B48" s="63" t="s">
        <v>134</v>
      </c>
      <c r="C48" s="111">
        <f t="shared" si="7"/>
        <v>433557.96</v>
      </c>
      <c r="D48" s="111"/>
      <c r="E48" s="114"/>
      <c r="F48" s="114"/>
      <c r="G48" s="114"/>
      <c r="H48" s="114"/>
      <c r="I48" s="114"/>
      <c r="J48" s="26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>
        <v>433557.96</v>
      </c>
      <c r="X48" s="114"/>
      <c r="Y48" s="7" t="s">
        <v>243</v>
      </c>
      <c r="Z48" s="6">
        <f t="shared" si="5"/>
        <v>433557.96</v>
      </c>
      <c r="AA48" s="6">
        <f t="shared" si="6"/>
        <v>0</v>
      </c>
      <c r="AB48" s="59"/>
    </row>
    <row r="49" spans="1:28" ht="21" customHeight="1" x14ac:dyDescent="0.25">
      <c r="A49" s="15">
        <f>A48+1</f>
        <v>20</v>
      </c>
      <c r="B49" s="63" t="s">
        <v>138</v>
      </c>
      <c r="C49" s="111">
        <f t="shared" si="7"/>
        <v>335745.4</v>
      </c>
      <c r="D49" s="111"/>
      <c r="E49" s="114"/>
      <c r="F49" s="114"/>
      <c r="G49" s="114"/>
      <c r="H49" s="114"/>
      <c r="I49" s="114"/>
      <c r="J49" s="26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>
        <v>335745.4</v>
      </c>
      <c r="X49" s="114"/>
      <c r="Y49" s="7" t="s">
        <v>243</v>
      </c>
      <c r="Z49" s="6">
        <f t="shared" si="5"/>
        <v>335745.4</v>
      </c>
      <c r="AA49" s="6">
        <f t="shared" si="6"/>
        <v>0</v>
      </c>
      <c r="AB49" s="59"/>
    </row>
    <row r="50" spans="1:28" ht="21" customHeight="1" x14ac:dyDescent="0.25">
      <c r="A50" s="15">
        <f>A49+1</f>
        <v>21</v>
      </c>
      <c r="B50" s="63" t="s">
        <v>135</v>
      </c>
      <c r="C50" s="111">
        <f t="shared" si="7"/>
        <v>491200.96</v>
      </c>
      <c r="D50" s="111"/>
      <c r="E50" s="114"/>
      <c r="F50" s="114"/>
      <c r="G50" s="114"/>
      <c r="H50" s="114"/>
      <c r="I50" s="114"/>
      <c r="J50" s="26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>
        <v>491200.96</v>
      </c>
      <c r="X50" s="114"/>
      <c r="Y50" s="7" t="s">
        <v>243</v>
      </c>
      <c r="Z50" s="6">
        <f t="shared" si="5"/>
        <v>491200.96</v>
      </c>
      <c r="AA50" s="6">
        <f t="shared" si="6"/>
        <v>0</v>
      </c>
      <c r="AB50" s="59"/>
    </row>
    <row r="51" spans="1:28" ht="21" customHeight="1" x14ac:dyDescent="0.25">
      <c r="A51" s="178" t="s">
        <v>17</v>
      </c>
      <c r="B51" s="179"/>
      <c r="C51" s="114">
        <f>SUM(C45:C50)</f>
        <v>2441705.56</v>
      </c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>
        <f>SUM(W45:W50)</f>
        <v>2441705.56</v>
      </c>
      <c r="X51" s="114"/>
      <c r="Y51" s="7"/>
      <c r="Z51" s="6">
        <f t="shared" si="5"/>
        <v>2441705.56</v>
      </c>
      <c r="AA51" s="6">
        <f t="shared" si="6"/>
        <v>0</v>
      </c>
      <c r="AB51" s="6"/>
    </row>
    <row r="52" spans="1:28" ht="21" customHeight="1" x14ac:dyDescent="0.25">
      <c r="A52" s="175" t="s">
        <v>53</v>
      </c>
      <c r="B52" s="176"/>
      <c r="C52" s="177"/>
      <c r="D52" s="172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4"/>
      <c r="Y52" s="7"/>
      <c r="Z52" s="6">
        <f t="shared" si="5"/>
        <v>0</v>
      </c>
      <c r="AA52" s="6">
        <f t="shared" si="6"/>
        <v>0</v>
      </c>
      <c r="AB52" s="59"/>
    </row>
    <row r="53" spans="1:28" ht="21" customHeight="1" x14ac:dyDescent="0.25">
      <c r="A53" s="26">
        <f>A50+1</f>
        <v>22</v>
      </c>
      <c r="B53" s="4" t="s">
        <v>143</v>
      </c>
      <c r="C53" s="111">
        <f>D53+K53+M53+O53+Q53+S53+U53+V53+W53+X53</f>
        <v>2106847.48</v>
      </c>
      <c r="D53" s="111"/>
      <c r="E53" s="114"/>
      <c r="F53" s="114"/>
      <c r="G53" s="114"/>
      <c r="H53" s="114"/>
      <c r="I53" s="114"/>
      <c r="J53" s="19"/>
      <c r="K53" s="18"/>
      <c r="L53" s="114"/>
      <c r="M53" s="114"/>
      <c r="N53" s="114"/>
      <c r="O53" s="114"/>
      <c r="P53" s="114">
        <v>1251</v>
      </c>
      <c r="Q53" s="111">
        <v>2106847.48</v>
      </c>
      <c r="R53" s="114"/>
      <c r="S53" s="114"/>
      <c r="T53" s="114"/>
      <c r="U53" s="114"/>
      <c r="V53" s="18"/>
      <c r="W53" s="114"/>
      <c r="X53" s="114"/>
      <c r="Y53" s="7"/>
      <c r="Z53" s="6">
        <f t="shared" si="5"/>
        <v>2106847.48</v>
      </c>
      <c r="AA53" s="6">
        <f t="shared" si="6"/>
        <v>0</v>
      </c>
      <c r="AB53" s="59"/>
    </row>
    <row r="54" spans="1:28" ht="21" customHeight="1" x14ac:dyDescent="0.25">
      <c r="A54" s="26">
        <f>A53+1</f>
        <v>23</v>
      </c>
      <c r="B54" s="4" t="s">
        <v>139</v>
      </c>
      <c r="C54" s="111">
        <f>D54+K54+M54+O54+Q54+S54+U54+V54+W54+X54</f>
        <v>275250.38</v>
      </c>
      <c r="D54" s="111"/>
      <c r="E54" s="114"/>
      <c r="F54" s="114"/>
      <c r="G54" s="114"/>
      <c r="H54" s="114"/>
      <c r="I54" s="114"/>
      <c r="J54" s="18"/>
      <c r="K54" s="18"/>
      <c r="L54" s="114"/>
      <c r="M54" s="114"/>
      <c r="N54" s="114">
        <v>210</v>
      </c>
      <c r="O54" s="111">
        <v>275250.38</v>
      </c>
      <c r="P54" s="114"/>
      <c r="Q54" s="114"/>
      <c r="R54" s="114"/>
      <c r="S54" s="114"/>
      <c r="T54" s="114"/>
      <c r="U54" s="114"/>
      <c r="V54" s="114"/>
      <c r="W54" s="114"/>
      <c r="X54" s="114"/>
      <c r="Y54" s="7"/>
      <c r="Z54" s="6">
        <f t="shared" si="5"/>
        <v>275250.38</v>
      </c>
      <c r="AA54" s="6">
        <f t="shared" si="6"/>
        <v>0</v>
      </c>
      <c r="AB54" s="64"/>
    </row>
    <row r="55" spans="1:28" ht="21" customHeight="1" x14ac:dyDescent="0.25">
      <c r="A55" s="26">
        <f>A54+1</f>
        <v>24</v>
      </c>
      <c r="B55" s="4" t="s">
        <v>140</v>
      </c>
      <c r="C55" s="111">
        <f>D55+K55+M55+O55+Q55+S55+U55+V55+W55+X55</f>
        <v>6199784.04</v>
      </c>
      <c r="D55" s="111"/>
      <c r="E55" s="114"/>
      <c r="F55" s="114"/>
      <c r="G55" s="114"/>
      <c r="H55" s="114"/>
      <c r="I55" s="114"/>
      <c r="J55" s="114"/>
      <c r="K55" s="111"/>
      <c r="L55" s="114">
        <v>720</v>
      </c>
      <c r="M55" s="111">
        <v>3324409.32</v>
      </c>
      <c r="N55" s="114"/>
      <c r="O55" s="114"/>
      <c r="P55" s="114">
        <v>2079</v>
      </c>
      <c r="Q55" s="111">
        <v>2875374.72</v>
      </c>
      <c r="R55" s="114"/>
      <c r="S55" s="114"/>
      <c r="T55" s="114"/>
      <c r="U55" s="114"/>
      <c r="V55" s="18"/>
      <c r="W55" s="111"/>
      <c r="X55" s="111"/>
      <c r="Y55" s="7"/>
      <c r="Z55" s="6">
        <f t="shared" si="5"/>
        <v>6199784.04</v>
      </c>
      <c r="AA55" s="6">
        <f t="shared" si="6"/>
        <v>0</v>
      </c>
      <c r="AB55" s="6"/>
    </row>
    <row r="56" spans="1:28" ht="21" customHeight="1" x14ac:dyDescent="0.25">
      <c r="A56" s="26">
        <f>A55+1</f>
        <v>25</v>
      </c>
      <c r="B56" s="4" t="s">
        <v>141</v>
      </c>
      <c r="C56" s="111">
        <f>D56+K56+M56+O56+Q56+S56+U56+V56+W56+X56</f>
        <v>2527333.86</v>
      </c>
      <c r="D56" s="111"/>
      <c r="E56" s="114"/>
      <c r="F56" s="114"/>
      <c r="G56" s="114"/>
      <c r="H56" s="114"/>
      <c r="I56" s="114"/>
      <c r="J56" s="26">
        <v>1</v>
      </c>
      <c r="K56" s="111">
        <v>2527333.86</v>
      </c>
      <c r="L56" s="114"/>
      <c r="M56" s="111"/>
      <c r="N56" s="114"/>
      <c r="O56" s="114"/>
      <c r="P56" s="114"/>
      <c r="Q56" s="111"/>
      <c r="R56" s="114"/>
      <c r="S56" s="114"/>
      <c r="T56" s="114"/>
      <c r="U56" s="114"/>
      <c r="V56" s="18"/>
      <c r="W56" s="114"/>
      <c r="X56" s="114"/>
      <c r="Y56" s="7"/>
      <c r="Z56" s="6">
        <f t="shared" si="5"/>
        <v>2527333.86</v>
      </c>
      <c r="AA56" s="6">
        <f t="shared" si="6"/>
        <v>0</v>
      </c>
      <c r="AB56" s="6"/>
    </row>
    <row r="57" spans="1:28" ht="21" customHeight="1" x14ac:dyDescent="0.25">
      <c r="A57" s="26">
        <f>A56+1</f>
        <v>26</v>
      </c>
      <c r="B57" s="4" t="s">
        <v>142</v>
      </c>
      <c r="C57" s="111">
        <f>D57+K57+M57+O57+Q57+S57+U57+V57+W57+X57</f>
        <v>18290826.93</v>
      </c>
      <c r="D57" s="111"/>
      <c r="E57" s="114"/>
      <c r="F57" s="114"/>
      <c r="G57" s="114"/>
      <c r="H57" s="114"/>
      <c r="I57" s="114"/>
      <c r="J57" s="19"/>
      <c r="K57" s="18"/>
      <c r="L57" s="114"/>
      <c r="M57" s="114"/>
      <c r="N57" s="114"/>
      <c r="O57" s="114"/>
      <c r="P57" s="114"/>
      <c r="Q57" s="114"/>
      <c r="R57" s="114"/>
      <c r="S57" s="114"/>
      <c r="T57" s="114">
        <v>2887.5</v>
      </c>
      <c r="U57" s="111">
        <v>18290826.93</v>
      </c>
      <c r="V57" s="18"/>
      <c r="W57" s="111"/>
      <c r="X57" s="111"/>
      <c r="Y57" s="7"/>
      <c r="Z57" s="6">
        <f t="shared" si="5"/>
        <v>18290826.93</v>
      </c>
      <c r="AA57" s="6">
        <f t="shared" si="6"/>
        <v>0</v>
      </c>
      <c r="AB57" s="59"/>
    </row>
    <row r="58" spans="1:28" ht="21" customHeight="1" x14ac:dyDescent="0.25">
      <c r="A58" s="178" t="s">
        <v>17</v>
      </c>
      <c r="B58" s="179"/>
      <c r="C58" s="111">
        <f>SUM(C53:C57)</f>
        <v>29400042.689999998</v>
      </c>
      <c r="D58" s="111"/>
      <c r="E58" s="111"/>
      <c r="F58" s="111"/>
      <c r="G58" s="111"/>
      <c r="H58" s="111"/>
      <c r="I58" s="111"/>
      <c r="J58" s="111">
        <f t="shared" ref="J58:Q58" si="8">SUM(J53:J57)</f>
        <v>1</v>
      </c>
      <c r="K58" s="111">
        <f t="shared" si="8"/>
        <v>2527333.86</v>
      </c>
      <c r="L58" s="111">
        <f t="shared" si="8"/>
        <v>720</v>
      </c>
      <c r="M58" s="111">
        <f t="shared" si="8"/>
        <v>3324409.32</v>
      </c>
      <c r="N58" s="111">
        <f t="shared" si="8"/>
        <v>210</v>
      </c>
      <c r="O58" s="111">
        <f t="shared" si="8"/>
        <v>275250.38</v>
      </c>
      <c r="P58" s="111">
        <f t="shared" si="8"/>
        <v>3330</v>
      </c>
      <c r="Q58" s="111">
        <f t="shared" si="8"/>
        <v>4982222.2</v>
      </c>
      <c r="R58" s="111"/>
      <c r="S58" s="111"/>
      <c r="T58" s="111">
        <f>SUM(T53:T57)</f>
        <v>2887.5</v>
      </c>
      <c r="U58" s="111">
        <f>SUM(U53:U57)</f>
        <v>18290826.93</v>
      </c>
      <c r="V58" s="111"/>
      <c r="W58" s="111"/>
      <c r="X58" s="111"/>
      <c r="Y58" s="7"/>
      <c r="Z58" s="6">
        <f t="shared" si="5"/>
        <v>29400042.689999998</v>
      </c>
      <c r="AA58" s="6">
        <f t="shared" si="6"/>
        <v>0</v>
      </c>
      <c r="AB58" s="6"/>
    </row>
    <row r="59" spans="1:28" ht="21" customHeight="1" x14ac:dyDescent="0.25">
      <c r="A59" s="175" t="s">
        <v>54</v>
      </c>
      <c r="B59" s="176"/>
      <c r="C59" s="177"/>
      <c r="D59" s="172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4"/>
      <c r="Y59" s="7"/>
      <c r="Z59" s="6">
        <f t="shared" si="5"/>
        <v>0</v>
      </c>
      <c r="AA59" s="6">
        <f t="shared" si="6"/>
        <v>0</v>
      </c>
      <c r="AB59" s="59"/>
    </row>
    <row r="60" spans="1:28" ht="21" customHeight="1" x14ac:dyDescent="0.25">
      <c r="A60" s="26">
        <f>A57+1</f>
        <v>27</v>
      </c>
      <c r="B60" s="1" t="s">
        <v>108</v>
      </c>
      <c r="C60" s="111">
        <f>D60+K60+M60+O60+Q60+S60+U60+V60+W60+X60</f>
        <v>1243376.1100000001</v>
      </c>
      <c r="D60" s="111"/>
      <c r="E60" s="114"/>
      <c r="F60" s="114"/>
      <c r="G60" s="113"/>
      <c r="H60" s="114"/>
      <c r="I60" s="114"/>
      <c r="J60" s="114"/>
      <c r="K60" s="114"/>
      <c r="L60" s="113"/>
      <c r="M60" s="113"/>
      <c r="N60" s="113"/>
      <c r="O60" s="113"/>
      <c r="P60" s="111">
        <v>890</v>
      </c>
      <c r="Q60" s="111">
        <v>1243376.1100000001</v>
      </c>
      <c r="R60" s="114"/>
      <c r="S60" s="114"/>
      <c r="T60" s="114"/>
      <c r="U60" s="114"/>
      <c r="V60" s="18"/>
      <c r="W60" s="111"/>
      <c r="X60" s="111"/>
      <c r="Y60" s="7"/>
      <c r="Z60" s="6">
        <f t="shared" si="5"/>
        <v>1243376.1100000001</v>
      </c>
      <c r="AA60" s="6">
        <f t="shared" si="6"/>
        <v>0</v>
      </c>
      <c r="AB60" s="65"/>
    </row>
    <row r="61" spans="1:28" ht="21" customHeight="1" x14ac:dyDescent="0.25">
      <c r="A61" s="26">
        <f>A60+1</f>
        <v>28</v>
      </c>
      <c r="B61" s="1" t="s">
        <v>109</v>
      </c>
      <c r="C61" s="111">
        <f>D61+K61+M61+O61+Q61+S61+U61+V61+W61+X61</f>
        <v>1459171.69</v>
      </c>
      <c r="D61" s="111"/>
      <c r="E61" s="114"/>
      <c r="F61" s="114"/>
      <c r="G61" s="113"/>
      <c r="H61" s="114"/>
      <c r="I61" s="114"/>
      <c r="J61" s="114"/>
      <c r="K61" s="114"/>
      <c r="L61" s="113"/>
      <c r="M61" s="113"/>
      <c r="N61" s="113"/>
      <c r="O61" s="113"/>
      <c r="P61" s="111">
        <v>899</v>
      </c>
      <c r="Q61" s="111">
        <v>1459171.69</v>
      </c>
      <c r="R61" s="114"/>
      <c r="S61" s="114"/>
      <c r="T61" s="114"/>
      <c r="U61" s="114"/>
      <c r="V61" s="18"/>
      <c r="W61" s="111"/>
      <c r="X61" s="111"/>
      <c r="Y61" s="7"/>
      <c r="Z61" s="6">
        <f t="shared" si="5"/>
        <v>1459171.69</v>
      </c>
      <c r="AA61" s="6">
        <f t="shared" si="6"/>
        <v>0</v>
      </c>
      <c r="AB61" s="66"/>
    </row>
    <row r="62" spans="1:28" ht="21" customHeight="1" x14ac:dyDescent="0.25">
      <c r="A62" s="178" t="s">
        <v>17</v>
      </c>
      <c r="B62" s="179"/>
      <c r="C62" s="114">
        <f>SUM(C60:C61)</f>
        <v>2702547.8</v>
      </c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>
        <f>SUM(P60:P61)</f>
        <v>1789</v>
      </c>
      <c r="Q62" s="114">
        <f>SUM(Q60:Q61)</f>
        <v>2702547.8</v>
      </c>
      <c r="R62" s="114"/>
      <c r="S62" s="114"/>
      <c r="T62" s="114"/>
      <c r="U62" s="114"/>
      <c r="V62" s="114"/>
      <c r="W62" s="114"/>
      <c r="X62" s="114"/>
      <c r="Y62" s="7"/>
      <c r="Z62" s="6">
        <f t="shared" si="5"/>
        <v>2702547.8</v>
      </c>
      <c r="AA62" s="6">
        <f t="shared" si="6"/>
        <v>0</v>
      </c>
      <c r="AB62" s="6"/>
    </row>
    <row r="63" spans="1:28" ht="21" customHeight="1" x14ac:dyDescent="0.25">
      <c r="A63" s="175" t="s">
        <v>55</v>
      </c>
      <c r="B63" s="177"/>
      <c r="C63" s="113">
        <f>C36+C40+C43+C51+C58+C62</f>
        <v>93390000.010000005</v>
      </c>
      <c r="D63" s="113">
        <f>D36+D40+D43+D51+D58+D62</f>
        <v>9217983.4900000002</v>
      </c>
      <c r="E63" s="113"/>
      <c r="F63" s="113"/>
      <c r="G63" s="113">
        <f t="shared" ref="G63:Q63" si="9">G36+G40+G43+G51+G58+G62</f>
        <v>3022140.65</v>
      </c>
      <c r="H63" s="113">
        <f t="shared" si="9"/>
        <v>3442824.81</v>
      </c>
      <c r="I63" s="113">
        <f t="shared" si="9"/>
        <v>2753018.0300000003</v>
      </c>
      <c r="J63" s="48">
        <f t="shared" si="9"/>
        <v>25</v>
      </c>
      <c r="K63" s="113">
        <f t="shared" si="9"/>
        <v>43532217.339999996</v>
      </c>
      <c r="L63" s="113">
        <f t="shared" si="9"/>
        <v>1391</v>
      </c>
      <c r="M63" s="113">
        <f t="shared" si="9"/>
        <v>6139547.0899999999</v>
      </c>
      <c r="N63" s="113">
        <f t="shared" si="9"/>
        <v>210</v>
      </c>
      <c r="O63" s="113">
        <f t="shared" si="9"/>
        <v>275250.38</v>
      </c>
      <c r="P63" s="113">
        <f t="shared" si="9"/>
        <v>5119</v>
      </c>
      <c r="Q63" s="113">
        <f t="shared" si="9"/>
        <v>7684770</v>
      </c>
      <c r="R63" s="113"/>
      <c r="S63" s="113"/>
      <c r="T63" s="113">
        <f>T36+T40+T43+T51+T58+T62</f>
        <v>2887.5</v>
      </c>
      <c r="U63" s="113">
        <f>U36+U40+U43+U51+U58+U62</f>
        <v>18290826.93</v>
      </c>
      <c r="V63" s="113"/>
      <c r="W63" s="113">
        <f>W36+W40+W43+W51+W58+W62</f>
        <v>8249404.7799999993</v>
      </c>
      <c r="X63" s="113"/>
      <c r="Y63" s="7"/>
      <c r="Z63" s="6">
        <f t="shared" si="5"/>
        <v>93390000.010000005</v>
      </c>
      <c r="AA63" s="6">
        <f t="shared" si="6"/>
        <v>0</v>
      </c>
      <c r="AB63" s="6"/>
    </row>
    <row r="64" spans="1:28" ht="21" customHeight="1" x14ac:dyDescent="0.25">
      <c r="A64" s="180" t="s">
        <v>19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2"/>
      <c r="Y64" s="7"/>
      <c r="Z64" s="6">
        <f t="shared" si="5"/>
        <v>0</v>
      </c>
      <c r="AA64" s="6">
        <f t="shared" si="6"/>
        <v>0</v>
      </c>
    </row>
    <row r="65" spans="1:27" ht="21" customHeight="1" x14ac:dyDescent="0.25">
      <c r="A65" s="175" t="s">
        <v>20</v>
      </c>
      <c r="B65" s="176"/>
      <c r="C65" s="177"/>
      <c r="D65" s="172"/>
      <c r="E65" s="173"/>
      <c r="F65" s="173"/>
      <c r="G65" s="173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73"/>
      <c r="U65" s="173"/>
      <c r="V65" s="173"/>
      <c r="W65" s="173"/>
      <c r="X65" s="174"/>
      <c r="Y65" s="7"/>
      <c r="Z65" s="6">
        <f t="shared" si="5"/>
        <v>0</v>
      </c>
      <c r="AA65" s="6">
        <f t="shared" si="6"/>
        <v>0</v>
      </c>
    </row>
    <row r="66" spans="1:27" ht="21" customHeight="1" x14ac:dyDescent="0.25">
      <c r="A66" s="26">
        <f>A61+1</f>
        <v>29</v>
      </c>
      <c r="B66" s="4" t="s">
        <v>147</v>
      </c>
      <c r="C66" s="111">
        <f t="shared" ref="C66:C80" si="10">D66+K66+M66+O66+Q66+S66+U66+V66+W66+X66</f>
        <v>5701647.4500000002</v>
      </c>
      <c r="D66" s="114"/>
      <c r="E66" s="114"/>
      <c r="F66" s="114"/>
      <c r="G66" s="62"/>
      <c r="H66" s="114"/>
      <c r="I66" s="114"/>
      <c r="J66" s="53">
        <v>2</v>
      </c>
      <c r="K66" s="114">
        <v>5701647.4500000002</v>
      </c>
      <c r="L66" s="114"/>
      <c r="M66" s="114"/>
      <c r="N66" s="114"/>
      <c r="O66" s="114"/>
      <c r="P66" s="114"/>
      <c r="Q66" s="114"/>
      <c r="R66" s="114"/>
      <c r="S66" s="114"/>
      <c r="T66" s="27"/>
      <c r="U66" s="114"/>
      <c r="V66" s="111"/>
      <c r="W66" s="111"/>
      <c r="X66" s="111"/>
      <c r="Y66" s="7"/>
      <c r="Z66" s="6">
        <f t="shared" si="5"/>
        <v>5701647.4500000002</v>
      </c>
      <c r="AA66" s="6">
        <f t="shared" si="6"/>
        <v>0</v>
      </c>
    </row>
    <row r="67" spans="1:27" ht="21" customHeight="1" x14ac:dyDescent="0.25">
      <c r="A67" s="26">
        <f t="shared" ref="A67:A80" si="11">A66+1</f>
        <v>30</v>
      </c>
      <c r="B67" s="4" t="s">
        <v>151</v>
      </c>
      <c r="C67" s="111">
        <f t="shared" si="10"/>
        <v>5487072.6100000003</v>
      </c>
      <c r="D67" s="114"/>
      <c r="E67" s="114"/>
      <c r="F67" s="114"/>
      <c r="G67" s="62"/>
      <c r="H67" s="114"/>
      <c r="I67" s="114"/>
      <c r="J67" s="53">
        <v>2</v>
      </c>
      <c r="K67" s="114">
        <v>5487072.6100000003</v>
      </c>
      <c r="L67" s="114"/>
      <c r="M67" s="114"/>
      <c r="N67" s="114"/>
      <c r="O67" s="114"/>
      <c r="P67" s="114"/>
      <c r="Q67" s="114"/>
      <c r="R67" s="114"/>
      <c r="S67" s="114"/>
      <c r="T67" s="27"/>
      <c r="U67" s="114"/>
      <c r="V67" s="111"/>
      <c r="W67" s="111"/>
      <c r="X67" s="111"/>
      <c r="Y67" s="7"/>
      <c r="Z67" s="6">
        <f t="shared" si="5"/>
        <v>5487072.6100000003</v>
      </c>
      <c r="AA67" s="6">
        <f t="shared" si="6"/>
        <v>0</v>
      </c>
    </row>
    <row r="68" spans="1:27" ht="21" customHeight="1" x14ac:dyDescent="0.25">
      <c r="A68" s="26">
        <f t="shared" si="11"/>
        <v>31</v>
      </c>
      <c r="B68" s="4" t="s">
        <v>150</v>
      </c>
      <c r="C68" s="111">
        <f t="shared" si="10"/>
        <v>5351072.1900000004</v>
      </c>
      <c r="D68" s="114"/>
      <c r="E68" s="114"/>
      <c r="F68" s="114"/>
      <c r="G68" s="62"/>
      <c r="H68" s="114"/>
      <c r="I68" s="114"/>
      <c r="J68" s="53">
        <v>2</v>
      </c>
      <c r="K68" s="114">
        <v>5351072.1900000004</v>
      </c>
      <c r="L68" s="114"/>
      <c r="M68" s="114"/>
      <c r="N68" s="114"/>
      <c r="O68" s="114"/>
      <c r="P68" s="114"/>
      <c r="Q68" s="114"/>
      <c r="R68" s="114"/>
      <c r="S68" s="114"/>
      <c r="T68" s="27"/>
      <c r="U68" s="114"/>
      <c r="V68" s="111"/>
      <c r="W68" s="111"/>
      <c r="X68" s="111"/>
      <c r="Y68" s="7"/>
      <c r="Z68" s="6">
        <f t="shared" si="5"/>
        <v>5351072.1900000004</v>
      </c>
      <c r="AA68" s="6">
        <f t="shared" si="6"/>
        <v>0</v>
      </c>
    </row>
    <row r="69" spans="1:27" ht="21" customHeight="1" x14ac:dyDescent="0.25">
      <c r="A69" s="26">
        <f t="shared" si="11"/>
        <v>32</v>
      </c>
      <c r="B69" s="4" t="s">
        <v>252</v>
      </c>
      <c r="C69" s="111">
        <f t="shared" si="10"/>
        <v>14243833.43</v>
      </c>
      <c r="D69" s="114"/>
      <c r="E69" s="114"/>
      <c r="F69" s="114"/>
      <c r="G69" s="62"/>
      <c r="H69" s="114"/>
      <c r="I69" s="114"/>
      <c r="J69" s="53">
        <v>6</v>
      </c>
      <c r="K69" s="114">
        <v>14243833.43</v>
      </c>
      <c r="L69" s="114"/>
      <c r="M69" s="114"/>
      <c r="N69" s="114"/>
      <c r="O69" s="114"/>
      <c r="P69" s="114"/>
      <c r="Q69" s="114"/>
      <c r="R69" s="114"/>
      <c r="S69" s="114"/>
      <c r="T69" s="27"/>
      <c r="U69" s="114"/>
      <c r="V69" s="111"/>
      <c r="W69" s="111"/>
      <c r="X69" s="111"/>
      <c r="Y69" s="7"/>
      <c r="Z69" s="6">
        <f t="shared" si="5"/>
        <v>14243833.43</v>
      </c>
      <c r="AA69" s="6">
        <f t="shared" si="6"/>
        <v>0</v>
      </c>
    </row>
    <row r="70" spans="1:27" ht="21" customHeight="1" x14ac:dyDescent="0.25">
      <c r="A70" s="26">
        <f t="shared" si="11"/>
        <v>33</v>
      </c>
      <c r="B70" s="4" t="s">
        <v>145</v>
      </c>
      <c r="C70" s="111">
        <f t="shared" si="10"/>
        <v>12488474.52</v>
      </c>
      <c r="D70" s="114"/>
      <c r="E70" s="114"/>
      <c r="F70" s="114"/>
      <c r="G70" s="62"/>
      <c r="H70" s="114"/>
      <c r="I70" s="114"/>
      <c r="J70" s="53">
        <v>5</v>
      </c>
      <c r="K70" s="114">
        <v>12488474.52</v>
      </c>
      <c r="L70" s="114"/>
      <c r="M70" s="114"/>
      <c r="N70" s="114"/>
      <c r="O70" s="114"/>
      <c r="P70" s="114"/>
      <c r="Q70" s="114"/>
      <c r="R70" s="114"/>
      <c r="S70" s="114"/>
      <c r="T70" s="27"/>
      <c r="U70" s="114"/>
      <c r="V70" s="111"/>
      <c r="W70" s="111"/>
      <c r="X70" s="111"/>
      <c r="Y70" s="7"/>
      <c r="Z70" s="6">
        <f t="shared" si="5"/>
        <v>12488474.52</v>
      </c>
      <c r="AA70" s="6">
        <f t="shared" si="6"/>
        <v>0</v>
      </c>
    </row>
    <row r="71" spans="1:27" ht="21" customHeight="1" x14ac:dyDescent="0.25">
      <c r="A71" s="26">
        <f t="shared" si="11"/>
        <v>34</v>
      </c>
      <c r="B71" s="4" t="s">
        <v>153</v>
      </c>
      <c r="C71" s="111">
        <f t="shared" si="10"/>
        <v>5115498.84</v>
      </c>
      <c r="D71" s="114"/>
      <c r="E71" s="114"/>
      <c r="F71" s="114"/>
      <c r="G71" s="62"/>
      <c r="H71" s="114"/>
      <c r="I71" s="114"/>
      <c r="J71" s="53">
        <v>2</v>
      </c>
      <c r="K71" s="114">
        <v>5115498.84</v>
      </c>
      <c r="L71" s="114"/>
      <c r="M71" s="114"/>
      <c r="N71" s="114"/>
      <c r="O71" s="114"/>
      <c r="P71" s="114"/>
      <c r="Q71" s="114"/>
      <c r="R71" s="114"/>
      <c r="S71" s="114"/>
      <c r="T71" s="27"/>
      <c r="U71" s="114"/>
      <c r="V71" s="111"/>
      <c r="W71" s="111"/>
      <c r="X71" s="111"/>
      <c r="Y71" s="7"/>
      <c r="Z71" s="6">
        <f t="shared" si="5"/>
        <v>5115498.84</v>
      </c>
      <c r="AA71" s="6">
        <f t="shared" si="6"/>
        <v>0</v>
      </c>
    </row>
    <row r="72" spans="1:27" ht="21" customHeight="1" x14ac:dyDescent="0.25">
      <c r="A72" s="26">
        <f t="shared" si="11"/>
        <v>35</v>
      </c>
      <c r="B72" s="4" t="s">
        <v>146</v>
      </c>
      <c r="C72" s="111">
        <f t="shared" si="10"/>
        <v>2729934.09</v>
      </c>
      <c r="D72" s="114"/>
      <c r="E72" s="114"/>
      <c r="F72" s="114"/>
      <c r="G72" s="62"/>
      <c r="H72" s="114"/>
      <c r="I72" s="114"/>
      <c r="J72" s="53">
        <v>1</v>
      </c>
      <c r="K72" s="114">
        <v>2729934.09</v>
      </c>
      <c r="L72" s="114"/>
      <c r="M72" s="114"/>
      <c r="N72" s="114"/>
      <c r="O72" s="114"/>
      <c r="P72" s="114"/>
      <c r="Q72" s="114"/>
      <c r="R72" s="114"/>
      <c r="S72" s="114"/>
      <c r="T72" s="27"/>
      <c r="U72" s="114"/>
      <c r="V72" s="111"/>
      <c r="W72" s="111"/>
      <c r="X72" s="111"/>
      <c r="Y72" s="7"/>
      <c r="Z72" s="6">
        <f t="shared" si="5"/>
        <v>2729934.09</v>
      </c>
      <c r="AA72" s="6">
        <f t="shared" si="6"/>
        <v>0</v>
      </c>
    </row>
    <row r="73" spans="1:27" ht="21" customHeight="1" x14ac:dyDescent="0.25">
      <c r="A73" s="26">
        <f t="shared" si="11"/>
        <v>36</v>
      </c>
      <c r="B73" s="4" t="s">
        <v>155</v>
      </c>
      <c r="C73" s="111">
        <f t="shared" si="10"/>
        <v>5175109.83</v>
      </c>
      <c r="D73" s="114"/>
      <c r="E73" s="114"/>
      <c r="F73" s="114"/>
      <c r="G73" s="62"/>
      <c r="H73" s="114"/>
      <c r="I73" s="114"/>
      <c r="J73" s="53">
        <v>2</v>
      </c>
      <c r="K73" s="114">
        <v>5175109.83</v>
      </c>
      <c r="L73" s="114"/>
      <c r="M73" s="114"/>
      <c r="N73" s="114"/>
      <c r="O73" s="114"/>
      <c r="P73" s="114"/>
      <c r="Q73" s="114"/>
      <c r="R73" s="114"/>
      <c r="S73" s="114"/>
      <c r="T73" s="27"/>
      <c r="U73" s="114"/>
      <c r="V73" s="111"/>
      <c r="W73" s="111"/>
      <c r="X73" s="111"/>
      <c r="Y73" s="7"/>
      <c r="Z73" s="6">
        <f t="shared" si="5"/>
        <v>5175109.83</v>
      </c>
      <c r="AA73" s="6">
        <f t="shared" si="6"/>
        <v>0</v>
      </c>
    </row>
    <row r="74" spans="1:27" ht="21" customHeight="1" x14ac:dyDescent="0.25">
      <c r="A74" s="26">
        <f t="shared" si="11"/>
        <v>37</v>
      </c>
      <c r="B74" s="4" t="s">
        <v>156</v>
      </c>
      <c r="C74" s="111">
        <f t="shared" si="10"/>
        <v>5925772.6899999995</v>
      </c>
      <c r="D74" s="114"/>
      <c r="E74" s="114"/>
      <c r="F74" s="114"/>
      <c r="G74" s="62"/>
      <c r="H74" s="114"/>
      <c r="I74" s="114"/>
      <c r="J74" s="26"/>
      <c r="K74" s="114"/>
      <c r="L74" s="67">
        <v>756</v>
      </c>
      <c r="M74" s="67">
        <v>3106422.69</v>
      </c>
      <c r="N74" s="67"/>
      <c r="O74" s="67"/>
      <c r="P74" s="67">
        <v>2246.04</v>
      </c>
      <c r="Q74" s="114">
        <v>2819350</v>
      </c>
      <c r="R74" s="114"/>
      <c r="S74" s="114"/>
      <c r="T74" s="27"/>
      <c r="U74" s="114"/>
      <c r="V74" s="111"/>
      <c r="W74" s="111"/>
      <c r="X74" s="111"/>
      <c r="Y74" s="7"/>
      <c r="Z74" s="6">
        <f t="shared" ref="Z74:Z103" si="12">E74+F74+G74+H74+I74+K74+M74+O74+Q74+S74+U74+V74+W74+X74</f>
        <v>5925772.6899999995</v>
      </c>
      <c r="AA74" s="6">
        <f t="shared" ref="AA74:AA103" si="13">Z74-C74</f>
        <v>0</v>
      </c>
    </row>
    <row r="75" spans="1:27" ht="21" customHeight="1" x14ac:dyDescent="0.25">
      <c r="A75" s="26">
        <f t="shared" si="11"/>
        <v>38</v>
      </c>
      <c r="B75" s="4" t="s">
        <v>148</v>
      </c>
      <c r="C75" s="111">
        <f t="shared" si="10"/>
        <v>2507467.35</v>
      </c>
      <c r="D75" s="114"/>
      <c r="E75" s="114"/>
      <c r="F75" s="114"/>
      <c r="G75" s="62"/>
      <c r="H75" s="114"/>
      <c r="I75" s="114"/>
      <c r="J75" s="53">
        <v>1</v>
      </c>
      <c r="K75" s="114">
        <v>2507467.35</v>
      </c>
      <c r="L75" s="114"/>
      <c r="M75" s="114"/>
      <c r="N75" s="114"/>
      <c r="O75" s="114"/>
      <c r="P75" s="114"/>
      <c r="Q75" s="114"/>
      <c r="R75" s="114"/>
      <c r="S75" s="114"/>
      <c r="T75" s="27"/>
      <c r="U75" s="114"/>
      <c r="V75" s="111"/>
      <c r="W75" s="111"/>
      <c r="X75" s="111"/>
      <c r="Y75" s="7"/>
      <c r="Z75" s="6">
        <f t="shared" si="12"/>
        <v>2507467.35</v>
      </c>
      <c r="AA75" s="6">
        <f t="shared" si="13"/>
        <v>0</v>
      </c>
    </row>
    <row r="76" spans="1:27" ht="21" customHeight="1" x14ac:dyDescent="0.25">
      <c r="A76" s="26">
        <f t="shared" si="11"/>
        <v>39</v>
      </c>
      <c r="B76" s="4" t="s">
        <v>144</v>
      </c>
      <c r="C76" s="111">
        <f t="shared" si="10"/>
        <v>2928050.98</v>
      </c>
      <c r="D76" s="114"/>
      <c r="E76" s="114"/>
      <c r="F76" s="114"/>
      <c r="G76" s="62"/>
      <c r="H76" s="114"/>
      <c r="I76" s="114"/>
      <c r="J76" s="53">
        <v>1</v>
      </c>
      <c r="K76" s="114">
        <v>2928050.98</v>
      </c>
      <c r="L76" s="114"/>
      <c r="M76" s="114"/>
      <c r="N76" s="114"/>
      <c r="O76" s="114"/>
      <c r="P76" s="114"/>
      <c r="Q76" s="114"/>
      <c r="R76" s="114"/>
      <c r="S76" s="114"/>
      <c r="T76" s="27"/>
      <c r="U76" s="114"/>
      <c r="V76" s="111"/>
      <c r="W76" s="111"/>
      <c r="X76" s="111"/>
      <c r="Y76" s="7"/>
      <c r="Z76" s="6">
        <f t="shared" si="12"/>
        <v>2928050.98</v>
      </c>
      <c r="AA76" s="6">
        <f t="shared" si="13"/>
        <v>0</v>
      </c>
    </row>
    <row r="77" spans="1:27" ht="20.25" customHeight="1" x14ac:dyDescent="0.25">
      <c r="A77" s="26">
        <f t="shared" si="11"/>
        <v>40</v>
      </c>
      <c r="B77" s="4" t="s">
        <v>152</v>
      </c>
      <c r="C77" s="111">
        <f t="shared" si="10"/>
        <v>10099900.66</v>
      </c>
      <c r="D77" s="114"/>
      <c r="E77" s="114"/>
      <c r="F77" s="114"/>
      <c r="G77" s="62"/>
      <c r="H77" s="114"/>
      <c r="I77" s="114"/>
      <c r="J77" s="53">
        <v>4</v>
      </c>
      <c r="K77" s="114">
        <v>10099900.66</v>
      </c>
      <c r="L77" s="114"/>
      <c r="M77" s="114"/>
      <c r="N77" s="114"/>
      <c r="O77" s="114"/>
      <c r="P77" s="114"/>
      <c r="Q77" s="114"/>
      <c r="R77" s="114"/>
      <c r="S77" s="114"/>
      <c r="T77" s="27"/>
      <c r="U77" s="114"/>
      <c r="V77" s="111"/>
      <c r="W77" s="111"/>
      <c r="X77" s="111"/>
      <c r="Y77" s="7"/>
      <c r="Z77" s="6">
        <f t="shared" si="12"/>
        <v>10099900.66</v>
      </c>
      <c r="AA77" s="6">
        <f t="shared" si="13"/>
        <v>0</v>
      </c>
    </row>
    <row r="78" spans="1:27" ht="21" customHeight="1" x14ac:dyDescent="0.25">
      <c r="A78" s="26">
        <f t="shared" si="11"/>
        <v>41</v>
      </c>
      <c r="B78" s="4" t="s">
        <v>157</v>
      </c>
      <c r="C78" s="111">
        <f t="shared" si="10"/>
        <v>10864052.42</v>
      </c>
      <c r="D78" s="114"/>
      <c r="E78" s="114"/>
      <c r="F78" s="114"/>
      <c r="G78" s="62"/>
      <c r="H78" s="114"/>
      <c r="I78" s="114"/>
      <c r="J78" s="26"/>
      <c r="K78" s="114"/>
      <c r="L78" s="67">
        <v>1152</v>
      </c>
      <c r="M78" s="67">
        <v>4080543.49</v>
      </c>
      <c r="N78" s="67"/>
      <c r="O78" s="67"/>
      <c r="P78" s="67">
        <v>3055.6</v>
      </c>
      <c r="Q78" s="67">
        <v>6783508.9299999997</v>
      </c>
      <c r="R78" s="114"/>
      <c r="S78" s="114"/>
      <c r="T78" s="27"/>
      <c r="U78" s="114"/>
      <c r="V78" s="111"/>
      <c r="W78" s="111"/>
      <c r="X78" s="111"/>
      <c r="Y78" s="7"/>
      <c r="Z78" s="6">
        <f t="shared" si="12"/>
        <v>10864052.42</v>
      </c>
      <c r="AA78" s="6">
        <f t="shared" si="13"/>
        <v>0</v>
      </c>
    </row>
    <row r="79" spans="1:27" ht="21" customHeight="1" x14ac:dyDescent="0.25">
      <c r="A79" s="26">
        <f t="shared" si="11"/>
        <v>42</v>
      </c>
      <c r="B79" s="4" t="s">
        <v>154</v>
      </c>
      <c r="C79" s="111">
        <f t="shared" si="10"/>
        <v>7716745.25</v>
      </c>
      <c r="D79" s="114"/>
      <c r="E79" s="114"/>
      <c r="F79" s="114"/>
      <c r="G79" s="62"/>
      <c r="H79" s="114"/>
      <c r="I79" s="114"/>
      <c r="J79" s="53">
        <v>3</v>
      </c>
      <c r="K79" s="114">
        <v>7716745.25</v>
      </c>
      <c r="L79" s="114"/>
      <c r="M79" s="114"/>
      <c r="N79" s="114"/>
      <c r="O79" s="114"/>
      <c r="P79" s="114"/>
      <c r="Q79" s="114"/>
      <c r="R79" s="114"/>
      <c r="S79" s="114"/>
      <c r="T79" s="27"/>
      <c r="U79" s="114"/>
      <c r="V79" s="111"/>
      <c r="W79" s="111"/>
      <c r="X79" s="111"/>
      <c r="Y79" s="7"/>
      <c r="Z79" s="6">
        <f t="shared" si="12"/>
        <v>7716745.25</v>
      </c>
      <c r="AA79" s="6">
        <f t="shared" si="13"/>
        <v>0</v>
      </c>
    </row>
    <row r="80" spans="1:27" ht="21" customHeight="1" x14ac:dyDescent="0.25">
      <c r="A80" s="26">
        <f t="shared" si="11"/>
        <v>43</v>
      </c>
      <c r="B80" s="4" t="s">
        <v>149</v>
      </c>
      <c r="C80" s="111">
        <f t="shared" si="10"/>
        <v>2260151.73</v>
      </c>
      <c r="D80" s="114"/>
      <c r="E80" s="114"/>
      <c r="F80" s="114"/>
      <c r="G80" s="62"/>
      <c r="H80" s="114"/>
      <c r="I80" s="114"/>
      <c r="J80" s="53">
        <v>1</v>
      </c>
      <c r="K80" s="114">
        <v>2260151.73</v>
      </c>
      <c r="L80" s="114"/>
      <c r="M80" s="114"/>
      <c r="N80" s="114"/>
      <c r="O80" s="114"/>
      <c r="P80" s="114"/>
      <c r="Q80" s="114"/>
      <c r="R80" s="114"/>
      <c r="S80" s="114"/>
      <c r="T80" s="27"/>
      <c r="U80" s="114"/>
      <c r="V80" s="111"/>
      <c r="W80" s="111"/>
      <c r="X80" s="111"/>
      <c r="Y80" s="7"/>
      <c r="Z80" s="6">
        <f t="shared" si="12"/>
        <v>2260151.73</v>
      </c>
      <c r="AA80" s="6">
        <f t="shared" si="13"/>
        <v>0</v>
      </c>
    </row>
    <row r="81" spans="1:29" ht="21" customHeight="1" x14ac:dyDescent="0.25">
      <c r="A81" s="178" t="s">
        <v>17</v>
      </c>
      <c r="B81" s="179"/>
      <c r="C81" s="111">
        <f>SUM(C66:C80)</f>
        <v>98594784.040000007</v>
      </c>
      <c r="D81" s="111"/>
      <c r="E81" s="111"/>
      <c r="F81" s="111"/>
      <c r="G81" s="111"/>
      <c r="H81" s="111"/>
      <c r="I81" s="111"/>
      <c r="J81" s="115">
        <f>SUM(J66:J80)</f>
        <v>32</v>
      </c>
      <c r="K81" s="111">
        <f>SUM(K66:K80)</f>
        <v>81804958.930000007</v>
      </c>
      <c r="L81" s="111">
        <f>SUM(L66:L80)</f>
        <v>1908</v>
      </c>
      <c r="M81" s="111">
        <f>SUM(M66:M80)</f>
        <v>7186966.1799999997</v>
      </c>
      <c r="N81" s="111"/>
      <c r="O81" s="111"/>
      <c r="P81" s="111">
        <f>SUM(P66:P80)</f>
        <v>5301.6399999999994</v>
      </c>
      <c r="Q81" s="111">
        <f>SUM(Q66:Q80)</f>
        <v>9602858.9299999997</v>
      </c>
      <c r="R81" s="111"/>
      <c r="S81" s="111"/>
      <c r="T81" s="111"/>
      <c r="U81" s="111"/>
      <c r="V81" s="111"/>
      <c r="W81" s="111"/>
      <c r="X81" s="111"/>
      <c r="Y81" s="7"/>
      <c r="Z81" s="6">
        <f t="shared" si="12"/>
        <v>98594784.040000021</v>
      </c>
      <c r="AA81" s="6">
        <f t="shared" si="13"/>
        <v>0</v>
      </c>
      <c r="AB81" s="6"/>
    </row>
    <row r="82" spans="1:29" ht="21" customHeight="1" x14ac:dyDescent="0.25">
      <c r="A82" s="175" t="s">
        <v>21</v>
      </c>
      <c r="B82" s="176"/>
      <c r="C82" s="177"/>
      <c r="D82" s="172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4"/>
      <c r="Y82" s="7"/>
      <c r="Z82" s="6">
        <f t="shared" si="12"/>
        <v>0</v>
      </c>
      <c r="AA82" s="6">
        <f t="shared" si="13"/>
        <v>0</v>
      </c>
    </row>
    <row r="83" spans="1:29" ht="21" customHeight="1" x14ac:dyDescent="0.2">
      <c r="A83" s="26">
        <f>A80+1</f>
        <v>44</v>
      </c>
      <c r="B83" s="4" t="s">
        <v>159</v>
      </c>
      <c r="C83" s="111">
        <f>D83+K83+M83+O83+Q83+S83+U83+V83+W83+X83</f>
        <v>5604607.4699999997</v>
      </c>
      <c r="D83" s="111"/>
      <c r="E83" s="111"/>
      <c r="F83" s="111"/>
      <c r="G83" s="111"/>
      <c r="H83" s="111"/>
      <c r="I83" s="111"/>
      <c r="J83" s="110">
        <v>2</v>
      </c>
      <c r="K83" s="68">
        <v>5604607.4699999997</v>
      </c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7"/>
      <c r="Z83" s="6">
        <f t="shared" si="12"/>
        <v>5604607.4699999997</v>
      </c>
      <c r="AA83" s="6">
        <f t="shared" si="13"/>
        <v>0</v>
      </c>
    </row>
    <row r="84" spans="1:29" ht="21" customHeight="1" x14ac:dyDescent="0.2">
      <c r="A84" s="26">
        <f>A83+1</f>
        <v>45</v>
      </c>
      <c r="B84" s="4" t="s">
        <v>158</v>
      </c>
      <c r="C84" s="111">
        <f>D84+K84+M84+O84+Q84+S84+U84+V84+W84+X84</f>
        <v>5600089.8099999996</v>
      </c>
      <c r="D84" s="111"/>
      <c r="E84" s="111"/>
      <c r="F84" s="111"/>
      <c r="G84" s="111"/>
      <c r="H84" s="111"/>
      <c r="I84" s="111"/>
      <c r="J84" s="110">
        <v>2</v>
      </c>
      <c r="K84" s="68">
        <v>5600089.8099999996</v>
      </c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7"/>
      <c r="Z84" s="6">
        <f t="shared" si="12"/>
        <v>5600089.8099999996</v>
      </c>
      <c r="AA84" s="6">
        <f t="shared" si="13"/>
        <v>0</v>
      </c>
    </row>
    <row r="85" spans="1:29" ht="21" customHeight="1" x14ac:dyDescent="0.25">
      <c r="A85" s="178" t="s">
        <v>17</v>
      </c>
      <c r="B85" s="179"/>
      <c r="C85" s="111">
        <f>SUM(C83:C84)</f>
        <v>11204697.279999999</v>
      </c>
      <c r="D85" s="111"/>
      <c r="E85" s="111"/>
      <c r="F85" s="111"/>
      <c r="G85" s="111"/>
      <c r="H85" s="111"/>
      <c r="I85" s="111"/>
      <c r="J85" s="115">
        <f>SUM(J83:J84)</f>
        <v>4</v>
      </c>
      <c r="K85" s="111">
        <f>SUM(K83:K84)</f>
        <v>11204697.279999999</v>
      </c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7"/>
      <c r="Z85" s="6">
        <f t="shared" si="12"/>
        <v>11204697.279999999</v>
      </c>
      <c r="AA85" s="6">
        <f t="shared" si="13"/>
        <v>0</v>
      </c>
      <c r="AB85" s="6"/>
    </row>
    <row r="86" spans="1:29" ht="21" customHeight="1" x14ac:dyDescent="0.25">
      <c r="A86" s="175" t="s">
        <v>22</v>
      </c>
      <c r="B86" s="177"/>
      <c r="C86" s="113">
        <f>C81+C85</f>
        <v>109799481.32000001</v>
      </c>
      <c r="D86" s="113"/>
      <c r="E86" s="113"/>
      <c r="F86" s="113"/>
      <c r="G86" s="113"/>
      <c r="H86" s="113"/>
      <c r="I86" s="113"/>
      <c r="J86" s="48">
        <f>J81+J85</f>
        <v>36</v>
      </c>
      <c r="K86" s="113">
        <f>K81+K85</f>
        <v>93009656.210000008</v>
      </c>
      <c r="L86" s="113">
        <f>L81+L85</f>
        <v>1908</v>
      </c>
      <c r="M86" s="113">
        <f>M81+M85</f>
        <v>7186966.1799999997</v>
      </c>
      <c r="N86" s="113"/>
      <c r="O86" s="113"/>
      <c r="P86" s="113">
        <f>P81+P85</f>
        <v>5301.6399999999994</v>
      </c>
      <c r="Q86" s="113">
        <f>Q81+Q85</f>
        <v>9602858.9299999997</v>
      </c>
      <c r="R86" s="113"/>
      <c r="S86" s="113"/>
      <c r="T86" s="113"/>
      <c r="U86" s="113"/>
      <c r="V86" s="113"/>
      <c r="W86" s="113"/>
      <c r="X86" s="113"/>
      <c r="Y86" s="7"/>
      <c r="Z86" s="6">
        <f t="shared" si="12"/>
        <v>109799481.32000002</v>
      </c>
      <c r="AA86" s="6">
        <f t="shared" si="13"/>
        <v>0</v>
      </c>
      <c r="AB86" s="69"/>
      <c r="AC86" s="59"/>
    </row>
    <row r="87" spans="1:29" ht="21" customHeight="1" x14ac:dyDescent="0.25">
      <c r="A87" s="180" t="s">
        <v>56</v>
      </c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2"/>
      <c r="Y87" s="7"/>
      <c r="Z87" s="6">
        <f t="shared" si="12"/>
        <v>0</v>
      </c>
      <c r="AA87" s="6">
        <f t="shared" si="13"/>
        <v>0</v>
      </c>
      <c r="AB87" s="59"/>
      <c r="AC87" s="59"/>
    </row>
    <row r="88" spans="1:29" ht="21" customHeight="1" x14ac:dyDescent="0.25">
      <c r="A88" s="175" t="s">
        <v>178</v>
      </c>
      <c r="B88" s="176"/>
      <c r="C88" s="177"/>
      <c r="D88" s="172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4"/>
      <c r="Y88" s="7"/>
      <c r="Z88" s="6">
        <f t="shared" si="12"/>
        <v>0</v>
      </c>
      <c r="AA88" s="6">
        <f t="shared" si="13"/>
        <v>0</v>
      </c>
      <c r="AB88" s="59"/>
    </row>
    <row r="89" spans="1:29" ht="21" customHeight="1" x14ac:dyDescent="0.25">
      <c r="A89" s="26">
        <f>A84+1</f>
        <v>46</v>
      </c>
      <c r="B89" s="4" t="s">
        <v>179</v>
      </c>
      <c r="C89" s="111">
        <f>D89+K89+M89+O89+Q89+S89+U89+V89+W89+X89</f>
        <v>1049421.2000000002</v>
      </c>
      <c r="D89" s="114"/>
      <c r="E89" s="114"/>
      <c r="F89" s="114"/>
      <c r="G89" s="114"/>
      <c r="H89" s="114"/>
      <c r="I89" s="114"/>
      <c r="J89" s="114"/>
      <c r="K89" s="114"/>
      <c r="L89" s="114"/>
      <c r="M89" s="111"/>
      <c r="N89" s="114"/>
      <c r="O89" s="114"/>
      <c r="P89" s="114"/>
      <c r="Q89" s="114"/>
      <c r="R89" s="114"/>
      <c r="S89" s="114"/>
      <c r="T89" s="114"/>
      <c r="U89" s="114"/>
      <c r="V89" s="114"/>
      <c r="W89" s="114">
        <f>606561.3+442859.9</f>
        <v>1049421.2000000002</v>
      </c>
      <c r="X89" s="114"/>
      <c r="Y89" s="7" t="s">
        <v>246</v>
      </c>
      <c r="Z89" s="6">
        <f t="shared" si="12"/>
        <v>1049421.2000000002</v>
      </c>
      <c r="AA89" s="6">
        <f t="shared" si="13"/>
        <v>0</v>
      </c>
      <c r="AB89" s="59"/>
    </row>
    <row r="90" spans="1:29" ht="21" customHeight="1" x14ac:dyDescent="0.25">
      <c r="A90" s="178" t="s">
        <v>17</v>
      </c>
      <c r="B90" s="179"/>
      <c r="C90" s="114">
        <f>SUM(C89)</f>
        <v>1049421.2000000002</v>
      </c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>
        <f>SUM(W89)</f>
        <v>1049421.2000000002</v>
      </c>
      <c r="X90" s="114"/>
      <c r="Y90" s="7"/>
      <c r="Z90" s="6">
        <f t="shared" si="12"/>
        <v>1049421.2000000002</v>
      </c>
      <c r="AA90" s="6">
        <f t="shared" si="13"/>
        <v>0</v>
      </c>
      <c r="AB90" s="6"/>
    </row>
    <row r="91" spans="1:29" ht="21" customHeight="1" x14ac:dyDescent="0.25">
      <c r="A91" s="175" t="s">
        <v>180</v>
      </c>
      <c r="B91" s="176"/>
      <c r="C91" s="177"/>
      <c r="D91" s="172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4"/>
      <c r="Y91" s="7"/>
      <c r="Z91" s="6">
        <f t="shared" si="12"/>
        <v>0</v>
      </c>
      <c r="AA91" s="6">
        <f t="shared" si="13"/>
        <v>0</v>
      </c>
      <c r="AB91" s="59"/>
    </row>
    <row r="92" spans="1:29" ht="21" customHeight="1" x14ac:dyDescent="0.25">
      <c r="A92" s="26">
        <f>A89+1</f>
        <v>47</v>
      </c>
      <c r="B92" s="4" t="s">
        <v>181</v>
      </c>
      <c r="C92" s="111">
        <f>D92+K92+M92+O92+Q92+S92+U92+V92+W92+X92</f>
        <v>900032.02</v>
      </c>
      <c r="D92" s="114"/>
      <c r="E92" s="114"/>
      <c r="F92" s="114"/>
      <c r="G92" s="114"/>
      <c r="H92" s="114"/>
      <c r="I92" s="114"/>
      <c r="J92" s="114"/>
      <c r="K92" s="114"/>
      <c r="L92" s="114">
        <v>337.5</v>
      </c>
      <c r="M92" s="111">
        <v>900032.02</v>
      </c>
      <c r="N92" s="114"/>
      <c r="O92" s="114"/>
      <c r="P92" s="114"/>
      <c r="Q92" s="111"/>
      <c r="R92" s="114"/>
      <c r="S92" s="114"/>
      <c r="T92" s="114"/>
      <c r="U92" s="114"/>
      <c r="V92" s="114"/>
      <c r="W92" s="114"/>
      <c r="X92" s="114"/>
      <c r="Y92" s="7"/>
      <c r="Z92" s="6">
        <f t="shared" si="12"/>
        <v>900032.02</v>
      </c>
      <c r="AA92" s="6">
        <f t="shared" si="13"/>
        <v>0</v>
      </c>
      <c r="AB92" s="59"/>
    </row>
    <row r="93" spans="1:29" ht="21" customHeight="1" x14ac:dyDescent="0.25">
      <c r="A93" s="178" t="s">
        <v>17</v>
      </c>
      <c r="B93" s="179"/>
      <c r="C93" s="114">
        <f>SUM(C92)</f>
        <v>900032.02</v>
      </c>
      <c r="D93" s="114"/>
      <c r="E93" s="114"/>
      <c r="F93" s="114"/>
      <c r="G93" s="114"/>
      <c r="H93" s="114"/>
      <c r="I93" s="114"/>
      <c r="J93" s="114"/>
      <c r="K93" s="114"/>
      <c r="L93" s="114">
        <f>SUM(L92)</f>
        <v>337.5</v>
      </c>
      <c r="M93" s="114">
        <f>SUM(M92)</f>
        <v>900032.02</v>
      </c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7"/>
      <c r="Z93" s="6">
        <f t="shared" si="12"/>
        <v>900032.02</v>
      </c>
      <c r="AA93" s="6">
        <f t="shared" si="13"/>
        <v>0</v>
      </c>
      <c r="AB93" s="6"/>
    </row>
    <row r="94" spans="1:29" ht="21" customHeight="1" x14ac:dyDescent="0.25">
      <c r="A94" s="175" t="s">
        <v>57</v>
      </c>
      <c r="B94" s="176"/>
      <c r="C94" s="177"/>
      <c r="D94" s="172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4"/>
      <c r="Y94" s="7"/>
      <c r="Z94" s="6">
        <f t="shared" si="12"/>
        <v>0</v>
      </c>
      <c r="AA94" s="6">
        <f t="shared" si="13"/>
        <v>0</v>
      </c>
      <c r="AB94" s="59"/>
      <c r="AC94" s="59"/>
    </row>
    <row r="95" spans="1:29" ht="21" customHeight="1" x14ac:dyDescent="0.25">
      <c r="A95" s="26">
        <f>A92+1</f>
        <v>48</v>
      </c>
      <c r="B95" s="4" t="s">
        <v>168</v>
      </c>
      <c r="C95" s="111">
        <f t="shared" ref="C95:C103" si="14">D95+K95+M95+O95+Q95+S95+U95+V95+W95+X95</f>
        <v>4600050.92</v>
      </c>
      <c r="D95" s="111"/>
      <c r="E95" s="114"/>
      <c r="F95" s="114"/>
      <c r="G95" s="114"/>
      <c r="H95" s="114"/>
      <c r="I95" s="114"/>
      <c r="J95" s="114"/>
      <c r="K95" s="114"/>
      <c r="L95" s="114"/>
      <c r="M95" s="111"/>
      <c r="N95" s="114"/>
      <c r="O95" s="114"/>
      <c r="P95" s="114">
        <v>1325</v>
      </c>
      <c r="Q95" s="114">
        <v>4600050.92</v>
      </c>
      <c r="R95" s="114"/>
      <c r="S95" s="114"/>
      <c r="T95" s="114"/>
      <c r="U95" s="114"/>
      <c r="V95" s="113"/>
      <c r="W95" s="114"/>
      <c r="X95" s="114"/>
      <c r="Y95" s="7"/>
      <c r="Z95" s="6">
        <f t="shared" si="12"/>
        <v>4600050.92</v>
      </c>
      <c r="AA95" s="6">
        <f t="shared" si="13"/>
        <v>0</v>
      </c>
      <c r="AB95" s="59"/>
    </row>
    <row r="96" spans="1:29" ht="21" customHeight="1" x14ac:dyDescent="0.25">
      <c r="A96" s="26">
        <f t="shared" ref="A96:A107" si="15">A95+1</f>
        <v>49</v>
      </c>
      <c r="B96" s="4" t="s">
        <v>169</v>
      </c>
      <c r="C96" s="111">
        <f t="shared" si="14"/>
        <v>1978302.47</v>
      </c>
      <c r="D96" s="111"/>
      <c r="E96" s="114"/>
      <c r="F96" s="114"/>
      <c r="G96" s="114"/>
      <c r="H96" s="114"/>
      <c r="I96" s="114"/>
      <c r="J96" s="114"/>
      <c r="K96" s="114"/>
      <c r="L96" s="114"/>
      <c r="M96" s="111"/>
      <c r="N96" s="114"/>
      <c r="O96" s="114"/>
      <c r="P96" s="114">
        <v>558.79999999999995</v>
      </c>
      <c r="Q96" s="114">
        <v>1978302.47</v>
      </c>
      <c r="R96" s="114"/>
      <c r="S96" s="114"/>
      <c r="T96" s="114"/>
      <c r="U96" s="114"/>
      <c r="V96" s="113"/>
      <c r="W96" s="114"/>
      <c r="X96" s="114"/>
      <c r="Y96" s="7"/>
      <c r="Z96" s="6">
        <f t="shared" si="12"/>
        <v>1978302.47</v>
      </c>
      <c r="AA96" s="6">
        <f t="shared" si="13"/>
        <v>0</v>
      </c>
      <c r="AB96" s="59"/>
    </row>
    <row r="97" spans="1:29" ht="21" customHeight="1" x14ac:dyDescent="0.25">
      <c r="A97" s="26">
        <f t="shared" si="15"/>
        <v>50</v>
      </c>
      <c r="B97" s="4" t="s">
        <v>170</v>
      </c>
      <c r="C97" s="111">
        <f t="shared" si="14"/>
        <v>1001784.51</v>
      </c>
      <c r="D97" s="111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>
        <v>311.39999999999998</v>
      </c>
      <c r="Q97" s="111">
        <v>1001784.51</v>
      </c>
      <c r="R97" s="114"/>
      <c r="S97" s="114"/>
      <c r="T97" s="114"/>
      <c r="U97" s="114"/>
      <c r="V97" s="113"/>
      <c r="W97" s="114"/>
      <c r="X97" s="114"/>
      <c r="Y97" s="7"/>
      <c r="Z97" s="6">
        <f t="shared" si="12"/>
        <v>1001784.51</v>
      </c>
      <c r="AA97" s="6">
        <f t="shared" si="13"/>
        <v>0</v>
      </c>
      <c r="AB97" s="6"/>
    </row>
    <row r="98" spans="1:29" ht="21" customHeight="1" x14ac:dyDescent="0.25">
      <c r="A98" s="26">
        <f t="shared" si="15"/>
        <v>51</v>
      </c>
      <c r="B98" s="4" t="s">
        <v>171</v>
      </c>
      <c r="C98" s="111">
        <f t="shared" si="14"/>
        <v>3687251.23</v>
      </c>
      <c r="D98" s="111"/>
      <c r="E98" s="114"/>
      <c r="F98" s="114"/>
      <c r="G98" s="114"/>
      <c r="H98" s="114"/>
      <c r="I98" s="114"/>
      <c r="J98" s="114"/>
      <c r="K98" s="114"/>
      <c r="L98" s="114">
        <v>512</v>
      </c>
      <c r="M98" s="114">
        <v>1708948.76</v>
      </c>
      <c r="N98" s="114"/>
      <c r="O98" s="114"/>
      <c r="P98" s="114">
        <v>558.79999999999995</v>
      </c>
      <c r="Q98" s="111">
        <v>1978302.47</v>
      </c>
      <c r="R98" s="114"/>
      <c r="S98" s="114"/>
      <c r="T98" s="114"/>
      <c r="U98" s="114"/>
      <c r="V98" s="113"/>
      <c r="W98" s="114"/>
      <c r="X98" s="114"/>
      <c r="Y98" s="7"/>
      <c r="Z98" s="6">
        <f t="shared" si="12"/>
        <v>3687251.23</v>
      </c>
      <c r="AA98" s="6">
        <f t="shared" si="13"/>
        <v>0</v>
      </c>
      <c r="AB98" s="6"/>
    </row>
    <row r="99" spans="1:29" ht="21" customHeight="1" x14ac:dyDescent="0.25">
      <c r="A99" s="26">
        <f t="shared" si="15"/>
        <v>52</v>
      </c>
      <c r="B99" s="4" t="s">
        <v>172</v>
      </c>
      <c r="C99" s="111">
        <f t="shared" si="14"/>
        <v>1000863.62</v>
      </c>
      <c r="D99" s="111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>
        <v>558.79999999999995</v>
      </c>
      <c r="Q99" s="111">
        <v>1000863.62</v>
      </c>
      <c r="R99" s="114"/>
      <c r="S99" s="114"/>
      <c r="T99" s="114"/>
      <c r="U99" s="114"/>
      <c r="V99" s="113"/>
      <c r="W99" s="114"/>
      <c r="X99" s="114"/>
      <c r="Y99" s="7"/>
      <c r="Z99" s="6">
        <f t="shared" si="12"/>
        <v>1000863.62</v>
      </c>
      <c r="AA99" s="6">
        <f t="shared" si="13"/>
        <v>0</v>
      </c>
      <c r="AB99" s="59"/>
    </row>
    <row r="100" spans="1:29" ht="21" customHeight="1" x14ac:dyDescent="0.25">
      <c r="A100" s="26">
        <f t="shared" si="15"/>
        <v>53</v>
      </c>
      <c r="B100" s="4" t="s">
        <v>160</v>
      </c>
      <c r="C100" s="111">
        <f t="shared" si="14"/>
        <v>9186941.5500000007</v>
      </c>
      <c r="D100" s="111"/>
      <c r="E100" s="114"/>
      <c r="F100" s="114"/>
      <c r="G100" s="114"/>
      <c r="H100" s="114"/>
      <c r="I100" s="114"/>
      <c r="J100" s="114"/>
      <c r="K100" s="114"/>
      <c r="L100" s="111">
        <v>971.8</v>
      </c>
      <c r="M100" s="111">
        <v>3439937.18</v>
      </c>
      <c r="N100" s="111"/>
      <c r="O100" s="114"/>
      <c r="P100" s="111">
        <v>1618.3</v>
      </c>
      <c r="Q100" s="111">
        <v>5747004.3700000001</v>
      </c>
      <c r="R100" s="114"/>
      <c r="S100" s="114"/>
      <c r="T100" s="114"/>
      <c r="U100" s="114"/>
      <c r="V100" s="113"/>
      <c r="W100" s="111"/>
      <c r="X100" s="111"/>
      <c r="Y100" s="7"/>
      <c r="Z100" s="6">
        <f t="shared" si="12"/>
        <v>9186941.5500000007</v>
      </c>
      <c r="AA100" s="6">
        <f t="shared" si="13"/>
        <v>0</v>
      </c>
      <c r="AB100" s="7"/>
      <c r="AC100" s="59"/>
    </row>
    <row r="101" spans="1:29" ht="21" customHeight="1" x14ac:dyDescent="0.25">
      <c r="A101" s="26">
        <f t="shared" si="15"/>
        <v>54</v>
      </c>
      <c r="B101" s="4" t="s">
        <v>173</v>
      </c>
      <c r="C101" s="111">
        <f t="shared" si="14"/>
        <v>1138586.72</v>
      </c>
      <c r="D101" s="111"/>
      <c r="E101" s="114"/>
      <c r="F101" s="114"/>
      <c r="G101" s="114"/>
      <c r="H101" s="114"/>
      <c r="I101" s="114"/>
      <c r="J101" s="114"/>
      <c r="K101" s="114"/>
      <c r="L101" s="114"/>
      <c r="M101" s="111"/>
      <c r="N101" s="114"/>
      <c r="O101" s="114"/>
      <c r="P101" s="114"/>
      <c r="Q101" s="111"/>
      <c r="R101" s="114"/>
      <c r="S101" s="114"/>
      <c r="T101" s="114"/>
      <c r="U101" s="114"/>
      <c r="V101" s="113"/>
      <c r="W101" s="114">
        <v>1138586.72</v>
      </c>
      <c r="X101" s="114"/>
      <c r="Y101" s="7" t="s">
        <v>242</v>
      </c>
      <c r="Z101" s="6">
        <f t="shared" si="12"/>
        <v>1138586.72</v>
      </c>
      <c r="AA101" s="6">
        <f t="shared" si="13"/>
        <v>0</v>
      </c>
      <c r="AB101" s="6"/>
    </row>
    <row r="102" spans="1:29" ht="21" customHeight="1" x14ac:dyDescent="0.25">
      <c r="A102" s="26">
        <f t="shared" si="15"/>
        <v>55</v>
      </c>
      <c r="B102" s="4" t="s">
        <v>174</v>
      </c>
      <c r="C102" s="111">
        <f t="shared" si="14"/>
        <v>1138586.72</v>
      </c>
      <c r="D102" s="111"/>
      <c r="E102" s="114"/>
      <c r="F102" s="114"/>
      <c r="G102" s="114"/>
      <c r="H102" s="114"/>
      <c r="I102" s="114"/>
      <c r="J102" s="114"/>
      <c r="K102" s="114"/>
      <c r="L102" s="114"/>
      <c r="M102" s="111"/>
      <c r="N102" s="114"/>
      <c r="O102" s="114"/>
      <c r="P102" s="114"/>
      <c r="Q102" s="111"/>
      <c r="R102" s="114"/>
      <c r="S102" s="114"/>
      <c r="T102" s="114"/>
      <c r="U102" s="114"/>
      <c r="V102" s="113"/>
      <c r="W102" s="114">
        <v>1138586.72</v>
      </c>
      <c r="X102" s="114"/>
      <c r="Y102" s="7" t="s">
        <v>242</v>
      </c>
      <c r="Z102" s="6">
        <f t="shared" si="12"/>
        <v>1138586.72</v>
      </c>
      <c r="AA102" s="6">
        <f t="shared" si="13"/>
        <v>0</v>
      </c>
      <c r="AB102" s="6"/>
    </row>
    <row r="103" spans="1:29" ht="21" customHeight="1" x14ac:dyDescent="0.25">
      <c r="A103" s="26">
        <f t="shared" si="15"/>
        <v>56</v>
      </c>
      <c r="B103" s="4" t="s">
        <v>175</v>
      </c>
      <c r="C103" s="111">
        <f t="shared" si="14"/>
        <v>1353533.16</v>
      </c>
      <c r="D103" s="111"/>
      <c r="E103" s="114"/>
      <c r="F103" s="114"/>
      <c r="G103" s="114"/>
      <c r="H103" s="114"/>
      <c r="I103" s="114"/>
      <c r="J103" s="114"/>
      <c r="K103" s="114"/>
      <c r="L103" s="114"/>
      <c r="M103" s="111"/>
      <c r="N103" s="114"/>
      <c r="O103" s="114"/>
      <c r="P103" s="114"/>
      <c r="Q103" s="114"/>
      <c r="R103" s="114"/>
      <c r="S103" s="114"/>
      <c r="T103" s="113"/>
      <c r="U103" s="114"/>
      <c r="V103" s="113"/>
      <c r="W103" s="114">
        <v>1353533.16</v>
      </c>
      <c r="X103" s="114"/>
      <c r="Y103" s="7" t="s">
        <v>242</v>
      </c>
      <c r="Z103" s="6">
        <f t="shared" si="12"/>
        <v>1353533.16</v>
      </c>
      <c r="AA103" s="6">
        <f t="shared" si="13"/>
        <v>0</v>
      </c>
      <c r="AB103" s="59"/>
    </row>
    <row r="104" spans="1:29" ht="21" customHeight="1" x14ac:dyDescent="0.25">
      <c r="A104" s="26">
        <f t="shared" si="15"/>
        <v>57</v>
      </c>
      <c r="B104" s="4" t="s">
        <v>161</v>
      </c>
      <c r="C104" s="111">
        <f t="shared" ref="C104:C109" si="16">D104+K104+M104+O104+Q104+S104+U104+V104+W104+X104</f>
        <v>1056318.1200000001</v>
      </c>
      <c r="D104" s="111"/>
      <c r="E104" s="114"/>
      <c r="F104" s="114"/>
      <c r="G104" s="114"/>
      <c r="H104" s="114"/>
      <c r="I104" s="114"/>
      <c r="J104" s="114"/>
      <c r="K104" s="114"/>
      <c r="L104" s="111">
        <v>324.10000000000002</v>
      </c>
      <c r="M104" s="111">
        <v>1056318.1200000001</v>
      </c>
      <c r="N104" s="111"/>
      <c r="O104" s="114"/>
      <c r="P104" s="111"/>
      <c r="Q104" s="111"/>
      <c r="R104" s="114"/>
      <c r="S104" s="114"/>
      <c r="T104" s="114"/>
      <c r="U104" s="114"/>
      <c r="V104" s="113"/>
      <c r="W104" s="111"/>
      <c r="X104" s="111"/>
      <c r="Y104" s="7"/>
      <c r="Z104" s="6">
        <f t="shared" ref="Z104:Z135" si="17">E104+F104+G104+H104+I104+K104+M104+O104+Q104+S104+U104+V104+W104+X104</f>
        <v>1056318.1200000001</v>
      </c>
      <c r="AA104" s="6">
        <f t="shared" ref="AA104:AA135" si="18">Z104-C104</f>
        <v>0</v>
      </c>
      <c r="AB104" s="7"/>
      <c r="AC104" s="59"/>
    </row>
    <row r="105" spans="1:29" ht="21" customHeight="1" x14ac:dyDescent="0.25">
      <c r="A105" s="26">
        <f t="shared" si="15"/>
        <v>58</v>
      </c>
      <c r="B105" s="4" t="s">
        <v>162</v>
      </c>
      <c r="C105" s="111">
        <f t="shared" si="16"/>
        <v>5190974.2</v>
      </c>
      <c r="D105" s="111"/>
      <c r="E105" s="114"/>
      <c r="F105" s="114"/>
      <c r="G105" s="114"/>
      <c r="H105" s="114"/>
      <c r="I105" s="114"/>
      <c r="J105" s="114"/>
      <c r="K105" s="114"/>
      <c r="L105" s="111">
        <v>558.51</v>
      </c>
      <c r="M105" s="111">
        <v>1713194.09</v>
      </c>
      <c r="N105" s="111"/>
      <c r="O105" s="114"/>
      <c r="P105" s="111">
        <v>1210.5999999999999</v>
      </c>
      <c r="Q105" s="111">
        <v>3477780.11</v>
      </c>
      <c r="R105" s="114"/>
      <c r="S105" s="114"/>
      <c r="T105" s="114"/>
      <c r="U105" s="114"/>
      <c r="V105" s="113"/>
      <c r="W105" s="111"/>
      <c r="X105" s="111"/>
      <c r="Y105" s="7"/>
      <c r="Z105" s="6">
        <f t="shared" si="17"/>
        <v>5190974.2</v>
      </c>
      <c r="AA105" s="6">
        <f t="shared" si="18"/>
        <v>0</v>
      </c>
      <c r="AB105" s="6"/>
    </row>
    <row r="106" spans="1:29" ht="21" customHeight="1" x14ac:dyDescent="0.25">
      <c r="A106" s="26">
        <f t="shared" si="15"/>
        <v>59</v>
      </c>
      <c r="B106" s="4" t="s">
        <v>163</v>
      </c>
      <c r="C106" s="111">
        <f t="shared" si="16"/>
        <v>6278335.7399999993</v>
      </c>
      <c r="D106" s="111"/>
      <c r="E106" s="114"/>
      <c r="F106" s="114"/>
      <c r="G106" s="114"/>
      <c r="H106" s="114"/>
      <c r="I106" s="114"/>
      <c r="J106" s="114"/>
      <c r="K106" s="114"/>
      <c r="L106" s="111">
        <v>850.4</v>
      </c>
      <c r="M106" s="111">
        <v>4890651.0199999996</v>
      </c>
      <c r="N106" s="111"/>
      <c r="O106" s="114"/>
      <c r="P106" s="111"/>
      <c r="Q106" s="111"/>
      <c r="R106" s="114"/>
      <c r="S106" s="114"/>
      <c r="T106" s="114"/>
      <c r="U106" s="114"/>
      <c r="V106" s="113"/>
      <c r="W106" s="111">
        <v>1387684.72</v>
      </c>
      <c r="X106" s="111"/>
      <c r="Y106" s="7" t="s">
        <v>242</v>
      </c>
      <c r="Z106" s="6">
        <f t="shared" si="17"/>
        <v>6278335.7399999993</v>
      </c>
      <c r="AA106" s="6">
        <f t="shared" si="18"/>
        <v>0</v>
      </c>
      <c r="AB106" s="6"/>
    </row>
    <row r="107" spans="1:29" ht="21" customHeight="1" x14ac:dyDescent="0.25">
      <c r="A107" s="26">
        <f t="shared" si="15"/>
        <v>60</v>
      </c>
      <c r="B107" s="4" t="s">
        <v>165</v>
      </c>
      <c r="C107" s="111">
        <f t="shared" si="16"/>
        <v>5260115.42</v>
      </c>
      <c r="D107" s="111"/>
      <c r="E107" s="114"/>
      <c r="F107" s="114"/>
      <c r="G107" s="114"/>
      <c r="H107" s="114"/>
      <c r="I107" s="114"/>
      <c r="J107" s="114"/>
      <c r="K107" s="114"/>
      <c r="L107" s="114">
        <v>535.4</v>
      </c>
      <c r="M107" s="111">
        <v>1675936.22</v>
      </c>
      <c r="N107" s="114"/>
      <c r="O107" s="114"/>
      <c r="P107" s="114">
        <v>1228.0999999999999</v>
      </c>
      <c r="Q107" s="114">
        <v>3584179.2</v>
      </c>
      <c r="R107" s="114"/>
      <c r="S107" s="114"/>
      <c r="T107" s="114"/>
      <c r="U107" s="114"/>
      <c r="V107" s="114"/>
      <c r="W107" s="114"/>
      <c r="X107" s="114"/>
      <c r="Y107" s="7"/>
      <c r="Z107" s="6">
        <f t="shared" si="17"/>
        <v>5260115.42</v>
      </c>
      <c r="AA107" s="6">
        <f t="shared" si="18"/>
        <v>0</v>
      </c>
      <c r="AB107" s="59"/>
    </row>
    <row r="108" spans="1:29" ht="21" customHeight="1" x14ac:dyDescent="0.25">
      <c r="A108" s="26">
        <f t="shared" ref="A108:A110" si="19">A107+1</f>
        <v>61</v>
      </c>
      <c r="B108" s="4" t="s">
        <v>166</v>
      </c>
      <c r="C108" s="111">
        <f t="shared" si="16"/>
        <v>7140872.4800000004</v>
      </c>
      <c r="D108" s="111"/>
      <c r="E108" s="114"/>
      <c r="F108" s="114"/>
      <c r="G108" s="114"/>
      <c r="H108" s="114"/>
      <c r="I108" s="114"/>
      <c r="J108" s="114"/>
      <c r="K108" s="114"/>
      <c r="L108" s="114">
        <v>825.8</v>
      </c>
      <c r="M108" s="111">
        <v>2518548.16</v>
      </c>
      <c r="N108" s="114"/>
      <c r="O108" s="114"/>
      <c r="P108" s="114">
        <v>1701</v>
      </c>
      <c r="Q108" s="111">
        <v>4622324.32</v>
      </c>
      <c r="R108" s="114"/>
      <c r="S108" s="114"/>
      <c r="T108" s="114"/>
      <c r="U108" s="114"/>
      <c r="V108" s="113"/>
      <c r="W108" s="114"/>
      <c r="X108" s="114"/>
      <c r="Y108" s="7"/>
      <c r="Z108" s="6">
        <f t="shared" si="17"/>
        <v>7140872.4800000004</v>
      </c>
      <c r="AA108" s="6">
        <f t="shared" si="18"/>
        <v>0</v>
      </c>
      <c r="AB108" s="6"/>
    </row>
    <row r="109" spans="1:29" ht="21" customHeight="1" x14ac:dyDescent="0.25">
      <c r="A109" s="26">
        <f t="shared" si="19"/>
        <v>62</v>
      </c>
      <c r="B109" s="4" t="s">
        <v>167</v>
      </c>
      <c r="C109" s="111">
        <f t="shared" si="16"/>
        <v>5158725.0999999996</v>
      </c>
      <c r="D109" s="111"/>
      <c r="E109" s="114"/>
      <c r="F109" s="114"/>
      <c r="G109" s="114"/>
      <c r="H109" s="114"/>
      <c r="I109" s="114"/>
      <c r="J109" s="114"/>
      <c r="K109" s="114"/>
      <c r="L109" s="114">
        <v>535.4</v>
      </c>
      <c r="M109" s="114">
        <v>1675936.22</v>
      </c>
      <c r="N109" s="114"/>
      <c r="O109" s="114"/>
      <c r="P109" s="114">
        <v>1228.0999999999999</v>
      </c>
      <c r="Q109" s="114">
        <v>3482788.88</v>
      </c>
      <c r="R109" s="114"/>
      <c r="S109" s="114"/>
      <c r="T109" s="114"/>
      <c r="U109" s="114"/>
      <c r="V109" s="113"/>
      <c r="W109" s="114"/>
      <c r="X109" s="114"/>
      <c r="Y109" s="7"/>
      <c r="Z109" s="6">
        <f t="shared" si="17"/>
        <v>5158725.0999999996</v>
      </c>
      <c r="AA109" s="6">
        <f t="shared" si="18"/>
        <v>0</v>
      </c>
      <c r="AB109" s="59"/>
    </row>
    <row r="110" spans="1:29" ht="21" customHeight="1" x14ac:dyDescent="0.25">
      <c r="A110" s="26">
        <f t="shared" si="19"/>
        <v>63</v>
      </c>
      <c r="B110" s="4" t="s">
        <v>164</v>
      </c>
      <c r="C110" s="111">
        <f>D110+K110+M110+O110+Q110+S110+U110+V110+W110+X110</f>
        <v>5119459.6500000004</v>
      </c>
      <c r="D110" s="111"/>
      <c r="E110" s="114"/>
      <c r="F110" s="114"/>
      <c r="G110" s="114"/>
      <c r="H110" s="114"/>
      <c r="I110" s="114"/>
      <c r="J110" s="114"/>
      <c r="K110" s="114"/>
      <c r="L110" s="114">
        <v>850.4</v>
      </c>
      <c r="M110" s="111">
        <v>2355747.4300000002</v>
      </c>
      <c r="N110" s="114"/>
      <c r="O110" s="114"/>
      <c r="P110" s="114">
        <v>1699</v>
      </c>
      <c r="Q110" s="114">
        <v>2763712.22</v>
      </c>
      <c r="R110" s="114"/>
      <c r="S110" s="114"/>
      <c r="T110" s="113"/>
      <c r="U110" s="113"/>
      <c r="V110" s="111"/>
      <c r="W110" s="111"/>
      <c r="X110" s="111"/>
      <c r="Y110" s="7"/>
      <c r="Z110" s="6">
        <f t="shared" si="17"/>
        <v>5119459.6500000004</v>
      </c>
      <c r="AA110" s="6">
        <f t="shared" si="18"/>
        <v>0</v>
      </c>
      <c r="AB110" s="59"/>
    </row>
    <row r="111" spans="1:29" ht="21" customHeight="1" x14ac:dyDescent="0.25">
      <c r="A111" s="178" t="s">
        <v>17</v>
      </c>
      <c r="B111" s="179"/>
      <c r="C111" s="114">
        <f>SUM(C95:C110)</f>
        <v>60290701.609999999</v>
      </c>
      <c r="D111" s="114"/>
      <c r="E111" s="114"/>
      <c r="F111" s="114"/>
      <c r="G111" s="114"/>
      <c r="H111" s="114"/>
      <c r="I111" s="114"/>
      <c r="J111" s="114"/>
      <c r="K111" s="114"/>
      <c r="L111" s="114">
        <f>SUM(L95:L110)</f>
        <v>5963.8099999999995</v>
      </c>
      <c r="M111" s="114">
        <f>SUM(M95:M110)</f>
        <v>21035217.199999999</v>
      </c>
      <c r="N111" s="114"/>
      <c r="O111" s="114"/>
      <c r="P111" s="114">
        <f>SUM(P95:P110)</f>
        <v>11997.900000000001</v>
      </c>
      <c r="Q111" s="114">
        <f>SUM(Q95:Q110)</f>
        <v>34237093.089999996</v>
      </c>
      <c r="R111" s="114"/>
      <c r="S111" s="114"/>
      <c r="T111" s="114"/>
      <c r="U111" s="114"/>
      <c r="V111" s="114"/>
      <c r="W111" s="114">
        <f>SUM(W95:W110)</f>
        <v>5018391.3199999994</v>
      </c>
      <c r="X111" s="114"/>
      <c r="Y111" s="7"/>
      <c r="Z111" s="6">
        <f t="shared" si="17"/>
        <v>60290701.609999992</v>
      </c>
      <c r="AA111" s="6">
        <f t="shared" si="18"/>
        <v>0</v>
      </c>
      <c r="AB111" s="6"/>
    </row>
    <row r="112" spans="1:29" ht="21" customHeight="1" x14ac:dyDescent="0.25">
      <c r="A112" s="175" t="s">
        <v>58</v>
      </c>
      <c r="B112" s="176"/>
      <c r="C112" s="177"/>
      <c r="D112" s="172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4"/>
      <c r="Y112" s="7"/>
      <c r="Z112" s="6">
        <f t="shared" si="17"/>
        <v>0</v>
      </c>
      <c r="AA112" s="6">
        <f t="shared" si="18"/>
        <v>0</v>
      </c>
      <c r="AB112" s="59"/>
    </row>
    <row r="113" spans="1:29" ht="21" customHeight="1" x14ac:dyDescent="0.25">
      <c r="A113" s="26">
        <f>A110+1</f>
        <v>64</v>
      </c>
      <c r="B113" s="4" t="s">
        <v>176</v>
      </c>
      <c r="C113" s="111">
        <f>D113+K113+M113+O113+Q113+S113+U113+V113+W113+X113</f>
        <v>12471073.439999999</v>
      </c>
      <c r="D113" s="114"/>
      <c r="E113" s="114"/>
      <c r="F113" s="114"/>
      <c r="G113" s="114"/>
      <c r="H113" s="114"/>
      <c r="I113" s="114"/>
      <c r="J113" s="115">
        <v>5</v>
      </c>
      <c r="K113" s="70">
        <v>12471073.439999999</v>
      </c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7"/>
      <c r="Z113" s="6">
        <f t="shared" si="17"/>
        <v>12471073.439999999</v>
      </c>
      <c r="AA113" s="6">
        <f t="shared" si="18"/>
        <v>0</v>
      </c>
      <c r="AB113" s="59"/>
    </row>
    <row r="114" spans="1:29" ht="21" customHeight="1" x14ac:dyDescent="0.25">
      <c r="A114" s="26">
        <f>A113+1</f>
        <v>65</v>
      </c>
      <c r="B114" s="4" t="s">
        <v>177</v>
      </c>
      <c r="C114" s="111">
        <f>D114+K114+M114+O114+Q114+S114+U114+V114+W114+X114</f>
        <v>5033970.24</v>
      </c>
      <c r="D114" s="114"/>
      <c r="E114" s="114"/>
      <c r="F114" s="114"/>
      <c r="G114" s="114"/>
      <c r="H114" s="114"/>
      <c r="I114" s="114"/>
      <c r="J114" s="115">
        <v>2</v>
      </c>
      <c r="K114" s="70">
        <v>5033970.24</v>
      </c>
      <c r="L114" s="114"/>
      <c r="M114" s="111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7"/>
      <c r="Z114" s="6">
        <f t="shared" si="17"/>
        <v>5033970.24</v>
      </c>
      <c r="AA114" s="6">
        <f t="shared" si="18"/>
        <v>0</v>
      </c>
      <c r="AB114" s="59"/>
    </row>
    <row r="115" spans="1:29" ht="21" customHeight="1" x14ac:dyDescent="0.25">
      <c r="A115" s="178" t="s">
        <v>17</v>
      </c>
      <c r="B115" s="179"/>
      <c r="C115" s="114">
        <f>SUM(C113:C114)</f>
        <v>17505043.68</v>
      </c>
      <c r="D115" s="114"/>
      <c r="E115" s="114"/>
      <c r="F115" s="114"/>
      <c r="G115" s="114"/>
      <c r="H115" s="114"/>
      <c r="I115" s="114"/>
      <c r="J115" s="26">
        <f t="shared" ref="J115:K115" si="20">SUM(J113:J114)</f>
        <v>7</v>
      </c>
      <c r="K115" s="114">
        <f t="shared" si="20"/>
        <v>17505043.68</v>
      </c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7"/>
      <c r="Z115" s="6">
        <f t="shared" si="17"/>
        <v>17505043.68</v>
      </c>
      <c r="AA115" s="6">
        <f t="shared" si="18"/>
        <v>0</v>
      </c>
      <c r="AB115" s="6"/>
    </row>
    <row r="116" spans="1:29" ht="21" customHeight="1" x14ac:dyDescent="0.25">
      <c r="A116" s="175" t="s">
        <v>59</v>
      </c>
      <c r="B116" s="177"/>
      <c r="C116" s="113">
        <f>C90+C93+C111+C115</f>
        <v>79745198.50999999</v>
      </c>
      <c r="D116" s="113"/>
      <c r="E116" s="113"/>
      <c r="F116" s="113"/>
      <c r="G116" s="113"/>
      <c r="H116" s="113"/>
      <c r="I116" s="113"/>
      <c r="J116" s="48">
        <f>J90+J93+J111+J115</f>
        <v>7</v>
      </c>
      <c r="K116" s="113">
        <f>K90+K93+K111+K115</f>
        <v>17505043.68</v>
      </c>
      <c r="L116" s="113">
        <f>L90+L93+L111+L115</f>
        <v>6301.3099999999995</v>
      </c>
      <c r="M116" s="113">
        <f>M90+M93+M111+M115</f>
        <v>21935249.219999999</v>
      </c>
      <c r="N116" s="113"/>
      <c r="O116" s="113"/>
      <c r="P116" s="113">
        <f>P90+P93+P111+P115</f>
        <v>11997.900000000001</v>
      </c>
      <c r="Q116" s="113">
        <f>Q90+Q93+Q111+Q115</f>
        <v>34237093.089999996</v>
      </c>
      <c r="R116" s="113"/>
      <c r="S116" s="113"/>
      <c r="T116" s="113"/>
      <c r="U116" s="113"/>
      <c r="V116" s="113"/>
      <c r="W116" s="113">
        <f>W90+W93+W111+W115</f>
        <v>6067812.5199999996</v>
      </c>
      <c r="X116" s="113"/>
      <c r="Y116" s="7"/>
      <c r="Z116" s="6">
        <f t="shared" si="17"/>
        <v>79745198.50999999</v>
      </c>
      <c r="AA116" s="6">
        <f t="shared" si="18"/>
        <v>0</v>
      </c>
      <c r="AB116" s="69"/>
      <c r="AC116" s="59"/>
    </row>
    <row r="117" spans="1:29" ht="21" customHeight="1" x14ac:dyDescent="0.25">
      <c r="A117" s="180" t="s">
        <v>23</v>
      </c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2"/>
      <c r="Y117" s="7"/>
      <c r="Z117" s="6">
        <f t="shared" si="17"/>
        <v>0</v>
      </c>
      <c r="AA117" s="6">
        <f t="shared" si="18"/>
        <v>0</v>
      </c>
    </row>
    <row r="118" spans="1:29" ht="21" customHeight="1" x14ac:dyDescent="0.25">
      <c r="A118" s="175" t="s">
        <v>24</v>
      </c>
      <c r="B118" s="176"/>
      <c r="C118" s="177"/>
      <c r="D118" s="172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4"/>
      <c r="Y118" s="7"/>
      <c r="Z118" s="6">
        <f t="shared" si="17"/>
        <v>0</v>
      </c>
      <c r="AA118" s="6">
        <f t="shared" si="18"/>
        <v>0</v>
      </c>
    </row>
    <row r="119" spans="1:29" ht="21" customHeight="1" x14ac:dyDescent="0.2">
      <c r="A119" s="115">
        <f>A114+1</f>
        <v>66</v>
      </c>
      <c r="B119" s="4" t="s">
        <v>182</v>
      </c>
      <c r="C119" s="111">
        <f t="shared" ref="C119:C125" si="21">D119+K119+M119+O119+Q119+S119+U119+V119+W119+X119</f>
        <v>1046382.7</v>
      </c>
      <c r="D119" s="111"/>
      <c r="E119" s="111"/>
      <c r="F119" s="111"/>
      <c r="G119" s="111"/>
      <c r="H119" s="111"/>
      <c r="I119" s="111"/>
      <c r="J119" s="115"/>
      <c r="K119" s="111"/>
      <c r="L119" s="111"/>
      <c r="M119" s="111"/>
      <c r="N119" s="111"/>
      <c r="O119" s="111"/>
      <c r="P119" s="111"/>
      <c r="Q119" s="2"/>
      <c r="R119" s="111"/>
      <c r="S119" s="111"/>
      <c r="T119" s="111">
        <v>294</v>
      </c>
      <c r="U119" s="111">
        <v>1046382.7</v>
      </c>
      <c r="V119" s="111"/>
      <c r="W119" s="111"/>
      <c r="X119" s="111"/>
      <c r="Y119" s="7"/>
      <c r="Z119" s="6">
        <f t="shared" si="17"/>
        <v>1046382.7</v>
      </c>
      <c r="AA119" s="6">
        <f t="shared" si="18"/>
        <v>0</v>
      </c>
    </row>
    <row r="120" spans="1:29" ht="21" customHeight="1" x14ac:dyDescent="0.25">
      <c r="A120" s="115">
        <f>A119+1</f>
        <v>67</v>
      </c>
      <c r="B120" s="4" t="s">
        <v>185</v>
      </c>
      <c r="C120" s="111">
        <f>D120+K120+M120+O120+Q120+S120+U120+V120+W120+X120</f>
        <v>4196150.8</v>
      </c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>
        <v>2500</v>
      </c>
      <c r="Q120" s="111">
        <v>4196150.8</v>
      </c>
      <c r="R120" s="111"/>
      <c r="S120" s="111"/>
      <c r="T120" s="111"/>
      <c r="U120" s="111"/>
      <c r="V120" s="111"/>
      <c r="W120" s="111"/>
      <c r="X120" s="111"/>
      <c r="Y120" s="7"/>
      <c r="Z120" s="6">
        <f t="shared" si="17"/>
        <v>4196150.8</v>
      </c>
      <c r="AA120" s="6">
        <f t="shared" si="18"/>
        <v>0</v>
      </c>
    </row>
    <row r="121" spans="1:29" ht="21" customHeight="1" x14ac:dyDescent="0.25">
      <c r="A121" s="115">
        <f t="shared" ref="A121:A125" si="22">A120+1</f>
        <v>68</v>
      </c>
      <c r="B121" s="4" t="s">
        <v>184</v>
      </c>
      <c r="C121" s="111">
        <f>D121+K121+M121+O121+Q121+S121+U121+V121+W121+X121</f>
        <v>1001448.3</v>
      </c>
      <c r="D121" s="111"/>
      <c r="E121" s="111"/>
      <c r="F121" s="111"/>
      <c r="G121" s="111"/>
      <c r="H121" s="111"/>
      <c r="I121" s="111"/>
      <c r="J121" s="115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>
        <v>281</v>
      </c>
      <c r="U121" s="111">
        <v>1001448.3</v>
      </c>
      <c r="V121" s="111"/>
      <c r="W121" s="111"/>
      <c r="X121" s="111"/>
      <c r="Y121" s="7"/>
      <c r="Z121" s="6">
        <f t="shared" si="17"/>
        <v>1001448.3</v>
      </c>
      <c r="AA121" s="6">
        <f t="shared" si="18"/>
        <v>0</v>
      </c>
    </row>
    <row r="122" spans="1:29" ht="21" customHeight="1" x14ac:dyDescent="0.25">
      <c r="A122" s="115">
        <f t="shared" si="22"/>
        <v>69</v>
      </c>
      <c r="B122" s="4" t="s">
        <v>183</v>
      </c>
      <c r="C122" s="111">
        <f t="shared" si="21"/>
        <v>2264199.34</v>
      </c>
      <c r="D122" s="111"/>
      <c r="E122" s="111"/>
      <c r="F122" s="111"/>
      <c r="G122" s="111"/>
      <c r="H122" s="111"/>
      <c r="I122" s="111"/>
      <c r="J122" s="115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>
        <v>370</v>
      </c>
      <c r="U122" s="111">
        <v>2264199.34</v>
      </c>
      <c r="V122" s="111"/>
      <c r="W122" s="111"/>
      <c r="X122" s="111"/>
      <c r="Y122" s="7"/>
      <c r="Z122" s="6">
        <f t="shared" si="17"/>
        <v>2264199.34</v>
      </c>
      <c r="AA122" s="6">
        <f t="shared" si="18"/>
        <v>0</v>
      </c>
    </row>
    <row r="123" spans="1:29" ht="21" customHeight="1" x14ac:dyDescent="0.2">
      <c r="A123" s="115">
        <f t="shared" si="22"/>
        <v>70</v>
      </c>
      <c r="B123" s="4" t="s">
        <v>253</v>
      </c>
      <c r="C123" s="111">
        <f t="shared" si="21"/>
        <v>1309077.8400000001</v>
      </c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25"/>
      <c r="R123" s="111"/>
      <c r="S123" s="111"/>
      <c r="T123" s="111">
        <v>370</v>
      </c>
      <c r="U123" s="111">
        <v>1309077.8400000001</v>
      </c>
      <c r="V123" s="111"/>
      <c r="W123" s="111"/>
      <c r="X123" s="111"/>
      <c r="Y123" s="7"/>
      <c r="Z123" s="6">
        <f t="shared" si="17"/>
        <v>1309077.8400000001</v>
      </c>
      <c r="AA123" s="6">
        <f t="shared" si="18"/>
        <v>0</v>
      </c>
    </row>
    <row r="124" spans="1:29" ht="21" customHeight="1" x14ac:dyDescent="0.25">
      <c r="A124" s="115">
        <f t="shared" si="22"/>
        <v>71</v>
      </c>
      <c r="B124" s="4" t="s">
        <v>186</v>
      </c>
      <c r="C124" s="111">
        <f t="shared" si="21"/>
        <v>2096450.54</v>
      </c>
      <c r="D124" s="111"/>
      <c r="E124" s="111"/>
      <c r="F124" s="111"/>
      <c r="G124" s="111"/>
      <c r="H124" s="111"/>
      <c r="I124" s="111"/>
      <c r="J124" s="115"/>
      <c r="K124" s="111"/>
      <c r="L124" s="111"/>
      <c r="M124" s="111"/>
      <c r="N124" s="111"/>
      <c r="O124" s="111"/>
      <c r="P124" s="111">
        <v>1064</v>
      </c>
      <c r="Q124" s="111">
        <v>2096450.54</v>
      </c>
      <c r="R124" s="111"/>
      <c r="S124" s="111"/>
      <c r="T124" s="111"/>
      <c r="U124" s="111"/>
      <c r="V124" s="111"/>
      <c r="W124" s="111"/>
      <c r="X124" s="111"/>
      <c r="Y124" s="7"/>
      <c r="Z124" s="6">
        <f t="shared" si="17"/>
        <v>2096450.54</v>
      </c>
      <c r="AA124" s="6">
        <f t="shared" si="18"/>
        <v>0</v>
      </c>
    </row>
    <row r="125" spans="1:29" ht="21" customHeight="1" x14ac:dyDescent="0.25">
      <c r="A125" s="115">
        <f t="shared" si="22"/>
        <v>72</v>
      </c>
      <c r="B125" s="4" t="s">
        <v>187</v>
      </c>
      <c r="C125" s="111">
        <f t="shared" si="21"/>
        <v>2832842.52</v>
      </c>
      <c r="D125" s="111"/>
      <c r="E125" s="111"/>
      <c r="F125" s="111"/>
      <c r="G125" s="111"/>
      <c r="H125" s="111"/>
      <c r="I125" s="111"/>
      <c r="J125" s="115"/>
      <c r="K125" s="111"/>
      <c r="L125" s="111"/>
      <c r="M125" s="111"/>
      <c r="N125" s="111"/>
      <c r="O125" s="111"/>
      <c r="P125" s="111">
        <v>1506</v>
      </c>
      <c r="Q125" s="111">
        <v>2832842.52</v>
      </c>
      <c r="R125" s="111"/>
      <c r="S125" s="111"/>
      <c r="T125" s="111"/>
      <c r="U125" s="111"/>
      <c r="V125" s="111"/>
      <c r="W125" s="111"/>
      <c r="X125" s="111"/>
      <c r="Y125" s="7"/>
      <c r="Z125" s="6">
        <f t="shared" si="17"/>
        <v>2832842.52</v>
      </c>
      <c r="AA125" s="6">
        <f t="shared" si="18"/>
        <v>0</v>
      </c>
    </row>
    <row r="126" spans="1:29" ht="21" customHeight="1" x14ac:dyDescent="0.25">
      <c r="A126" s="178" t="s">
        <v>17</v>
      </c>
      <c r="B126" s="179"/>
      <c r="C126" s="114">
        <f>SUM(C119:C125)</f>
        <v>14746552.039999999</v>
      </c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>
        <f t="shared" ref="P126:Q126" si="23">SUM(P119:P125)</f>
        <v>5070</v>
      </c>
      <c r="Q126" s="114">
        <f t="shared" si="23"/>
        <v>9125443.8599999994</v>
      </c>
      <c r="R126" s="114"/>
      <c r="S126" s="114"/>
      <c r="T126" s="114">
        <f t="shared" ref="T126:U126" si="24">SUM(T119:T125)</f>
        <v>1315</v>
      </c>
      <c r="U126" s="114">
        <f t="shared" si="24"/>
        <v>5621108.1799999997</v>
      </c>
      <c r="V126" s="114"/>
      <c r="W126" s="114"/>
      <c r="X126" s="114"/>
      <c r="Y126" s="7"/>
      <c r="Z126" s="6">
        <f t="shared" si="17"/>
        <v>14746552.039999999</v>
      </c>
      <c r="AA126" s="6">
        <f t="shared" si="18"/>
        <v>0</v>
      </c>
      <c r="AB126" s="6"/>
    </row>
    <row r="127" spans="1:29" ht="21" customHeight="1" x14ac:dyDescent="0.25">
      <c r="A127" s="175" t="s">
        <v>25</v>
      </c>
      <c r="B127" s="177"/>
      <c r="C127" s="112">
        <f>C126</f>
        <v>14746552.039999999</v>
      </c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>
        <f t="shared" ref="P127:U127" si="25">P126</f>
        <v>5070</v>
      </c>
      <c r="Q127" s="112">
        <f t="shared" si="25"/>
        <v>9125443.8599999994</v>
      </c>
      <c r="R127" s="112"/>
      <c r="S127" s="112"/>
      <c r="T127" s="112">
        <f t="shared" si="25"/>
        <v>1315</v>
      </c>
      <c r="U127" s="112">
        <f t="shared" si="25"/>
        <v>5621108.1799999997</v>
      </c>
      <c r="V127" s="112"/>
      <c r="W127" s="112"/>
      <c r="X127" s="112"/>
      <c r="Y127" s="7"/>
      <c r="Z127" s="6">
        <f t="shared" si="17"/>
        <v>14746552.039999999</v>
      </c>
      <c r="AA127" s="6">
        <f t="shared" si="18"/>
        <v>0</v>
      </c>
      <c r="AB127" s="71"/>
      <c r="AC127" s="59"/>
    </row>
    <row r="128" spans="1:29" ht="21" customHeight="1" x14ac:dyDescent="0.25">
      <c r="A128" s="180" t="s">
        <v>60</v>
      </c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2"/>
      <c r="Y128" s="7"/>
      <c r="Z128" s="6">
        <f t="shared" si="17"/>
        <v>0</v>
      </c>
      <c r="AA128" s="6">
        <f t="shared" si="18"/>
        <v>0</v>
      </c>
      <c r="AB128" s="59"/>
    </row>
    <row r="129" spans="1:28" ht="21" customHeight="1" x14ac:dyDescent="0.25">
      <c r="A129" s="175" t="s">
        <v>61</v>
      </c>
      <c r="B129" s="176"/>
      <c r="C129" s="177"/>
      <c r="D129" s="172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4"/>
      <c r="Y129" s="7"/>
      <c r="Z129" s="6">
        <f t="shared" si="17"/>
        <v>0</v>
      </c>
      <c r="AA129" s="6">
        <f t="shared" si="18"/>
        <v>0</v>
      </c>
      <c r="AB129" s="59"/>
    </row>
    <row r="130" spans="1:28" ht="21" customHeight="1" x14ac:dyDescent="0.25">
      <c r="A130" s="115">
        <f>A125+1</f>
        <v>73</v>
      </c>
      <c r="B130" s="4" t="s">
        <v>188</v>
      </c>
      <c r="C130" s="111">
        <f>D130+K130+M130+O130+Q130+S130+U130+V130+W130+X130</f>
        <v>3044209.73</v>
      </c>
      <c r="D130" s="111">
        <f t="shared" ref="D130" si="26">E130+F130+G130+H130+I130</f>
        <v>1329247.71</v>
      </c>
      <c r="E130" s="111">
        <v>1329247.71</v>
      </c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>
        <v>1810</v>
      </c>
      <c r="Q130" s="111">
        <v>1714962.02</v>
      </c>
      <c r="R130" s="111"/>
      <c r="S130" s="111"/>
      <c r="T130" s="111"/>
      <c r="U130" s="111"/>
      <c r="V130" s="111"/>
      <c r="W130" s="111"/>
      <c r="X130" s="111"/>
      <c r="Y130" s="7"/>
      <c r="Z130" s="6">
        <f t="shared" si="17"/>
        <v>3044209.73</v>
      </c>
      <c r="AA130" s="6">
        <f t="shared" si="18"/>
        <v>0</v>
      </c>
      <c r="AB130" s="6"/>
    </row>
    <row r="131" spans="1:28" ht="21" customHeight="1" x14ac:dyDescent="0.25">
      <c r="A131" s="178" t="s">
        <v>17</v>
      </c>
      <c r="B131" s="179"/>
      <c r="C131" s="111">
        <f>SUM(C130)</f>
        <v>3044209.73</v>
      </c>
      <c r="D131" s="111">
        <f t="shared" ref="D131:Q131" si="27">SUM(D130)</f>
        <v>1329247.71</v>
      </c>
      <c r="E131" s="111">
        <f t="shared" si="27"/>
        <v>1329247.71</v>
      </c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>
        <f t="shared" si="27"/>
        <v>1810</v>
      </c>
      <c r="Q131" s="111">
        <f t="shared" si="27"/>
        <v>1714962.02</v>
      </c>
      <c r="R131" s="111"/>
      <c r="S131" s="111"/>
      <c r="T131" s="111"/>
      <c r="U131" s="111"/>
      <c r="V131" s="111"/>
      <c r="W131" s="111"/>
      <c r="X131" s="111"/>
      <c r="Y131" s="7"/>
      <c r="Z131" s="6">
        <f t="shared" si="17"/>
        <v>3044209.73</v>
      </c>
      <c r="AA131" s="6">
        <f t="shared" si="18"/>
        <v>0</v>
      </c>
      <c r="AB131" s="6"/>
    </row>
    <row r="132" spans="1:28" ht="21" customHeight="1" x14ac:dyDescent="0.25">
      <c r="A132" s="175" t="s">
        <v>189</v>
      </c>
      <c r="B132" s="176"/>
      <c r="C132" s="177"/>
      <c r="D132" s="172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4"/>
      <c r="Y132" s="7"/>
      <c r="Z132" s="6">
        <f t="shared" si="17"/>
        <v>0</v>
      </c>
      <c r="AA132" s="6">
        <f t="shared" si="18"/>
        <v>0</v>
      </c>
      <c r="AB132" s="59"/>
    </row>
    <row r="133" spans="1:28" ht="21" customHeight="1" x14ac:dyDescent="0.25">
      <c r="A133" s="115">
        <f>A130+1</f>
        <v>74</v>
      </c>
      <c r="B133" s="4" t="s">
        <v>190</v>
      </c>
      <c r="C133" s="111">
        <f>D133+K133+M133+O133+Q133+S133+U133+V133+W133+X133</f>
        <v>3871359.94</v>
      </c>
      <c r="D133" s="111"/>
      <c r="E133" s="111"/>
      <c r="F133" s="111"/>
      <c r="G133" s="111"/>
      <c r="H133" s="111"/>
      <c r="I133" s="111"/>
      <c r="J133" s="111"/>
      <c r="K133" s="111"/>
      <c r="L133" s="111">
        <v>1937</v>
      </c>
      <c r="M133" s="111">
        <v>3871359.94</v>
      </c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7"/>
      <c r="Z133" s="6">
        <f t="shared" si="17"/>
        <v>3871359.94</v>
      </c>
      <c r="AA133" s="6">
        <f t="shared" si="18"/>
        <v>0</v>
      </c>
      <c r="AB133" s="59"/>
    </row>
    <row r="134" spans="1:28" ht="21" customHeight="1" x14ac:dyDescent="0.25">
      <c r="A134" s="115">
        <f>A133+1</f>
        <v>75</v>
      </c>
      <c r="B134" s="4" t="s">
        <v>191</v>
      </c>
      <c r="C134" s="111">
        <f>D134+K134+M134+O134+Q134+S134+U134+V134+W134+X134</f>
        <v>3038404.42</v>
      </c>
      <c r="D134" s="111"/>
      <c r="E134" s="111"/>
      <c r="F134" s="111"/>
      <c r="G134" s="111"/>
      <c r="H134" s="111"/>
      <c r="I134" s="111"/>
      <c r="J134" s="111"/>
      <c r="K134" s="111"/>
      <c r="L134" s="111">
        <v>2015</v>
      </c>
      <c r="M134" s="111">
        <v>3038404.42</v>
      </c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7"/>
      <c r="Z134" s="6">
        <f t="shared" si="17"/>
        <v>3038404.42</v>
      </c>
      <c r="AA134" s="6">
        <f t="shared" si="18"/>
        <v>0</v>
      </c>
      <c r="AB134" s="6"/>
    </row>
    <row r="135" spans="1:28" ht="21" customHeight="1" x14ac:dyDescent="0.25">
      <c r="A135" s="115">
        <f>A134+1</f>
        <v>76</v>
      </c>
      <c r="B135" s="4" t="s">
        <v>193</v>
      </c>
      <c r="C135" s="111">
        <f>D135+K135+M135+O135+Q135+S135+U135+V135+W135+X135</f>
        <v>3963304.05</v>
      </c>
      <c r="D135" s="111">
        <f>E135+F135+G135+H135+I135</f>
        <v>3963304.05</v>
      </c>
      <c r="E135" s="111"/>
      <c r="F135" s="111">
        <v>2200046.48</v>
      </c>
      <c r="G135" s="111"/>
      <c r="H135" s="111">
        <v>1763257.57</v>
      </c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7"/>
      <c r="Z135" s="6">
        <f t="shared" si="17"/>
        <v>3963304.05</v>
      </c>
      <c r="AA135" s="6">
        <f t="shared" si="18"/>
        <v>0</v>
      </c>
      <c r="AB135" s="6"/>
    </row>
    <row r="136" spans="1:28" ht="21" customHeight="1" x14ac:dyDescent="0.25">
      <c r="A136" s="116">
        <f>A135+1</f>
        <v>77</v>
      </c>
      <c r="B136" s="4" t="s">
        <v>192</v>
      </c>
      <c r="C136" s="111">
        <f>D136+K136+M136+O136+Q136+S136+U136+V136+W136+X136</f>
        <v>1701085.1199999999</v>
      </c>
      <c r="D136" s="111">
        <f>E136+F136+G136+H136+I136</f>
        <v>1701085.1199999999</v>
      </c>
      <c r="E136" s="111"/>
      <c r="F136" s="111">
        <v>1282743.4099999999</v>
      </c>
      <c r="G136" s="111"/>
      <c r="H136" s="111">
        <v>418341.71</v>
      </c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7"/>
      <c r="Z136" s="6">
        <f t="shared" ref="Z136:Z167" si="28">E136+F136+G136+H136+I136+K136+M136+O136+Q136+S136+U136+V136+W136+X136</f>
        <v>1701085.1199999999</v>
      </c>
      <c r="AA136" s="6">
        <f t="shared" ref="AA136:AA167" si="29">Z136-C136</f>
        <v>0</v>
      </c>
      <c r="AB136" s="6"/>
    </row>
    <row r="137" spans="1:28" ht="21" customHeight="1" x14ac:dyDescent="0.25">
      <c r="A137" s="116">
        <f>A136+1</f>
        <v>78</v>
      </c>
      <c r="B137" s="4" t="s">
        <v>194</v>
      </c>
      <c r="C137" s="111">
        <f>D137+K137+M137+O137+Q137+S137+U137+V137+W137+X137</f>
        <v>6626020.6799999997</v>
      </c>
      <c r="D137" s="111">
        <f>E137+F137+G137+H137+I137</f>
        <v>6626020.6799999997</v>
      </c>
      <c r="E137" s="111"/>
      <c r="F137" s="111">
        <v>4627134.1399999997</v>
      </c>
      <c r="G137" s="111"/>
      <c r="H137" s="111">
        <v>1998886.54</v>
      </c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7"/>
      <c r="Z137" s="6">
        <f t="shared" si="28"/>
        <v>6626020.6799999997</v>
      </c>
      <c r="AA137" s="6">
        <f t="shared" si="29"/>
        <v>0</v>
      </c>
      <c r="AB137" s="6"/>
    </row>
    <row r="138" spans="1:28" ht="21" customHeight="1" x14ac:dyDescent="0.25">
      <c r="A138" s="178" t="s">
        <v>17</v>
      </c>
      <c r="B138" s="179"/>
      <c r="C138" s="111">
        <f>SUM(C133:C137)</f>
        <v>19200174.210000001</v>
      </c>
      <c r="D138" s="111">
        <f>SUM(D133:D137)</f>
        <v>12290409.85</v>
      </c>
      <c r="E138" s="111"/>
      <c r="F138" s="111">
        <f>SUM(F133:F137)</f>
        <v>8109924.0299999993</v>
      </c>
      <c r="G138" s="111"/>
      <c r="H138" s="111">
        <f>SUM(H133:H137)</f>
        <v>4180485.8200000003</v>
      </c>
      <c r="I138" s="111"/>
      <c r="J138" s="111"/>
      <c r="K138" s="111"/>
      <c r="L138" s="111">
        <f>SUM(L133:L137)</f>
        <v>3952</v>
      </c>
      <c r="M138" s="111">
        <f>SUM(M133:M137)</f>
        <v>6909764.3599999994</v>
      </c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7"/>
      <c r="Z138" s="6">
        <f t="shared" si="28"/>
        <v>19200174.210000001</v>
      </c>
      <c r="AA138" s="6">
        <f t="shared" si="29"/>
        <v>0</v>
      </c>
      <c r="AB138" s="6"/>
    </row>
    <row r="139" spans="1:28" ht="21" customHeight="1" x14ac:dyDescent="0.25">
      <c r="A139" s="175" t="s">
        <v>62</v>
      </c>
      <c r="B139" s="177"/>
      <c r="C139" s="112">
        <f>C131+C138</f>
        <v>22244383.940000001</v>
      </c>
      <c r="D139" s="112">
        <f>D131+D138</f>
        <v>13619657.559999999</v>
      </c>
      <c r="E139" s="112">
        <f>E131+E138</f>
        <v>1329247.71</v>
      </c>
      <c r="F139" s="112">
        <f>F131+F138</f>
        <v>8109924.0299999993</v>
      </c>
      <c r="G139" s="112"/>
      <c r="H139" s="112">
        <f>H131+H138</f>
        <v>4180485.8200000003</v>
      </c>
      <c r="I139" s="112"/>
      <c r="J139" s="112"/>
      <c r="K139" s="112"/>
      <c r="L139" s="112">
        <f>L131+L138</f>
        <v>3952</v>
      </c>
      <c r="M139" s="112">
        <f>M131+M138</f>
        <v>6909764.3599999994</v>
      </c>
      <c r="N139" s="112"/>
      <c r="O139" s="112"/>
      <c r="P139" s="112">
        <f>P131+P138</f>
        <v>1810</v>
      </c>
      <c r="Q139" s="112">
        <f>Q131+Q138</f>
        <v>1714962.02</v>
      </c>
      <c r="R139" s="112"/>
      <c r="S139" s="112"/>
      <c r="T139" s="112"/>
      <c r="U139" s="112"/>
      <c r="V139" s="112"/>
      <c r="W139" s="112"/>
      <c r="X139" s="112"/>
      <c r="Y139" s="7"/>
      <c r="Z139" s="6">
        <f t="shared" si="28"/>
        <v>22244383.939999998</v>
      </c>
      <c r="AA139" s="6">
        <f t="shared" si="29"/>
        <v>0</v>
      </c>
      <c r="AB139" s="6"/>
    </row>
    <row r="140" spans="1:28" ht="21" customHeight="1" x14ac:dyDescent="0.25">
      <c r="A140" s="180" t="s">
        <v>26</v>
      </c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2"/>
      <c r="Y140" s="7"/>
      <c r="Z140" s="6">
        <f t="shared" si="28"/>
        <v>0</v>
      </c>
      <c r="AA140" s="6">
        <f t="shared" si="29"/>
        <v>0</v>
      </c>
    </row>
    <row r="141" spans="1:28" ht="21" customHeight="1" x14ac:dyDescent="0.25">
      <c r="A141" s="175" t="s">
        <v>27</v>
      </c>
      <c r="B141" s="176"/>
      <c r="C141" s="177"/>
      <c r="D141" s="172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4"/>
      <c r="Y141" s="7"/>
      <c r="Z141" s="6">
        <f t="shared" si="28"/>
        <v>0</v>
      </c>
      <c r="AA141" s="6">
        <f t="shared" si="29"/>
        <v>0</v>
      </c>
    </row>
    <row r="142" spans="1:28" ht="21" customHeight="1" x14ac:dyDescent="0.25">
      <c r="A142" s="115">
        <f>A137+1</f>
        <v>79</v>
      </c>
      <c r="B142" s="29" t="s">
        <v>198</v>
      </c>
      <c r="C142" s="111">
        <f>D142+K142+M142+O142+Q142+S142+U142+V142+W142+X142</f>
        <v>13316671.630000001</v>
      </c>
      <c r="D142" s="111">
        <f>E142+F142+G142+H142+I142</f>
        <v>0</v>
      </c>
      <c r="E142" s="111"/>
      <c r="F142" s="111"/>
      <c r="G142" s="111"/>
      <c r="H142" s="111"/>
      <c r="I142" s="111"/>
      <c r="J142" s="111"/>
      <c r="K142" s="111"/>
      <c r="L142" s="111">
        <v>856</v>
      </c>
      <c r="M142" s="111">
        <v>1551179.47</v>
      </c>
      <c r="N142" s="111">
        <v>693</v>
      </c>
      <c r="O142" s="111">
        <v>1010627.17</v>
      </c>
      <c r="P142" s="111"/>
      <c r="Q142" s="111"/>
      <c r="R142" s="111"/>
      <c r="S142" s="111"/>
      <c r="T142" s="111">
        <v>1524</v>
      </c>
      <c r="U142" s="111">
        <v>10109448.65</v>
      </c>
      <c r="V142" s="111"/>
      <c r="W142" s="111">
        <f>370188.42+275227.92</f>
        <v>645416.34</v>
      </c>
      <c r="X142" s="111"/>
      <c r="Y142" s="7" t="s">
        <v>247</v>
      </c>
      <c r="Z142" s="6">
        <f t="shared" si="28"/>
        <v>13316671.630000001</v>
      </c>
      <c r="AA142" s="6">
        <f t="shared" si="29"/>
        <v>0</v>
      </c>
    </row>
    <row r="143" spans="1:28" ht="21" customHeight="1" x14ac:dyDescent="0.25">
      <c r="A143" s="115">
        <f>A142+1</f>
        <v>80</v>
      </c>
      <c r="B143" s="29" t="s">
        <v>195</v>
      </c>
      <c r="C143" s="111">
        <f t="shared" ref="C143:C145" si="30">D143+K143+M143+O143+Q143+S143+U143+V143+W143+X143</f>
        <v>6227929.21</v>
      </c>
      <c r="D143" s="111">
        <f t="shared" ref="D143:D145" si="31">E143+F143+G143+H143+I143</f>
        <v>246492.95</v>
      </c>
      <c r="E143" s="111"/>
      <c r="F143" s="111"/>
      <c r="G143" s="111"/>
      <c r="H143" s="111"/>
      <c r="I143" s="111">
        <v>246492.95</v>
      </c>
      <c r="J143" s="30"/>
      <c r="K143" s="111"/>
      <c r="L143" s="111">
        <v>235.8</v>
      </c>
      <c r="M143" s="111">
        <v>1989012.72</v>
      </c>
      <c r="N143" s="111">
        <v>189.9</v>
      </c>
      <c r="O143" s="111">
        <v>1511066.58</v>
      </c>
      <c r="P143" s="111"/>
      <c r="Q143" s="111"/>
      <c r="R143" s="111"/>
      <c r="S143" s="111"/>
      <c r="T143" s="111">
        <v>382</v>
      </c>
      <c r="U143" s="111">
        <v>2152286.8199999998</v>
      </c>
      <c r="V143" s="111"/>
      <c r="W143" s="111">
        <f>183941.94+145128.2</f>
        <v>329070.14</v>
      </c>
      <c r="X143" s="111"/>
      <c r="Y143" s="7" t="s">
        <v>247</v>
      </c>
      <c r="Z143" s="6">
        <f t="shared" si="28"/>
        <v>6227929.21</v>
      </c>
      <c r="AA143" s="6">
        <f t="shared" si="29"/>
        <v>0</v>
      </c>
    </row>
    <row r="144" spans="1:28" ht="21" customHeight="1" x14ac:dyDescent="0.25">
      <c r="A144" s="115">
        <f>A143+1</f>
        <v>81</v>
      </c>
      <c r="B144" s="29" t="s">
        <v>196</v>
      </c>
      <c r="C144" s="111">
        <f t="shared" si="30"/>
        <v>6576611.2199999997</v>
      </c>
      <c r="D144" s="111">
        <f t="shared" si="31"/>
        <v>247197.87</v>
      </c>
      <c r="E144" s="111"/>
      <c r="F144" s="111"/>
      <c r="G144" s="111"/>
      <c r="H144" s="111"/>
      <c r="I144" s="111">
        <v>247197.87</v>
      </c>
      <c r="J144" s="30"/>
      <c r="K144" s="111"/>
      <c r="L144" s="111">
        <v>235.8</v>
      </c>
      <c r="M144" s="111">
        <v>1974729.34</v>
      </c>
      <c r="N144" s="111">
        <v>189.9</v>
      </c>
      <c r="O144" s="111">
        <v>1503232.91</v>
      </c>
      <c r="P144" s="111"/>
      <c r="Q144" s="111"/>
      <c r="R144" s="111"/>
      <c r="S144" s="111"/>
      <c r="T144" s="111">
        <v>382</v>
      </c>
      <c r="U144" s="111">
        <v>2522380.96</v>
      </c>
      <c r="V144" s="111"/>
      <c r="W144" s="111">
        <f>183941.94+145128.2</f>
        <v>329070.14</v>
      </c>
      <c r="X144" s="111"/>
      <c r="Y144" s="7" t="s">
        <v>247</v>
      </c>
      <c r="Z144" s="6">
        <f t="shared" si="28"/>
        <v>6576611.2199999997</v>
      </c>
      <c r="AA144" s="6">
        <f t="shared" si="29"/>
        <v>0</v>
      </c>
    </row>
    <row r="145" spans="1:29" ht="21" customHeight="1" x14ac:dyDescent="0.25">
      <c r="A145" s="115">
        <f>A144+1</f>
        <v>82</v>
      </c>
      <c r="B145" s="29" t="s">
        <v>197</v>
      </c>
      <c r="C145" s="111">
        <f t="shared" si="30"/>
        <v>7185129.1800000006</v>
      </c>
      <c r="D145" s="111">
        <f t="shared" si="31"/>
        <v>246492.95</v>
      </c>
      <c r="E145" s="111"/>
      <c r="F145" s="111"/>
      <c r="G145" s="111"/>
      <c r="H145" s="111"/>
      <c r="I145" s="111">
        <v>246492.95</v>
      </c>
      <c r="J145" s="30"/>
      <c r="K145" s="111"/>
      <c r="L145" s="111">
        <v>235.8</v>
      </c>
      <c r="M145" s="111">
        <v>1954769.23</v>
      </c>
      <c r="N145" s="111">
        <v>189.9</v>
      </c>
      <c r="O145" s="111">
        <v>2161774.7999999998</v>
      </c>
      <c r="P145" s="111"/>
      <c r="Q145" s="111"/>
      <c r="R145" s="111"/>
      <c r="S145" s="111"/>
      <c r="T145" s="111">
        <v>382</v>
      </c>
      <c r="U145" s="111">
        <v>2493022.06</v>
      </c>
      <c r="V145" s="111"/>
      <c r="W145" s="111">
        <f>183941.94+145128.2</f>
        <v>329070.14</v>
      </c>
      <c r="X145" s="111"/>
      <c r="Y145" s="7" t="s">
        <v>247</v>
      </c>
      <c r="Z145" s="6">
        <f t="shared" si="28"/>
        <v>7185129.1800000006</v>
      </c>
      <c r="AA145" s="6">
        <f t="shared" si="29"/>
        <v>0</v>
      </c>
    </row>
    <row r="146" spans="1:29" ht="21" customHeight="1" x14ac:dyDescent="0.25">
      <c r="A146" s="178" t="s">
        <v>17</v>
      </c>
      <c r="B146" s="179"/>
      <c r="C146" s="111">
        <f>SUM(C142:C145)</f>
        <v>33306341.239999998</v>
      </c>
      <c r="D146" s="111">
        <f>SUM(D142:D145)</f>
        <v>740183.77</v>
      </c>
      <c r="E146" s="111"/>
      <c r="F146" s="111"/>
      <c r="G146" s="111"/>
      <c r="H146" s="111"/>
      <c r="I146" s="111">
        <f>SUM(I142:I145)</f>
        <v>740183.77</v>
      </c>
      <c r="J146" s="111"/>
      <c r="K146" s="111"/>
      <c r="L146" s="111">
        <f>SUM(L142:L145)</f>
        <v>1563.3999999999999</v>
      </c>
      <c r="M146" s="111">
        <f t="shared" ref="M146:O146" si="32">SUM(M142:M145)</f>
        <v>7469690.7599999998</v>
      </c>
      <c r="N146" s="111">
        <f t="shared" si="32"/>
        <v>1262.7</v>
      </c>
      <c r="O146" s="111">
        <f t="shared" si="32"/>
        <v>6186701.46</v>
      </c>
      <c r="P146" s="111"/>
      <c r="Q146" s="111"/>
      <c r="R146" s="111"/>
      <c r="S146" s="111"/>
      <c r="T146" s="111">
        <f t="shared" ref="T146:U146" si="33">SUM(T142:T145)</f>
        <v>2670</v>
      </c>
      <c r="U146" s="111">
        <f t="shared" si="33"/>
        <v>17277138.489999998</v>
      </c>
      <c r="V146" s="111"/>
      <c r="W146" s="111">
        <f>SUM(W142:W145)</f>
        <v>1632626.7600000002</v>
      </c>
      <c r="X146" s="111"/>
      <c r="Y146" s="7"/>
      <c r="Z146" s="6">
        <f t="shared" si="28"/>
        <v>33306341.239999998</v>
      </c>
      <c r="AA146" s="6">
        <f t="shared" si="29"/>
        <v>0</v>
      </c>
      <c r="AB146" s="6"/>
    </row>
    <row r="147" spans="1:29" s="72" customFormat="1" ht="21" customHeight="1" x14ac:dyDescent="0.25">
      <c r="A147" s="175" t="s">
        <v>199</v>
      </c>
      <c r="B147" s="176"/>
      <c r="C147" s="177"/>
      <c r="D147" s="172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4"/>
      <c r="Y147" s="7"/>
      <c r="Z147" s="6">
        <f t="shared" si="28"/>
        <v>0</v>
      </c>
      <c r="AA147" s="6">
        <f t="shared" si="29"/>
        <v>0</v>
      </c>
      <c r="AC147" s="5"/>
    </row>
    <row r="148" spans="1:29" s="72" customFormat="1" ht="21" customHeight="1" x14ac:dyDescent="0.25">
      <c r="A148" s="15">
        <f>A145+1</f>
        <v>83</v>
      </c>
      <c r="B148" s="4" t="s">
        <v>251</v>
      </c>
      <c r="C148" s="111">
        <f>D148+K148+M148+O148+Q148+S148+U148+V148+W148+X148</f>
        <v>13438307.529999999</v>
      </c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>
        <v>1390</v>
      </c>
      <c r="Q148" s="111">
        <v>4297020.58</v>
      </c>
      <c r="R148" s="111"/>
      <c r="S148" s="111"/>
      <c r="T148" s="111">
        <v>1390</v>
      </c>
      <c r="U148" s="111">
        <v>9141286.9499999993</v>
      </c>
      <c r="V148" s="111"/>
      <c r="W148" s="111"/>
      <c r="X148" s="111"/>
      <c r="Y148" s="7"/>
      <c r="Z148" s="6">
        <f t="shared" si="28"/>
        <v>13438307.529999999</v>
      </c>
      <c r="AA148" s="6">
        <f t="shared" si="29"/>
        <v>0</v>
      </c>
      <c r="AB148" s="6"/>
      <c r="AC148" s="5"/>
    </row>
    <row r="149" spans="1:29" s="72" customFormat="1" ht="21" customHeight="1" x14ac:dyDescent="0.25">
      <c r="A149" s="26">
        <f>A148+1</f>
        <v>84</v>
      </c>
      <c r="B149" s="4" t="s">
        <v>200</v>
      </c>
      <c r="C149" s="111">
        <f>D149+K149+M149+O149+Q149+S149+U149+V149+W149+X149</f>
        <v>4178454.6599999997</v>
      </c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>
        <v>920</v>
      </c>
      <c r="Q149" s="111">
        <v>771228.32</v>
      </c>
      <c r="R149" s="111"/>
      <c r="S149" s="111"/>
      <c r="T149" s="111">
        <v>718</v>
      </c>
      <c r="U149" s="111">
        <v>3407226.34</v>
      </c>
      <c r="V149" s="111"/>
      <c r="W149" s="111"/>
      <c r="X149" s="111"/>
      <c r="Y149" s="7"/>
      <c r="Z149" s="6">
        <f t="shared" si="28"/>
        <v>4178454.6599999997</v>
      </c>
      <c r="AA149" s="6">
        <f t="shared" si="29"/>
        <v>0</v>
      </c>
      <c r="AB149" s="6"/>
      <c r="AC149" s="5"/>
    </row>
    <row r="150" spans="1:29" s="72" customFormat="1" ht="21" customHeight="1" x14ac:dyDescent="0.25">
      <c r="A150" s="15">
        <f>A149+1</f>
        <v>85</v>
      </c>
      <c r="B150" s="4" t="s">
        <v>201</v>
      </c>
      <c r="C150" s="111">
        <f t="shared" ref="C150" si="34">D150+K150+M150+O150+Q150+S150+U150+V150+W150+X150</f>
        <v>2706862.48</v>
      </c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>
        <v>710</v>
      </c>
      <c r="Q150" s="111">
        <v>619530.48</v>
      </c>
      <c r="R150" s="111"/>
      <c r="S150" s="111"/>
      <c r="T150" s="111">
        <v>560</v>
      </c>
      <c r="U150" s="111">
        <v>2087332</v>
      </c>
      <c r="V150" s="111"/>
      <c r="W150" s="111"/>
      <c r="X150" s="111"/>
      <c r="Y150" s="7"/>
      <c r="Z150" s="6">
        <f t="shared" si="28"/>
        <v>2706862.48</v>
      </c>
      <c r="AA150" s="6">
        <f t="shared" si="29"/>
        <v>0</v>
      </c>
      <c r="AB150" s="6"/>
      <c r="AC150" s="5"/>
    </row>
    <row r="151" spans="1:29" s="73" customFormat="1" ht="21" customHeight="1" x14ac:dyDescent="0.25">
      <c r="A151" s="178" t="s">
        <v>17</v>
      </c>
      <c r="B151" s="179"/>
      <c r="C151" s="111">
        <f>SUM(C148:C150)</f>
        <v>20323624.669999998</v>
      </c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>
        <f t="shared" ref="P151:Q151" si="35">SUM(P148:P150)</f>
        <v>3020</v>
      </c>
      <c r="Q151" s="111">
        <f t="shared" si="35"/>
        <v>5687779.3800000008</v>
      </c>
      <c r="R151" s="111"/>
      <c r="S151" s="111"/>
      <c r="T151" s="111">
        <f t="shared" ref="T151:U151" si="36">SUM(T148:T150)</f>
        <v>2668</v>
      </c>
      <c r="U151" s="111">
        <f t="shared" si="36"/>
        <v>14635845.289999999</v>
      </c>
      <c r="V151" s="111"/>
      <c r="W151" s="111"/>
      <c r="X151" s="111"/>
      <c r="Y151" s="7"/>
      <c r="Z151" s="6">
        <f t="shared" si="28"/>
        <v>20323624.670000002</v>
      </c>
      <c r="AA151" s="6">
        <f t="shared" si="29"/>
        <v>0</v>
      </c>
      <c r="AB151" s="6"/>
      <c r="AC151" s="5"/>
    </row>
    <row r="152" spans="1:29" ht="21" customHeight="1" x14ac:dyDescent="0.25">
      <c r="A152" s="175" t="s">
        <v>202</v>
      </c>
      <c r="B152" s="176"/>
      <c r="C152" s="177"/>
      <c r="D152" s="172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4"/>
      <c r="Y152" s="7"/>
      <c r="Z152" s="6">
        <f t="shared" si="28"/>
        <v>0</v>
      </c>
      <c r="AA152" s="6">
        <f t="shared" si="29"/>
        <v>0</v>
      </c>
      <c r="AB152" s="6"/>
    </row>
    <row r="153" spans="1:29" ht="21" customHeight="1" x14ac:dyDescent="0.25">
      <c r="A153" s="115">
        <f>A150+1</f>
        <v>86</v>
      </c>
      <c r="B153" s="4" t="s">
        <v>204</v>
      </c>
      <c r="C153" s="111">
        <f>D153+K153+M153+O153+Q153+S153+U153+V153+W153+X153</f>
        <v>3304702.07</v>
      </c>
      <c r="D153" s="111"/>
      <c r="E153" s="111"/>
      <c r="F153" s="111"/>
      <c r="G153" s="111"/>
      <c r="H153" s="111"/>
      <c r="I153" s="111"/>
      <c r="J153" s="111"/>
      <c r="K153" s="111"/>
      <c r="L153" s="111">
        <v>405</v>
      </c>
      <c r="M153" s="111">
        <v>3304702.07</v>
      </c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7"/>
      <c r="Z153" s="6">
        <f t="shared" si="28"/>
        <v>3304702.07</v>
      </c>
      <c r="AA153" s="6">
        <f t="shared" si="29"/>
        <v>0</v>
      </c>
      <c r="AB153" s="6"/>
    </row>
    <row r="154" spans="1:29" ht="21" customHeight="1" x14ac:dyDescent="0.25">
      <c r="A154" s="115">
        <f t="shared" ref="A154:A155" si="37">A153+1</f>
        <v>87</v>
      </c>
      <c r="B154" s="4" t="s">
        <v>205</v>
      </c>
      <c r="C154" s="111">
        <f t="shared" ref="C154" si="38">D154+K154+M154+O154+Q154+S154+U154+V154+W154+X154</f>
        <v>4870226.54</v>
      </c>
      <c r="D154" s="111"/>
      <c r="E154" s="111"/>
      <c r="F154" s="111"/>
      <c r="G154" s="111"/>
      <c r="H154" s="111"/>
      <c r="I154" s="111"/>
      <c r="J154" s="111"/>
      <c r="K154" s="111"/>
      <c r="L154" s="111">
        <v>520</v>
      </c>
      <c r="M154" s="111">
        <v>4870226.54</v>
      </c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7"/>
      <c r="Z154" s="6">
        <f t="shared" si="28"/>
        <v>4870226.54</v>
      </c>
      <c r="AA154" s="6">
        <f t="shared" si="29"/>
        <v>0</v>
      </c>
      <c r="AB154" s="6"/>
    </row>
    <row r="155" spans="1:29" ht="21" customHeight="1" x14ac:dyDescent="0.25">
      <c r="A155" s="115">
        <f t="shared" si="37"/>
        <v>88</v>
      </c>
      <c r="B155" s="4" t="s">
        <v>203</v>
      </c>
      <c r="C155" s="111">
        <f>D155+K155+M155+O155+Q155+S155+U155+V155+W155+X155</f>
        <v>3839405.57</v>
      </c>
      <c r="D155" s="111"/>
      <c r="E155" s="111"/>
      <c r="F155" s="111"/>
      <c r="G155" s="111"/>
      <c r="H155" s="111"/>
      <c r="I155" s="111"/>
      <c r="J155" s="111"/>
      <c r="K155" s="111"/>
      <c r="L155" s="111">
        <v>460</v>
      </c>
      <c r="M155" s="111">
        <v>3839405.57</v>
      </c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7"/>
      <c r="Z155" s="6">
        <f t="shared" si="28"/>
        <v>3839405.57</v>
      </c>
      <c r="AA155" s="6">
        <f t="shared" si="29"/>
        <v>0</v>
      </c>
      <c r="AB155" s="6"/>
    </row>
    <row r="156" spans="1:29" ht="21" customHeight="1" x14ac:dyDescent="0.25">
      <c r="A156" s="178" t="s">
        <v>17</v>
      </c>
      <c r="B156" s="179"/>
      <c r="C156" s="111">
        <f>SUM(C153:C155)</f>
        <v>12014334.18</v>
      </c>
      <c r="D156" s="111"/>
      <c r="E156" s="111"/>
      <c r="F156" s="111"/>
      <c r="G156" s="111"/>
      <c r="H156" s="111"/>
      <c r="I156" s="111"/>
      <c r="J156" s="111"/>
      <c r="K156" s="111"/>
      <c r="L156" s="111">
        <f t="shared" ref="L156:M156" si="39">SUM(L153:L155)</f>
        <v>1385</v>
      </c>
      <c r="M156" s="111">
        <f t="shared" si="39"/>
        <v>12014334.18</v>
      </c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7"/>
      <c r="Z156" s="6">
        <f t="shared" si="28"/>
        <v>12014334.18</v>
      </c>
      <c r="AA156" s="6">
        <f t="shared" si="29"/>
        <v>0</v>
      </c>
      <c r="AB156" s="6"/>
    </row>
    <row r="157" spans="1:29" s="74" customFormat="1" ht="21" customHeight="1" x14ac:dyDescent="0.25">
      <c r="A157" s="175" t="s">
        <v>28</v>
      </c>
      <c r="B157" s="177"/>
      <c r="C157" s="112">
        <f>C146+C151+C156</f>
        <v>65644300.089999996</v>
      </c>
      <c r="D157" s="112">
        <f>D146+D151+D156</f>
        <v>740183.77</v>
      </c>
      <c r="E157" s="112"/>
      <c r="F157" s="112"/>
      <c r="G157" s="112"/>
      <c r="H157" s="112"/>
      <c r="I157" s="112">
        <f>I146+I151+I156</f>
        <v>740183.77</v>
      </c>
      <c r="J157" s="112"/>
      <c r="K157" s="112"/>
      <c r="L157" s="112">
        <f t="shared" ref="L157:Q157" si="40">L146+L151+L156</f>
        <v>2948.3999999999996</v>
      </c>
      <c r="M157" s="112">
        <f t="shared" si="40"/>
        <v>19484024.939999998</v>
      </c>
      <c r="N157" s="112">
        <f t="shared" si="40"/>
        <v>1262.7</v>
      </c>
      <c r="O157" s="112">
        <f t="shared" si="40"/>
        <v>6186701.46</v>
      </c>
      <c r="P157" s="112">
        <f t="shared" si="40"/>
        <v>3020</v>
      </c>
      <c r="Q157" s="112">
        <f t="shared" si="40"/>
        <v>5687779.3800000008</v>
      </c>
      <c r="R157" s="112"/>
      <c r="S157" s="112"/>
      <c r="T157" s="112">
        <f>T146+T151+T156</f>
        <v>5338</v>
      </c>
      <c r="U157" s="112">
        <f>U146+U151+U156</f>
        <v>31912983.779999997</v>
      </c>
      <c r="V157" s="112"/>
      <c r="W157" s="112">
        <f>W146+W151+W156</f>
        <v>1632626.7600000002</v>
      </c>
      <c r="X157" s="112"/>
      <c r="Y157" s="7"/>
      <c r="Z157" s="6">
        <f t="shared" si="28"/>
        <v>65644300.089999996</v>
      </c>
      <c r="AA157" s="6">
        <f t="shared" si="29"/>
        <v>0</v>
      </c>
      <c r="AB157" s="71"/>
      <c r="AC157" s="59"/>
    </row>
    <row r="158" spans="1:29" s="74" customFormat="1" ht="21" customHeight="1" x14ac:dyDescent="0.25">
      <c r="A158" s="180" t="s">
        <v>29</v>
      </c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82"/>
      <c r="Y158" s="7"/>
      <c r="Z158" s="6">
        <f t="shared" si="28"/>
        <v>0</v>
      </c>
      <c r="AA158" s="6">
        <f t="shared" si="29"/>
        <v>0</v>
      </c>
      <c r="AC158" s="5"/>
    </row>
    <row r="159" spans="1:29" ht="21" customHeight="1" x14ac:dyDescent="0.25">
      <c r="A159" s="175" t="s">
        <v>30</v>
      </c>
      <c r="B159" s="176"/>
      <c r="C159" s="177"/>
      <c r="D159" s="172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4"/>
      <c r="Y159" s="7"/>
      <c r="Z159" s="6">
        <f t="shared" si="28"/>
        <v>0</v>
      </c>
      <c r="AA159" s="6">
        <f t="shared" si="29"/>
        <v>0</v>
      </c>
    </row>
    <row r="160" spans="1:29" ht="21" customHeight="1" x14ac:dyDescent="0.25">
      <c r="A160" s="26">
        <f>A155+1</f>
        <v>89</v>
      </c>
      <c r="B160" s="63" t="s">
        <v>206</v>
      </c>
      <c r="C160" s="111">
        <f t="shared" ref="C160" si="41">D160+K160+M160+O160+Q160+S160+U160+V160+W160+X160</f>
        <v>1101641.5</v>
      </c>
      <c r="D160" s="111"/>
      <c r="E160" s="114"/>
      <c r="F160" s="114"/>
      <c r="G160" s="114"/>
      <c r="H160" s="114"/>
      <c r="I160" s="114"/>
      <c r="J160" s="114"/>
      <c r="K160" s="114"/>
      <c r="L160" s="111">
        <v>714</v>
      </c>
      <c r="M160" s="111">
        <v>1101641.5</v>
      </c>
      <c r="N160" s="114"/>
      <c r="O160" s="114"/>
      <c r="P160" s="111"/>
      <c r="Q160" s="111"/>
      <c r="R160" s="114"/>
      <c r="S160" s="114"/>
      <c r="T160" s="114"/>
      <c r="U160" s="114"/>
      <c r="V160" s="114"/>
      <c r="W160" s="114"/>
      <c r="X160" s="114"/>
      <c r="Y160" s="7"/>
      <c r="Z160" s="6">
        <f t="shared" si="28"/>
        <v>1101641.5</v>
      </c>
      <c r="AA160" s="6">
        <f t="shared" si="29"/>
        <v>0</v>
      </c>
      <c r="AB160" s="6"/>
    </row>
    <row r="161" spans="1:29" ht="21" customHeight="1" x14ac:dyDescent="0.25">
      <c r="A161" s="178" t="s">
        <v>17</v>
      </c>
      <c r="B161" s="179"/>
      <c r="C161" s="114">
        <f>SUM(C160:C160)</f>
        <v>1101641.5</v>
      </c>
      <c r="D161" s="114"/>
      <c r="E161" s="114"/>
      <c r="F161" s="114"/>
      <c r="G161" s="114"/>
      <c r="H161" s="114"/>
      <c r="I161" s="114"/>
      <c r="J161" s="114"/>
      <c r="K161" s="114"/>
      <c r="L161" s="114">
        <f t="shared" ref="L161:M161" si="42">SUM(L160:L160)</f>
        <v>714</v>
      </c>
      <c r="M161" s="114">
        <f t="shared" si="42"/>
        <v>1101641.5</v>
      </c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7"/>
      <c r="Z161" s="6">
        <f t="shared" si="28"/>
        <v>1101641.5</v>
      </c>
      <c r="AA161" s="6">
        <f t="shared" si="29"/>
        <v>0</v>
      </c>
      <c r="AB161" s="6"/>
    </row>
    <row r="162" spans="1:29" ht="21" customHeight="1" x14ac:dyDescent="0.25">
      <c r="A162" s="151" t="s">
        <v>209</v>
      </c>
      <c r="B162" s="165"/>
      <c r="C162" s="166"/>
      <c r="D162" s="172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4"/>
      <c r="Y162" s="7"/>
      <c r="Z162" s="6">
        <f t="shared" si="28"/>
        <v>0</v>
      </c>
      <c r="AA162" s="6">
        <f t="shared" si="29"/>
        <v>0</v>
      </c>
    </row>
    <row r="163" spans="1:29" ht="21" customHeight="1" x14ac:dyDescent="0.25">
      <c r="A163" s="26">
        <f>A160+1</f>
        <v>90</v>
      </c>
      <c r="B163" s="4" t="s">
        <v>211</v>
      </c>
      <c r="C163" s="111">
        <f>D163+K163+M163+O163+Q163+S163+U163+V163+W163+X163</f>
        <v>1702375.51</v>
      </c>
      <c r="D163" s="111"/>
      <c r="E163" s="111"/>
      <c r="F163" s="111"/>
      <c r="G163" s="111"/>
      <c r="H163" s="111"/>
      <c r="I163" s="111"/>
      <c r="J163" s="111"/>
      <c r="K163" s="111"/>
      <c r="L163" s="14">
        <v>1100</v>
      </c>
      <c r="M163" s="14">
        <v>1702375.51</v>
      </c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7"/>
      <c r="Z163" s="6">
        <f t="shared" si="28"/>
        <v>1702375.51</v>
      </c>
      <c r="AA163" s="6">
        <f t="shared" si="29"/>
        <v>0</v>
      </c>
    </row>
    <row r="164" spans="1:29" ht="21" customHeight="1" x14ac:dyDescent="0.25">
      <c r="A164" s="26">
        <f>A163+1</f>
        <v>91</v>
      </c>
      <c r="B164" s="4" t="s">
        <v>210</v>
      </c>
      <c r="C164" s="111">
        <f>D164+K164+M164+O164+Q164+S164+U164+V164+W164+X164</f>
        <v>119235.46</v>
      </c>
      <c r="D164" s="111"/>
      <c r="E164" s="111"/>
      <c r="F164" s="111"/>
      <c r="G164" s="111"/>
      <c r="H164" s="111"/>
      <c r="I164" s="111"/>
      <c r="J164" s="111"/>
      <c r="K164" s="111"/>
      <c r="L164" s="14"/>
      <c r="M164" s="14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>
        <v>119235.46</v>
      </c>
      <c r="X164" s="111"/>
      <c r="Y164" s="7" t="s">
        <v>248</v>
      </c>
      <c r="Z164" s="6">
        <f t="shared" si="28"/>
        <v>119235.46</v>
      </c>
      <c r="AA164" s="6">
        <f t="shared" si="29"/>
        <v>0</v>
      </c>
    </row>
    <row r="165" spans="1:29" ht="21" customHeight="1" x14ac:dyDescent="0.25">
      <c r="A165" s="178" t="s">
        <v>17</v>
      </c>
      <c r="B165" s="179"/>
      <c r="C165" s="111">
        <f>SUM(C163:C164)</f>
        <v>1821610.97</v>
      </c>
      <c r="D165" s="111"/>
      <c r="E165" s="111"/>
      <c r="F165" s="111"/>
      <c r="G165" s="111"/>
      <c r="H165" s="111"/>
      <c r="I165" s="111"/>
      <c r="J165" s="111"/>
      <c r="K165" s="111"/>
      <c r="L165" s="111">
        <f t="shared" ref="L165:M165" si="43">SUM(L163:L164)</f>
        <v>1100</v>
      </c>
      <c r="M165" s="111">
        <f t="shared" si="43"/>
        <v>1702375.51</v>
      </c>
      <c r="N165" s="111"/>
      <c r="O165" s="111"/>
      <c r="P165" s="111"/>
      <c r="Q165" s="111"/>
      <c r="R165" s="111"/>
      <c r="S165" s="111"/>
      <c r="T165" s="111"/>
      <c r="U165" s="111"/>
      <c r="V165" s="111"/>
      <c r="W165" s="111">
        <f>SUM(W163:W164)</f>
        <v>119235.46</v>
      </c>
      <c r="X165" s="111"/>
      <c r="Y165" s="7"/>
      <c r="Z165" s="6">
        <f t="shared" si="28"/>
        <v>1821610.97</v>
      </c>
      <c r="AA165" s="6">
        <f t="shared" si="29"/>
        <v>0</v>
      </c>
      <c r="AB165" s="6"/>
    </row>
    <row r="166" spans="1:29" ht="21" customHeight="1" x14ac:dyDescent="0.25">
      <c r="A166" s="151" t="s">
        <v>212</v>
      </c>
      <c r="B166" s="165"/>
      <c r="C166" s="166"/>
      <c r="D166" s="172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4"/>
      <c r="Y166" s="7"/>
      <c r="Z166" s="6">
        <f t="shared" si="28"/>
        <v>0</v>
      </c>
      <c r="AA166" s="6">
        <f t="shared" si="29"/>
        <v>0</v>
      </c>
    </row>
    <row r="167" spans="1:29" ht="21" customHeight="1" x14ac:dyDescent="0.25">
      <c r="A167" s="26">
        <f>A164+1</f>
        <v>92</v>
      </c>
      <c r="B167" s="4" t="s">
        <v>214</v>
      </c>
      <c r="C167" s="111">
        <f>D167+K167+M167+O167+Q167+S167+U167+V167+W167+X167</f>
        <v>906812.65</v>
      </c>
      <c r="D167" s="111"/>
      <c r="E167" s="114"/>
      <c r="F167" s="114"/>
      <c r="G167" s="114"/>
      <c r="H167" s="114"/>
      <c r="I167" s="114"/>
      <c r="J167" s="114"/>
      <c r="K167" s="114"/>
      <c r="L167" s="111"/>
      <c r="M167" s="111"/>
      <c r="N167" s="114"/>
      <c r="O167" s="114"/>
      <c r="P167" s="111">
        <v>535.20000000000005</v>
      </c>
      <c r="Q167" s="111">
        <v>592655.35</v>
      </c>
      <c r="R167" s="111"/>
      <c r="S167" s="111"/>
      <c r="T167" s="114"/>
      <c r="U167" s="114"/>
      <c r="V167" s="114"/>
      <c r="W167" s="114">
        <f>125963.82+188193.48</f>
        <v>314157.30000000005</v>
      </c>
      <c r="X167" s="114"/>
      <c r="Y167" s="7" t="s">
        <v>249</v>
      </c>
      <c r="Z167" s="6">
        <f t="shared" si="28"/>
        <v>906812.65</v>
      </c>
      <c r="AA167" s="6">
        <f t="shared" si="29"/>
        <v>0</v>
      </c>
    </row>
    <row r="168" spans="1:29" ht="21" customHeight="1" x14ac:dyDescent="0.25">
      <c r="A168" s="26">
        <f>A167+1</f>
        <v>93</v>
      </c>
      <c r="B168" s="4" t="s">
        <v>215</v>
      </c>
      <c r="C168" s="111">
        <f>D168+K168+M168+O168+Q168+S168+U168+V168+W168+X168</f>
        <v>906812.65</v>
      </c>
      <c r="D168" s="111"/>
      <c r="E168" s="114"/>
      <c r="F168" s="114"/>
      <c r="G168" s="114"/>
      <c r="H168" s="114"/>
      <c r="I168" s="114"/>
      <c r="J168" s="114"/>
      <c r="K168" s="114"/>
      <c r="L168" s="111"/>
      <c r="M168" s="111"/>
      <c r="N168" s="114"/>
      <c r="O168" s="114"/>
      <c r="P168" s="111">
        <v>535.20000000000005</v>
      </c>
      <c r="Q168" s="111">
        <v>592655.35</v>
      </c>
      <c r="R168" s="111"/>
      <c r="S168" s="111"/>
      <c r="T168" s="114"/>
      <c r="U168" s="114"/>
      <c r="V168" s="114"/>
      <c r="W168" s="114">
        <f>125963.82+188193.48</f>
        <v>314157.30000000005</v>
      </c>
      <c r="X168" s="114"/>
      <c r="Y168" s="7" t="s">
        <v>249</v>
      </c>
      <c r="Z168" s="6">
        <f t="shared" ref="Z168:Z187" si="44">E168+F168+G168+H168+I168+K168+M168+O168+Q168+S168+U168+V168+W168+X168</f>
        <v>906812.65</v>
      </c>
      <c r="AA168" s="6">
        <f t="shared" ref="AA168:AA187" si="45">Z168-C168</f>
        <v>0</v>
      </c>
    </row>
    <row r="169" spans="1:29" ht="25.5" customHeight="1" x14ac:dyDescent="0.25">
      <c r="A169" s="26">
        <f>A168+1</f>
        <v>94</v>
      </c>
      <c r="B169" s="4" t="s">
        <v>213</v>
      </c>
      <c r="C169" s="111">
        <f t="shared" ref="C169" si="46">D169+K169+M169+O169+Q169+S169+U169+V169+W169+X169</f>
        <v>132961.22</v>
      </c>
      <c r="D169" s="111"/>
      <c r="E169" s="114"/>
      <c r="F169" s="114"/>
      <c r="G169" s="114"/>
      <c r="H169" s="114"/>
      <c r="I169" s="114"/>
      <c r="J169" s="114"/>
      <c r="K169" s="114"/>
      <c r="L169" s="111"/>
      <c r="M169" s="111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>
        <v>132961.22</v>
      </c>
      <c r="X169" s="114"/>
      <c r="Y169" s="7" t="s">
        <v>248</v>
      </c>
      <c r="Z169" s="6">
        <f t="shared" si="44"/>
        <v>132961.22</v>
      </c>
      <c r="AA169" s="6">
        <f t="shared" si="45"/>
        <v>0</v>
      </c>
    </row>
    <row r="170" spans="1:29" ht="21" customHeight="1" x14ac:dyDescent="0.25">
      <c r="A170" s="178" t="s">
        <v>17</v>
      </c>
      <c r="B170" s="179"/>
      <c r="C170" s="111">
        <f>SUM(C167:C169)</f>
        <v>1946586.52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>
        <f t="shared" ref="P170:Q170" si="47">SUM(P167:P169)</f>
        <v>1070.4000000000001</v>
      </c>
      <c r="Q170" s="111">
        <f t="shared" si="47"/>
        <v>1185310.7</v>
      </c>
      <c r="R170" s="111"/>
      <c r="S170" s="111"/>
      <c r="T170" s="111"/>
      <c r="U170" s="111"/>
      <c r="V170" s="111"/>
      <c r="W170" s="111">
        <f>SUM(W167:W169)</f>
        <v>761275.82000000007</v>
      </c>
      <c r="X170" s="111"/>
      <c r="Y170" s="7"/>
      <c r="Z170" s="6">
        <f t="shared" si="44"/>
        <v>1946586.52</v>
      </c>
      <c r="AA170" s="6">
        <f t="shared" si="45"/>
        <v>0</v>
      </c>
      <c r="AB170" s="6"/>
    </row>
    <row r="171" spans="1:29" ht="21" customHeight="1" x14ac:dyDescent="0.25">
      <c r="A171" s="175" t="s">
        <v>31</v>
      </c>
      <c r="B171" s="176"/>
      <c r="C171" s="177"/>
      <c r="D171" s="172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4"/>
      <c r="Y171" s="7"/>
      <c r="Z171" s="6">
        <f t="shared" si="44"/>
        <v>0</v>
      </c>
      <c r="AA171" s="6">
        <f t="shared" si="45"/>
        <v>0</v>
      </c>
    </row>
    <row r="172" spans="1:29" ht="21" customHeight="1" x14ac:dyDescent="0.25">
      <c r="A172" s="115">
        <f>A169+1</f>
        <v>95</v>
      </c>
      <c r="B172" s="63" t="s">
        <v>207</v>
      </c>
      <c r="C172" s="111">
        <f>D172+K172+M172+O172+Q172+S172+U172+V172+W172+X172</f>
        <v>1522528</v>
      </c>
      <c r="D172" s="111"/>
      <c r="E172" s="114"/>
      <c r="F172" s="114"/>
      <c r="G172" s="114"/>
      <c r="H172" s="114"/>
      <c r="I172" s="114"/>
      <c r="J172" s="114"/>
      <c r="K172" s="114"/>
      <c r="L172" s="114">
        <v>899</v>
      </c>
      <c r="M172" s="111">
        <v>1522528</v>
      </c>
      <c r="N172" s="114"/>
      <c r="O172" s="111"/>
      <c r="P172" s="111"/>
      <c r="Q172" s="111"/>
      <c r="R172" s="111"/>
      <c r="S172" s="111"/>
      <c r="T172" s="114"/>
      <c r="U172" s="114"/>
      <c r="V172" s="114"/>
      <c r="W172" s="111"/>
      <c r="X172" s="111"/>
      <c r="Y172" s="7"/>
      <c r="Z172" s="6">
        <f t="shared" si="44"/>
        <v>1522528</v>
      </c>
      <c r="AA172" s="6">
        <f t="shared" si="45"/>
        <v>0</v>
      </c>
    </row>
    <row r="173" spans="1:29" ht="21" customHeight="1" x14ac:dyDescent="0.25">
      <c r="A173" s="115">
        <f>A172+1</f>
        <v>96</v>
      </c>
      <c r="B173" s="63" t="s">
        <v>208</v>
      </c>
      <c r="C173" s="111">
        <f>D173+K173+M173+O173+Q173+S173+U173+V173+W173+X173</f>
        <v>1461549</v>
      </c>
      <c r="D173" s="111"/>
      <c r="E173" s="114"/>
      <c r="F173" s="114"/>
      <c r="G173" s="114"/>
      <c r="H173" s="114"/>
      <c r="I173" s="114"/>
      <c r="J173" s="114"/>
      <c r="K173" s="114"/>
      <c r="L173" s="114">
        <v>916</v>
      </c>
      <c r="M173" s="111">
        <v>1461549</v>
      </c>
      <c r="N173" s="114"/>
      <c r="O173" s="111"/>
      <c r="P173" s="111"/>
      <c r="Q173" s="111"/>
      <c r="R173" s="111"/>
      <c r="S173" s="111"/>
      <c r="T173" s="114"/>
      <c r="U173" s="114"/>
      <c r="V173" s="114"/>
      <c r="W173" s="111"/>
      <c r="X173" s="111"/>
      <c r="Y173" s="7"/>
      <c r="Z173" s="6">
        <f t="shared" si="44"/>
        <v>1461549</v>
      </c>
      <c r="AA173" s="6">
        <f t="shared" si="45"/>
        <v>0</v>
      </c>
    </row>
    <row r="174" spans="1:29" ht="21" customHeight="1" x14ac:dyDescent="0.25">
      <c r="A174" s="178" t="s">
        <v>17</v>
      </c>
      <c r="B174" s="179"/>
      <c r="C174" s="111">
        <f>SUM(C172:C173)</f>
        <v>2984077</v>
      </c>
      <c r="D174" s="111"/>
      <c r="E174" s="111"/>
      <c r="F174" s="111"/>
      <c r="G174" s="111"/>
      <c r="H174" s="111"/>
      <c r="I174" s="111"/>
      <c r="J174" s="111"/>
      <c r="K174" s="111"/>
      <c r="L174" s="111">
        <f t="shared" ref="L174" si="48">SUM(L172:L173)</f>
        <v>1815</v>
      </c>
      <c r="M174" s="111">
        <f>SUM(M172:M173)</f>
        <v>2984077</v>
      </c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7"/>
      <c r="Z174" s="6">
        <f t="shared" si="44"/>
        <v>2984077</v>
      </c>
      <c r="AA174" s="6">
        <f t="shared" si="45"/>
        <v>0</v>
      </c>
      <c r="AB174" s="6"/>
    </row>
    <row r="175" spans="1:29" s="74" customFormat="1" ht="21" customHeight="1" x14ac:dyDescent="0.25">
      <c r="A175" s="175" t="s">
        <v>32</v>
      </c>
      <c r="B175" s="177"/>
      <c r="C175" s="112">
        <f>C161+C165+C170+C174</f>
        <v>7853915.9900000002</v>
      </c>
      <c r="D175" s="112"/>
      <c r="E175" s="112"/>
      <c r="F175" s="112"/>
      <c r="G175" s="112"/>
      <c r="H175" s="112"/>
      <c r="I175" s="112"/>
      <c r="J175" s="112"/>
      <c r="K175" s="112"/>
      <c r="L175" s="112">
        <f>L161+L165+L170+L174</f>
        <v>3629</v>
      </c>
      <c r="M175" s="112">
        <f>M161+M165+M170+M174</f>
        <v>5788094.0099999998</v>
      </c>
      <c r="N175" s="112"/>
      <c r="O175" s="112"/>
      <c r="P175" s="112">
        <f>P161+P165+P170+P174</f>
        <v>1070.4000000000001</v>
      </c>
      <c r="Q175" s="112">
        <f>Q161+Q165+Q170+Q174</f>
        <v>1185310.7</v>
      </c>
      <c r="R175" s="112"/>
      <c r="S175" s="112"/>
      <c r="T175" s="112"/>
      <c r="U175" s="112"/>
      <c r="V175" s="112"/>
      <c r="W175" s="112">
        <f>W161+W165+W170+W174</f>
        <v>880511.28</v>
      </c>
      <c r="X175" s="112"/>
      <c r="Y175" s="7"/>
      <c r="Z175" s="6">
        <f t="shared" si="44"/>
        <v>7853915.9900000002</v>
      </c>
      <c r="AA175" s="6">
        <f t="shared" si="45"/>
        <v>0</v>
      </c>
      <c r="AB175" s="71"/>
      <c r="AC175" s="5"/>
    </row>
    <row r="176" spans="1:29" ht="21" customHeight="1" x14ac:dyDescent="0.25">
      <c r="A176" s="180" t="s">
        <v>33</v>
      </c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/>
      <c r="S176" s="181"/>
      <c r="T176" s="181"/>
      <c r="U176" s="181"/>
      <c r="V176" s="181"/>
      <c r="W176" s="181"/>
      <c r="X176" s="182"/>
      <c r="Y176" s="7"/>
      <c r="Z176" s="6">
        <f t="shared" si="44"/>
        <v>0</v>
      </c>
      <c r="AA176" s="6">
        <f t="shared" si="45"/>
        <v>0</v>
      </c>
    </row>
    <row r="177" spans="1:28" ht="21" customHeight="1" x14ac:dyDescent="0.25">
      <c r="A177" s="201" t="s">
        <v>216</v>
      </c>
      <c r="B177" s="202"/>
      <c r="C177" s="203"/>
      <c r="D177" s="172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  <c r="U177" s="173"/>
      <c r="V177" s="173"/>
      <c r="W177" s="173"/>
      <c r="X177" s="174"/>
      <c r="Y177" s="7"/>
      <c r="Z177" s="6">
        <f t="shared" si="44"/>
        <v>0</v>
      </c>
      <c r="AA177" s="6">
        <f t="shared" si="45"/>
        <v>0</v>
      </c>
    </row>
    <row r="178" spans="1:28" ht="21" customHeight="1" x14ac:dyDescent="0.25">
      <c r="A178" s="115">
        <f>A173+1</f>
        <v>97</v>
      </c>
      <c r="B178" s="4" t="s">
        <v>217</v>
      </c>
      <c r="C178" s="111">
        <f t="shared" ref="C178" si="49">D178+K178+M178+O178+Q178+S178+U178+V178+W178+X178</f>
        <v>1255699.3600000001</v>
      </c>
      <c r="D178" s="111"/>
      <c r="E178" s="111"/>
      <c r="F178" s="114"/>
      <c r="G178" s="114"/>
      <c r="H178" s="114"/>
      <c r="I178" s="114"/>
      <c r="J178" s="114"/>
      <c r="K178" s="114"/>
      <c r="L178" s="111">
        <v>900</v>
      </c>
      <c r="M178" s="111">
        <v>1255699.3600000001</v>
      </c>
      <c r="N178" s="114"/>
      <c r="O178" s="114"/>
      <c r="P178" s="75"/>
      <c r="Q178" s="111"/>
      <c r="R178" s="114"/>
      <c r="S178" s="114"/>
      <c r="T178" s="114"/>
      <c r="U178" s="114"/>
      <c r="V178" s="111"/>
      <c r="W178" s="111"/>
      <c r="X178" s="111"/>
      <c r="Y178" s="7"/>
      <c r="Z178" s="6">
        <f t="shared" si="44"/>
        <v>1255699.3600000001</v>
      </c>
      <c r="AA178" s="6">
        <f t="shared" si="45"/>
        <v>0</v>
      </c>
      <c r="AB178" s="6"/>
    </row>
    <row r="179" spans="1:28" ht="21" customHeight="1" x14ac:dyDescent="0.25">
      <c r="A179" s="178" t="s">
        <v>17</v>
      </c>
      <c r="B179" s="179"/>
      <c r="C179" s="114">
        <f>SUM(C178)</f>
        <v>1255699.3600000001</v>
      </c>
      <c r="D179" s="114"/>
      <c r="E179" s="114"/>
      <c r="F179" s="114"/>
      <c r="G179" s="114"/>
      <c r="H179" s="114"/>
      <c r="I179" s="114"/>
      <c r="J179" s="114"/>
      <c r="K179" s="114"/>
      <c r="L179" s="114">
        <f t="shared" ref="L179:M179" si="50">SUM(L178)</f>
        <v>900</v>
      </c>
      <c r="M179" s="114">
        <f t="shared" si="50"/>
        <v>1255699.3600000001</v>
      </c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7"/>
      <c r="Z179" s="6">
        <f t="shared" si="44"/>
        <v>1255699.3600000001</v>
      </c>
      <c r="AA179" s="6">
        <f t="shared" si="45"/>
        <v>0</v>
      </c>
      <c r="AB179" s="6"/>
    </row>
    <row r="180" spans="1:28" ht="21" customHeight="1" x14ac:dyDescent="0.25">
      <c r="A180" s="175" t="s">
        <v>34</v>
      </c>
      <c r="B180" s="176"/>
      <c r="C180" s="177"/>
      <c r="D180" s="172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  <c r="X180" s="174"/>
      <c r="Y180" s="7"/>
      <c r="Z180" s="6">
        <f t="shared" si="44"/>
        <v>0</v>
      </c>
      <c r="AA180" s="6">
        <f t="shared" si="45"/>
        <v>0</v>
      </c>
    </row>
    <row r="181" spans="1:28" ht="21" customHeight="1" x14ac:dyDescent="0.25">
      <c r="A181" s="26">
        <f>A178+1</f>
        <v>98</v>
      </c>
      <c r="B181" s="4" t="s">
        <v>218</v>
      </c>
      <c r="C181" s="111">
        <f>D181+K181+M181+O181+Q181+S181+U181+V181+W181+X181</f>
        <v>3648680.36</v>
      </c>
      <c r="D181" s="111"/>
      <c r="E181" s="114"/>
      <c r="F181" s="114"/>
      <c r="G181" s="114"/>
      <c r="H181" s="114"/>
      <c r="I181" s="114"/>
      <c r="J181" s="114"/>
      <c r="K181" s="114"/>
      <c r="L181" s="111">
        <v>2781</v>
      </c>
      <c r="M181" s="111">
        <v>3648680.36</v>
      </c>
      <c r="N181" s="114"/>
      <c r="O181" s="114"/>
      <c r="P181" s="75"/>
      <c r="Q181" s="111"/>
      <c r="R181" s="114"/>
      <c r="S181" s="114"/>
      <c r="T181" s="114"/>
      <c r="U181" s="114"/>
      <c r="V181" s="114"/>
      <c r="W181" s="114"/>
      <c r="X181" s="114"/>
      <c r="Y181" s="7"/>
      <c r="Z181" s="6">
        <f t="shared" si="44"/>
        <v>3648680.36</v>
      </c>
      <c r="AA181" s="6">
        <f t="shared" si="45"/>
        <v>0</v>
      </c>
      <c r="AB181" s="6"/>
    </row>
    <row r="182" spans="1:28" ht="21" customHeight="1" x14ac:dyDescent="0.25">
      <c r="A182" s="178" t="s">
        <v>17</v>
      </c>
      <c r="B182" s="179"/>
      <c r="C182" s="114">
        <f>SUM(C181:C181)</f>
        <v>3648680.36</v>
      </c>
      <c r="D182" s="114"/>
      <c r="E182" s="114"/>
      <c r="F182" s="114"/>
      <c r="G182" s="114"/>
      <c r="H182" s="114"/>
      <c r="I182" s="114"/>
      <c r="J182" s="114"/>
      <c r="K182" s="114"/>
      <c r="L182" s="114">
        <f t="shared" ref="L182:M182" si="51">SUM(L181:L181)</f>
        <v>2781</v>
      </c>
      <c r="M182" s="114">
        <f t="shared" si="51"/>
        <v>3648680.36</v>
      </c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7"/>
      <c r="Z182" s="6">
        <f t="shared" si="44"/>
        <v>3648680.36</v>
      </c>
      <c r="AA182" s="6">
        <f t="shared" si="45"/>
        <v>0</v>
      </c>
      <c r="AB182" s="6"/>
    </row>
    <row r="183" spans="1:28" ht="21" customHeight="1" x14ac:dyDescent="0.25">
      <c r="A183" s="175" t="s">
        <v>35</v>
      </c>
      <c r="B183" s="176"/>
      <c r="C183" s="177"/>
      <c r="D183" s="172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4"/>
      <c r="Y183" s="7"/>
      <c r="Z183" s="6">
        <f t="shared" si="44"/>
        <v>0</v>
      </c>
      <c r="AA183" s="6">
        <f t="shared" si="45"/>
        <v>0</v>
      </c>
    </row>
    <row r="184" spans="1:28" ht="21" customHeight="1" x14ac:dyDescent="0.25">
      <c r="A184" s="26">
        <f>A181+1</f>
        <v>99</v>
      </c>
      <c r="B184" s="4" t="s">
        <v>221</v>
      </c>
      <c r="C184" s="111">
        <f>D184+K184+M184+O184+Q184+S184+U184+V184+W184+X184</f>
        <v>5305013.92</v>
      </c>
      <c r="D184" s="111"/>
      <c r="E184" s="114"/>
      <c r="F184" s="114"/>
      <c r="G184" s="114"/>
      <c r="H184" s="113"/>
      <c r="I184" s="113"/>
      <c r="J184" s="113"/>
      <c r="K184" s="113"/>
      <c r="L184" s="111">
        <v>2162.5</v>
      </c>
      <c r="M184" s="111">
        <v>5305013.92</v>
      </c>
      <c r="N184" s="113"/>
      <c r="O184" s="113"/>
      <c r="P184" s="75"/>
      <c r="Q184" s="111"/>
      <c r="R184" s="113"/>
      <c r="S184" s="113"/>
      <c r="T184" s="113"/>
      <c r="U184" s="114"/>
      <c r="V184" s="111"/>
      <c r="W184" s="114"/>
      <c r="X184" s="114"/>
      <c r="Y184" s="7"/>
      <c r="Z184" s="6">
        <f t="shared" si="44"/>
        <v>5305013.92</v>
      </c>
      <c r="AA184" s="6">
        <f t="shared" si="45"/>
        <v>0</v>
      </c>
      <c r="AB184" s="6"/>
    </row>
    <row r="185" spans="1:28" ht="21" customHeight="1" x14ac:dyDescent="0.25">
      <c r="A185" s="26">
        <f>A184+1</f>
        <v>100</v>
      </c>
      <c r="B185" s="4" t="s">
        <v>220</v>
      </c>
      <c r="C185" s="111">
        <f>D185+K185+M185+O185+Q185+S185+U185+V185+W185+X185</f>
        <v>4031251.7</v>
      </c>
      <c r="D185" s="111"/>
      <c r="E185" s="114"/>
      <c r="F185" s="114"/>
      <c r="G185" s="114"/>
      <c r="H185" s="113"/>
      <c r="I185" s="113"/>
      <c r="J185" s="113"/>
      <c r="K185" s="113"/>
      <c r="L185" s="111">
        <v>1140</v>
      </c>
      <c r="M185" s="111">
        <v>4031251.7</v>
      </c>
      <c r="N185" s="113"/>
      <c r="O185" s="113"/>
      <c r="P185" s="75"/>
      <c r="Q185" s="75"/>
      <c r="R185" s="113"/>
      <c r="S185" s="114"/>
      <c r="T185" s="114"/>
      <c r="U185" s="113"/>
      <c r="V185" s="111"/>
      <c r="W185" s="114"/>
      <c r="X185" s="114"/>
      <c r="Y185" s="7"/>
      <c r="Z185" s="6">
        <f t="shared" si="44"/>
        <v>4031251.7</v>
      </c>
      <c r="AA185" s="6">
        <f t="shared" si="45"/>
        <v>0</v>
      </c>
    </row>
    <row r="186" spans="1:28" ht="21" customHeight="1" x14ac:dyDescent="0.25">
      <c r="A186" s="26">
        <f t="shared" ref="A186:A187" si="52">A185+1</f>
        <v>101</v>
      </c>
      <c r="B186" s="4" t="s">
        <v>222</v>
      </c>
      <c r="C186" s="111">
        <f>D186+K186+M186+O186+Q186+S186+U186+V186+W186+X186</f>
        <v>2843631.35</v>
      </c>
      <c r="D186" s="111"/>
      <c r="E186" s="114"/>
      <c r="F186" s="114"/>
      <c r="G186" s="114"/>
      <c r="H186" s="113"/>
      <c r="I186" s="113"/>
      <c r="J186" s="113"/>
      <c r="K186" s="113"/>
      <c r="L186" s="111">
        <v>825.8</v>
      </c>
      <c r="M186" s="111">
        <v>2843631.35</v>
      </c>
      <c r="N186" s="113"/>
      <c r="O186" s="113"/>
      <c r="P186" s="111"/>
      <c r="Q186" s="111"/>
      <c r="R186" s="113"/>
      <c r="S186" s="113"/>
      <c r="T186" s="113"/>
      <c r="U186" s="113"/>
      <c r="V186" s="111"/>
      <c r="W186" s="114"/>
      <c r="X186" s="114"/>
      <c r="Y186" s="7"/>
      <c r="Z186" s="6">
        <f t="shared" si="44"/>
        <v>2843631.35</v>
      </c>
      <c r="AA186" s="6">
        <f t="shared" si="45"/>
        <v>0</v>
      </c>
    </row>
    <row r="187" spans="1:28" ht="21" customHeight="1" x14ac:dyDescent="0.25">
      <c r="A187" s="26">
        <f t="shared" si="52"/>
        <v>102</v>
      </c>
      <c r="B187" s="4" t="s">
        <v>219</v>
      </c>
      <c r="C187" s="111">
        <f t="shared" ref="C187" si="53">D187+K187+M187+O187+Q187+S187+U187+V187+W187+X187</f>
        <v>987541.3</v>
      </c>
      <c r="D187" s="111"/>
      <c r="E187" s="114"/>
      <c r="F187" s="114"/>
      <c r="G187" s="114"/>
      <c r="H187" s="113"/>
      <c r="I187" s="113"/>
      <c r="J187" s="113"/>
      <c r="K187" s="113"/>
      <c r="L187" s="111">
        <v>610.5</v>
      </c>
      <c r="M187" s="111">
        <v>987541.3</v>
      </c>
      <c r="N187" s="113"/>
      <c r="O187" s="113"/>
      <c r="P187" s="114"/>
      <c r="Q187" s="114"/>
      <c r="R187" s="113"/>
      <c r="S187" s="113"/>
      <c r="T187" s="113"/>
      <c r="U187" s="113"/>
      <c r="V187" s="114"/>
      <c r="W187" s="114"/>
      <c r="X187" s="114"/>
      <c r="Y187" s="7"/>
      <c r="Z187" s="6">
        <f t="shared" si="44"/>
        <v>987541.3</v>
      </c>
      <c r="AA187" s="6">
        <f t="shared" si="45"/>
        <v>0</v>
      </c>
    </row>
    <row r="188" spans="1:28" ht="21" customHeight="1" x14ac:dyDescent="0.25">
      <c r="A188" s="178" t="s">
        <v>17</v>
      </c>
      <c r="B188" s="179"/>
      <c r="C188" s="114">
        <f>SUM(C184:C187)</f>
        <v>13167438.270000001</v>
      </c>
      <c r="D188" s="114"/>
      <c r="E188" s="114"/>
      <c r="F188" s="114"/>
      <c r="G188" s="114"/>
      <c r="H188" s="114"/>
      <c r="I188" s="114"/>
      <c r="J188" s="114"/>
      <c r="K188" s="114"/>
      <c r="L188" s="114">
        <f t="shared" ref="L188:M188" si="54">SUM(L184:L187)</f>
        <v>4738.8</v>
      </c>
      <c r="M188" s="114">
        <f t="shared" si="54"/>
        <v>13167438.270000001</v>
      </c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7"/>
      <c r="Z188" s="6">
        <f t="shared" ref="Z188:Z219" si="55">E188+F188+G188+H188+I188+K188+M188+O188+Q188+S188+U188+V188+W188+X188</f>
        <v>13167438.270000001</v>
      </c>
      <c r="AA188" s="6">
        <f t="shared" ref="AA188:AA219" si="56">Z188-C188</f>
        <v>0</v>
      </c>
      <c r="AB188" s="6"/>
    </row>
    <row r="189" spans="1:28" ht="21" customHeight="1" x14ac:dyDescent="0.25">
      <c r="A189" s="175" t="s">
        <v>36</v>
      </c>
      <c r="B189" s="177"/>
      <c r="C189" s="113">
        <f>C179+C182+C188</f>
        <v>18071817.990000002</v>
      </c>
      <c r="D189" s="113"/>
      <c r="E189" s="113"/>
      <c r="F189" s="113"/>
      <c r="G189" s="113"/>
      <c r="H189" s="113"/>
      <c r="I189" s="113"/>
      <c r="J189" s="113"/>
      <c r="K189" s="113"/>
      <c r="L189" s="113">
        <f>L179+L182+L188</f>
        <v>8419.7999999999993</v>
      </c>
      <c r="M189" s="113">
        <f>M179+M182+M188</f>
        <v>18071817.990000002</v>
      </c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7"/>
      <c r="Z189" s="6">
        <f t="shared" si="55"/>
        <v>18071817.990000002</v>
      </c>
      <c r="AA189" s="6">
        <f t="shared" si="56"/>
        <v>0</v>
      </c>
      <c r="AB189" s="69"/>
    </row>
    <row r="190" spans="1:28" ht="21" customHeight="1" x14ac:dyDescent="0.25">
      <c r="A190" s="180" t="s">
        <v>37</v>
      </c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  <c r="R190" s="181"/>
      <c r="S190" s="181"/>
      <c r="T190" s="181"/>
      <c r="U190" s="181"/>
      <c r="V190" s="181"/>
      <c r="W190" s="181"/>
      <c r="X190" s="182"/>
      <c r="Y190" s="7"/>
      <c r="Z190" s="6">
        <f t="shared" si="55"/>
        <v>0</v>
      </c>
      <c r="AA190" s="6">
        <f t="shared" si="56"/>
        <v>0</v>
      </c>
    </row>
    <row r="191" spans="1:28" ht="21" customHeight="1" x14ac:dyDescent="0.25">
      <c r="A191" s="175" t="s">
        <v>38</v>
      </c>
      <c r="B191" s="176"/>
      <c r="C191" s="177"/>
      <c r="D191" s="172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  <c r="V191" s="173"/>
      <c r="W191" s="173"/>
      <c r="X191" s="174"/>
      <c r="Y191" s="7"/>
      <c r="Z191" s="6">
        <f t="shared" si="55"/>
        <v>0</v>
      </c>
      <c r="AA191" s="6">
        <f t="shared" si="56"/>
        <v>0</v>
      </c>
      <c r="AB191" s="6"/>
    </row>
    <row r="192" spans="1:28" ht="21" customHeight="1" x14ac:dyDescent="0.25">
      <c r="A192" s="26">
        <f>A187+1</f>
        <v>103</v>
      </c>
      <c r="B192" s="4" t="s">
        <v>223</v>
      </c>
      <c r="C192" s="111">
        <f t="shared" ref="C192:C193" si="57">D192+K192+M192+O192+Q192+S192+U192+V192+W192+X192</f>
        <v>1132858.3400000001</v>
      </c>
      <c r="D192" s="111"/>
      <c r="E192" s="114"/>
      <c r="F192" s="114"/>
      <c r="G192" s="114"/>
      <c r="H192" s="114"/>
      <c r="I192" s="114"/>
      <c r="J192" s="114"/>
      <c r="K192" s="114"/>
      <c r="L192" s="75">
        <v>302</v>
      </c>
      <c r="M192" s="111">
        <v>1132858.3400000001</v>
      </c>
      <c r="N192" s="114"/>
      <c r="O192" s="114"/>
      <c r="P192" s="114"/>
      <c r="Q192" s="114"/>
      <c r="R192" s="114"/>
      <c r="S192" s="114"/>
      <c r="T192" s="114"/>
      <c r="U192" s="114"/>
      <c r="V192" s="114"/>
      <c r="W192" s="111"/>
      <c r="X192" s="111"/>
      <c r="Y192" s="7"/>
      <c r="Z192" s="6">
        <f t="shared" si="55"/>
        <v>1132858.3400000001</v>
      </c>
      <c r="AA192" s="6">
        <f t="shared" si="56"/>
        <v>0</v>
      </c>
    </row>
    <row r="193" spans="1:28" ht="21" customHeight="1" x14ac:dyDescent="0.25">
      <c r="A193" s="26">
        <f>A192+1</f>
        <v>104</v>
      </c>
      <c r="B193" s="4" t="s">
        <v>224</v>
      </c>
      <c r="C193" s="111">
        <f t="shared" si="57"/>
        <v>1535982.52</v>
      </c>
      <c r="D193" s="111"/>
      <c r="E193" s="114"/>
      <c r="F193" s="114"/>
      <c r="G193" s="114"/>
      <c r="H193" s="114"/>
      <c r="I193" s="114"/>
      <c r="J193" s="114"/>
      <c r="K193" s="114"/>
      <c r="L193" s="75">
        <v>476</v>
      </c>
      <c r="M193" s="111">
        <v>1535982.52</v>
      </c>
      <c r="N193" s="114"/>
      <c r="O193" s="114"/>
      <c r="P193" s="114"/>
      <c r="Q193" s="114"/>
      <c r="R193" s="114"/>
      <c r="S193" s="114"/>
      <c r="T193" s="114"/>
      <c r="U193" s="114"/>
      <c r="V193" s="114"/>
      <c r="W193" s="111"/>
      <c r="X193" s="111"/>
      <c r="Y193" s="7"/>
      <c r="Z193" s="6">
        <f t="shared" si="55"/>
        <v>1535982.52</v>
      </c>
      <c r="AA193" s="6">
        <f t="shared" si="56"/>
        <v>0</v>
      </c>
    </row>
    <row r="194" spans="1:28" ht="21" customHeight="1" x14ac:dyDescent="0.25">
      <c r="A194" s="178" t="s">
        <v>17</v>
      </c>
      <c r="B194" s="179"/>
      <c r="C194" s="114">
        <f>SUM(C192:C193)</f>
        <v>2668840.8600000003</v>
      </c>
      <c r="D194" s="114"/>
      <c r="E194" s="114"/>
      <c r="F194" s="114"/>
      <c r="G194" s="114"/>
      <c r="H194" s="114"/>
      <c r="I194" s="114"/>
      <c r="J194" s="114"/>
      <c r="K194" s="114"/>
      <c r="L194" s="114">
        <f t="shared" ref="L194:M194" si="58">SUM(L192:L193)</f>
        <v>778</v>
      </c>
      <c r="M194" s="114">
        <f t="shared" si="58"/>
        <v>2668840.8600000003</v>
      </c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7"/>
      <c r="Z194" s="6">
        <f t="shared" si="55"/>
        <v>2668840.8600000003</v>
      </c>
      <c r="AA194" s="6">
        <f t="shared" si="56"/>
        <v>0</v>
      </c>
      <c r="AB194" s="6"/>
    </row>
    <row r="195" spans="1:28" ht="21" customHeight="1" x14ac:dyDescent="0.25">
      <c r="A195" s="175" t="s">
        <v>39</v>
      </c>
      <c r="B195" s="177"/>
      <c r="C195" s="113">
        <f>C194</f>
        <v>2668840.8600000003</v>
      </c>
      <c r="D195" s="113"/>
      <c r="E195" s="113"/>
      <c r="F195" s="113"/>
      <c r="G195" s="113"/>
      <c r="H195" s="113"/>
      <c r="I195" s="113"/>
      <c r="J195" s="113"/>
      <c r="K195" s="113"/>
      <c r="L195" s="113">
        <f t="shared" ref="L195:M195" si="59">L194</f>
        <v>778</v>
      </c>
      <c r="M195" s="113">
        <f t="shared" si="59"/>
        <v>2668840.8600000003</v>
      </c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7"/>
      <c r="Z195" s="6">
        <f t="shared" si="55"/>
        <v>2668840.8600000003</v>
      </c>
      <c r="AA195" s="6">
        <f t="shared" si="56"/>
        <v>0</v>
      </c>
      <c r="AB195" s="6"/>
    </row>
    <row r="196" spans="1:28" ht="21" customHeight="1" x14ac:dyDescent="0.25">
      <c r="A196" s="204" t="s">
        <v>40</v>
      </c>
      <c r="B196" s="205"/>
      <c r="C196" s="205"/>
      <c r="D196" s="205"/>
      <c r="E196" s="205"/>
      <c r="F196" s="205"/>
      <c r="G196" s="205"/>
      <c r="H196" s="205"/>
      <c r="I196" s="205"/>
      <c r="J196" s="205"/>
      <c r="K196" s="205"/>
      <c r="L196" s="205"/>
      <c r="M196" s="205"/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6"/>
      <c r="Y196" s="7"/>
      <c r="Z196" s="6">
        <f t="shared" si="55"/>
        <v>0</v>
      </c>
      <c r="AA196" s="6">
        <f t="shared" si="56"/>
        <v>0</v>
      </c>
    </row>
    <row r="197" spans="1:28" ht="21" customHeight="1" x14ac:dyDescent="0.2">
      <c r="A197" s="76">
        <f>A193:B193+1</f>
        <v>105</v>
      </c>
      <c r="B197" s="4" t="s">
        <v>225</v>
      </c>
      <c r="C197" s="111">
        <f t="shared" ref="C197:C198" si="60">D197+K197+M197+O197+Q197+S197+U197+V197+W197+X197</f>
        <v>2583501.9500000002</v>
      </c>
      <c r="D197" s="111"/>
      <c r="E197" s="77"/>
      <c r="F197" s="77"/>
      <c r="G197" s="78"/>
      <c r="H197" s="77"/>
      <c r="I197" s="77"/>
      <c r="J197" s="58">
        <v>1</v>
      </c>
      <c r="K197" s="68">
        <v>2583501.9500000002</v>
      </c>
      <c r="L197" s="79"/>
      <c r="M197" s="111"/>
      <c r="N197" s="78"/>
      <c r="O197" s="78"/>
      <c r="P197" s="78"/>
      <c r="Q197" s="78"/>
      <c r="R197" s="78"/>
      <c r="S197" s="78"/>
      <c r="T197" s="78"/>
      <c r="U197" s="78"/>
      <c r="V197" s="78"/>
      <c r="W197" s="111"/>
      <c r="X197" s="111"/>
      <c r="Y197" s="7"/>
      <c r="Z197" s="6">
        <f t="shared" si="55"/>
        <v>2583501.9500000002</v>
      </c>
      <c r="AA197" s="6">
        <f t="shared" si="56"/>
        <v>0</v>
      </c>
    </row>
    <row r="198" spans="1:28" ht="21" customHeight="1" x14ac:dyDescent="0.2">
      <c r="A198" s="76">
        <f t="shared" ref="A198" si="61">A197+1</f>
        <v>106</v>
      </c>
      <c r="B198" s="4" t="s">
        <v>226</v>
      </c>
      <c r="C198" s="111">
        <f t="shared" si="60"/>
        <v>5837512.7999999998</v>
      </c>
      <c r="D198" s="111"/>
      <c r="E198" s="111"/>
      <c r="F198" s="111"/>
      <c r="G198" s="78"/>
      <c r="H198" s="111"/>
      <c r="I198" s="111"/>
      <c r="J198" s="58">
        <v>2</v>
      </c>
      <c r="K198" s="68">
        <v>5837512.7999999998</v>
      </c>
      <c r="L198" s="111"/>
      <c r="M198" s="111"/>
      <c r="N198" s="78"/>
      <c r="O198" s="78"/>
      <c r="P198" s="78"/>
      <c r="Q198" s="78"/>
      <c r="R198" s="78"/>
      <c r="S198" s="78"/>
      <c r="T198" s="78"/>
      <c r="U198" s="78"/>
      <c r="V198" s="78"/>
      <c r="W198" s="111"/>
      <c r="X198" s="111"/>
      <c r="Y198" s="7"/>
      <c r="Z198" s="6">
        <f t="shared" si="55"/>
        <v>5837512.7999999998</v>
      </c>
      <c r="AA198" s="6">
        <f t="shared" si="56"/>
        <v>0</v>
      </c>
    </row>
    <row r="199" spans="1:28" ht="21" customHeight="1" x14ac:dyDescent="0.25">
      <c r="A199" s="207" t="s">
        <v>17</v>
      </c>
      <c r="B199" s="208"/>
      <c r="C199" s="41">
        <f>SUM(C197:C198)</f>
        <v>8421014.75</v>
      </c>
      <c r="D199" s="41"/>
      <c r="E199" s="41"/>
      <c r="F199" s="41"/>
      <c r="G199" s="41"/>
      <c r="H199" s="41"/>
      <c r="I199" s="41"/>
      <c r="J199" s="47">
        <f t="shared" ref="J199:K199" si="62">SUM(J197:J198)</f>
        <v>3</v>
      </c>
      <c r="K199" s="41">
        <f t="shared" si="62"/>
        <v>8421014.75</v>
      </c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7"/>
      <c r="Z199" s="6">
        <f t="shared" si="55"/>
        <v>8421014.75</v>
      </c>
      <c r="AA199" s="6">
        <f t="shared" si="56"/>
        <v>0</v>
      </c>
      <c r="AB199" s="6"/>
    </row>
    <row r="200" spans="1:28" ht="21" customHeight="1" x14ac:dyDescent="0.25">
      <c r="A200" s="180" t="s">
        <v>41</v>
      </c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  <c r="W200" s="181"/>
      <c r="X200" s="182"/>
      <c r="Y200" s="7"/>
      <c r="Z200" s="6">
        <f t="shared" si="55"/>
        <v>0</v>
      </c>
      <c r="AA200" s="6">
        <f t="shared" si="56"/>
        <v>0</v>
      </c>
    </row>
    <row r="201" spans="1:28" ht="21" customHeight="1" x14ac:dyDescent="0.25">
      <c r="A201" s="175" t="s">
        <v>227</v>
      </c>
      <c r="B201" s="176"/>
      <c r="C201" s="177"/>
      <c r="D201" s="172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  <c r="S201" s="173"/>
      <c r="T201" s="173"/>
      <c r="U201" s="173"/>
      <c r="V201" s="173"/>
      <c r="W201" s="173"/>
      <c r="X201" s="174"/>
      <c r="Y201" s="7"/>
      <c r="Z201" s="6">
        <f t="shared" si="55"/>
        <v>0</v>
      </c>
      <c r="AA201" s="6">
        <f t="shared" si="56"/>
        <v>0</v>
      </c>
    </row>
    <row r="202" spans="1:28" ht="21" customHeight="1" x14ac:dyDescent="0.25">
      <c r="A202" s="115">
        <f>A198+1</f>
        <v>107</v>
      </c>
      <c r="B202" s="4" t="s">
        <v>228</v>
      </c>
      <c r="C202" s="111">
        <f>D202+K202+M202+O202+Q202+S202+U202+V202+W202+X202</f>
        <v>348004.42</v>
      </c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>
        <v>348004.42</v>
      </c>
      <c r="X202" s="111"/>
      <c r="Y202" s="7" t="s">
        <v>245</v>
      </c>
      <c r="Z202" s="6">
        <f t="shared" si="55"/>
        <v>348004.42</v>
      </c>
      <c r="AA202" s="6">
        <f t="shared" si="56"/>
        <v>0</v>
      </c>
    </row>
    <row r="203" spans="1:28" ht="21" customHeight="1" x14ac:dyDescent="0.25">
      <c r="A203" s="178" t="s">
        <v>17</v>
      </c>
      <c r="B203" s="179"/>
      <c r="C203" s="111">
        <f>SUM(C202:C202)</f>
        <v>348004.42</v>
      </c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>
        <f t="shared" ref="W203" si="63">SUM(W202:W202)</f>
        <v>348004.42</v>
      </c>
      <c r="X203" s="111"/>
      <c r="Y203" s="7"/>
      <c r="Z203" s="6">
        <f t="shared" si="55"/>
        <v>348004.42</v>
      </c>
      <c r="AA203" s="6">
        <f t="shared" si="56"/>
        <v>0</v>
      </c>
    </row>
    <row r="204" spans="1:28" ht="21" customHeight="1" x14ac:dyDescent="0.25">
      <c r="A204" s="175" t="s">
        <v>42</v>
      </c>
      <c r="B204" s="176"/>
      <c r="C204" s="177"/>
      <c r="D204" s="172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  <c r="W204" s="173"/>
      <c r="X204" s="174"/>
      <c r="Y204" s="7"/>
      <c r="Z204" s="6">
        <f t="shared" si="55"/>
        <v>0</v>
      </c>
      <c r="AA204" s="6">
        <f t="shared" si="56"/>
        <v>0</v>
      </c>
    </row>
    <row r="205" spans="1:28" ht="21" customHeight="1" x14ac:dyDescent="0.25">
      <c r="A205" s="115">
        <f>A202+1</f>
        <v>108</v>
      </c>
      <c r="B205" s="4" t="s">
        <v>229</v>
      </c>
      <c r="C205" s="111">
        <f>D205+K205+M205+O205+Q205+S205+U205+V205+W205+X205</f>
        <v>491503.02</v>
      </c>
      <c r="D205" s="111">
        <f t="shared" ref="D205:D214" si="64">E205+F205+G205+H205+I205</f>
        <v>491503.02</v>
      </c>
      <c r="E205" s="111"/>
      <c r="F205" s="111"/>
      <c r="G205" s="111"/>
      <c r="H205" s="111">
        <v>491503.02</v>
      </c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7"/>
      <c r="Z205" s="6">
        <f t="shared" si="55"/>
        <v>491503.02</v>
      </c>
      <c r="AA205" s="6">
        <f t="shared" si="56"/>
        <v>0</v>
      </c>
    </row>
    <row r="206" spans="1:28" ht="21" customHeight="1" x14ac:dyDescent="0.25">
      <c r="A206" s="115">
        <f>A205+1</f>
        <v>109</v>
      </c>
      <c r="B206" s="4" t="s">
        <v>230</v>
      </c>
      <c r="C206" s="111">
        <f t="shared" ref="C206:C214" si="65">D206+K206+M206+O206+Q206+S206+U206+V206+W206+X206</f>
        <v>491503.02</v>
      </c>
      <c r="D206" s="111">
        <f t="shared" si="64"/>
        <v>491503.02</v>
      </c>
      <c r="E206" s="111"/>
      <c r="F206" s="111"/>
      <c r="G206" s="111"/>
      <c r="H206" s="111">
        <v>491503.02</v>
      </c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7"/>
      <c r="Z206" s="6">
        <f t="shared" si="55"/>
        <v>491503.02</v>
      </c>
      <c r="AA206" s="6">
        <f t="shared" si="56"/>
        <v>0</v>
      </c>
    </row>
    <row r="207" spans="1:28" ht="21" customHeight="1" x14ac:dyDescent="0.25">
      <c r="A207" s="115">
        <f t="shared" ref="A207:A214" si="66">A206+1</f>
        <v>110</v>
      </c>
      <c r="B207" s="4" t="s">
        <v>231</v>
      </c>
      <c r="C207" s="111">
        <f t="shared" si="65"/>
        <v>672005.19</v>
      </c>
      <c r="D207" s="111">
        <f t="shared" si="64"/>
        <v>672005.19</v>
      </c>
      <c r="E207" s="111"/>
      <c r="F207" s="111"/>
      <c r="G207" s="111"/>
      <c r="H207" s="111">
        <v>672005.19</v>
      </c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7"/>
      <c r="Z207" s="6">
        <f t="shared" si="55"/>
        <v>672005.19</v>
      </c>
      <c r="AA207" s="6">
        <f t="shared" si="56"/>
        <v>0</v>
      </c>
    </row>
    <row r="208" spans="1:28" ht="21" customHeight="1" x14ac:dyDescent="0.25">
      <c r="A208" s="115">
        <f t="shared" si="66"/>
        <v>111</v>
      </c>
      <c r="B208" s="4" t="s">
        <v>232</v>
      </c>
      <c r="C208" s="111">
        <f t="shared" si="65"/>
        <v>1328552.76</v>
      </c>
      <c r="D208" s="111">
        <f t="shared" si="64"/>
        <v>1328552.76</v>
      </c>
      <c r="E208" s="111"/>
      <c r="F208" s="111"/>
      <c r="G208" s="111"/>
      <c r="H208" s="111">
        <v>1328552.76</v>
      </c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7"/>
      <c r="Z208" s="6">
        <f t="shared" si="55"/>
        <v>1328552.76</v>
      </c>
      <c r="AA208" s="6">
        <f t="shared" si="56"/>
        <v>0</v>
      </c>
    </row>
    <row r="209" spans="1:29" ht="21" customHeight="1" x14ac:dyDescent="0.25">
      <c r="A209" s="115">
        <f t="shared" si="66"/>
        <v>112</v>
      </c>
      <c r="B209" s="4" t="s">
        <v>233</v>
      </c>
      <c r="C209" s="111">
        <f t="shared" si="65"/>
        <v>3276099.25</v>
      </c>
      <c r="D209" s="111">
        <f t="shared" si="64"/>
        <v>3276099.25</v>
      </c>
      <c r="E209" s="111"/>
      <c r="F209" s="111"/>
      <c r="G209" s="111"/>
      <c r="H209" s="111">
        <v>3276099.25</v>
      </c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7"/>
      <c r="Z209" s="6">
        <f t="shared" si="55"/>
        <v>3276099.25</v>
      </c>
      <c r="AA209" s="6">
        <f t="shared" si="56"/>
        <v>0</v>
      </c>
    </row>
    <row r="210" spans="1:29" ht="21" customHeight="1" x14ac:dyDescent="0.25">
      <c r="A210" s="115">
        <f t="shared" si="66"/>
        <v>113</v>
      </c>
      <c r="B210" s="4" t="s">
        <v>234</v>
      </c>
      <c r="C210" s="111">
        <f t="shared" si="65"/>
        <v>368067.56</v>
      </c>
      <c r="D210" s="111">
        <f t="shared" si="64"/>
        <v>368067.56</v>
      </c>
      <c r="E210" s="111"/>
      <c r="F210" s="111"/>
      <c r="G210" s="111"/>
      <c r="H210" s="111">
        <v>368067.56</v>
      </c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7"/>
      <c r="Z210" s="6">
        <f t="shared" si="55"/>
        <v>368067.56</v>
      </c>
      <c r="AA210" s="6">
        <f t="shared" si="56"/>
        <v>0</v>
      </c>
    </row>
    <row r="211" spans="1:29" ht="21" customHeight="1" x14ac:dyDescent="0.25">
      <c r="A211" s="115">
        <f t="shared" si="66"/>
        <v>114</v>
      </c>
      <c r="B211" s="4" t="s">
        <v>235</v>
      </c>
      <c r="C211" s="111">
        <f t="shared" si="65"/>
        <v>1496319.13</v>
      </c>
      <c r="D211" s="111">
        <f t="shared" si="64"/>
        <v>1496319.13</v>
      </c>
      <c r="E211" s="111"/>
      <c r="F211" s="111"/>
      <c r="G211" s="111"/>
      <c r="H211" s="111">
        <v>1496319.13</v>
      </c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7"/>
      <c r="Z211" s="6">
        <f t="shared" si="55"/>
        <v>1496319.13</v>
      </c>
      <c r="AA211" s="6">
        <f t="shared" si="56"/>
        <v>0</v>
      </c>
    </row>
    <row r="212" spans="1:29" ht="21" customHeight="1" x14ac:dyDescent="0.25">
      <c r="A212" s="115">
        <f t="shared" si="66"/>
        <v>115</v>
      </c>
      <c r="B212" s="4" t="s">
        <v>236</v>
      </c>
      <c r="C212" s="111">
        <f t="shared" si="65"/>
        <v>570645.34</v>
      </c>
      <c r="D212" s="111">
        <f t="shared" si="64"/>
        <v>570645.34</v>
      </c>
      <c r="E212" s="111"/>
      <c r="F212" s="111"/>
      <c r="G212" s="111"/>
      <c r="H212" s="111">
        <v>570645.34</v>
      </c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7"/>
      <c r="Z212" s="6">
        <f t="shared" si="55"/>
        <v>570645.34</v>
      </c>
      <c r="AA212" s="6">
        <f t="shared" si="56"/>
        <v>0</v>
      </c>
    </row>
    <row r="213" spans="1:29" ht="21" customHeight="1" x14ac:dyDescent="0.25">
      <c r="A213" s="115">
        <f t="shared" si="66"/>
        <v>116</v>
      </c>
      <c r="B213" s="4" t="s">
        <v>237</v>
      </c>
      <c r="C213" s="111">
        <f t="shared" si="65"/>
        <v>1769412.48</v>
      </c>
      <c r="D213" s="111">
        <f t="shared" si="64"/>
        <v>1769412.48</v>
      </c>
      <c r="E213" s="111"/>
      <c r="F213" s="111"/>
      <c r="G213" s="111"/>
      <c r="H213" s="111">
        <v>1769412.48</v>
      </c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7"/>
      <c r="Z213" s="6">
        <f t="shared" si="55"/>
        <v>1769412.48</v>
      </c>
      <c r="AA213" s="6">
        <f t="shared" si="56"/>
        <v>0</v>
      </c>
    </row>
    <row r="214" spans="1:29" ht="21" customHeight="1" x14ac:dyDescent="0.25">
      <c r="A214" s="115">
        <f t="shared" si="66"/>
        <v>117</v>
      </c>
      <c r="B214" s="4" t="s">
        <v>238</v>
      </c>
      <c r="C214" s="111">
        <f t="shared" si="65"/>
        <v>3280457.82</v>
      </c>
      <c r="D214" s="111">
        <f t="shared" si="64"/>
        <v>3280457.82</v>
      </c>
      <c r="E214" s="111"/>
      <c r="F214" s="111"/>
      <c r="G214" s="111"/>
      <c r="H214" s="111">
        <v>3280457.82</v>
      </c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7"/>
      <c r="Z214" s="6">
        <f t="shared" si="55"/>
        <v>3280457.82</v>
      </c>
      <c r="AA214" s="6">
        <f t="shared" si="56"/>
        <v>0</v>
      </c>
    </row>
    <row r="215" spans="1:29" ht="21" customHeight="1" x14ac:dyDescent="0.25">
      <c r="A215" s="178" t="s">
        <v>17</v>
      </c>
      <c r="B215" s="179"/>
      <c r="C215" s="111">
        <f>SUM(C205:C214)</f>
        <v>13744565.57</v>
      </c>
      <c r="D215" s="111">
        <f t="shared" ref="D215:H215" si="67">SUM(D205:D214)</f>
        <v>13744565.57</v>
      </c>
      <c r="E215" s="111"/>
      <c r="F215" s="111"/>
      <c r="G215" s="111"/>
      <c r="H215" s="111">
        <f t="shared" si="67"/>
        <v>13744565.57</v>
      </c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7"/>
      <c r="Z215" s="6">
        <f t="shared" si="55"/>
        <v>13744565.57</v>
      </c>
      <c r="AA215" s="6">
        <f t="shared" si="56"/>
        <v>0</v>
      </c>
    </row>
    <row r="216" spans="1:29" s="74" customFormat="1" ht="21" customHeight="1" x14ac:dyDescent="0.25">
      <c r="A216" s="175" t="s">
        <v>43</v>
      </c>
      <c r="B216" s="177"/>
      <c r="C216" s="112">
        <f>C203+C215</f>
        <v>14092569.99</v>
      </c>
      <c r="D216" s="112">
        <f t="shared" ref="D216:W216" si="68">D203+D215</f>
        <v>13744565.57</v>
      </c>
      <c r="E216" s="112"/>
      <c r="F216" s="112"/>
      <c r="G216" s="112"/>
      <c r="H216" s="112">
        <f t="shared" si="68"/>
        <v>13744565.57</v>
      </c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>
        <f t="shared" si="68"/>
        <v>348004.42</v>
      </c>
      <c r="X216" s="112"/>
      <c r="Y216" s="7"/>
      <c r="Z216" s="6">
        <f t="shared" si="55"/>
        <v>14092569.99</v>
      </c>
      <c r="AA216" s="6">
        <f t="shared" si="56"/>
        <v>0</v>
      </c>
      <c r="AB216" s="6"/>
      <c r="AC216" s="5"/>
    </row>
    <row r="217" spans="1:29" ht="21" customHeight="1" x14ac:dyDescent="0.25">
      <c r="A217" s="151" t="s">
        <v>44</v>
      </c>
      <c r="B217" s="166"/>
      <c r="C217" s="112">
        <f t="shared" ref="C217:Q217" si="69">C12+C20+C25+C63+C86+C116+C127+C139+C157+C175+C189+C195+C199+C216</f>
        <v>440886757.83000004</v>
      </c>
      <c r="D217" s="112">
        <f t="shared" si="69"/>
        <v>37322390.390000001</v>
      </c>
      <c r="E217" s="112">
        <f t="shared" si="69"/>
        <v>1329247.71</v>
      </c>
      <c r="F217" s="112">
        <f t="shared" si="69"/>
        <v>8109924.0299999993</v>
      </c>
      <c r="G217" s="112">
        <f t="shared" si="69"/>
        <v>3022140.65</v>
      </c>
      <c r="H217" s="112">
        <f t="shared" si="69"/>
        <v>21367876.200000003</v>
      </c>
      <c r="I217" s="112">
        <f t="shared" si="69"/>
        <v>3493201.8000000003</v>
      </c>
      <c r="J217" s="8">
        <f t="shared" si="69"/>
        <v>71</v>
      </c>
      <c r="K217" s="112">
        <f t="shared" si="69"/>
        <v>162467931.98000002</v>
      </c>
      <c r="L217" s="112">
        <f t="shared" si="69"/>
        <v>30164.51</v>
      </c>
      <c r="M217" s="112">
        <f t="shared" si="69"/>
        <v>91441123.529999986</v>
      </c>
      <c r="N217" s="112">
        <f t="shared" si="69"/>
        <v>1472.7</v>
      </c>
      <c r="O217" s="112">
        <f t="shared" si="69"/>
        <v>6461951.8399999999</v>
      </c>
      <c r="P217" s="112">
        <f t="shared" si="69"/>
        <v>34481.94</v>
      </c>
      <c r="Q217" s="112">
        <f t="shared" si="69"/>
        <v>69953199.980000004</v>
      </c>
      <c r="R217" s="112"/>
      <c r="S217" s="112"/>
      <c r="T217" s="112">
        <f>T12+T20+T25+T63+T86+T116+T127+T139+T157+T175+T189+T195+T199+T216</f>
        <v>9540.5</v>
      </c>
      <c r="U217" s="112">
        <f>U12+U20+U25+U63+U86+U116+U127+U139+U157+U175+U189+U195+U199+U216</f>
        <v>55824918.890000001</v>
      </c>
      <c r="V217" s="112"/>
      <c r="W217" s="112">
        <f>W12+W20+W25+W63+W86+W116+W127+W139+W157+W175+W189+W195+W199+W216</f>
        <v>17415241.220000003</v>
      </c>
      <c r="X217" s="112"/>
      <c r="Y217" s="7"/>
      <c r="Z217" s="6">
        <f t="shared" si="55"/>
        <v>440886757.82999998</v>
      </c>
      <c r="AA217" s="6">
        <f t="shared" si="56"/>
        <v>0</v>
      </c>
      <c r="AB217" s="6"/>
    </row>
    <row r="218" spans="1:29" ht="21" customHeight="1" x14ac:dyDescent="0.25">
      <c r="A218" s="209" t="s">
        <v>64</v>
      </c>
      <c r="B218" s="210"/>
      <c r="C218" s="111">
        <f>(C217-W217)*0.0214</f>
        <v>9062290.4554539993</v>
      </c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7"/>
      <c r="Z218" s="6">
        <f t="shared" si="55"/>
        <v>0</v>
      </c>
      <c r="AA218" s="6">
        <f t="shared" si="56"/>
        <v>-9062290.4554539993</v>
      </c>
    </row>
    <row r="219" spans="1:29" ht="21" customHeight="1" x14ac:dyDescent="0.25">
      <c r="A219" s="175" t="s">
        <v>63</v>
      </c>
      <c r="B219" s="177"/>
      <c r="C219" s="111">
        <f>C217+C218</f>
        <v>449949048.28545403</v>
      </c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7"/>
      <c r="Z219" s="6">
        <f t="shared" si="55"/>
        <v>0</v>
      </c>
      <c r="AA219" s="6">
        <f t="shared" si="56"/>
        <v>-449949048.28545403</v>
      </c>
    </row>
    <row r="221" spans="1:29" hidden="1" x14ac:dyDescent="0.25">
      <c r="C221" s="109">
        <f>(C217-W217-X217)*2.14/100</f>
        <v>9062290.4554540012</v>
      </c>
      <c r="D221" s="39">
        <f>E217+F217+G217+H217+I217+K217+M217+O217+Q217+S217+U217+V217+W217+X217</f>
        <v>440886757.82999998</v>
      </c>
    </row>
  </sheetData>
  <mergeCells count="144">
    <mergeCell ref="A204:C204"/>
    <mergeCell ref="A216:B216"/>
    <mergeCell ref="A217:B217"/>
    <mergeCell ref="A218:B218"/>
    <mergeCell ref="A219:B219"/>
    <mergeCell ref="A203:B203"/>
    <mergeCell ref="A215:B215"/>
    <mergeCell ref="D201:X201"/>
    <mergeCell ref="D204:X204"/>
    <mergeCell ref="A190:X190"/>
    <mergeCell ref="A191:C191"/>
    <mergeCell ref="A195:B195"/>
    <mergeCell ref="A194:B194"/>
    <mergeCell ref="D191:X191"/>
    <mergeCell ref="A196:X196"/>
    <mergeCell ref="A199:B199"/>
    <mergeCell ref="A200:X200"/>
    <mergeCell ref="A201:C201"/>
    <mergeCell ref="A176:X176"/>
    <mergeCell ref="A177:C177"/>
    <mergeCell ref="A180:C180"/>
    <mergeCell ref="A183:C183"/>
    <mergeCell ref="A189:B189"/>
    <mergeCell ref="A179:B179"/>
    <mergeCell ref="A182:B182"/>
    <mergeCell ref="A188:B188"/>
    <mergeCell ref="D177:X177"/>
    <mergeCell ref="D180:X180"/>
    <mergeCell ref="D183:X183"/>
    <mergeCell ref="A162:C162"/>
    <mergeCell ref="A166:C166"/>
    <mergeCell ref="A171:C171"/>
    <mergeCell ref="A175:B175"/>
    <mergeCell ref="A161:B161"/>
    <mergeCell ref="A165:B165"/>
    <mergeCell ref="A170:B170"/>
    <mergeCell ref="A174:B174"/>
    <mergeCell ref="D159:X159"/>
    <mergeCell ref="D162:X162"/>
    <mergeCell ref="D166:X166"/>
    <mergeCell ref="D171:X171"/>
    <mergeCell ref="D14:X14"/>
    <mergeCell ref="D17:X17"/>
    <mergeCell ref="A13:X13"/>
    <mergeCell ref="D9:X9"/>
    <mergeCell ref="A12:B12"/>
    <mergeCell ref="A8:X8"/>
    <mergeCell ref="A16:B16"/>
    <mergeCell ref="A158:X158"/>
    <mergeCell ref="A159:C159"/>
    <mergeCell ref="A21:X21"/>
    <mergeCell ref="A9:C9"/>
    <mergeCell ref="A11:B11"/>
    <mergeCell ref="A19:B19"/>
    <mergeCell ref="A20:B20"/>
    <mergeCell ref="A17:C17"/>
    <mergeCell ref="A14:C14"/>
    <mergeCell ref="A25:B25"/>
    <mergeCell ref="A40:B40"/>
    <mergeCell ref="A22:C22"/>
    <mergeCell ref="A26:X26"/>
    <mergeCell ref="D27:X27"/>
    <mergeCell ref="D37:X37"/>
    <mergeCell ref="D22:X22"/>
    <mergeCell ref="A36:B36"/>
    <mergeCell ref="A1:X1"/>
    <mergeCell ref="A2:A6"/>
    <mergeCell ref="B2:B6"/>
    <mergeCell ref="C2:C5"/>
    <mergeCell ref="D2:X2"/>
    <mergeCell ref="D3:I3"/>
    <mergeCell ref="J3:K5"/>
    <mergeCell ref="L3:M5"/>
    <mergeCell ref="N3:O5"/>
    <mergeCell ref="P3:Q5"/>
    <mergeCell ref="R3:S5"/>
    <mergeCell ref="T3:U5"/>
    <mergeCell ref="V3:V5"/>
    <mergeCell ref="E4:I4"/>
    <mergeCell ref="W3:W5"/>
    <mergeCell ref="X3:X5"/>
    <mergeCell ref="D4:D5"/>
    <mergeCell ref="A24:B24"/>
    <mergeCell ref="A43:B43"/>
    <mergeCell ref="A51:B51"/>
    <mergeCell ref="A58:B58"/>
    <mergeCell ref="D44:X44"/>
    <mergeCell ref="D52:X52"/>
    <mergeCell ref="D59:X59"/>
    <mergeCell ref="D65:X65"/>
    <mergeCell ref="D82:X82"/>
    <mergeCell ref="A27:C27"/>
    <mergeCell ref="A37:C37"/>
    <mergeCell ref="A41:C41"/>
    <mergeCell ref="D41:X41"/>
    <mergeCell ref="A82:C82"/>
    <mergeCell ref="A81:B81"/>
    <mergeCell ref="A62:B62"/>
    <mergeCell ref="A64:X64"/>
    <mergeCell ref="A65:C65"/>
    <mergeCell ref="A44:C44"/>
    <mergeCell ref="A52:C52"/>
    <mergeCell ref="A59:C59"/>
    <mergeCell ref="A87:X87"/>
    <mergeCell ref="A117:X117"/>
    <mergeCell ref="A118:C118"/>
    <mergeCell ref="D118:X118"/>
    <mergeCell ref="A86:B86"/>
    <mergeCell ref="A63:B63"/>
    <mergeCell ref="A111:B111"/>
    <mergeCell ref="A115:B115"/>
    <mergeCell ref="A90:B90"/>
    <mergeCell ref="A93:B93"/>
    <mergeCell ref="A116:B116"/>
    <mergeCell ref="D94:X94"/>
    <mergeCell ref="D112:X112"/>
    <mergeCell ref="D88:X88"/>
    <mergeCell ref="D91:X91"/>
    <mergeCell ref="A91:C91"/>
    <mergeCell ref="A88:C88"/>
    <mergeCell ref="A112:C112"/>
    <mergeCell ref="A94:C94"/>
    <mergeCell ref="A85:B85"/>
    <mergeCell ref="A129:C129"/>
    <mergeCell ref="A132:C132"/>
    <mergeCell ref="A139:B139"/>
    <mergeCell ref="D129:X129"/>
    <mergeCell ref="D132:X132"/>
    <mergeCell ref="A131:B131"/>
    <mergeCell ref="A138:B138"/>
    <mergeCell ref="A127:B127"/>
    <mergeCell ref="A126:B126"/>
    <mergeCell ref="A128:X128"/>
    <mergeCell ref="D152:X152"/>
    <mergeCell ref="A152:C152"/>
    <mergeCell ref="A157:B157"/>
    <mergeCell ref="A146:B146"/>
    <mergeCell ref="A151:B151"/>
    <mergeCell ref="A156:B156"/>
    <mergeCell ref="A140:X140"/>
    <mergeCell ref="A141:C141"/>
    <mergeCell ref="A147:C147"/>
    <mergeCell ref="D141:X141"/>
    <mergeCell ref="D147:X147"/>
  </mergeCells>
  <printOptions horizontalCentered="1"/>
  <pageMargins left="0.15748031496062992" right="0.15748031496062992" top="0.55118110236220474" bottom="0.23622047244094491" header="0.15748031496062992" footer="0.15748031496062992"/>
  <pageSetup paperSize="9" scale="38" fitToHeight="100" orientation="landscape" r:id="rId1"/>
  <rowBreaks count="2" manualBreakCount="2">
    <brk id="134" max="23" man="1"/>
    <brk id="199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A9"/>
  <sheetViews>
    <sheetView workbookViewId="0">
      <selection activeCell="B9" sqref="B9"/>
    </sheetView>
  </sheetViews>
  <sheetFormatPr defaultRowHeight="15" x14ac:dyDescent="0.25"/>
  <cols>
    <col min="2" max="2" width="18.42578125" customWidth="1"/>
    <col min="3" max="3" width="11.85546875" customWidth="1"/>
  </cols>
  <sheetData>
    <row r="7" spans="1:27" s="5" customFormat="1" ht="21" customHeight="1" x14ac:dyDescent="0.25">
      <c r="A7" s="180" t="s">
        <v>26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2"/>
      <c r="Y7" s="7"/>
      <c r="Z7" s="6">
        <f t="shared" ref="Z7:Z8" si="0">E7+F7+G7+H7+I7+K7+M7+O7+Q7+S7+U7+V7+W7+X7</f>
        <v>0</v>
      </c>
      <c r="AA7" s="6">
        <f t="shared" ref="AA7:AA8" si="1">Z7-C7</f>
        <v>0</v>
      </c>
    </row>
    <row r="8" spans="1:27" s="5" customFormat="1" ht="21" customHeight="1" x14ac:dyDescent="0.25">
      <c r="A8" s="175" t="s">
        <v>27</v>
      </c>
      <c r="B8" s="176"/>
      <c r="C8" s="177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4"/>
      <c r="Y8" s="7"/>
      <c r="Z8" s="6">
        <f t="shared" si="0"/>
        <v>0</v>
      </c>
      <c r="AA8" s="6">
        <f t="shared" si="1"/>
        <v>0</v>
      </c>
    </row>
    <row r="9" spans="1:27" s="5" customFormat="1" ht="21" customHeight="1" x14ac:dyDescent="0.25">
      <c r="A9" s="104">
        <f>A4+1</f>
        <v>1</v>
      </c>
      <c r="B9" s="106" t="s">
        <v>198</v>
      </c>
      <c r="C9" s="103">
        <f>D9+K9+M9+O9+Q9+S9+U9+V9+W9+X9</f>
        <v>14580957</v>
      </c>
      <c r="D9" s="103">
        <f>E9+F9+G9+H9+I9</f>
        <v>872141</v>
      </c>
      <c r="E9" s="103"/>
      <c r="F9" s="103"/>
      <c r="G9" s="103"/>
      <c r="H9" s="103"/>
      <c r="I9" s="105">
        <v>872141</v>
      </c>
      <c r="J9" s="103"/>
      <c r="K9" s="103"/>
      <c r="L9" s="103">
        <v>856</v>
      </c>
      <c r="M9" s="103">
        <v>1599185</v>
      </c>
      <c r="N9" s="103">
        <v>693</v>
      </c>
      <c r="O9" s="103">
        <v>1041904</v>
      </c>
      <c r="P9" s="103"/>
      <c r="Q9" s="103"/>
      <c r="R9" s="103"/>
      <c r="S9" s="103"/>
      <c r="T9" s="103">
        <v>1524</v>
      </c>
      <c r="U9" s="103">
        <v>10422310</v>
      </c>
      <c r="V9" s="103"/>
      <c r="W9" s="103">
        <f>275228+370189</f>
        <v>645417</v>
      </c>
      <c r="X9" s="103"/>
      <c r="Y9" s="7" t="s">
        <v>247</v>
      </c>
      <c r="Z9" s="6">
        <f>E9+F9+G9+H9+I9+K9+M9+O9+Q9+S9+U9+V9+W9+X9</f>
        <v>14580957</v>
      </c>
      <c r="AA9" s="6">
        <f>Z9-C9</f>
        <v>0</v>
      </c>
    </row>
  </sheetData>
  <mergeCells count="3">
    <mergeCell ref="A7:X7"/>
    <mergeCell ref="A8:C8"/>
    <mergeCell ref="D8:X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характеристика мкд</vt:lpstr>
      <vt:lpstr>виды работ </vt:lpstr>
      <vt:lpstr>Лист1</vt:lpstr>
      <vt:lpstr>'виды работ '!Print_Area</vt:lpstr>
      <vt:lpstr>'характеристика мкд'!Print_Area</vt:lpstr>
      <vt:lpstr>'виды работ '!Print_Titles</vt:lpstr>
      <vt:lpstr>'характеристика мкд'!Print_Titles</vt:lpstr>
      <vt:lpstr>'виды работ '!Область_печати</vt:lpstr>
      <vt:lpstr>'характеристика мкд'!Область_печати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2018-01-24T07:33:28Z</dcterms:modified>
</cp:coreProperties>
</file>